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Monthly Bills" sheetId="3" r:id="rId3"/>
    <sheet name="Sub-meters" sheetId="4" r:id="rId4"/>
    <sheet name="Dashboard" sheetId="5" r:id="rId5"/>
    <sheet name="Method" sheetId="6" r:id="rId6"/>
    <sheet name="Verify" sheetId="7" r:id="rId7"/>
  </sheets>
  <definedNames>
    <definedName name="ApplicablePct">Setup!$C$18</definedName>
    <definedName name="BillsShown">Dashboard!$I$4</definedName>
    <definedName name="BillTol">Setup!$C$24</definedName>
    <definedName name="ContractKW">Setup!$C$22</definedName>
    <definedName name="ContractMinPct">Setup!$C$23</definedName>
    <definedName name="Currency">Setup!$C$7</definedName>
    <definedName name="DashEnd">Dashboard!$D$4</definedName>
    <definedName name="DemandRate">Setup!$C$17</definedName>
    <definedName name="FEnd">IF(DashEnd="",IF(COUNT(tblBills[Month])=0,0,MAX(tblBills[Month])),DATE(YEAR(DashEnd),MONTH(DashEnd),1))</definedName>
    <definedName name="FixedDemand">Setup!$C$19</definedName>
    <definedName name="FStart">IF(FEnd=0,0,EDATE(FEnd,-11))</definedName>
    <definedName name="KpiBlended">Dashboard!$G$31</definedName>
    <definedName name="KpiCost">Dashboard!$B$9</definedName>
    <definedName name="KpiDShare">Dashboard!$D$9</definedName>
    <definedName name="KpiIntensity">Dashboard!$B$31</definedName>
    <definedName name="KpiLF">Dashboard!$D$31</definedName>
    <definedName name="KpiMWh">Dashboard!$J$31</definedName>
    <definedName name="KpiPeak">Dashboard!$J$9</definedName>
    <definedName name="KpiRatchet">Dashboard!$G$9</definedName>
    <definedName name="Metered">Dashboard!$K$69</definedName>
    <definedName name="Meters">tblMeters[Meter]</definedName>
    <definedName name="OutputUnit">Setup!$C$8</definedName>
    <definedName name="PlantName">Setup!$C$6</definedName>
    <definedName name="_xlnm.Print_Area" localSheetId="4">Dashboard!$A$1:$L$78</definedName>
    <definedName name="_xlnm.Print_Area" localSheetId="5">Method!$A$1:$D$61</definedName>
    <definedName name="_xlnm.Print_Area" localSheetId="2">'Monthly Bills'!$A$1:$V$30</definedName>
    <definedName name="_xlnm.Print_Area" localSheetId="1">Setup!$A$1:$E$35</definedName>
    <definedName name="_xlnm.Print_Area" localSheetId="0">'Start Here'!$A$1:$F$57</definedName>
    <definedName name="_xlnm.Print_Area" localSheetId="3">'Sub-meters'!$A$1:$G$65</definedName>
    <definedName name="_xlnm.Print_Area" localSheetId="6">Verify!$A$1:$V$54</definedName>
    <definedName name="_xlnm.Print_Titles" localSheetId="5">Method!$1:$2</definedName>
    <definedName name="_xlnm.Print_Titles" localSheetId="2">'Monthly Bills'!$1:$6</definedName>
    <definedName name="_xlnm.Print_Titles" localSheetId="3">'Sub-meters'!$1:$5</definedName>
    <definedName name="RatchetMonths">Setup!$C$21</definedName>
    <definedName name="RatchetPct">Setup!$C$20</definedName>
    <definedName name="SelfCheck">Verify!$D$4</definedName>
    <definedName name="SelfCheckSummary">Verify!$F$4</definedName>
    <definedName name="ShowFrom">Dashboard!$D$5</definedName>
    <definedName name="ShowTo">Dashboard!$I$5</definedName>
    <definedName name="TargetIntensity">Setup!$C$9</definedName>
    <definedName name="TargetLF">Setup!$C$10</definedName>
    <definedName name="Unmetered">Dashboard!$K$70</definedName>
    <definedName name="UnmeteredShare">Dashboard!$K$71</definedName>
  </definedNames>
  <calcPr calcId="124519" fullCalcOnLoad="1"/>
</workbook>
</file>

<file path=xl/sharedStrings.xml><?xml version="1.0" encoding="utf-8"?>
<sst xmlns="http://schemas.openxmlformats.org/spreadsheetml/2006/main" count="559" uniqueCount="253">
  <si>
    <t>Energy Use and Demand Charge Tracker</t>
  </si>
  <si>
    <t>Read this first: what the workbook does and how to use it.</t>
  </si>
  <si>
    <t>mfgcalcs.com</t>
  </si>
  <si>
    <t>Log monthly electricity bills and sub-meter readings, and see cost, peak and billing demand, ratchet charges, load factor and energy per unit of output.</t>
  </si>
  <si>
    <t>For: Plant and facility managers, energy managers, maintenance engineers and plant controllers.</t>
  </si>
  <si>
    <t>Version 1.0.0  ·  updated 15 October 2026</t>
  </si>
  <si>
    <t>Quick start</t>
  </si>
  <si>
    <t>1.</t>
  </si>
  <si>
    <t>On Setup, type your plant name, currency, output unit and targets, then the demand part of your tariff: rate per kW, ratchet, contract demand and fixed fees.</t>
  </si>
  <si>
    <t>2.</t>
  </si>
  <si>
    <t>On Monthly Bills, add one row per bill: the month, days billed, kWh, peak kW, the energy, demand and other charges, and the month's production.</t>
  </si>
  <si>
    <t>3.</t>
  </si>
  <si>
    <t>Read the Check column: it flags a demand charge that does not match your tariff, duplicate months and impossible load factors.</t>
  </si>
  <si>
    <t>4.</t>
  </si>
  <si>
    <t>On Sub-meters, add each meter's kWh per month to see where the energy goes (optional).</t>
  </si>
  <si>
    <t>5.</t>
  </si>
  <si>
    <t>Open the Dashboard; change the '12 months ending' date to look at any year.</t>
  </si>
  <si>
    <t>What is in this workbook</t>
  </si>
  <si>
    <t>Start Here</t>
  </si>
  <si>
    <t>Setup</t>
  </si>
  <si>
    <t>Your plant, currency, output unit, targets, the demand part of your tariff and the sub-meter list.</t>
  </si>
  <si>
    <t>Monthly Bills</t>
  </si>
  <si>
    <t>One row per electricity bill: energy, peak demand, charges and production.</t>
  </si>
  <si>
    <t>Sub-meters</t>
  </si>
  <si>
    <t>Energy per sub-meter per month: where the electricity goes.</t>
  </si>
  <si>
    <t>Dashboard</t>
  </si>
  <si>
    <t>Energy cost, peak and billing demand, ratchet charges, load factor, intensity and end uses for any 12 months.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</si>
  <si>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</si>
  <si>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</si>
  <si>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</si>
  <si>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</si>
  <si>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</si>
  <si>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</si>
  <si>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</si>
  <si>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</si>
  <si>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</si>
  <si>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</si>
  <si>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</si>
  <si>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</si>
  <si>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</si>
  <si>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</si>
  <si>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</si>
  <si>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</si>
  <si>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</si>
  <si>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</si>
  <si>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</si>
  <si>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</si>
  <si>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Utility Demand Charge Calculator on mfgcalcs.com</t>
  </si>
  <si>
    <t>Latest version</t>
  </si>
  <si>
    <t>mfgcalcs.com/templates/energy-monitoring</t>
  </si>
  <si>
    <t>More free templates</t>
  </si>
  <si>
    <t>mfgcalcs.com/templates</t>
  </si>
  <si>
    <t>Version</t>
  </si>
  <si>
    <t>1.0.0 (updated 15 October 2026)</t>
  </si>
  <si>
    <t>About the example data</t>
  </si>
  <si>
    <t>Every number already in this workbook is example data for Ridgeway Castings, a fictional business invented for this template, so the dashboard and charts show something meaningful on day one. It covers an aluminium die-casting foundry with electric melting: 24 monthly bills (October 2024 to September 2026) and 12 months of sub-meter readings, generated from a fixed seed. Tariff values are examples, not any utility's prices.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</si>
  <si>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</si>
  <si>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</si>
  <si>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</si>
  <si>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</si>
  <si>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</si>
  <si>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</si>
  <si>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</si>
  <si>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</si>
  <si>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Meter</t>
  </si>
  <si>
    <t>End use</t>
  </si>
  <si>
    <t>Notes</t>
  </si>
  <si>
    <t>Plant and targets</t>
  </si>
  <si>
    <t>Plant name</t>
  </si>
  <si>
    <t>Ridgeway Castings (example)</t>
  </si>
  <si>
    <t>Currency label</t>
  </si>
  <si>
    <t>USD</t>
  </si>
  <si>
    <t>Unit of output</t>
  </si>
  <si>
    <t>t</t>
  </si>
  <si>
    <t>Energy intensity target</t>
  </si>
  <si>
    <t>Load factor target</t>
  </si>
  <si>
    <t>Targets are yours to set; nothing in this workbook assumes an industry benchmark. 'Near target' means within 5% of the target: up to 1,470 kWh/t against a 1,400 kWh/t intensity target.</t>
  </si>
  <si>
    <t>Demand charge rules from your tariff</t>
  </si>
  <si>
    <t>Copy these from your electricity tariff or contract. They let the workbook work out the billing demand and the demand charge you should have been billed, and flag bills that do not match. The example values are illustrative, not any utility's prices.</t>
  </si>
  <si>
    <t>Demand charge rate</t>
  </si>
  <si>
    <t>Share of billing demand charged</t>
  </si>
  <si>
    <t>Fixed demand-related fees</t>
  </si>
  <si>
    <t>Demand ratchet</t>
  </si>
  <si>
    <t>Ratchet look-back</t>
  </si>
  <si>
    <t>months</t>
  </si>
  <si>
    <t>Contract (sanctioned) demand</t>
  </si>
  <si>
    <t>kW</t>
  </si>
  <si>
    <t>Minimum billing share of contract demand</t>
  </si>
  <si>
    <t>Bill check tolerance</t>
  </si>
  <si>
    <t>One row per sub-meter or end use. The Sub-meters log's dropdown reads this list; the Dashboard shows each meter's share of the billed energy and the unmetered rest.</t>
  </si>
  <si>
    <t>Sub-meters (example)</t>
  </si>
  <si>
    <t>Melting furnaces</t>
  </si>
  <si>
    <t>Process heat</t>
  </si>
  <si>
    <t>Two induction furnaces and holding furnaces</t>
  </si>
  <si>
    <t>Die casting cells</t>
  </si>
  <si>
    <t>Machines</t>
  </si>
  <si>
    <t>Six cold-chamber machines, trim presses</t>
  </si>
  <si>
    <t>Compressed air</t>
  </si>
  <si>
    <t>Utilities</t>
  </si>
  <si>
    <t>Three screw compressors</t>
  </si>
  <si>
    <t>HVAC and fume extraction</t>
  </si>
  <si>
    <t>Building</t>
  </si>
  <si>
    <t>Make-up air, extraction fans</t>
  </si>
  <si>
    <t>Lighting and offices</t>
  </si>
  <si>
    <t>High-bay lighting, offices</t>
  </si>
  <si>
    <t>Month</t>
  </si>
  <si>
    <t>Days</t>
  </si>
  <si>
    <t>Energy (kWh)</t>
  </si>
  <si>
    <t>Peak demand (kW)</t>
  </si>
  <si>
    <t>Energy charges</t>
  </si>
  <si>
    <t>Demand charges</t>
  </si>
  <si>
    <t>Other charges</t>
  </si>
  <si>
    <t>Production</t>
  </si>
  <si>
    <t>Total bill</t>
  </si>
  <si>
    <t>Load factor</t>
  </si>
  <si>
    <t>Blended cost</t>
  </si>
  <si>
    <t>Ratchet floor (kW)</t>
  </si>
  <si>
    <t>Billing demand (kW)</t>
  </si>
  <si>
    <t>Expected demand charge</t>
  </si>
  <si>
    <t>Variance vs tariff</t>
  </si>
  <si>
    <t>Paid for past peaks</t>
  </si>
  <si>
    <t>Energy intensity</t>
  </si>
  <si>
    <t>Cost per unit</t>
  </si>
  <si>
    <t>Intensity status</t>
  </si>
  <si>
    <t>Check</t>
  </si>
  <si>
    <t>Example data for Ridgeway Castings (fictional); the March 2026 bill is wrong on purpose, to show the Check column at work. Replace it with your own: select the example rows, right-click, Delete &gt; Table Rows.</t>
  </si>
  <si>
    <t>%</t>
  </si>
  <si>
    <t/>
  </si>
  <si>
    <t>Two furnaces cold-started together after the shutdown</t>
  </si>
  <si>
    <t>Staggered furnace starts after the shutdown</t>
  </si>
  <si>
    <t>Demand charge does not match the tariff: queried with the utility</t>
  </si>
  <si>
    <t>Share of bill</t>
  </si>
  <si>
    <t>Example data for Ridgeway Castings (fictional): five sub-meters from October 2025. Replace it with your own readings.</t>
  </si>
  <si>
    <t>12 months ending</t>
  </si>
  <si>
    <t>Bills in these months</t>
  </si>
  <si>
    <t>First month shown</t>
  </si>
  <si>
    <t>Last month shown</t>
  </si>
  <si>
    <t>DEMAND CHARGES SHARE</t>
  </si>
  <si>
    <t>HIGHEST PEAK DEMAND (KW)</t>
  </si>
  <si>
    <t>Total of the bills shown</t>
  </si>
  <si>
    <t>Demand charges / total bill</t>
  </si>
  <si>
    <t>Ratchet or contract minimum above own peak</t>
  </si>
  <si>
    <t>In the 12 months shown</t>
  </si>
  <si>
    <t>LOAD FACTOR</t>
  </si>
  <si>
    <t>ENERGY USED (MWH)</t>
  </si>
  <si>
    <t>Total bill / kWh</t>
  </si>
  <si>
    <t>By month</t>
  </si>
  <si>
    <t>Intensity target</t>
  </si>
  <si>
    <t>Where the energy goes (12 months shown)</t>
  </si>
  <si>
    <t>Unmetered energy (same months)</t>
  </si>
  <si>
    <t>Sub-meter</t>
  </si>
  <si>
    <t>Share of billed energy</t>
  </si>
  <si>
    <t>Cost at blended rate (est.)</t>
  </si>
  <si>
    <t>Metered by the sub-meters</t>
  </si>
  <si>
    <t>kWh</t>
  </si>
  <si>
    <t>Unmetered and losses</t>
  </si>
  <si>
    <t>Unmetered share of billed energy</t>
  </si>
  <si>
    <t>The Dashboard shows the 5 sub-meters of the Setup list. If you add more, extend the 'Where the energy goes' block (see Method) or they will not appear here; the unmetered line still counts them.</t>
  </si>
  <si>
    <t>What this workbook calculates</t>
  </si>
  <si>
    <t>An electricity bill has two big parts: energy, priced per kWh used, and demand, priced per kW of the highest short-interval demand in the month. This workbook rebuilds the demand part from your tariff's rules, so you can see what each peak cost, how long a ratchet carries it forward, and whether the utility billed what the tariff says. Load factor and energy per unit of output show how well the energy was used.</t>
  </si>
  <si>
    <t>Calculations</t>
  </si>
  <si>
    <t>Quantity</t>
  </si>
  <si>
    <t>How it is calculated</t>
  </si>
  <si>
    <t>Units</t>
  </si>
  <si>
    <t>Energy charges + demand charges + other charges, as entered from the bill.</t>
  </si>
  <si>
    <t>currency</t>
  </si>
  <si>
    <t>kWh / (peak kW x days x 24). Over several months: total kWh / sum of (peak x days x 24), the hours-weighted average of the monthly load factors.</t>
  </si>
  <si>
    <t>Total bill / kWh: the average price paid per kWh, demand and fees included.</t>
  </si>
  <si>
    <t>currency/kWh</t>
  </si>
  <si>
    <t>Ratchet floor</t>
  </si>
  <si>
    <t>The larger of: ratchet share x the highest peak in the bills of the look-back months before this one (SUMPRODUCT(MAX(...)) over earlier rows), and the minimum share x contract demand.</t>
  </si>
  <si>
    <t>Billing demand</t>
  </si>
  <si>
    <t>The larger of the month's own peak and the ratchet floor.</t>
  </si>
  <si>
    <t>Billing demand x demand rate x share charged + fixed demand-related fees: the same formula as the Utility Demand Charge calculator.</t>
  </si>
  <si>
    <t>Billed demand charge - expected demand charge. The Check column flags it when it is more than the tolerance on Setup.</t>
  </si>
  <si>
    <t>(Billing demand - own peak) x demand rate x share charged: what an earlier peak or the contract minimum added to this bill.</t>
  </si>
  <si>
    <t>kWh / production. Over several months: total kWh / total production.</t>
  </si>
  <si>
    <t>kWh/unit</t>
  </si>
  <si>
    <t>Total bill / production.</t>
  </si>
  <si>
    <t>currency/unit</t>
  </si>
  <si>
    <t>On target at or below the target; Near target up to 5% above; Above target beyond.</t>
  </si>
  <si>
    <t>-</t>
  </si>
  <si>
    <t>Share of bill (sub-meters)</t>
  </si>
  <si>
    <t>A meter's kWh / the bill's kWh for the same month. Dashboard: a meter's kWh in the 12 months / the billed kWh in the same months.</t>
  </si>
  <si>
    <t>Billed kWh - the sum of the sub-meter readings in the same months.</t>
  </si>
  <si>
    <t>A meter's kWh x the blended cost: an estimate, because demand charges are not shared out by when each load runs.</t>
  </si>
  <si>
    <t>Assumptions</t>
  </si>
  <si>
    <t>One bill per calendar month, entered on the first day of the month it covers; the ratchet looks back over whole months, so the first bills in the log have less history to look back on.</t>
  </si>
  <si>
    <t>The ratchet, contract minimum and rates on Setup apply to every bill in the log. If your tariff changed, the check compares old bills with the new rules: note the change on those rows.</t>
  </si>
  <si>
    <t>Peak demand is the meter's billed maximum demand (the utility's interval, often 15 or 30 minutes) in kW. For a kVA-billed tariff, enter kVA consistently and read kW as kVA.</t>
  </si>
  <si>
    <t>Production is good output in the same month as the bill.</t>
  </si>
  <si>
    <t>Limitations</t>
  </si>
  <si>
    <t>Time-of-use energy prices, seasonal demand rates, power factor adjustments and taxes are not modelled; they are entered as part of the energy and other charge lines.</t>
  </si>
  <si>
    <t>The expected demand charge is only as right as the tariff rules on Setup; a flagged bill is a question for the utility, not proof of an error.</t>
  </si>
  <si>
    <t>Energy intensity mixes products: a shift in product mix moves kWh per unit without any change in efficiency.</t>
  </si>
  <si>
    <t>The Dashboard has fixed blocks for 5 sub-meters and 12 months; longer lists need the blocks extended (a warning appears on the Dashboard).</t>
  </si>
  <si>
    <t>Agreement with the live calculator</t>
  </si>
  <si>
    <t>The live Utility Demand Charge calculator computes one bill's demand charge from its billing demand: billing demand x rate x applicable share / 100 + fixed demand fees. The Expected demand charge column uses the same formula on every bill, after first working out the billing demand from the tariff's ratchet and contract minimum (the calculator takes billing demand as an input). The template's reference implementation is checked against the calculator's engine for its default example (920 kW, 18.50 per kW, 100%, 450 fixed: 17,470) and a ratcheted example bill on every build.</t>
  </si>
  <si>
    <t>Open the Utility Demand Charge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</si>
  <si>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</si>
  <si>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</si>
  <si>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Load factor and demand charge definitions as used in electricity tariffs and utility rate schedules; check your own tariff for its ratchet, interval and minimum-demand rules.</t>
  </si>
  <si>
    <t>ISO 50001:2018, Energy management systems (energy performance indicators and significant energy uses, named only).</t>
  </si>
  <si>
    <t>MFG Calcs Utility Demand Charge calculator (utility-demand-charge): billing demand x rate x applicable share + fixed fees.</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</si>
  <si>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</si>
  <si>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</si>
  <si>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</si>
  <si>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</si>
  <si>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</si>
  <si>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</si>
  <si>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</si>
  <si>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</si>
  <si>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</si>
  <si>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</si>
  <si>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</si>
  <si>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</si>
  <si>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</si>
  <si>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</si>
  <si>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</si>
  <si>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</si>
  <si>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Feb: ratchet floor = 80% of January's 1,000 kW</t>
  </si>
  <si>
    <t>Feb: billing demand</t>
  </si>
  <si>
    <t>Feb: paid for past peaks</t>
  </si>
  <si>
    <t>Mar (calculator example): billing demand = own peak</t>
  </si>
  <si>
    <t>Mar (calculator example): expected demand charge</t>
  </si>
  <si>
    <t>Jan 2027: floor = contract minimum (January 2026 left the look-back)</t>
  </si>
  <si>
    <t>Jan 2027: Check reports the demand charge above tariff</t>
  </si>
  <si>
    <t>Demand charge above tariff</t>
  </si>
  <si>
    <t>exact</t>
  </si>
  <si>
    <t>Jan 2026: load factor</t>
  </si>
  <si>
    <t>Jan 2026: blended cost</t>
  </si>
  <si>
    <t>Jan 2026: energy intensity</t>
  </si>
  <si>
    <t>Feb: intensity status against 1,400 kWh/t</t>
  </si>
  <si>
    <t>Near target</t>
  </si>
  <si>
    <t>Jan 2026: intensity status</t>
  </si>
  <si>
    <t>Above target</t>
  </si>
  <si>
    <t>Mar: Check is OK when the bill matches</t>
  </si>
  <si>
    <t>OK</t>
  </si>
  <si>
    <t>Window Feb 2026 - Jan 2027: total cost</t>
  </si>
  <si>
    <t>Window: demand charges share</t>
  </si>
  <si>
    <t>Window: paid for past peaks</t>
  </si>
  <si>
    <t>Window: highest peak (January 2026 is outside)</t>
  </si>
  <si>
    <t>Window: load factor</t>
  </si>
  <si>
    <t>Window: energy intensity</t>
  </si>
  <si>
    <t>Fixed test inputs</t>
  </si>
  <si>
    <t>White cells are fixed test inputs; blue cells are the workbook's formulas evaluated on them.</t>
  </si>
  <si>
    <t>Parameters</t>
  </si>
  <si>
    <t>Ratchet look-back (months)</t>
  </si>
  <si>
    <t>Contract demand (kW)</t>
  </si>
  <si>
    <t>Minimum share of contract demand</t>
  </si>
  <si>
    <t>Window: first month</t>
  </si>
  <si>
    <t>Window: last month</t>
  </si>
  <si>
    <t>Test table: Bills</t>
  </si>
</sst>
</file>

<file path=xl/styles.xml><?xml version="1.0" encoding="utf-8"?>
<styleSheet xmlns="http://schemas.openxmlformats.org/spreadsheetml/2006/main">
  <numFmts count="11">
    <numFmt numFmtId="164" formatCode="#,##0"/>
    <numFmt numFmtId="165" formatCode="0.0%"/>
    <numFmt numFmtId="166" formatCode="#,##0.00"/>
    <numFmt numFmtId="167" formatCode="d mmm yyyy"/>
    <numFmt numFmtId="168" formatCode="#,##0.0"/>
    <numFmt numFmtId="169" formatCode="#,##0.0000"/>
    <numFmt numFmtId="170" formatCode="mmm yyyy"/>
    <numFmt numFmtId="171" formatCode="&quot;Target &quot;#,##0"/>
    <numFmt numFmtId="172" formatCode="&quot;Target &quot;0.0%"/>
    <numFmt numFmtId="173" formatCode="0.0E+00"/>
    <numFmt numFmtId="174"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9">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20" fillId="0" borderId="0" xfId="0" applyFont="1" applyAlignment="1">
      <alignment horizontal="center" vertical="center"/>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166"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7" fontId="10" fillId="3" borderId="2" xfId="0" applyNumberFormat="1" applyFont="1" applyFill="1" applyBorder="1" applyAlignment="1" applyProtection="1">
      <alignment horizontal="left" vertical="center"/>
      <protection locked="0"/>
    </xf>
    <xf numFmtId="170" fontId="10" fillId="4" borderId="3" xfId="0" applyNumberFormat="1" applyFont="1" applyFill="1" applyBorder="1" applyAlignment="1">
      <alignment vertical="center"/>
    </xf>
    <xf numFmtId="0" fontId="20"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169" fontId="4" fillId="9" borderId="7" xfId="0" applyNumberFormat="1" applyFont="1" applyFill="1" applyBorder="1" applyAlignment="1">
      <alignment horizontal="left" vertical="center"/>
    </xf>
    <xf numFmtId="171" fontId="23" fillId="9" borderId="7" xfId="0" applyNumberFormat="1" applyFont="1" applyFill="1" applyBorder="1" applyAlignment="1">
      <alignment horizontal="left" vertical="center"/>
    </xf>
    <xf numFmtId="172" fontId="23"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170" fontId="9" fillId="0" borderId="9" xfId="0" applyNumberFormat="1" applyFont="1" applyBorder="1" applyAlignment="1">
      <alignment vertical="center"/>
    </xf>
    <xf numFmtId="164" fontId="10" fillId="0" borderId="9" xfId="0" applyNumberFormat="1" applyFont="1" applyBorder="1" applyAlignment="1">
      <alignment vertical="center"/>
    </xf>
    <xf numFmtId="0" fontId="9" fillId="0" borderId="9" xfId="0"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4" fontId="9" fillId="0" borderId="9" xfId="0" applyNumberFormat="1" applyFont="1" applyBorder="1" applyAlignment="1">
      <alignment horizontal="center" vertical="center"/>
    </xf>
    <xf numFmtId="173" fontId="10" fillId="4" borderId="3" xfId="0" applyNumberFormat="1" applyFont="1" applyFill="1" applyBorder="1" applyAlignment="1">
      <alignment vertical="center"/>
    </xf>
    <xf numFmtId="173" fontId="10" fillId="0" borderId="9" xfId="0" applyNumberFormat="1" applyFont="1" applyBorder="1" applyAlignment="1">
      <alignment vertical="center"/>
    </xf>
    <xf numFmtId="166" fontId="10" fillId="0" borderId="9" xfId="0" applyNumberFormat="1" applyFont="1" applyBorder="1" applyAlignment="1">
      <alignment vertical="center"/>
    </xf>
    <xf numFmtId="0" fontId="10" fillId="4" borderId="3" xfId="0" applyFont="1" applyFill="1" applyBorder="1" applyAlignment="1">
      <alignment vertical="center"/>
    </xf>
    <xf numFmtId="174" fontId="10" fillId="0" borderId="9" xfId="0" applyNumberFormat="1" applyFont="1" applyBorder="1" applyAlignment="1">
      <alignment vertical="center"/>
    </xf>
    <xf numFmtId="174" fontId="10" fillId="4" borderId="3" xfId="0" applyNumberFormat="1" applyFont="1" applyFill="1" applyBorder="1" applyAlignment="1">
      <alignment vertical="center"/>
    </xf>
    <xf numFmtId="169" fontId="10" fillId="0" borderId="9" xfId="0" applyNumberFormat="1" applyFont="1" applyBorder="1" applyAlignment="1">
      <alignment vertical="center"/>
    </xf>
    <xf numFmtId="165" fontId="10" fillId="0" borderId="9" xfId="0" applyNumberFormat="1" applyFont="1" applyBorder="1" applyAlignment="1">
      <alignment vertical="center"/>
    </xf>
    <xf numFmtId="167" fontId="10" fillId="0" borderId="9" xfId="0" applyNumberFormat="1" applyFont="1" applyBorder="1" applyAlignment="1">
      <alignment vertical="center"/>
    </xf>
    <xf numFmtId="168"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Monthly bill by component</a:t>
            </a:r>
          </a:p>
        </c:rich>
      </c:tx>
      <c:layout/>
    </c:title>
    <c:plotArea>
      <c:layout/>
      <c:barChart>
        <c:barDir val="col"/>
        <c:grouping val="stacked"/>
        <c:ser>
          <c:idx val="0"/>
          <c:order val="0"/>
          <c:tx>
            <c:v>Energy charges</c:v>
          </c:tx>
          <c:spPr>
            <a:solidFill>
              <a:srgbClr val="3B64D8"/>
            </a:solidFill>
            <a:ln w="9525">
              <a:solidFill>
                <a:srgbClr val="FFFFFF"/>
              </a:solidFill>
            </a:ln>
          </c:spPr>
          <c:cat>
            <c:numRef>
              <c:f>Dashboard!$B$55:$B$66</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Dashboard!$F$55:$F$66</c:f>
              <c:numCache>
                <c:formatCode>General</c:formatCode>
                <c:ptCount val="12"/>
                <c:pt idx="0">
                  <c:v>70649.48</c:v>
                </c:pt>
                <c:pt idx="1">
                  <c:v>69518.09</c:v>
                </c:pt>
                <c:pt idx="2">
                  <c:v>62885.61</c:v>
                </c:pt>
                <c:pt idx="3">
                  <c:v>75285.44</c:v>
                </c:pt>
                <c:pt idx="4">
                  <c:v>74456.65</c:v>
                </c:pt>
                <c:pt idx="5">
                  <c:v>74755.51</c:v>
                </c:pt>
                <c:pt idx="6">
                  <c:v>71721.58</c:v>
                </c:pt>
                <c:pt idx="7">
                  <c:v>72213.34</c:v>
                </c:pt>
                <c:pt idx="8">
                  <c:v>72975.81</c:v>
                </c:pt>
                <c:pt idx="9">
                  <c:v>73961.75</c:v>
                </c:pt>
                <c:pt idx="10">
                  <c:v>59986.97</c:v>
                </c:pt>
                <c:pt idx="11">
                  <c:v>71720.04</c:v>
                </c:pt>
              </c:numCache>
            </c:numRef>
          </c:val>
        </c:ser>
        <c:ser>
          <c:idx val="1"/>
          <c:order val="1"/>
          <c:tx>
            <c:v>Demand charges</c:v>
          </c:tx>
          <c:spPr>
            <a:solidFill>
              <a:srgbClr val="E8702A"/>
            </a:solidFill>
            <a:ln w="9525">
              <a:solidFill>
                <a:srgbClr val="FFFFFF"/>
              </a:solidFill>
            </a:ln>
          </c:spPr>
          <c:cat>
            <c:numRef>
              <c:f>Dashboard!$B$55:$B$66</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Dashboard!$G$55:$G$66</c:f>
              <c:numCache>
                <c:formatCode>General</c:formatCode>
                <c:ptCount val="12"/>
                <c:pt idx="0">
                  <c:v>32698</c:v>
                </c:pt>
                <c:pt idx="1">
                  <c:v>32698</c:v>
                </c:pt>
                <c:pt idx="2">
                  <c:v>32698</c:v>
                </c:pt>
                <c:pt idx="3">
                  <c:v>33945</c:v>
                </c:pt>
                <c:pt idx="4">
                  <c:v>29522.5</c:v>
                </c:pt>
                <c:pt idx="5">
                  <c:v>31234.81</c:v>
                </c:pt>
                <c:pt idx="6">
                  <c:v>30392.5</c:v>
                </c:pt>
                <c:pt idx="7">
                  <c:v>29667.5</c:v>
                </c:pt>
                <c:pt idx="8">
                  <c:v>30247.5</c:v>
                </c:pt>
                <c:pt idx="9">
                  <c:v>30755</c:v>
                </c:pt>
                <c:pt idx="10">
                  <c:v>27246</c:v>
                </c:pt>
                <c:pt idx="11">
                  <c:v>29885</c:v>
                </c:pt>
              </c:numCache>
            </c:numRef>
          </c:val>
        </c:ser>
        <c:ser>
          <c:idx val="2"/>
          <c:order val="2"/>
          <c:tx>
            <c:v>Other charges</c:v>
          </c:tx>
          <c:spPr>
            <a:solidFill>
              <a:srgbClr val="1BA37A"/>
            </a:solidFill>
            <a:ln w="9525">
              <a:solidFill>
                <a:srgbClr val="FFFFFF"/>
              </a:solidFill>
            </a:ln>
          </c:spPr>
          <c:cat>
            <c:numRef>
              <c:f>Dashboard!$B$55:$B$66</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Dashboard!$H$55:$H$66</c:f>
              <c:numCache>
                <c:formatCode>General</c:formatCode>
                <c:ptCount val="12"/>
                <c:pt idx="0">
                  <c:v>3350.42</c:v>
                </c:pt>
                <c:pt idx="1">
                  <c:v>3316.48</c:v>
                </c:pt>
                <c:pt idx="2">
                  <c:v>3117.51</c:v>
                </c:pt>
                <c:pt idx="3">
                  <c:v>3526.91</c:v>
                </c:pt>
                <c:pt idx="4">
                  <c:v>3369.37</c:v>
                </c:pt>
                <c:pt idx="5">
                  <c:v>3429.71</c:v>
                </c:pt>
                <c:pt idx="6">
                  <c:v>3313.42</c:v>
                </c:pt>
                <c:pt idx="7">
                  <c:v>3306.43</c:v>
                </c:pt>
                <c:pt idx="8">
                  <c:v>3346.7</c:v>
                </c:pt>
                <c:pt idx="9">
                  <c:v>3391.5</c:v>
                </c:pt>
                <c:pt idx="10">
                  <c:v>2866.99</c:v>
                </c:pt>
                <c:pt idx="11">
                  <c:v>3298.15</c:v>
                </c:pt>
              </c:numCache>
            </c:numRef>
          </c:val>
        </c:ser>
        <c:gapWidth val="60"/>
        <c:overlap val="100"/>
        <c:axId val="50010001"/>
        <c:axId val="50010002"/>
      </c:barChart>
      <c:catAx>
        <c:axId val="5001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Peak demand and billing demand (kW)</a:t>
            </a:r>
          </a:p>
        </c:rich>
      </c:tx>
      <c:layout/>
    </c:title>
    <c:plotArea>
      <c:layout/>
      <c:barChart>
        <c:barDir val="col"/>
        <c:grouping val="clustered"/>
        <c:ser>
          <c:idx val="0"/>
          <c:order val="0"/>
          <c:tx>
            <c:v>Peak demand</c:v>
          </c:tx>
          <c:spPr>
            <a:solidFill>
              <a:srgbClr val="3B64D8"/>
            </a:solidFill>
            <a:ln w="9525">
              <a:solidFill>
                <a:srgbClr val="FFFFFF"/>
              </a:solidFill>
            </a:ln>
          </c:spPr>
          <c:cat>
            <c:numRef>
              <c:f>Dashboard!$B$55:$B$66</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Dashboard!$D$55:$D$66</c:f>
              <c:numCache>
                <c:formatCode>General</c:formatCode>
                <c:ptCount val="12"/>
                <c:pt idx="0">
                  <c:v>2080</c:v>
                </c:pt>
                <c:pt idx="1">
                  <c:v>2035</c:v>
                </c:pt>
                <c:pt idx="2">
                  <c:v>1960</c:v>
                </c:pt>
                <c:pt idx="3">
                  <c:v>2310</c:v>
                </c:pt>
                <c:pt idx="4">
                  <c:v>2005</c:v>
                </c:pt>
                <c:pt idx="5">
                  <c:v>2005</c:v>
                </c:pt>
                <c:pt idx="6">
                  <c:v>2065</c:v>
                </c:pt>
                <c:pt idx="7">
                  <c:v>2015</c:v>
                </c:pt>
                <c:pt idx="8">
                  <c:v>2055</c:v>
                </c:pt>
                <c:pt idx="9">
                  <c:v>2090</c:v>
                </c:pt>
                <c:pt idx="10">
                  <c:v>1775</c:v>
                </c:pt>
                <c:pt idx="11">
                  <c:v>2030</c:v>
                </c:pt>
              </c:numCache>
            </c:numRef>
          </c:val>
        </c:ser>
        <c:gapWidth val="60"/>
        <c:overlap val="-10"/>
        <c:axId val="50020001"/>
        <c:axId val="50020002"/>
      </c:barChart>
      <c:lineChart>
        <c:grouping val="standard"/>
        <c:ser>
          <c:idx val="1"/>
          <c:order val="1"/>
          <c:tx>
            <c:v>Billing demand</c:v>
          </c:tx>
          <c:spPr>
            <a:ln w="28575">
              <a:solidFill>
                <a:srgbClr val="E8702A"/>
              </a:solidFill>
            </a:ln>
          </c:spPr>
          <c:marker>
            <c:symbol val="circle"/>
            <c:size val="5"/>
            <c:spPr>
              <a:solidFill>
                <a:srgbClr val="E8702A"/>
              </a:solidFill>
              <a:ln>
                <a:solidFill>
                  <a:srgbClr val="E8702A"/>
                </a:solidFill>
              </a:ln>
            </c:spPr>
          </c:marker>
          <c:cat>
            <c:numRef>
              <c:f>Dashboard!$B$55:$B$66</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Dashboard!$E$55:$E$66</c:f>
              <c:numCache>
                <c:formatCode>General</c:formatCode>
                <c:ptCount val="12"/>
                <c:pt idx="0">
                  <c:v>2224</c:v>
                </c:pt>
                <c:pt idx="1">
                  <c:v>2224</c:v>
                </c:pt>
                <c:pt idx="2">
                  <c:v>2224</c:v>
                </c:pt>
                <c:pt idx="3">
                  <c:v>2310</c:v>
                </c:pt>
                <c:pt idx="4">
                  <c:v>2005</c:v>
                </c:pt>
                <c:pt idx="5">
                  <c:v>2005</c:v>
                </c:pt>
                <c:pt idx="6">
                  <c:v>2065</c:v>
                </c:pt>
                <c:pt idx="7">
                  <c:v>2015</c:v>
                </c:pt>
                <c:pt idx="8">
                  <c:v>2055</c:v>
                </c:pt>
                <c:pt idx="9">
                  <c:v>2090</c:v>
                </c:pt>
                <c:pt idx="10">
                  <c:v>1848</c:v>
                </c:pt>
                <c:pt idx="11">
                  <c:v>2030</c:v>
                </c:pt>
              </c:numCache>
            </c:numRef>
          </c:val>
        </c:ser>
        <c:marker val="1"/>
        <c:axId val="50020001"/>
        <c:axId val="50020002"/>
      </c:lineChart>
      <c:catAx>
        <c:axId val="5002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Energy intensity by month</a:t>
            </a:r>
          </a:p>
        </c:rich>
      </c:tx>
      <c:layout/>
    </c:title>
    <c:plotArea>
      <c:layout/>
      <c:barChart>
        <c:barDir val="col"/>
        <c:grouping val="clustered"/>
        <c:ser>
          <c:idx val="0"/>
          <c:order val="0"/>
          <c:tx>
            <c:v>kWh per unit of output</c:v>
          </c:tx>
          <c:spPr>
            <a:solidFill>
              <a:srgbClr val="3B64D8"/>
            </a:solidFill>
            <a:ln w="9525">
              <a:solidFill>
                <a:srgbClr val="FFFFFF"/>
              </a:solidFill>
            </a:ln>
          </c:spPr>
          <c:cat>
            <c:numRef>
              <c:f>Dashboard!$B$55:$B$66</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Dashboard!$K$55:$K$66</c:f>
              <c:numCache>
                <c:formatCode>General</c:formatCode>
                <c:ptCount val="12"/>
                <c:pt idx="0">
                  <c:v>1475.25429116338</c:v>
                </c:pt>
                <c:pt idx="1">
                  <c:v>1467.60834670947</c:v>
                </c:pt>
                <c:pt idx="2">
                  <c:v>1549.75655430712</c:v>
                </c:pt>
                <c:pt idx="3">
                  <c:v>1503.99804973184</c:v>
                </c:pt>
                <c:pt idx="4">
                  <c:v>1434.1167192429</c:v>
                </c:pt>
                <c:pt idx="5">
                  <c:v>1495.47599674532</c:v>
                </c:pt>
                <c:pt idx="6">
                  <c:v>1417.39200515796</c:v>
                </c:pt>
                <c:pt idx="7">
                  <c:v>1426.0510996119</c:v>
                </c:pt>
                <c:pt idx="8">
                  <c:v>1408.51366292845</c:v>
                </c:pt>
                <c:pt idx="9">
                  <c:v>1439.23429837051</c:v>
                </c:pt>
                <c:pt idx="10">
                  <c:v>1546.06977721732</c:v>
                </c:pt>
                <c:pt idx="11">
                  <c:v>1435.52502453386</c:v>
                </c:pt>
              </c:numCache>
            </c:numRef>
          </c:val>
        </c:ser>
        <c:gapWidth val="60"/>
        <c:overlap val="-10"/>
        <c:axId val="50030001"/>
        <c:axId val="50030002"/>
      </c:barChart>
      <c:lineChart>
        <c:grouping val="standard"/>
        <c:ser>
          <c:idx val="1"/>
          <c:order val="1"/>
          <c:tx>
            <c:v>Target</c:v>
          </c:tx>
          <c:spPr>
            <a:ln w="19050">
              <a:solidFill>
                <a:srgbClr val="4A5361"/>
              </a:solidFill>
              <a:prstDash val="dash"/>
            </a:ln>
          </c:spPr>
          <c:marker>
            <c:symbol val="none"/>
          </c:marker>
          <c:cat>
            <c:numRef>
              <c:f>Dashboard!$B$55:$B$66</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Dashboard!$L$55:$L$66</c:f>
              <c:numCache>
                <c:formatCode>General</c:formatCode>
                <c:ptCount val="12"/>
                <c:pt idx="0">
                  <c:v>1400</c:v>
                </c:pt>
                <c:pt idx="1">
                  <c:v>1400</c:v>
                </c:pt>
                <c:pt idx="2">
                  <c:v>1400</c:v>
                </c:pt>
                <c:pt idx="3">
                  <c:v>1400</c:v>
                </c:pt>
                <c:pt idx="4">
                  <c:v>1400</c:v>
                </c:pt>
                <c:pt idx="5">
                  <c:v>1400</c:v>
                </c:pt>
                <c:pt idx="6">
                  <c:v>1400</c:v>
                </c:pt>
                <c:pt idx="7">
                  <c:v>1400</c:v>
                </c:pt>
                <c:pt idx="8">
                  <c:v>1400</c:v>
                </c:pt>
                <c:pt idx="9">
                  <c:v>1400</c:v>
                </c:pt>
                <c:pt idx="10">
                  <c:v>1400</c:v>
                </c:pt>
                <c:pt idx="11">
                  <c:v>1400</c:v>
                </c:pt>
              </c:numCache>
            </c:numRef>
          </c:val>
        </c:ser>
        <c:marker val="1"/>
        <c:axId val="50030001"/>
        <c:axId val="50030002"/>
      </c:lineChart>
      <c:catAx>
        <c:axId val="5003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the energy goes (MWh, sub-meters)</a:t>
            </a:r>
          </a:p>
        </c:rich>
      </c:tx>
      <c:layout/>
    </c:title>
    <c:plotArea>
      <c:layout/>
      <c:barChart>
        <c:barDir val="bar"/>
        <c:grouping val="clustered"/>
        <c:ser>
          <c:idx val="0"/>
          <c:order val="0"/>
          <c:tx>
            <c:v>Energy</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Dashboard!$B$71:$B$75</c:f>
              <c:strCache>
                <c:ptCount val="5"/>
                <c:pt idx="0">
                  <c:v>Melting furnaces</c:v>
                </c:pt>
                <c:pt idx="1">
                  <c:v>Die casting cells</c:v>
                </c:pt>
                <c:pt idx="2">
                  <c:v>Compressed air</c:v>
                </c:pt>
                <c:pt idx="3">
                  <c:v>HVAC and fume extraction</c:v>
                </c:pt>
                <c:pt idx="4">
                  <c:v>Lighting and offices</c:v>
                </c:pt>
              </c:strCache>
            </c:strRef>
          </c:cat>
          <c:val>
            <c:numRef>
              <c:f>Dashboard!$C$71:$C$75</c:f>
              <c:numCache>
                <c:formatCode>General</c:formatCode>
                <c:ptCount val="5"/>
                <c:pt idx="0">
                  <c:v>5483230</c:v>
                </c:pt>
                <c:pt idx="1">
                  <c:v>1903570</c:v>
                </c:pt>
                <c:pt idx="2">
                  <c:v>1225960</c:v>
                </c:pt>
                <c:pt idx="3">
                  <c:v>953950</c:v>
                </c:pt>
                <c:pt idx="4">
                  <c:v>320280</c:v>
                </c:pt>
              </c:numCache>
            </c:numRef>
          </c:val>
        </c:ser>
        <c:gapWidth val="60"/>
        <c:overlap val="-10"/>
        <c:axId val="50040001"/>
        <c:axId val="50040002"/>
      </c:barChart>
      <c:catAx>
        <c:axId val="5004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in val="0"/>
        </c:scaling>
        <c:axPos val="t"/>
        <c:majorGridlines>
          <c:spPr>
            <a:ln w="9525">
              <a:solidFill>
                <a:srgbClr val="E6E9EE"/>
              </a:solidFill>
            </a:ln>
          </c:spPr>
        </c:majorGridlines>
        <c:title>
          <c:tx>
            <c:rich>
              <a:bodyPr/>
              <a:lstStyle/>
              <a:p>
                <a:pPr>
                  <a:defRPr sz="900" b="0" baseline="0">
                    <a:solidFill>
                      <a:srgbClr val="4A5361"/>
                    </a:solidFill>
                    <a:latin typeface="Calibri"/>
                  </a:defRPr>
                </a:pPr>
                <a:r>
                  <a:rPr lang="en-US" sz="900" b="0" baseline="0">
                    <a:solidFill>
                      <a:srgbClr val="4A5361"/>
                    </a:solidFill>
                    <a:latin typeface="Calibri"/>
                  </a:rPr>
                  <a:t>MWh (thousands of kWh)</a:t>
                </a:r>
              </a:p>
            </c:rich>
          </c:tx>
          <c:layout/>
        </c:title>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13</xdr:row>
      <xdr:rowOff>38100</xdr:rowOff>
    </xdr:from>
    <xdr:to>
      <xdr:col>5</xdr:col>
      <xdr:colOff>676275</xdr:colOff>
      <xdr:row>27</xdr:row>
      <xdr:rowOff>152400</xdr:rowOff>
    </xdr:to>
    <xdr:graphicFrame macro="">
      <xdr:nvGraphicFramePr>
        <xdr:cNvPr id="2" name="Chart 1" descr="Stacked column chart of each month's electricity bill split into energy, demand and other charge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13</xdr:row>
      <xdr:rowOff>38100</xdr:rowOff>
    </xdr:from>
    <xdr:to>
      <xdr:col>11</xdr:col>
      <xdr:colOff>676275</xdr:colOff>
      <xdr:row>27</xdr:row>
      <xdr:rowOff>152400</xdr:rowOff>
    </xdr:to>
    <xdr:graphicFrame macro="">
      <xdr:nvGraphicFramePr>
        <xdr:cNvPr id="3" name="Chart 2" descr="Column chart of each month's metered peak demand with the billing demand as a line; where the line sits above the column, the ratchet or contract minimum set the bill."/>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35</xdr:row>
      <xdr:rowOff>38100</xdr:rowOff>
    </xdr:from>
    <xdr:to>
      <xdr:col>5</xdr:col>
      <xdr:colOff>676275</xdr:colOff>
      <xdr:row>49</xdr:row>
      <xdr:rowOff>152400</xdr:rowOff>
    </xdr:to>
    <xdr:graphicFrame macro="">
      <xdr:nvGraphicFramePr>
        <xdr:cNvPr id="4" name="Chart 3" descr="Column chart of energy used per unit of output each month, with the intensity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35</xdr:row>
      <xdr:rowOff>38100</xdr:rowOff>
    </xdr:from>
    <xdr:to>
      <xdr:col>11</xdr:col>
      <xdr:colOff>676275</xdr:colOff>
      <xdr:row>49</xdr:row>
      <xdr:rowOff>152400</xdr:rowOff>
    </xdr:to>
    <xdr:graphicFrame macro="">
      <xdr:nvGraphicFramePr>
        <xdr:cNvPr id="5" name="Chart 4" descr="Horizontal bar chart of the energy each sub-meter recorded over the 12 months shown."/>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Meters" displayName="tblMeters" ref="B30:D35" totalsRowShown="0">
  <autoFilter ref="B30:D35"/>
  <tableColumns count="3">
    <tableColumn id="1" name="Meter"/>
    <tableColumn id="2" name="End use"/>
    <tableColumn id="3" name="Notes"/>
  </tableColumns>
  <tableStyleInfo name="TableStyleLight1" showFirstColumn="0" showLastColumn="0" showRowStripes="0" showColumnStripes="0"/>
</table>
</file>

<file path=xl/tables/table2.xml><?xml version="1.0" encoding="utf-8"?>
<table xmlns="http://schemas.openxmlformats.org/spreadsheetml/2006/main" id="2" name="tblBills" displayName="tblBills" ref="B6:V30" totalsRowShown="0">
  <autoFilter ref="B6:V30"/>
  <tableColumns count="21">
    <tableColumn id="1" name="Month"/>
    <tableColumn id="2" name="Days"/>
    <tableColumn id="3" name="Energy (kWh)"/>
    <tableColumn id="4" name="Peak demand (kW)"/>
    <tableColumn id="5" name="Energy charges"/>
    <tableColumn id="6" name="Demand charges"/>
    <tableColumn id="7" name="Other charges"/>
    <tableColumn id="8" name="Production"/>
    <tableColumn id="9" name="Total bill">
      <calculatedColumnFormula>IF(tblBills[[#This Row],[Month]]="","",tblBills[[#This Row],[Energy charges]]+tblBills[[#This Row],[Demand charges]]+tblBills[[#This Row],[Other charges]])</calculatedColumnFormula>
    </tableColumn>
    <tableColumn id="10" name="Load factor">
      <calculatedColumnFormula>IF(tblBills[[#This Row],[Month]]="","",IF(tblBills[[#This Row],[Peak demand (kW)]]*tblBills[[#This Row],[Days]]&gt;0,tblBills[[#This Row],[Energy (kWh)]]/(tblBills[[#This Row],[Peak demand (kW)]]*tblBills[[#This Row],[Days]]*24),""))</calculatedColumnFormula>
    </tableColumn>
    <tableColumn id="11" name="Blended cost">
      <calculatedColumnFormula>IF(tblBills[[#This Row],[Month]]="","",IF(tblBills[[#This Row],[Energy (kWh)]]&gt;0,tblBills[[#This Row],[Total bill]]/tblBills[[#This Row],[Energy (kWh)]],""))</calculatedColumnFormula>
    </tableColumn>
    <tableColumn id="12" name="Ratchet floor (kW)">
      <calculatedColumnFormula>IF(tblBills[[#This Row],[Month]]="","",MAX(RatchetPct*SUMPRODUCT(MAX((tblBills[Month]&gt;=EDATE(tblBills[[#This Row],[Month]],-RatchetMonths))*(tblBills[Month]&lt;tblBills[[#This Row],[Month]])*tblBills[Peak demand (kW)])),ContractMinPct*ContractKW))</calculatedColumnFormula>
    </tableColumn>
    <tableColumn id="13" name="Billing demand (kW)">
      <calculatedColumnFormula>IF(tblBills[[#This Row],[Month]]="","",MAX(tblBills[[#This Row],[Peak demand (kW)]],tblBills[[#This Row],[Ratchet floor (kW)]]))</calculatedColumnFormula>
    </tableColumn>
    <tableColumn id="14" name="Expected demand charge">
      <calculatedColumnFormula>IF(tblBills[[#This Row],[Month]]="","",tblBills[[#This Row],[Billing demand (kW)]]*DemandRate*ApplicablePct+FixedDemand)</calculatedColumnFormula>
    </tableColumn>
    <tableColumn id="15" name="Variance vs tariff">
      <calculatedColumnFormula>IF(tblBills[[#This Row],[Month]]="","",tblBills[[#This Row],[Demand charges]]-tblBills[[#This Row],[Expected demand charge]])</calculatedColumnFormula>
    </tableColumn>
    <tableColumn id="16" name="Paid for past peaks">
      <calculatedColumnFormula>IF(tblBills[[#This Row],[Month]]="","",(tblBills[[#This Row],[Billing demand (kW)]]-tblBills[[#This Row],[Peak demand (kW)]])*DemandRate*ApplicablePct)</calculatedColumnFormula>
    </tableColumn>
    <tableColumn id="17" name="Energy intensity">
      <calculatedColumnFormula>IF(tblBills[[#This Row],[Month]]="","",IF(N(tblBills[[#This Row],[Production]])&gt;0,tblBills[[#This Row],[Energy (kWh)]]/tblBills[[#This Row],[Production]],""))</calculatedColumnFormula>
    </tableColumn>
    <tableColumn id="18" name="Cost per unit">
      <calculatedColumnFormula>IF(tblBills[[#This Row],[Month]]="","",IF(N(tblBills[[#This Row],[Production]])&gt;0,tblBills[[#This Row],[Total bill]]/tblBills[[#This Row],[Production]],""))</calculatedColumnFormula>
    </tableColumn>
    <tableColumn id="19" name="Intensity status">
      <calculatedColumnFormula>IF(NOT(ISNUMBER(tblBills[[#This Row],[Energy intensity]])),"",IF(tblBills[[#This Row],[Energy intensity]]&lt;=TargetIntensity,"On target",IF(tblBills[[#This Row],[Energy intensity]]&lt;=TargetIntensity*(1+0.05),"Near target","Above target")))</calculatedColumnFormula>
    </tableColumn>
    <tableColumn id="20" name="Check">
      <calculatedColumnFormula>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calculatedColumnFormula>
    </tableColumn>
    <tableColumn id="21" name="Notes"/>
  </tableColumns>
  <tableStyleInfo name="TableStyleLight1" showFirstColumn="0" showLastColumn="0" showRowStripes="0" showColumnStripes="0"/>
</table>
</file>

<file path=xl/tables/table3.xml><?xml version="1.0" encoding="utf-8"?>
<table xmlns="http://schemas.openxmlformats.org/spreadsheetml/2006/main" id="3" name="tblSubMeters" displayName="tblSubMeters" ref="B5:G65" totalsRowShown="0">
  <autoFilter ref="B5:G65"/>
  <tableColumns count="6">
    <tableColumn id="1" name="Month"/>
    <tableColumn id="2" name="Meter"/>
    <tableColumn id="3" name="Energy (kWh)"/>
    <tableColumn id="4" name="Share of bill">
      <calculatedColumnFormula>IF(tblSubMeters[[#This Row],[Month]]="","",IFERROR(tblSubMeters[[#This Row],[Energy (kWh)]]/INDEX(tblBills[Energy (kWh)],MATCH(tblSubMeters[[#This Row],[Month]],tblBills[Month],0)),""))</calculatedColumnFormula>
    </tableColumn>
    <tableColumn id="5" name="Check">
      <calculatedColumnFormula>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calculatedColumnFormula>
    </tableColumn>
    <tableColumn id="6" name="Notes"/>
  </tableColumns>
  <tableStyleInfo name="TableStyleLight1" showFirstColumn="0" showLastColumn="0" showRowStripes="0" showColumnStripes="0"/>
</table>
</file>

<file path=xl/tables/table4.xml><?xml version="1.0" encoding="utf-8"?>
<table xmlns="http://schemas.openxmlformats.org/spreadsheetml/2006/main" id="4" name="tblVerifyBills" displayName="tblVerifyBills" ref="B50:V54" totalsRowShown="0">
  <tableColumns count="21">
    <tableColumn id="1" name="Month"/>
    <tableColumn id="2" name="Days"/>
    <tableColumn id="3" name="Energy (kWh)"/>
    <tableColumn id="4" name="Peak demand (kW)"/>
    <tableColumn id="5" name="Energy charges"/>
    <tableColumn id="6" name="Demand charges"/>
    <tableColumn id="7" name="Other charges"/>
    <tableColumn id="8" name="Production"/>
    <tableColumn id="9" name="Total bill">
      <calculatedColumnFormula>IF(tblVerifyBills[[#This Row],[Month]]="","",tblVerifyBills[[#This Row],[Energy charges]]+tblVerifyBills[[#This Row],[Demand charges]]+tblVerifyBills[[#This Row],[Other charges]])</calculatedColumnFormula>
    </tableColumn>
    <tableColumn id="10" name="Load factor">
      <calculatedColumnFormula>IF(tblVerifyBills[[#This Row],[Month]]="","",IF(tblVerifyBills[[#This Row],[Peak demand (kW)]]*tblVerifyBills[[#This Row],[Days]]&gt;0,tblVerifyBills[[#This Row],[Energy (kWh)]]/(tblVerifyBills[[#This Row],[Peak demand (kW)]]*tblVerifyBills[[#This Row],[Days]]*24),""))</calculatedColumnFormula>
    </tableColumn>
    <tableColumn id="11" name="Blended cost">
      <calculatedColumnFormula>IF(tblVerifyBills[[#This Row],[Month]]="","",IF(tblVerifyBills[[#This Row],[Energy (kWh)]]&gt;0,tblVerifyBills[[#This Row],[Total bill]]/tblVerifyBills[[#This Row],[Energy (kWh)]],""))</calculatedColumnFormula>
    </tableColumn>
    <tableColumn id="12" name="Ratchet floor (kW)">
      <calculatedColumnFormula>IF(tblVerifyBills[[#This Row],[Month]]="","",MAX($E$38*SUMPRODUCT(MAX((tblVerifyBills[Month]&gt;=EDATE(tblVerifyBills[[#This Row],[Month]],-$E$39))*(tblVerifyBills[Month]&lt;tblVerifyBills[[#This Row],[Month]])*tblVerifyBills[Peak demand (kW)])),$E$41*$E$40))</calculatedColumnFormula>
    </tableColumn>
    <tableColumn id="13" name="Billing demand (kW)">
      <calculatedColumnFormula>IF(tblVerifyBills[[#This Row],[Month]]="","",MAX(tblVerifyBills[[#This Row],[Peak demand (kW)]],tblVerifyBills[[#This Row],[Ratchet floor (kW)]]))</calculatedColumnFormula>
    </tableColumn>
    <tableColumn id="14" name="Expected demand charge">
      <calculatedColumnFormula>IF(tblVerifyBills[[#This Row],[Month]]="","",tblVerifyBills[[#This Row],[Billing demand (kW)]]*$E$35*$E$36+$E$37)</calculatedColumnFormula>
    </tableColumn>
    <tableColumn id="15" name="Variance vs tariff">
      <calculatedColumnFormula>IF(tblVerifyBills[[#This Row],[Month]]="","",tblVerifyBills[[#This Row],[Demand charges]]-tblVerifyBills[[#This Row],[Expected demand charge]])</calculatedColumnFormula>
    </tableColumn>
    <tableColumn id="16" name="Paid for past peaks">
      <calculatedColumnFormula>IF(tblVerifyBills[[#This Row],[Month]]="","",(tblVerifyBills[[#This Row],[Billing demand (kW)]]-tblVerifyBills[[#This Row],[Peak demand (kW)]])*$E$35*$E$36)</calculatedColumnFormula>
    </tableColumn>
    <tableColumn id="17" name="Energy intensity">
      <calculatedColumnFormula>IF(tblVerifyBills[[#This Row],[Month]]="","",IF(N(tblVerifyBills[[#This Row],[Production]])&gt;0,tblVerifyBills[[#This Row],[Energy (kWh)]]/tblVerifyBills[[#This Row],[Production]],""))</calculatedColumnFormula>
    </tableColumn>
    <tableColumn id="18" name="Cost per unit">
      <calculatedColumnFormula>IF(tblVerifyBills[[#This Row],[Month]]="","",IF(N(tblVerifyBills[[#This Row],[Production]])&gt;0,tblVerifyBills[[#This Row],[Total bill]]/tblVerifyBills[[#This Row],[Production]],""))</calculatedColumnFormula>
    </tableColumn>
    <tableColumn id="19" name="Intensity status">
      <calculatedColumnFormula>IF(NOT(ISNUMBER(tblVerifyBills[[#This Row],[Energy intensity]])),"",IF(tblVerifyBills[[#This Row],[Energy intensity]]&lt;=$E$44,"On target",IF(tblVerifyBills[[#This Row],[Energy intensity]]&lt;=$E$44*(1+0.05),"Near target","Above target")))</calculatedColumnFormula>
    </tableColumn>
    <tableColumn id="20" name="Check">
      <calculatedColumnFormula>IF(tblVerifyBills[[#This Row],[Month]]="","",IF(tblVerifyBills[[#This Row],[Days]]="","Missing days",IF(tblVerifyBills[[#This Row],[Energy (kWh)]]="","Missing energy",IF(tblVerifyBills[[#This Row],[Peak demand (kW)]]="","Missing peak demand",IF(DAY(tblVerifyBills[[#This Row],[Month]])&lt;&gt;1,"Use the 1st of the month",IF(COUNTIFS(tblVerifyBills[Month],tblVerifyBills[[#This Row],[Month]])&gt;1,"Duplicate month",IF(N(tblVerifyBills[[#This Row],[Load factor]])&gt;1,"Load factor over 100%",IF(tblVerifyBills[[#This Row],[Variance vs tariff]]&gt;$E$42*tblVerifyBills[[#This Row],[Expected demand charge]],"Demand charge above tariff",IF(tblVerifyBills[[#This Row],[Variance vs tariff]]&lt;-$E$42*tblVerifyBills[[#This Row],[Expected demand charge]],"Demand charge below tariff","OK")))))))))</calculatedColumnFormula>
    </tableColumn>
    <tableColumn id="21"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energy-monitoring" TargetMode="External"/><Relationship Id="rId2" Type="http://schemas.openxmlformats.org/officeDocument/2006/relationships/hyperlink" Target="https://www.mfgcalcs.com/calculators/energy-carbon-sustainability/utility-demand-charge?utm_source=mfgcalcs-template&amp;utm_medium=xlsx&amp;utm_campaign=energy-monitoring" TargetMode="External"/><Relationship Id="rId3" Type="http://schemas.openxmlformats.org/officeDocument/2006/relationships/hyperlink" Target="https://www.mfgcalcs.com/templates/energy-monitoring?utm_source=mfgcalcs-template&amp;utm_medium=xlsx&amp;utm_campaign=energy-monitoring" TargetMode="External"/><Relationship Id="rId4" Type="http://schemas.openxmlformats.org/officeDocument/2006/relationships/hyperlink" Target="https://www.mfgcalcs.com/templates?utm_source=mfgcalcs-template&amp;utm_medium=xlsx&amp;utm_campaign=energy-monitoring"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energy-monitoring"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energy-monitoring"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energy-monitoring" TargetMode="External"/><Relationship Id="rId2"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energy-monitoring"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energy-monitoring" TargetMode="External"/><Relationship Id="rId2" Type="http://schemas.openxmlformats.org/officeDocument/2006/relationships/hyperlink" Target="https://www.mfgcalcs.com/calculators/energy-carbon-sustainability/utility-demand-charge?utm_source=mfgcalcs-template&amp;utm_medium=xlsx&amp;utm_campaign=energy-monitorin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energy-monitoring" TargetMode="External"/><Relationship Id="rId2"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16.2"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19 of 19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Monthly Bills'!A1" tooltip="Go to Monthly Bills" display="Monthly Bills"/>
    <hyperlink ref="C23" location="'Sub-meters'!A1" tooltip="Go to Sub-meters" display="Sub-meters"/>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Energy Use and Demand Charge Tracker&amp;R&amp;8&amp;A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5"/>
  <sheetViews>
    <sheetView showGridLines="0" workbookViewId="0"/>
  </sheetViews>
  <sheetFormatPr defaultRowHeight="15"/>
  <cols>
    <col min="1" max="1" width="2.7109375" customWidth="1"/>
    <col min="2" max="2" width="34.7109375" customWidth="1"/>
    <col min="3" max="3" width="16.7109375" customWidth="1"/>
    <col min="4" max="4" width="40.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67</v>
      </c>
      <c r="C4" s="8"/>
      <c r="D4" s="8"/>
    </row>
    <row r="5" spans="1:5" ht="5" customHeight="1"/>
    <row r="6" spans="1:5">
      <c r="B6" s="27" t="s">
        <v>68</v>
      </c>
      <c r="C6" s="28" t="s">
        <v>69</v>
      </c>
      <c r="D6" s="28"/>
    </row>
    <row r="7" spans="1:5">
      <c r="B7" s="27" t="s">
        <v>70</v>
      </c>
      <c r="C7" s="28" t="s">
        <v>71</v>
      </c>
      <c r="D7" s="28"/>
    </row>
    <row r="8" spans="1:5">
      <c r="B8" s="27" t="s">
        <v>72</v>
      </c>
      <c r="C8" s="28" t="s">
        <v>73</v>
      </c>
      <c r="D8" s="28"/>
    </row>
    <row r="9" spans="1:5">
      <c r="B9" s="27" t="s">
        <v>74</v>
      </c>
      <c r="C9" s="29">
        <v>1400</v>
      </c>
      <c r="D9" s="7" t="str">
        <f>"kWh/"&amp;OutputUnit</f>
        <v>kWh/t</v>
      </c>
    </row>
    <row r="10" spans="1:5">
      <c r="B10" s="27" t="s">
        <v>75</v>
      </c>
      <c r="C10" s="30">
        <v>0.65</v>
      </c>
      <c r="D10" s="7"/>
    </row>
    <row r="12" spans="1:5" ht="35.4" customHeight="1">
      <c r="B12" s="25" t="s">
        <v>76</v>
      </c>
      <c r="C12" s="25"/>
      <c r="D12" s="25"/>
      <c r="E12" s="25"/>
    </row>
    <row r="14" spans="1:5" ht="21" customHeight="1">
      <c r="B14" s="8" t="s">
        <v>77</v>
      </c>
      <c r="C14" s="8"/>
      <c r="D14" s="8"/>
    </row>
    <row r="15" spans="1:5" ht="5" customHeight="1"/>
    <row r="16" spans="1:5" ht="26.76" customHeight="1">
      <c r="B16" s="21" t="s">
        <v>78</v>
      </c>
      <c r="C16" s="21"/>
      <c r="D16" s="21"/>
      <c r="E16" s="21"/>
    </row>
    <row r="17" spans="2:5">
      <c r="B17" s="27" t="s">
        <v>79</v>
      </c>
      <c r="C17" s="31">
        <v>14.5</v>
      </c>
      <c r="D17" s="7" t="str">
        <f>Currency&amp;"/kW"</f>
        <v>USD/kW</v>
      </c>
    </row>
    <row r="18" spans="2:5">
      <c r="B18" s="27" t="s">
        <v>80</v>
      </c>
      <c r="C18" s="30">
        <v>1</v>
      </c>
      <c r="D18" s="7"/>
    </row>
    <row r="19" spans="2:5">
      <c r="B19" s="27" t="s">
        <v>81</v>
      </c>
      <c r="C19" s="31">
        <v>450</v>
      </c>
      <c r="D19" s="7" t="str">
        <f>Currency&amp;"/bill"</f>
        <v>USD/bill</v>
      </c>
    </row>
    <row r="20" spans="2:5">
      <c r="B20" s="27" t="s">
        <v>82</v>
      </c>
      <c r="C20" s="30">
        <v>0.8</v>
      </c>
      <c r="D20" s="7"/>
    </row>
    <row r="21" spans="2:5">
      <c r="B21" s="27" t="s">
        <v>83</v>
      </c>
      <c r="C21" s="29">
        <v>11</v>
      </c>
      <c r="D21" s="7" t="s">
        <v>84</v>
      </c>
    </row>
    <row r="22" spans="2:5">
      <c r="B22" s="27" t="s">
        <v>85</v>
      </c>
      <c r="C22" s="29">
        <v>0</v>
      </c>
      <c r="D22" s="7" t="s">
        <v>86</v>
      </c>
    </row>
    <row r="23" spans="2:5">
      <c r="B23" s="27" t="s">
        <v>87</v>
      </c>
      <c r="C23" s="30">
        <v>0.75</v>
      </c>
      <c r="D23" s="7"/>
    </row>
    <row r="24" spans="2:5">
      <c r="B24" s="27" t="s">
        <v>88</v>
      </c>
      <c r="C24" s="30">
        <v>0.02</v>
      </c>
      <c r="D24" s="7"/>
    </row>
    <row r="26" spans="2:5" ht="21" customHeight="1">
      <c r="B26" s="8" t="s">
        <v>23</v>
      </c>
      <c r="C26" s="8"/>
      <c r="D26" s="8"/>
    </row>
    <row r="27" spans="2:5" ht="5" customHeight="1"/>
    <row r="28" spans="2:5" ht="26.76" customHeight="1">
      <c r="B28" s="21" t="s">
        <v>89</v>
      </c>
      <c r="C28" s="21"/>
      <c r="D28" s="21"/>
      <c r="E28" s="21"/>
    </row>
    <row r="29" spans="2:5">
      <c r="B29" s="32" t="s">
        <v>90</v>
      </c>
      <c r="C29" s="32"/>
      <c r="D29" s="32"/>
    </row>
    <row r="30" spans="2:5" ht="20" customHeight="1">
      <c r="B30" s="33" t="s">
        <v>64</v>
      </c>
      <c r="C30" s="33" t="s">
        <v>65</v>
      </c>
      <c r="D30" s="33" t="s">
        <v>66</v>
      </c>
    </row>
    <row r="31" spans="2:5">
      <c r="B31" s="28" t="s">
        <v>91</v>
      </c>
      <c r="C31" s="28" t="s">
        <v>92</v>
      </c>
      <c r="D31" s="28" t="s">
        <v>93</v>
      </c>
    </row>
    <row r="32" spans="2:5">
      <c r="B32" s="28" t="s">
        <v>94</v>
      </c>
      <c r="C32" s="28" t="s">
        <v>95</v>
      </c>
      <c r="D32" s="28" t="s">
        <v>96</v>
      </c>
    </row>
    <row r="33" spans="2:4">
      <c r="B33" s="28" t="s">
        <v>97</v>
      </c>
      <c r="C33" s="28" t="s">
        <v>98</v>
      </c>
      <c r="D33" s="28" t="s">
        <v>99</v>
      </c>
    </row>
    <row r="34" spans="2:4">
      <c r="B34" s="28" t="s">
        <v>100</v>
      </c>
      <c r="C34" s="28" t="s">
        <v>101</v>
      </c>
      <c r="D34" s="28" t="s">
        <v>102</v>
      </c>
    </row>
    <row r="35" spans="2:4">
      <c r="B35" s="28" t="s">
        <v>103</v>
      </c>
      <c r="C35" s="28" t="s">
        <v>101</v>
      </c>
      <c r="D35" s="28" t="s">
        <v>104</v>
      </c>
    </row>
  </sheetData>
  <mergeCells count="13">
    <mergeCell ref="A1:E1"/>
    <mergeCell ref="B2:C2"/>
    <mergeCell ref="D2:E2"/>
    <mergeCell ref="B4:D4"/>
    <mergeCell ref="C6:D6"/>
    <mergeCell ref="C7:D7"/>
    <mergeCell ref="C8:D8"/>
    <mergeCell ref="B12:E12"/>
    <mergeCell ref="B14:D14"/>
    <mergeCell ref="B16:E16"/>
    <mergeCell ref="B26:D26"/>
    <mergeCell ref="B28:E28"/>
    <mergeCell ref="B29:D29"/>
  </mergeCells>
  <dataValidations count="16">
    <dataValidation type="textLength" allowBlank="1" showInputMessage="1" showErrorMessage="1" errorTitle="Check this entry" error="Text up to 80 characters." promptTitle="Plant name" prompt="Text up to 80 characters." sqref="C6">
      <formula1>0</formula1>
      <formula2>80</formula2>
    </dataValidation>
    <dataValidation type="textLength" allowBlank="1" showInputMessage="1" showErrorMessage="1" errorTitle="Check this entry" error="Text up to 12 characters." promptTitle="Currency label" prompt="Text shown with every money value, e.g. USD, INR, GBP, EUR, MXN. No exchange rate is applied. Text up to 12 characters." sqref="C7">
      <formula1>0</formula1>
      <formula2>12</formula2>
    </dataValidation>
    <dataValidation type="textLength" allowBlank="1" showInputMessage="1" showErrorMessage="1" errorTitle="Check this entry" error="Text up to 20 characters." promptTitle="Unit of output" prompt="What Production counts: t (tonnes of good castings), parts, kg, m2... Energy intensity is kWh per this unit. Text up to 20 characters." sqref="C8">
      <formula1>0</formula1>
      <formula2>20</formula2>
    </dataValidation>
    <dataValidation type="decimal" allowBlank="1" showInputMessage="1" showErrorMessage="1" errorTitle="Check this entry" error="Enter a number of at least 0." promptTitle="Energy intensity target" prompt="Your own target, e.g. last year's figure less your improvement goal. Enter a number of at least 0." sqref="C9">
      <formula1>0</formula1>
      <formula2>1000000000.0</formula2>
    </dataValidation>
    <dataValidation type="decimal" allowBlank="1" showInputMessage="1" showErrorMessage="1" errorTitle="Check this entry" error="Enter a percentage from 0% to 100% (type 85% or 0.85)." promptTitle="Load factor target" prompt="Your own target. Load factor = kWh / (peak kW x hours): higher means the same energy with a lower peak, so smaller demand charges. Enter a percentage from 0% to 100% (type 85% or 0.85)." sqref="C10">
      <formula1>0</formula1>
      <formula2>1</formula2>
    </dataValidation>
    <dataValidation type="decimal" allowBlank="1" showInputMessage="1" showErrorMessage="1" errorTitle="Check this entry" error="Enter a number from 0 to 1,000,000." promptTitle="Demand charge rate" prompt="Price per kW of billing demand per month. Enter a number from 0 to 1,000,000." sqref="C17">
      <formula1>0</formula1>
      <formula2>1000000.0</formula2>
    </dataValidation>
    <dataValidation type="decimal" allowBlank="1" showInputMessage="1" showErrorMessage="1" errorTitle="Check this entry" error="Enter a percentage from 0% to 100% (type 85% or 0.85)." promptTitle="Share of billing demand charged" prompt="Usually 100%. Lower if your tariff charges only part of the billing demand at this rate. Enter a percentage from 0% to 100% (type 85% or 0.85)." sqref="C18">
      <formula1>0</formula1>
      <formula2>1</formula2>
    </dataValidation>
    <dataValidation type="decimal" allowBlank="1" showInputMessage="1" showErrorMessage="1" errorTitle="Check this entry" error="Enter a number of at least 0." promptTitle="Fixed demand-related fees" prompt="Fixed amounts in the demand charge line each month (facilities or capacity fees). 0 if none. Enter a number of at least 0." sqref="C19">
      <formula1>0</formula1>
      <formula2>1000000000.0</formula2>
    </dataValidation>
    <dataValidation type="decimal" allowBlank="1" showInputMessage="1" showErrorMessage="1" errorTitle="Check this entry" error="Enter a percentage from 0% to 150% (type 85% or 0.85)." promptTitle="Demand ratchet" prompt="Billing demand is at least this share of the highest peak in the look-back months. 0% if your tariff has no ratchet. Enter a percentage from 0% to 150% (type 85% or 0.85)." sqref="C20">
      <formula1>0</formula1>
      <formula2>1.5</formula2>
    </dataValidation>
    <dataValidation type="whole" allowBlank="1" showInputMessage="1" showErrorMessage="1" errorTitle="Check this entry" error="Enter a whole number from 0 to 36." promptTitle="Ratchet look-back" prompt="How many previous bills the ratchet looks at (often 11). Enter a whole number from 0 to 36." sqref="C21">
      <formula1>0</formula1>
      <formula2>36</formula2>
    </dataValidation>
    <dataValidation type="decimal" allowBlank="1" showInputMessage="1" showErrorMessage="1" errorTitle="Check this entry" error="Enter a number of at least 0." promptTitle="Contract (sanctioned) demand" prompt="For tariffs that bill at least a share of contract demand (common in India, or agreed capacity in the UK). 0 if none. Enter a number of at least 0." sqref="C22">
      <formula1>0</formula1>
      <formula2>1000000000.0</formula2>
    </dataValidation>
    <dataValidation type="decimal" allowBlank="1" showInputMessage="1" showErrorMessage="1" errorTitle="Check this entry" error="Enter a percentage from 0% to 100% (type 85% or 0.85)." promptTitle="Minimum billing share of cont..." prompt="Billing demand is at least this share of the contract demand above. Ignored when contract demand is 0. Enter a percentage from 0% to 100% (type 85% or 0.85)." sqref="C23">
      <formula1>0</formula1>
      <formula2>1</formula2>
    </dataValidation>
    <dataValidation type="decimal" allowBlank="1" showInputMessage="1" showErrorMessage="1" errorTitle="Check this entry" error="Enter a percentage from 0% to 100% (type 85% or 0.85)." promptTitle="Bill check tolerance" prompt="The Check column flags a demand charge more than this far from the tariff calculation. Enter a percentage from 0% to 100% (type 85% or 0.85)." sqref="C24">
      <formula1>0</formula1>
      <formula2>1</formula2>
    </dataValidation>
    <dataValidation type="textLength" allowBlank="1" showInputMessage="1" showErrorMessage="1" errorTitle="Check this entry" error="Text up to 40 characters." promptTitle="Meter" prompt="Text up to 40 characters." sqref="B31:B135">
      <formula1>0</formula1>
      <formula2>40</formula2>
    </dataValidation>
    <dataValidation type="textLength" allowBlank="1" showInputMessage="1" showErrorMessage="1" errorTitle="Check this entry" error="Text up to 30 characters." promptTitle="End use" prompt="Text up to 30 characters." sqref="C31:C135">
      <formula1>0</formula1>
      <formula2>30</formula2>
    </dataValidation>
    <dataValidation type="textLength" allowBlank="1" showInputMessage="1" showErrorMessage="1" errorTitle="Check this entry" error="Text up to 120 characters." promptTitle="Notes" prompt="Text up to 120 characters." sqref="D31:D135">
      <formula1>0</formula1>
      <formula2>120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Energy Use and Demand Charge Tracker&amp;R&amp;8&amp;A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V30"/>
  <sheetViews>
    <sheetView workbookViewId="0">
      <pane xSplit="2" ySplit="6" topLeftCell="C7" activePane="bottomRight" state="frozen"/>
      <selection pane="topRight" activeCell="C1" sqref="C1"/>
      <selection pane="bottomLeft" activeCell="A7" sqref="A7"/>
      <selection pane="bottomRight"/>
    </sheetView>
  </sheetViews>
  <sheetFormatPr defaultRowHeight="15"/>
  <cols>
    <col min="1" max="1" width="2.7109375" customWidth="1"/>
    <col min="2" max="2" width="11.7109375" customWidth="1"/>
    <col min="3" max="3" width="6.7109375" customWidth="1"/>
    <col min="4" max="4" width="12.28515625" customWidth="1"/>
    <col min="5" max="5" width="10.7109375" customWidth="1"/>
    <col min="6" max="7" width="11.7109375" customWidth="1"/>
    <col min="8" max="9" width="10.7109375" customWidth="1"/>
    <col min="10" max="10" width="11.7109375" customWidth="1"/>
    <col min="11" max="11" width="9.28515625" customWidth="1"/>
    <col min="12" max="12" width="9.7109375" customWidth="1"/>
    <col min="13" max="14" width="10.28515625" customWidth="1"/>
    <col min="15" max="15" width="11.7109375" customWidth="1"/>
    <col min="16" max="17" width="10.7109375" customWidth="1"/>
    <col min="18" max="18" width="10.28515625" customWidth="1"/>
    <col min="19" max="19" width="9.7109375" customWidth="1"/>
    <col min="20" max="20" width="11.7109375" customWidth="1"/>
    <col min="21" max="21" width="25.7109375" customWidth="1"/>
    <col min="22" max="22" width="30.7109375" customWidth="1"/>
  </cols>
  <sheetData>
    <row r="1" spans="1:22" ht="30" customHeight="1">
      <c r="A1" s="1" t="s">
        <v>0</v>
      </c>
      <c r="B1" s="1"/>
      <c r="C1" s="1"/>
      <c r="D1" s="1"/>
      <c r="E1" s="1"/>
      <c r="F1" s="1"/>
      <c r="G1" s="1"/>
      <c r="H1" s="1"/>
      <c r="I1" s="1"/>
      <c r="J1" s="1"/>
      <c r="K1" s="1"/>
      <c r="L1" s="1"/>
      <c r="M1" s="1"/>
      <c r="N1" s="1"/>
      <c r="O1" s="1"/>
      <c r="P1" s="1"/>
      <c r="Q1" s="1"/>
      <c r="R1" s="1"/>
      <c r="S1" s="1"/>
      <c r="T1" s="1"/>
      <c r="U1" s="1"/>
      <c r="V1" s="1"/>
    </row>
    <row r="2" spans="1:22" ht="21" customHeight="1">
      <c r="B2" s="2" t="s">
        <v>22</v>
      </c>
      <c r="C2" s="2"/>
      <c r="D2" s="2"/>
      <c r="E2" s="2"/>
      <c r="F2" s="2"/>
      <c r="G2" s="2"/>
      <c r="H2" s="2"/>
      <c r="I2" s="2"/>
      <c r="J2" s="2"/>
      <c r="K2" s="2"/>
      <c r="L2" s="2"/>
      <c r="M2" s="2"/>
      <c r="N2" s="2"/>
      <c r="O2" s="2"/>
      <c r="P2" s="2"/>
      <c r="Q2" s="2"/>
      <c r="R2" s="2"/>
      <c r="S2" s="2"/>
      <c r="T2" s="2"/>
      <c r="U2" s="2"/>
      <c r="V2" s="3" t="s">
        <v>2</v>
      </c>
    </row>
    <row r="3" spans="1:22" ht="6" customHeight="1"/>
    <row r="4" spans="1:22" ht="18" customHeight="1">
      <c r="B4" s="34" t="s">
        <v>125</v>
      </c>
      <c r="C4" s="34"/>
      <c r="D4" s="34"/>
      <c r="E4" s="34"/>
      <c r="F4" s="34"/>
      <c r="G4" s="34"/>
      <c r="H4" s="34"/>
      <c r="I4" s="34"/>
      <c r="J4" s="34"/>
      <c r="K4" s="34"/>
      <c r="L4" s="34"/>
      <c r="M4" s="34"/>
      <c r="N4" s="34"/>
      <c r="O4" s="34"/>
      <c r="P4" s="34"/>
      <c r="Q4" s="34"/>
      <c r="R4" s="34"/>
      <c r="S4" s="34"/>
      <c r="T4" s="34"/>
      <c r="U4" s="34"/>
      <c r="V4" s="34"/>
    </row>
    <row r="5" spans="1:22" ht="14" customHeight="1">
      <c r="B5" s="35"/>
      <c r="C5" s="35"/>
      <c r="D5" s="35"/>
      <c r="E5" s="35"/>
      <c r="F5" s="35" t="str">
        <f>Currency</f>
        <v>USD</v>
      </c>
      <c r="G5" s="35" t="str">
        <f>Currency</f>
        <v>USD</v>
      </c>
      <c r="H5" s="35" t="str">
        <f>Currency</f>
        <v>USD</v>
      </c>
      <c r="I5" s="35" t="str">
        <f>OutputUnit</f>
        <v>t</v>
      </c>
      <c r="J5" s="35" t="str">
        <f>Currency</f>
        <v>USD</v>
      </c>
      <c r="K5" s="35" t="s">
        <v>126</v>
      </c>
      <c r="L5" s="35" t="str">
        <f>Currency&amp;"/kWh"</f>
        <v>USD/kWh</v>
      </c>
      <c r="M5" s="35"/>
      <c r="N5" s="35"/>
      <c r="O5" s="35" t="str">
        <f>Currency</f>
        <v>USD</v>
      </c>
      <c r="P5" s="35" t="str">
        <f>Currency</f>
        <v>USD</v>
      </c>
      <c r="Q5" s="35" t="str">
        <f>Currency</f>
        <v>USD</v>
      </c>
      <c r="R5" s="35" t="str">
        <f>"kWh/"&amp;OutputUnit</f>
        <v>kWh/t</v>
      </c>
      <c r="S5" s="35" t="str">
        <f>Currency&amp;"/"&amp;OutputUnit</f>
        <v>USD/t</v>
      </c>
      <c r="T5" s="35"/>
      <c r="U5" s="35"/>
      <c r="V5" s="35"/>
    </row>
    <row r="6" spans="1:22" ht="32" customHeight="1">
      <c r="B6" s="33" t="s">
        <v>105</v>
      </c>
      <c r="C6" s="33" t="s">
        <v>106</v>
      </c>
      <c r="D6" s="33" t="s">
        <v>107</v>
      </c>
      <c r="E6" s="33" t="s">
        <v>108</v>
      </c>
      <c r="F6" s="33" t="s">
        <v>109</v>
      </c>
      <c r="G6" s="33" t="s">
        <v>110</v>
      </c>
      <c r="H6" s="33" t="s">
        <v>111</v>
      </c>
      <c r="I6" s="33" t="s">
        <v>112</v>
      </c>
      <c r="J6" s="33" t="s">
        <v>113</v>
      </c>
      <c r="K6" s="33" t="s">
        <v>114</v>
      </c>
      <c r="L6" s="33" t="s">
        <v>115</v>
      </c>
      <c r="M6" s="33" t="s">
        <v>116</v>
      </c>
      <c r="N6" s="33" t="s">
        <v>117</v>
      </c>
      <c r="O6" s="33" t="s">
        <v>118</v>
      </c>
      <c r="P6" s="33" t="s">
        <v>119</v>
      </c>
      <c r="Q6" s="33" t="s">
        <v>120</v>
      </c>
      <c r="R6" s="33" t="s">
        <v>121</v>
      </c>
      <c r="S6" s="33" t="s">
        <v>122</v>
      </c>
      <c r="T6" s="33" t="s">
        <v>123</v>
      </c>
      <c r="U6" s="33" t="s">
        <v>124</v>
      </c>
      <c r="V6" s="33" t="s">
        <v>66</v>
      </c>
    </row>
    <row r="7" spans="1:22">
      <c r="B7" s="36">
        <v>45566</v>
      </c>
      <c r="C7" s="29">
        <v>31</v>
      </c>
      <c r="D7" s="29">
        <v>915870</v>
      </c>
      <c r="E7" s="29">
        <v>2045</v>
      </c>
      <c r="F7" s="31">
        <v>69631.41</v>
      </c>
      <c r="G7" s="31">
        <v>30102.5</v>
      </c>
      <c r="H7" s="31">
        <v>3242.02</v>
      </c>
      <c r="I7" s="37">
        <v>619.9</v>
      </c>
      <c r="J7" s="38">
        <f>IF(tblBills[[#This Row],[Month]]="","",tblBills[[#This Row],[Energy charges]]+tblBills[[#This Row],[Demand charges]]+tblBills[[#This Row],[Other charges]])</f>
        <v>102975.93</v>
      </c>
      <c r="K7" s="39">
        <f>IF(tblBills[[#This Row],[Month]]="","",IF(tblBills[[#This Row],[Peak demand (kW)]]*tblBills[[#This Row],[Days]]&gt;0,tblBills[[#This Row],[Energy (kWh)]]/(tblBills[[#This Row],[Peak demand (kW)]]*tblBills[[#This Row],[Days]]*24),""))</f>
        <v>0.601959933748718</v>
      </c>
      <c r="L7" s="40">
        <f>IF(tblBills[[#This Row],[Month]]="","",IF(tblBills[[#This Row],[Energy (kWh)]]&gt;0,tblBills[[#This Row],[Total bill]]/tblBills[[#This Row],[Energy (kWh)]],""))</f>
        <v>0.112435094500311</v>
      </c>
      <c r="M7" s="41">
        <f>IF(tblBills[[#This Row],[Month]]="","",MAX(RatchetPct*SUMPRODUCT(MAX((tblBills[Month]&gt;=EDATE(tblBills[[#This Row],[Month]],-RatchetMonths))*(tblBills[Month]&lt;tblBills[[#This Row],[Month]])*tblBills[Peak demand (kW)])),ContractMinPct*ContractKW))</f>
        <v>0</v>
      </c>
      <c r="N7" s="41">
        <f>IF(tblBills[[#This Row],[Month]]="","",MAX(tblBills[[#This Row],[Peak demand (kW)]],tblBills[[#This Row],[Ratchet floor (kW)]]))</f>
        <v>2045</v>
      </c>
      <c r="O7" s="38">
        <f>IF(tblBills[[#This Row],[Month]]="","",tblBills[[#This Row],[Billing demand (kW)]]*DemandRate*ApplicablePct+FixedDemand)</f>
        <v>30102.5</v>
      </c>
      <c r="P7" s="38">
        <f>IF(tblBills[[#This Row],[Month]]="","",tblBills[[#This Row],[Demand charges]]-tblBills[[#This Row],[Expected demand charge]])</f>
        <v>0</v>
      </c>
      <c r="Q7" s="38">
        <f>IF(tblBills[[#This Row],[Month]]="","",(tblBills[[#This Row],[Billing demand (kW)]]-tblBills[[#This Row],[Peak demand (kW)]])*DemandRate*ApplicablePct)</f>
        <v>0</v>
      </c>
      <c r="R7" s="41">
        <f>IF(tblBills[[#This Row],[Month]]="","",IF(N(tblBills[[#This Row],[Production]])&gt;0,tblBills[[#This Row],[Energy (kWh)]]/tblBills[[#This Row],[Production]],""))</f>
        <v>1477.44797547992</v>
      </c>
      <c r="S7" s="38">
        <f>IF(tblBills[[#This Row],[Month]]="","",IF(N(tblBills[[#This Row],[Production]])&gt;0,tblBills[[#This Row],[Total bill]]/tblBills[[#This Row],[Production]],""))</f>
        <v>166.117002742378</v>
      </c>
      <c r="T7" s="42" t="str">
        <f>IF(NOT(ISNUMBER(tblBills[[#This Row],[Energy intensity]])),"",IF(tblBills[[#This Row],[Energy intensity]]&lt;=TargetIntensity,"On target",IF(tblBills[[#This Row],[Energy intensity]]&lt;=TargetIntensity*(1+0.05),"Near target","Above target")))</f>
        <v>Above target</v>
      </c>
      <c r="U7"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7" s="44" t="s">
        <v>127</v>
      </c>
    </row>
    <row r="8" spans="1:22">
      <c r="B8" s="36">
        <v>45597</v>
      </c>
      <c r="C8" s="29">
        <v>30</v>
      </c>
      <c r="D8" s="29">
        <v>915130</v>
      </c>
      <c r="E8" s="29">
        <v>2005</v>
      </c>
      <c r="F8" s="31">
        <v>69773.8</v>
      </c>
      <c r="G8" s="31">
        <v>29522.5</v>
      </c>
      <c r="H8" s="31">
        <v>3228.89</v>
      </c>
      <c r="I8" s="37">
        <v>631.1</v>
      </c>
      <c r="J8" s="38">
        <f>IF(tblBills[[#This Row],[Month]]="","",tblBills[[#This Row],[Energy charges]]+tblBills[[#This Row],[Demand charges]]+tblBills[[#This Row],[Other charges]])</f>
        <v>102525.19</v>
      </c>
      <c r="K8" s="39">
        <f>IF(tblBills[[#This Row],[Month]]="","",IF(tblBills[[#This Row],[Peak demand (kW)]]*tblBills[[#This Row],[Days]]&gt;0,tblBills[[#This Row],[Energy (kWh)]]/(tblBills[[#This Row],[Peak demand (kW)]]*tblBills[[#This Row],[Days]]*24),""))</f>
        <v>0.633922139096703</v>
      </c>
      <c r="L8" s="40">
        <f>IF(tblBills[[#This Row],[Month]]="","",IF(tblBills[[#This Row],[Energy (kWh)]]&gt;0,tblBills[[#This Row],[Total bill]]/tblBills[[#This Row],[Energy (kWh)]],""))</f>
        <v>0.112033470654443</v>
      </c>
      <c r="M8" s="41">
        <f>IF(tblBills[[#This Row],[Month]]="","",MAX(RatchetPct*SUMPRODUCT(MAX((tblBills[Month]&gt;=EDATE(tblBills[[#This Row],[Month]],-RatchetMonths))*(tblBills[Month]&lt;tblBills[[#This Row],[Month]])*tblBills[Peak demand (kW)])),ContractMinPct*ContractKW))</f>
        <v>1636</v>
      </c>
      <c r="N8" s="41">
        <f>IF(tblBills[[#This Row],[Month]]="","",MAX(tblBills[[#This Row],[Peak demand (kW)]],tblBills[[#This Row],[Ratchet floor (kW)]]))</f>
        <v>2005</v>
      </c>
      <c r="O8" s="38">
        <f>IF(tblBills[[#This Row],[Month]]="","",tblBills[[#This Row],[Billing demand (kW)]]*DemandRate*ApplicablePct+FixedDemand)</f>
        <v>29522.5</v>
      </c>
      <c r="P8" s="38">
        <f>IF(tblBills[[#This Row],[Month]]="","",tblBills[[#This Row],[Demand charges]]-tblBills[[#This Row],[Expected demand charge]])</f>
        <v>0</v>
      </c>
      <c r="Q8" s="38">
        <f>IF(tblBills[[#This Row],[Month]]="","",(tblBills[[#This Row],[Billing demand (kW)]]-tblBills[[#This Row],[Peak demand (kW)]])*DemandRate*ApplicablePct)</f>
        <v>0</v>
      </c>
      <c r="R8" s="41">
        <f>IF(tblBills[[#This Row],[Month]]="","",IF(N(tblBills[[#This Row],[Production]])&gt;0,tblBills[[#This Row],[Energy (kWh)]]/tblBills[[#This Row],[Production]],""))</f>
        <v>1450.05545872286</v>
      </c>
      <c r="S8" s="38">
        <f>IF(tblBills[[#This Row],[Month]]="","",IF(N(tblBills[[#This Row],[Production]])&gt;0,tblBills[[#This Row],[Total bill]]/tblBills[[#This Row],[Production]],""))</f>
        <v>162.454745682142</v>
      </c>
      <c r="T8" s="42" t="str">
        <f>IF(NOT(ISNUMBER(tblBills[[#This Row],[Energy intensity]])),"",IF(tblBills[[#This Row],[Energy intensity]]&lt;=TargetIntensity,"On target",IF(tblBills[[#This Row],[Energy intensity]]&lt;=TargetIntensity*(1+0.05),"Near target","Above target")))</f>
        <v>Near target</v>
      </c>
      <c r="U8"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8" s="44" t="s">
        <v>127</v>
      </c>
    </row>
    <row r="9" spans="1:22">
      <c r="B9" s="36">
        <v>45627</v>
      </c>
      <c r="C9" s="29">
        <v>31</v>
      </c>
      <c r="D9" s="29">
        <v>809910</v>
      </c>
      <c r="E9" s="29">
        <v>1820</v>
      </c>
      <c r="F9" s="31">
        <v>61661.93</v>
      </c>
      <c r="G9" s="31">
        <v>26840</v>
      </c>
      <c r="H9" s="31">
        <v>2905.06</v>
      </c>
      <c r="I9" s="37">
        <v>511.5</v>
      </c>
      <c r="J9" s="38">
        <f>IF(tblBills[[#This Row],[Month]]="","",tblBills[[#This Row],[Energy charges]]+tblBills[[#This Row],[Demand charges]]+tblBills[[#This Row],[Other charges]])</f>
        <v>91406.99</v>
      </c>
      <c r="K9" s="39">
        <f>IF(tblBills[[#This Row],[Month]]="","",IF(tblBills[[#This Row],[Peak demand (kW)]]*tblBills[[#This Row],[Days]]&gt;0,tblBills[[#This Row],[Energy (kWh)]]/(tblBills[[#This Row],[Peak demand (kW)]]*tblBills[[#This Row],[Days]]*24),""))</f>
        <v>0.598125664657923</v>
      </c>
      <c r="L9" s="40">
        <f>IF(tblBills[[#This Row],[Month]]="","",IF(tblBills[[#This Row],[Energy (kWh)]]&gt;0,tblBills[[#This Row],[Total bill]]/tblBills[[#This Row],[Energy (kWh)]],""))</f>
        <v>0.112860675877567</v>
      </c>
      <c r="M9" s="41">
        <f>IF(tblBills[[#This Row],[Month]]="","",MAX(RatchetPct*SUMPRODUCT(MAX((tblBills[Month]&gt;=EDATE(tblBills[[#This Row],[Month]],-RatchetMonths))*(tblBills[Month]&lt;tblBills[[#This Row],[Month]])*tblBills[Peak demand (kW)])),ContractMinPct*ContractKW))</f>
        <v>1636</v>
      </c>
      <c r="N9" s="41">
        <f>IF(tblBills[[#This Row],[Month]]="","",MAX(tblBills[[#This Row],[Peak demand (kW)]],tblBills[[#This Row],[Ratchet floor (kW)]]))</f>
        <v>1820</v>
      </c>
      <c r="O9" s="38">
        <f>IF(tblBills[[#This Row],[Month]]="","",tblBills[[#This Row],[Billing demand (kW)]]*DemandRate*ApplicablePct+FixedDemand)</f>
        <v>26840</v>
      </c>
      <c r="P9" s="38">
        <f>IF(tblBills[[#This Row],[Month]]="","",tblBills[[#This Row],[Demand charges]]-tblBills[[#This Row],[Expected demand charge]])</f>
        <v>0</v>
      </c>
      <c r="Q9" s="38">
        <f>IF(tblBills[[#This Row],[Month]]="","",(tblBills[[#This Row],[Billing demand (kW)]]-tblBills[[#This Row],[Peak demand (kW)]])*DemandRate*ApplicablePct)</f>
        <v>0</v>
      </c>
      <c r="R9" s="41">
        <f>IF(tblBills[[#This Row],[Month]]="","",IF(N(tblBills[[#This Row],[Production]])&gt;0,tblBills[[#This Row],[Energy (kWh)]]/tblBills[[#This Row],[Production]],""))</f>
        <v>1583.40175953079</v>
      </c>
      <c r="S9" s="38">
        <f>IF(tblBills[[#This Row],[Month]]="","",IF(N(tblBills[[#This Row],[Production]])&gt;0,tblBills[[#This Row],[Total bill]]/tblBills[[#This Row],[Production]],""))</f>
        <v>178.703792766373</v>
      </c>
      <c r="T9" s="42" t="str">
        <f>IF(NOT(ISNUMBER(tblBills[[#This Row],[Energy intensity]])),"",IF(tblBills[[#This Row],[Energy intensity]]&lt;=TargetIntensity,"On target",IF(tblBills[[#This Row],[Energy intensity]]&lt;=TargetIntensity*(1+0.05),"Near target","Above target")))</f>
        <v>Above target</v>
      </c>
      <c r="U9"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9" s="44" t="s">
        <v>127</v>
      </c>
    </row>
    <row r="10" spans="1:22">
      <c r="B10" s="36">
        <v>45658</v>
      </c>
      <c r="C10" s="29">
        <v>31</v>
      </c>
      <c r="D10" s="29">
        <v>917430</v>
      </c>
      <c r="E10" s="29">
        <v>2780</v>
      </c>
      <c r="F10" s="31">
        <v>69554.67</v>
      </c>
      <c r="G10" s="31">
        <v>40760</v>
      </c>
      <c r="H10" s="31">
        <v>3559.44</v>
      </c>
      <c r="I10" s="37">
        <v>623</v>
      </c>
      <c r="J10" s="38">
        <f>IF(tblBills[[#This Row],[Month]]="","",tblBills[[#This Row],[Energy charges]]+tblBills[[#This Row],[Demand charges]]+tblBills[[#This Row],[Other charges]])</f>
        <v>113874.11</v>
      </c>
      <c r="K10" s="39">
        <f>IF(tblBills[[#This Row],[Month]]="","",IF(tblBills[[#This Row],[Peak demand (kW)]]*tblBills[[#This Row],[Days]]&gt;0,tblBills[[#This Row],[Energy (kWh)]]/(tblBills[[#This Row],[Peak demand (kW)]]*tblBills[[#This Row],[Days]]*24),""))</f>
        <v>0.443562891622186</v>
      </c>
      <c r="L10" s="40">
        <f>IF(tblBills[[#This Row],[Month]]="","",IF(tblBills[[#This Row],[Energy (kWh)]]&gt;0,tblBills[[#This Row],[Total bill]]/tblBills[[#This Row],[Energy (kWh)]],""))</f>
        <v>0.124122941259824</v>
      </c>
      <c r="M10" s="41">
        <f>IF(tblBills[[#This Row],[Month]]="","",MAX(RatchetPct*SUMPRODUCT(MAX((tblBills[Month]&gt;=EDATE(tblBills[[#This Row],[Month]],-RatchetMonths))*(tblBills[Month]&lt;tblBills[[#This Row],[Month]])*tblBills[Peak demand (kW)])),ContractMinPct*ContractKW))</f>
        <v>1636</v>
      </c>
      <c r="N10" s="41">
        <f>IF(tblBills[[#This Row],[Month]]="","",MAX(tblBills[[#This Row],[Peak demand (kW)]],tblBills[[#This Row],[Ratchet floor (kW)]]))</f>
        <v>2780</v>
      </c>
      <c r="O10" s="38">
        <f>IF(tblBills[[#This Row],[Month]]="","",tblBills[[#This Row],[Billing demand (kW)]]*DemandRate*ApplicablePct+FixedDemand)</f>
        <v>40760</v>
      </c>
      <c r="P10" s="38">
        <f>IF(tblBills[[#This Row],[Month]]="","",tblBills[[#This Row],[Demand charges]]-tblBills[[#This Row],[Expected demand charge]])</f>
        <v>0</v>
      </c>
      <c r="Q10" s="38">
        <f>IF(tblBills[[#This Row],[Month]]="","",(tblBills[[#This Row],[Billing demand (kW)]]-tblBills[[#This Row],[Peak demand (kW)]])*DemandRate*ApplicablePct)</f>
        <v>0</v>
      </c>
      <c r="R10" s="41">
        <f>IF(tblBills[[#This Row],[Month]]="","",IF(N(tblBills[[#This Row],[Production]])&gt;0,tblBills[[#This Row],[Energy (kWh)]]/tblBills[[#This Row],[Production]],""))</f>
        <v>1472.60032102729</v>
      </c>
      <c r="S10" s="38">
        <f>IF(tblBills[[#This Row],[Month]]="","",IF(N(tblBills[[#This Row],[Production]])&gt;0,tblBills[[#This Row],[Total bill]]/tblBills[[#This Row],[Production]],""))</f>
        <v>182.783483146067</v>
      </c>
      <c r="T10" s="42" t="str">
        <f>IF(NOT(ISNUMBER(tblBills[[#This Row],[Energy intensity]])),"",IF(tblBills[[#This Row],[Energy intensity]]&lt;=TargetIntensity,"On target",IF(tblBills[[#This Row],[Energy intensity]]&lt;=TargetIntensity*(1+0.05),"Near target","Above target")))</f>
        <v>Above target</v>
      </c>
      <c r="U10"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10" s="44" t="s">
        <v>128</v>
      </c>
    </row>
    <row r="11" spans="1:22">
      <c r="B11" s="36">
        <v>45689</v>
      </c>
      <c r="C11" s="29">
        <v>28</v>
      </c>
      <c r="D11" s="29">
        <v>913530</v>
      </c>
      <c r="E11" s="29">
        <v>2025</v>
      </c>
      <c r="F11" s="31">
        <v>69627.11</v>
      </c>
      <c r="G11" s="31">
        <v>32698</v>
      </c>
      <c r="H11" s="31">
        <v>3319.75</v>
      </c>
      <c r="I11" s="37">
        <v>637.1</v>
      </c>
      <c r="J11" s="38">
        <f>IF(tblBills[[#This Row],[Month]]="","",tblBills[[#This Row],[Energy charges]]+tblBills[[#This Row],[Demand charges]]+tblBills[[#This Row],[Other charges]])</f>
        <v>105644.86</v>
      </c>
      <c r="K11" s="39">
        <f>IF(tblBills[[#This Row],[Month]]="","",IF(tblBills[[#This Row],[Peak demand (kW)]]*tblBills[[#This Row],[Days]]&gt;0,tblBills[[#This Row],[Energy (kWh)]]/(tblBills[[#This Row],[Peak demand (kW)]]*tblBills[[#This Row],[Days]]*24),""))</f>
        <v>0.671318342151676</v>
      </c>
      <c r="L11" s="40">
        <f>IF(tblBills[[#This Row],[Month]]="","",IF(tblBills[[#This Row],[Energy (kWh)]]&gt;0,tblBills[[#This Row],[Total bill]]/tblBills[[#This Row],[Energy (kWh)]],""))</f>
        <v>0.115644653158626</v>
      </c>
      <c r="M11" s="41">
        <f>IF(tblBills[[#This Row],[Month]]="","",MAX(RatchetPct*SUMPRODUCT(MAX((tblBills[Month]&gt;=EDATE(tblBills[[#This Row],[Month]],-RatchetMonths))*(tblBills[Month]&lt;tblBills[[#This Row],[Month]])*tblBills[Peak demand (kW)])),ContractMinPct*ContractKW))</f>
        <v>2224</v>
      </c>
      <c r="N11" s="41">
        <f>IF(tblBills[[#This Row],[Month]]="","",MAX(tblBills[[#This Row],[Peak demand (kW)]],tblBills[[#This Row],[Ratchet floor (kW)]]))</f>
        <v>2224</v>
      </c>
      <c r="O11" s="38">
        <f>IF(tblBills[[#This Row],[Month]]="","",tblBills[[#This Row],[Billing demand (kW)]]*DemandRate*ApplicablePct+FixedDemand)</f>
        <v>32698</v>
      </c>
      <c r="P11" s="38">
        <f>IF(tblBills[[#This Row],[Month]]="","",tblBills[[#This Row],[Demand charges]]-tblBills[[#This Row],[Expected demand charge]])</f>
        <v>0</v>
      </c>
      <c r="Q11" s="38">
        <f>IF(tblBills[[#This Row],[Month]]="","",(tblBills[[#This Row],[Billing demand (kW)]]-tblBills[[#This Row],[Peak demand (kW)]])*DemandRate*ApplicablePct)</f>
        <v>2885.5</v>
      </c>
      <c r="R11" s="41">
        <f>IF(tblBills[[#This Row],[Month]]="","",IF(N(tblBills[[#This Row],[Production]])&gt;0,tblBills[[#This Row],[Energy (kWh)]]/tblBills[[#This Row],[Production]],""))</f>
        <v>1433.88792968137</v>
      </c>
      <c r="S11" s="38">
        <f>IF(tblBills[[#This Row],[Month]]="","",IF(N(tblBills[[#This Row],[Production]])&gt;0,tblBills[[#This Row],[Total bill]]/tblBills[[#This Row],[Production]],""))</f>
        <v>165.821472296343</v>
      </c>
      <c r="T11" s="42" t="str">
        <f>IF(NOT(ISNUMBER(tblBills[[#This Row],[Energy intensity]])),"",IF(tblBills[[#This Row],[Energy intensity]]&lt;=TargetIntensity,"On target",IF(tblBills[[#This Row],[Energy intensity]]&lt;=TargetIntensity*(1+0.05),"Near target","Above target")))</f>
        <v>Near target</v>
      </c>
      <c r="U11"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11" s="44" t="s">
        <v>127</v>
      </c>
    </row>
    <row r="12" spans="1:22">
      <c r="B12" s="36">
        <v>45717</v>
      </c>
      <c r="C12" s="29">
        <v>31</v>
      </c>
      <c r="D12" s="29">
        <v>899340</v>
      </c>
      <c r="E12" s="29">
        <v>2065</v>
      </c>
      <c r="F12" s="31">
        <v>68113.88</v>
      </c>
      <c r="G12" s="31">
        <v>32698</v>
      </c>
      <c r="H12" s="31">
        <v>3274.36</v>
      </c>
      <c r="I12" s="37">
        <v>606.2</v>
      </c>
      <c r="J12" s="38">
        <f>IF(tblBills[[#This Row],[Month]]="","",tblBills[[#This Row],[Energy charges]]+tblBills[[#This Row],[Demand charges]]+tblBills[[#This Row],[Other charges]])</f>
        <v>104086.24</v>
      </c>
      <c r="K12" s="39">
        <f>IF(tblBills[[#This Row],[Month]]="","",IF(tblBills[[#This Row],[Peak demand (kW)]]*tblBills[[#This Row],[Days]]&gt;0,tblBills[[#This Row],[Energy (kWh)]]/(tblBills[[#This Row],[Peak demand (kW)]]*tblBills[[#This Row],[Days]]*24),""))</f>
        <v>0.585370616261814</v>
      </c>
      <c r="L12" s="40">
        <f>IF(tblBills[[#This Row],[Month]]="","",IF(tblBills[[#This Row],[Energy (kWh)]]&gt;0,tblBills[[#This Row],[Total bill]]/tblBills[[#This Row],[Energy (kWh)]],""))</f>
        <v>0.115736251028532</v>
      </c>
      <c r="M12" s="41">
        <f>IF(tblBills[[#This Row],[Month]]="","",MAX(RatchetPct*SUMPRODUCT(MAX((tblBills[Month]&gt;=EDATE(tblBills[[#This Row],[Month]],-RatchetMonths))*(tblBills[Month]&lt;tblBills[[#This Row],[Month]])*tblBills[Peak demand (kW)])),ContractMinPct*ContractKW))</f>
        <v>2224</v>
      </c>
      <c r="N12" s="41">
        <f>IF(tblBills[[#This Row],[Month]]="","",MAX(tblBills[[#This Row],[Peak demand (kW)]],tblBills[[#This Row],[Ratchet floor (kW)]]))</f>
        <v>2224</v>
      </c>
      <c r="O12" s="38">
        <f>IF(tblBills[[#This Row],[Month]]="","",tblBills[[#This Row],[Billing demand (kW)]]*DemandRate*ApplicablePct+FixedDemand)</f>
        <v>32698</v>
      </c>
      <c r="P12" s="38">
        <f>IF(tblBills[[#This Row],[Month]]="","",tblBills[[#This Row],[Demand charges]]-tblBills[[#This Row],[Expected demand charge]])</f>
        <v>0</v>
      </c>
      <c r="Q12" s="38">
        <f>IF(tblBills[[#This Row],[Month]]="","",(tblBills[[#This Row],[Billing demand (kW)]]-tblBills[[#This Row],[Peak demand (kW)]])*DemandRate*ApplicablePct)</f>
        <v>2305.5</v>
      </c>
      <c r="R12" s="41">
        <f>IF(tblBills[[#This Row],[Month]]="","",IF(N(tblBills[[#This Row],[Production]])&gt;0,tblBills[[#This Row],[Energy (kWh)]]/tblBills[[#This Row],[Production]],""))</f>
        <v>1483.56977895084</v>
      </c>
      <c r="S12" s="38">
        <f>IF(tblBills[[#This Row],[Month]]="","",IF(N(tblBills[[#This Row],[Production]])&gt;0,tblBills[[#This Row],[Total bill]]/tblBills[[#This Row],[Production]],""))</f>
        <v>171.702804354998</v>
      </c>
      <c r="T12" s="42" t="str">
        <f>IF(NOT(ISNUMBER(tblBills[[#This Row],[Energy intensity]])),"",IF(tblBills[[#This Row],[Energy intensity]]&lt;=TargetIntensity,"On target",IF(tblBills[[#This Row],[Energy intensity]]&lt;=TargetIntensity*(1+0.05),"Near target","Above target")))</f>
        <v>Above target</v>
      </c>
      <c r="U12"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12" s="44" t="s">
        <v>127</v>
      </c>
    </row>
    <row r="13" spans="1:22">
      <c r="B13" s="36">
        <v>45748</v>
      </c>
      <c r="C13" s="29">
        <v>30</v>
      </c>
      <c r="D13" s="29">
        <v>913790</v>
      </c>
      <c r="E13" s="29">
        <v>1995</v>
      </c>
      <c r="F13" s="31">
        <v>69767.78999999999</v>
      </c>
      <c r="G13" s="31">
        <v>32698</v>
      </c>
      <c r="H13" s="31">
        <v>3323.97</v>
      </c>
      <c r="I13" s="37">
        <v>616.7</v>
      </c>
      <c r="J13" s="38">
        <f>IF(tblBills[[#This Row],[Month]]="","",tblBills[[#This Row],[Energy charges]]+tblBills[[#This Row],[Demand charges]]+tblBills[[#This Row],[Other charges]])</f>
        <v>105789.76</v>
      </c>
      <c r="K13" s="39">
        <f>IF(tblBills[[#This Row],[Month]]="","",IF(tblBills[[#This Row],[Peak demand (kW)]]*tblBills[[#This Row],[Days]]&gt;0,tblBills[[#This Row],[Energy (kWh)]]/(tblBills[[#This Row],[Peak demand (kW)]]*tblBills[[#This Row],[Days]]*24),""))</f>
        <v>0.636166805903648</v>
      </c>
      <c r="L13" s="40">
        <f>IF(tblBills[[#This Row],[Month]]="","",IF(tblBills[[#This Row],[Energy (kWh)]]&gt;0,tblBills[[#This Row],[Total bill]]/tblBills[[#This Row],[Energy (kWh)]],""))</f>
        <v>0.115770319219952</v>
      </c>
      <c r="M13" s="41">
        <f>IF(tblBills[[#This Row],[Month]]="","",MAX(RatchetPct*SUMPRODUCT(MAX((tblBills[Month]&gt;=EDATE(tblBills[[#This Row],[Month]],-RatchetMonths))*(tblBills[Month]&lt;tblBills[[#This Row],[Month]])*tblBills[Peak demand (kW)])),ContractMinPct*ContractKW))</f>
        <v>2224</v>
      </c>
      <c r="N13" s="41">
        <f>IF(tblBills[[#This Row],[Month]]="","",MAX(tblBills[[#This Row],[Peak demand (kW)]],tblBills[[#This Row],[Ratchet floor (kW)]]))</f>
        <v>2224</v>
      </c>
      <c r="O13" s="38">
        <f>IF(tblBills[[#This Row],[Month]]="","",tblBills[[#This Row],[Billing demand (kW)]]*DemandRate*ApplicablePct+FixedDemand)</f>
        <v>32698</v>
      </c>
      <c r="P13" s="38">
        <f>IF(tblBills[[#This Row],[Month]]="","",tblBills[[#This Row],[Demand charges]]-tblBills[[#This Row],[Expected demand charge]])</f>
        <v>0</v>
      </c>
      <c r="Q13" s="38">
        <f>IF(tblBills[[#This Row],[Month]]="","",(tblBills[[#This Row],[Billing demand (kW)]]-tblBills[[#This Row],[Peak demand (kW)]])*DemandRate*ApplicablePct)</f>
        <v>3320.5</v>
      </c>
      <c r="R13" s="41">
        <f>IF(tblBills[[#This Row],[Month]]="","",IF(N(tblBills[[#This Row],[Production]])&gt;0,tblBills[[#This Row],[Energy (kWh)]]/tblBills[[#This Row],[Production]],""))</f>
        <v>1481.741527485</v>
      </c>
      <c r="S13" s="38">
        <f>IF(tblBills[[#This Row],[Month]]="","",IF(N(tblBills[[#This Row],[Production]])&gt;0,tblBills[[#This Row],[Total bill]]/tblBills[[#This Row],[Production]],""))</f>
        <v>171.541689638398</v>
      </c>
      <c r="T13" s="42" t="str">
        <f>IF(NOT(ISNUMBER(tblBills[[#This Row],[Energy intensity]])),"",IF(tblBills[[#This Row],[Energy intensity]]&lt;=TargetIntensity,"On target",IF(tblBills[[#This Row],[Energy intensity]]&lt;=TargetIntensity*(1+0.05),"Near target","Above target")))</f>
        <v>Above target</v>
      </c>
      <c r="U13"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13" s="44" t="s">
        <v>127</v>
      </c>
    </row>
    <row r="14" spans="1:22">
      <c r="B14" s="36">
        <v>45778</v>
      </c>
      <c r="C14" s="29">
        <v>31</v>
      </c>
      <c r="D14" s="29">
        <v>904150</v>
      </c>
      <c r="E14" s="29">
        <v>2025</v>
      </c>
      <c r="F14" s="31">
        <v>68829.39</v>
      </c>
      <c r="G14" s="31">
        <v>32698</v>
      </c>
      <c r="H14" s="31">
        <v>3295.82</v>
      </c>
      <c r="I14" s="37">
        <v>602.1</v>
      </c>
      <c r="J14" s="38">
        <f>IF(tblBills[[#This Row],[Month]]="","",tblBills[[#This Row],[Energy charges]]+tblBills[[#This Row],[Demand charges]]+tblBills[[#This Row],[Other charges]])</f>
        <v>104823.21</v>
      </c>
      <c r="K14" s="39">
        <f>IF(tblBills[[#This Row],[Month]]="","",IF(tblBills[[#This Row],[Peak demand (kW)]]*tblBills[[#This Row],[Days]]&gt;0,tblBills[[#This Row],[Energy (kWh)]]/(tblBills[[#This Row],[Peak demand (kW)]]*tblBills[[#This Row],[Days]]*24),""))</f>
        <v>0.600126111774857</v>
      </c>
      <c r="L14" s="40">
        <f>IF(tblBills[[#This Row],[Month]]="","",IF(tblBills[[#This Row],[Energy (kWh)]]&gt;0,tblBills[[#This Row],[Total bill]]/tblBills[[#This Row],[Energy (kWh)]],""))</f>
        <v>0.115935641209976</v>
      </c>
      <c r="M14" s="41">
        <f>IF(tblBills[[#This Row],[Month]]="","",MAX(RatchetPct*SUMPRODUCT(MAX((tblBills[Month]&gt;=EDATE(tblBills[[#This Row],[Month]],-RatchetMonths))*(tblBills[Month]&lt;tblBills[[#This Row],[Month]])*tblBills[Peak demand (kW)])),ContractMinPct*ContractKW))</f>
        <v>2224</v>
      </c>
      <c r="N14" s="41">
        <f>IF(tblBills[[#This Row],[Month]]="","",MAX(tblBills[[#This Row],[Peak demand (kW)]],tblBills[[#This Row],[Ratchet floor (kW)]]))</f>
        <v>2224</v>
      </c>
      <c r="O14" s="38">
        <f>IF(tblBills[[#This Row],[Month]]="","",tblBills[[#This Row],[Billing demand (kW)]]*DemandRate*ApplicablePct+FixedDemand)</f>
        <v>32698</v>
      </c>
      <c r="P14" s="38">
        <f>IF(tblBills[[#This Row],[Month]]="","",tblBills[[#This Row],[Demand charges]]-tblBills[[#This Row],[Expected demand charge]])</f>
        <v>0</v>
      </c>
      <c r="Q14" s="38">
        <f>IF(tblBills[[#This Row],[Month]]="","",(tblBills[[#This Row],[Billing demand (kW)]]-tblBills[[#This Row],[Peak demand (kW)]])*DemandRate*ApplicablePct)</f>
        <v>2885.5</v>
      </c>
      <c r="R14" s="41">
        <f>IF(tblBills[[#This Row],[Month]]="","",IF(N(tblBills[[#This Row],[Production]])&gt;0,tblBills[[#This Row],[Energy (kWh)]]/tblBills[[#This Row],[Production]],""))</f>
        <v>1501.66085367879</v>
      </c>
      <c r="S14" s="38">
        <f>IF(tblBills[[#This Row],[Month]]="","",IF(N(tblBills[[#This Row],[Production]])&gt;0,tblBills[[#This Row],[Total bill]]/tblBills[[#This Row],[Production]],""))</f>
        <v>174.096013951171</v>
      </c>
      <c r="T14" s="42" t="str">
        <f>IF(NOT(ISNUMBER(tblBills[[#This Row],[Energy intensity]])),"",IF(tblBills[[#This Row],[Energy intensity]]&lt;=TargetIntensity,"On target",IF(tblBills[[#This Row],[Energy intensity]]&lt;=TargetIntensity*(1+0.05),"Near target","Above target")))</f>
        <v>Above target</v>
      </c>
      <c r="U14"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14" s="44" t="s">
        <v>127</v>
      </c>
    </row>
    <row r="15" spans="1:22">
      <c r="B15" s="36">
        <v>45809</v>
      </c>
      <c r="C15" s="29">
        <v>30</v>
      </c>
      <c r="D15" s="29">
        <v>921180</v>
      </c>
      <c r="E15" s="29">
        <v>2005</v>
      </c>
      <c r="F15" s="31">
        <v>69662.14</v>
      </c>
      <c r="G15" s="31">
        <v>32698</v>
      </c>
      <c r="H15" s="31">
        <v>3320.8</v>
      </c>
      <c r="I15" s="37">
        <v>618.7</v>
      </c>
      <c r="J15" s="38">
        <f>IF(tblBills[[#This Row],[Month]]="","",tblBills[[#This Row],[Energy charges]]+tblBills[[#This Row],[Demand charges]]+tblBills[[#This Row],[Other charges]])</f>
        <v>105680.94</v>
      </c>
      <c r="K15" s="39">
        <f>IF(tblBills[[#This Row],[Month]]="","",IF(tblBills[[#This Row],[Peak demand (kW)]]*tblBills[[#This Row],[Days]]&gt;0,tblBills[[#This Row],[Energy (kWh)]]/(tblBills[[#This Row],[Peak demand (kW)]]*tblBills[[#This Row],[Days]]*24),""))</f>
        <v>0.638113050706567</v>
      </c>
      <c r="L15" s="40">
        <f>IF(tblBills[[#This Row],[Month]]="","",IF(tblBills[[#This Row],[Energy (kWh)]]&gt;0,tblBills[[#This Row],[Total bill]]/tblBills[[#This Row],[Energy (kWh)]],""))</f>
        <v>0.114723441672637</v>
      </c>
      <c r="M15" s="41">
        <f>IF(tblBills[[#This Row],[Month]]="","",MAX(RatchetPct*SUMPRODUCT(MAX((tblBills[Month]&gt;=EDATE(tblBills[[#This Row],[Month]],-RatchetMonths))*(tblBills[Month]&lt;tblBills[[#This Row],[Month]])*tblBills[Peak demand (kW)])),ContractMinPct*ContractKW))</f>
        <v>2224</v>
      </c>
      <c r="N15" s="41">
        <f>IF(tblBills[[#This Row],[Month]]="","",MAX(tblBills[[#This Row],[Peak demand (kW)]],tblBills[[#This Row],[Ratchet floor (kW)]]))</f>
        <v>2224</v>
      </c>
      <c r="O15" s="38">
        <f>IF(tblBills[[#This Row],[Month]]="","",tblBills[[#This Row],[Billing demand (kW)]]*DemandRate*ApplicablePct+FixedDemand)</f>
        <v>32698</v>
      </c>
      <c r="P15" s="38">
        <f>IF(tblBills[[#This Row],[Month]]="","",tblBills[[#This Row],[Demand charges]]-tblBills[[#This Row],[Expected demand charge]])</f>
        <v>0</v>
      </c>
      <c r="Q15" s="38">
        <f>IF(tblBills[[#This Row],[Month]]="","",(tblBills[[#This Row],[Billing demand (kW)]]-tblBills[[#This Row],[Peak demand (kW)]])*DemandRate*ApplicablePct)</f>
        <v>3175.5</v>
      </c>
      <c r="R15" s="41">
        <f>IF(tblBills[[#This Row],[Month]]="","",IF(N(tblBills[[#This Row],[Production]])&gt;0,tblBills[[#This Row],[Energy (kWh)]]/tblBills[[#This Row],[Production]],""))</f>
        <v>1488.89607240989</v>
      </c>
      <c r="S15" s="38">
        <f>IF(tblBills[[#This Row],[Month]]="","",IF(N(tblBills[[#This Row],[Production]])&gt;0,tblBills[[#This Row],[Total bill]]/tblBills[[#This Row],[Production]],""))</f>
        <v>170.811281719735</v>
      </c>
      <c r="T15" s="42" t="str">
        <f>IF(NOT(ISNUMBER(tblBills[[#This Row],[Energy intensity]])),"",IF(tblBills[[#This Row],[Energy intensity]]&lt;=TargetIntensity,"On target",IF(tblBills[[#This Row],[Energy intensity]]&lt;=TargetIntensity*(1+0.05),"Near target","Above target")))</f>
        <v>Above target</v>
      </c>
      <c r="U15"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15" s="44" t="s">
        <v>127</v>
      </c>
    </row>
    <row r="16" spans="1:22">
      <c r="B16" s="36">
        <v>45839</v>
      </c>
      <c r="C16" s="29">
        <v>31</v>
      </c>
      <c r="D16" s="29">
        <v>892120</v>
      </c>
      <c r="E16" s="29">
        <v>2015</v>
      </c>
      <c r="F16" s="31">
        <v>67786.84</v>
      </c>
      <c r="G16" s="31">
        <v>32698</v>
      </c>
      <c r="H16" s="31">
        <v>3264.55</v>
      </c>
      <c r="I16" s="37">
        <v>602</v>
      </c>
      <c r="J16" s="38">
        <f>IF(tblBills[[#This Row],[Month]]="","",tblBills[[#This Row],[Energy charges]]+tblBills[[#This Row],[Demand charges]]+tblBills[[#This Row],[Other charges]])</f>
        <v>103749.39</v>
      </c>
      <c r="K16" s="39">
        <f>IF(tblBills[[#This Row],[Month]]="","",IF(tblBills[[#This Row],[Peak demand (kW)]]*tblBills[[#This Row],[Days]]&gt;0,tblBills[[#This Row],[Energy (kWh)]]/(tblBills[[#This Row],[Peak demand (kW)]]*tblBills[[#This Row],[Days]]*24),""))</f>
        <v>0.59507991141706</v>
      </c>
      <c r="L16" s="40">
        <f>IF(tblBills[[#This Row],[Month]]="","",IF(tblBills[[#This Row],[Energy (kWh)]]&gt;0,tblBills[[#This Row],[Total bill]]/tblBills[[#This Row],[Energy (kWh)]],""))</f>
        <v>0.116295330224633</v>
      </c>
      <c r="M16" s="41">
        <f>IF(tblBills[[#This Row],[Month]]="","",MAX(RatchetPct*SUMPRODUCT(MAX((tblBills[Month]&gt;=EDATE(tblBills[[#This Row],[Month]],-RatchetMonths))*(tblBills[Month]&lt;tblBills[[#This Row],[Month]])*tblBills[Peak demand (kW)])),ContractMinPct*ContractKW))</f>
        <v>2224</v>
      </c>
      <c r="N16" s="41">
        <f>IF(tblBills[[#This Row],[Month]]="","",MAX(tblBills[[#This Row],[Peak demand (kW)]],tblBills[[#This Row],[Ratchet floor (kW)]]))</f>
        <v>2224</v>
      </c>
      <c r="O16" s="38">
        <f>IF(tblBills[[#This Row],[Month]]="","",tblBills[[#This Row],[Billing demand (kW)]]*DemandRate*ApplicablePct+FixedDemand)</f>
        <v>32698</v>
      </c>
      <c r="P16" s="38">
        <f>IF(tblBills[[#This Row],[Month]]="","",tblBills[[#This Row],[Demand charges]]-tblBills[[#This Row],[Expected demand charge]])</f>
        <v>0</v>
      </c>
      <c r="Q16" s="38">
        <f>IF(tblBills[[#This Row],[Month]]="","",(tblBills[[#This Row],[Billing demand (kW)]]-tblBills[[#This Row],[Peak demand (kW)]])*DemandRate*ApplicablePct)</f>
        <v>3030.5</v>
      </c>
      <c r="R16" s="41">
        <f>IF(tblBills[[#This Row],[Month]]="","",IF(N(tblBills[[#This Row],[Production]])&gt;0,tblBills[[#This Row],[Energy (kWh)]]/tblBills[[#This Row],[Production]],""))</f>
        <v>1481.926910299</v>
      </c>
      <c r="S16" s="38">
        <f>IF(tblBills[[#This Row],[Month]]="","",IF(N(tblBills[[#This Row],[Production]])&gt;0,tblBills[[#This Row],[Total bill]]/tblBills[[#This Row],[Production]],""))</f>
        <v>172.341179401993</v>
      </c>
      <c r="T16" s="42" t="str">
        <f>IF(NOT(ISNUMBER(tblBills[[#This Row],[Energy intensity]])),"",IF(tblBills[[#This Row],[Energy intensity]]&lt;=TargetIntensity,"On target",IF(tblBills[[#This Row],[Energy intensity]]&lt;=TargetIntensity*(1+0.05),"Near target","Above target")))</f>
        <v>Above target</v>
      </c>
      <c r="U16"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16" s="44" t="s">
        <v>127</v>
      </c>
    </row>
    <row r="17" spans="2:22">
      <c r="B17" s="36">
        <v>45870</v>
      </c>
      <c r="C17" s="29">
        <v>31</v>
      </c>
      <c r="D17" s="29">
        <v>764890</v>
      </c>
      <c r="E17" s="29">
        <v>1865</v>
      </c>
      <c r="F17" s="31">
        <v>57938.68</v>
      </c>
      <c r="G17" s="31">
        <v>32698</v>
      </c>
      <c r="H17" s="31">
        <v>2969.1</v>
      </c>
      <c r="I17" s="37">
        <v>472.7</v>
      </c>
      <c r="J17" s="38">
        <f>IF(tblBills[[#This Row],[Month]]="","",tblBills[[#This Row],[Energy charges]]+tblBills[[#This Row],[Demand charges]]+tblBills[[#This Row],[Other charges]])</f>
        <v>93605.78</v>
      </c>
      <c r="K17" s="39">
        <f>IF(tblBills[[#This Row],[Month]]="","",IF(tblBills[[#This Row],[Peak demand (kW)]]*tblBills[[#This Row],[Days]]&gt;0,tblBills[[#This Row],[Energy (kWh)]]/(tblBills[[#This Row],[Peak demand (kW)]]*tblBills[[#This Row],[Days]]*24),""))</f>
        <v>0.551248234310588</v>
      </c>
      <c r="L17" s="40">
        <f>IF(tblBills[[#This Row],[Month]]="","",IF(tblBills[[#This Row],[Energy (kWh)]]&gt;0,tblBills[[#This Row],[Total bill]]/tblBills[[#This Row],[Energy (kWh)]],""))</f>
        <v>0.122378093582084</v>
      </c>
      <c r="M17" s="41">
        <f>IF(tblBills[[#This Row],[Month]]="","",MAX(RatchetPct*SUMPRODUCT(MAX((tblBills[Month]&gt;=EDATE(tblBills[[#This Row],[Month]],-RatchetMonths))*(tblBills[Month]&lt;tblBills[[#This Row],[Month]])*tblBills[Peak demand (kW)])),ContractMinPct*ContractKW))</f>
        <v>2224</v>
      </c>
      <c r="N17" s="41">
        <f>IF(tblBills[[#This Row],[Month]]="","",MAX(tblBills[[#This Row],[Peak demand (kW)]],tblBills[[#This Row],[Ratchet floor (kW)]]))</f>
        <v>2224</v>
      </c>
      <c r="O17" s="38">
        <f>IF(tblBills[[#This Row],[Month]]="","",tblBills[[#This Row],[Billing demand (kW)]]*DemandRate*ApplicablePct+FixedDemand)</f>
        <v>32698</v>
      </c>
      <c r="P17" s="38">
        <f>IF(tblBills[[#This Row],[Month]]="","",tblBills[[#This Row],[Demand charges]]-tblBills[[#This Row],[Expected demand charge]])</f>
        <v>0</v>
      </c>
      <c r="Q17" s="38">
        <f>IF(tblBills[[#This Row],[Month]]="","",(tblBills[[#This Row],[Billing demand (kW)]]-tblBills[[#This Row],[Peak demand (kW)]])*DemandRate*ApplicablePct)</f>
        <v>5205.5</v>
      </c>
      <c r="R17" s="41">
        <f>IF(tblBills[[#This Row],[Month]]="","",IF(N(tblBills[[#This Row],[Production]])&gt;0,tblBills[[#This Row],[Energy (kWh)]]/tblBills[[#This Row],[Production]],""))</f>
        <v>1618.12989210916</v>
      </c>
      <c r="S17" s="38">
        <f>IF(tblBills[[#This Row],[Month]]="","",IF(N(tblBills[[#This Row],[Production]])&gt;0,tblBills[[#This Row],[Total bill]]/tblBills[[#This Row],[Production]],""))</f>
        <v>198.023651364502</v>
      </c>
      <c r="T17" s="42" t="str">
        <f>IF(NOT(ISNUMBER(tblBills[[#This Row],[Energy intensity]])),"",IF(tblBills[[#This Row],[Energy intensity]]&lt;=TargetIntensity,"On target",IF(tblBills[[#This Row],[Energy intensity]]&lt;=TargetIntensity*(1+0.05),"Near target","Above target")))</f>
        <v>Above target</v>
      </c>
      <c r="U17"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17" s="44" t="s">
        <v>127</v>
      </c>
    </row>
    <row r="18" spans="2:22">
      <c r="B18" s="36">
        <v>45901</v>
      </c>
      <c r="C18" s="29">
        <v>30</v>
      </c>
      <c r="D18" s="29">
        <v>893990</v>
      </c>
      <c r="E18" s="29">
        <v>1965</v>
      </c>
      <c r="F18" s="31">
        <v>68088.14999999999</v>
      </c>
      <c r="G18" s="31">
        <v>32698</v>
      </c>
      <c r="H18" s="31">
        <v>3273.58</v>
      </c>
      <c r="I18" s="37">
        <v>599</v>
      </c>
      <c r="J18" s="38">
        <f>IF(tblBills[[#This Row],[Month]]="","",tblBills[[#This Row],[Energy charges]]+tblBills[[#This Row],[Demand charges]]+tblBills[[#This Row],[Other charges]])</f>
        <v>104059.73</v>
      </c>
      <c r="K18" s="39">
        <f>IF(tblBills[[#This Row],[Month]]="","",IF(tblBills[[#This Row],[Peak demand (kW)]]*tblBills[[#This Row],[Days]]&gt;0,tblBills[[#This Row],[Energy (kWh)]]/(tblBills[[#This Row],[Peak demand (kW)]]*tblBills[[#This Row],[Days]]*24),""))</f>
        <v>0.631884365281312</v>
      </c>
      <c r="L18" s="40">
        <f>IF(tblBills[[#This Row],[Month]]="","",IF(tblBills[[#This Row],[Energy (kWh)]]&gt;0,tblBills[[#This Row],[Total bill]]/tblBills[[#This Row],[Energy (kWh)]],""))</f>
        <v>0.116399210281994</v>
      </c>
      <c r="M18" s="41">
        <f>IF(tblBills[[#This Row],[Month]]="","",MAX(RatchetPct*SUMPRODUCT(MAX((tblBills[Month]&gt;=EDATE(tblBills[[#This Row],[Month]],-RatchetMonths))*(tblBills[Month]&lt;tblBills[[#This Row],[Month]])*tblBills[Peak demand (kW)])),ContractMinPct*ContractKW))</f>
        <v>2224</v>
      </c>
      <c r="N18" s="41">
        <f>IF(tblBills[[#This Row],[Month]]="","",MAX(tblBills[[#This Row],[Peak demand (kW)]],tblBills[[#This Row],[Ratchet floor (kW)]]))</f>
        <v>2224</v>
      </c>
      <c r="O18" s="38">
        <f>IF(tblBills[[#This Row],[Month]]="","",tblBills[[#This Row],[Billing demand (kW)]]*DemandRate*ApplicablePct+FixedDemand)</f>
        <v>32698</v>
      </c>
      <c r="P18" s="38">
        <f>IF(tblBills[[#This Row],[Month]]="","",tblBills[[#This Row],[Demand charges]]-tblBills[[#This Row],[Expected demand charge]])</f>
        <v>0</v>
      </c>
      <c r="Q18" s="38">
        <f>IF(tblBills[[#This Row],[Month]]="","",(tblBills[[#This Row],[Billing demand (kW)]]-tblBills[[#This Row],[Peak demand (kW)]])*DemandRate*ApplicablePct)</f>
        <v>3755.5</v>
      </c>
      <c r="R18" s="41">
        <f>IF(tblBills[[#This Row],[Month]]="","",IF(N(tblBills[[#This Row],[Production]])&gt;0,tblBills[[#This Row],[Energy (kWh)]]/tblBills[[#This Row],[Production]],""))</f>
        <v>1492.47078464107</v>
      </c>
      <c r="S18" s="38">
        <f>IF(tblBills[[#This Row],[Month]]="","",IF(N(tblBills[[#This Row],[Production]])&gt;0,tblBills[[#This Row],[Total bill]]/tblBills[[#This Row],[Production]],""))</f>
        <v>173.722420701169</v>
      </c>
      <c r="T18" s="42" t="str">
        <f>IF(NOT(ISNUMBER(tblBills[[#This Row],[Energy intensity]])),"",IF(tblBills[[#This Row],[Energy intensity]]&lt;=TargetIntensity,"On target",IF(tblBills[[#This Row],[Energy intensity]]&lt;=TargetIntensity*(1+0.05),"Near target","Above target")))</f>
        <v>Above target</v>
      </c>
      <c r="U18"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18" s="44" t="s">
        <v>127</v>
      </c>
    </row>
    <row r="19" spans="2:22">
      <c r="B19" s="36">
        <v>45931</v>
      </c>
      <c r="C19" s="29">
        <v>31</v>
      </c>
      <c r="D19" s="29">
        <v>928230</v>
      </c>
      <c r="E19" s="29">
        <v>2080</v>
      </c>
      <c r="F19" s="31">
        <v>70649.48</v>
      </c>
      <c r="G19" s="31">
        <v>32698</v>
      </c>
      <c r="H19" s="31">
        <v>3350.42</v>
      </c>
      <c r="I19" s="37">
        <v>629.2</v>
      </c>
      <c r="J19" s="38">
        <f>IF(tblBills[[#This Row],[Month]]="","",tblBills[[#This Row],[Energy charges]]+tblBills[[#This Row],[Demand charges]]+tblBills[[#This Row],[Other charges]])</f>
        <v>106697.9</v>
      </c>
      <c r="K19" s="39">
        <f>IF(tblBills[[#This Row],[Month]]="","",IF(tblBills[[#This Row],[Peak demand (kW)]]*tblBills[[#This Row],[Days]]&gt;0,tblBills[[#This Row],[Energy (kWh)]]/(tblBills[[#This Row],[Peak demand (kW)]]*tblBills[[#This Row],[Days]]*24),""))</f>
        <v>0.599817772952854</v>
      </c>
      <c r="L19" s="40">
        <f>IF(tblBills[[#This Row],[Month]]="","",IF(tblBills[[#This Row],[Energy (kWh)]]&gt;0,tblBills[[#This Row],[Total bill]]/tblBills[[#This Row],[Energy (kWh)]],""))</f>
        <v>0.114947696152893</v>
      </c>
      <c r="M19" s="41">
        <f>IF(tblBills[[#This Row],[Month]]="","",MAX(RatchetPct*SUMPRODUCT(MAX((tblBills[Month]&gt;=EDATE(tblBills[[#This Row],[Month]],-RatchetMonths))*(tblBills[Month]&lt;tblBills[[#This Row],[Month]])*tblBills[Peak demand (kW)])),ContractMinPct*ContractKW))</f>
        <v>2224</v>
      </c>
      <c r="N19" s="41">
        <f>IF(tblBills[[#This Row],[Month]]="","",MAX(tblBills[[#This Row],[Peak demand (kW)]],tblBills[[#This Row],[Ratchet floor (kW)]]))</f>
        <v>2224</v>
      </c>
      <c r="O19" s="38">
        <f>IF(tblBills[[#This Row],[Month]]="","",tblBills[[#This Row],[Billing demand (kW)]]*DemandRate*ApplicablePct+FixedDemand)</f>
        <v>32698</v>
      </c>
      <c r="P19" s="38">
        <f>IF(tblBills[[#This Row],[Month]]="","",tblBills[[#This Row],[Demand charges]]-tblBills[[#This Row],[Expected demand charge]])</f>
        <v>0</v>
      </c>
      <c r="Q19" s="38">
        <f>IF(tblBills[[#This Row],[Month]]="","",(tblBills[[#This Row],[Billing demand (kW)]]-tblBills[[#This Row],[Peak demand (kW)]])*DemandRate*ApplicablePct)</f>
        <v>2088</v>
      </c>
      <c r="R19" s="41">
        <f>IF(tblBills[[#This Row],[Month]]="","",IF(N(tblBills[[#This Row],[Production]])&gt;0,tblBills[[#This Row],[Energy (kWh)]]/tblBills[[#This Row],[Production]],""))</f>
        <v>1475.25429116338</v>
      </c>
      <c r="S19" s="38">
        <f>IF(tblBills[[#This Row],[Month]]="","",IF(N(tblBills[[#This Row],[Production]])&gt;0,tblBills[[#This Row],[Total bill]]/tblBills[[#This Row],[Production]],""))</f>
        <v>169.5770820089</v>
      </c>
      <c r="T19" s="42" t="str">
        <f>IF(NOT(ISNUMBER(tblBills[[#This Row],[Energy intensity]])),"",IF(tblBills[[#This Row],[Energy intensity]]&lt;=TargetIntensity,"On target",IF(tblBills[[#This Row],[Energy intensity]]&lt;=TargetIntensity*(1+0.05),"Near target","Above target")))</f>
        <v>Above target</v>
      </c>
      <c r="U19"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19" s="44" t="s">
        <v>127</v>
      </c>
    </row>
    <row r="20" spans="2:22">
      <c r="B20" s="36">
        <v>45962</v>
      </c>
      <c r="C20" s="29">
        <v>30</v>
      </c>
      <c r="D20" s="29">
        <v>914320</v>
      </c>
      <c r="E20" s="29">
        <v>2035</v>
      </c>
      <c r="F20" s="31">
        <v>69518.09</v>
      </c>
      <c r="G20" s="31">
        <v>32698</v>
      </c>
      <c r="H20" s="31">
        <v>3316.48</v>
      </c>
      <c r="I20" s="37">
        <v>623</v>
      </c>
      <c r="J20" s="38">
        <f>IF(tblBills[[#This Row],[Month]]="","",tblBills[[#This Row],[Energy charges]]+tblBills[[#This Row],[Demand charges]]+tblBills[[#This Row],[Other charges]])</f>
        <v>105532.57</v>
      </c>
      <c r="K20" s="39">
        <f>IF(tblBills[[#This Row],[Month]]="","",IF(tblBills[[#This Row],[Peak demand (kW)]]*tblBills[[#This Row],[Days]]&gt;0,tblBills[[#This Row],[Energy (kWh)]]/(tblBills[[#This Row],[Peak demand (kW)]]*tblBills[[#This Row],[Days]]*24),""))</f>
        <v>0.624024024024024</v>
      </c>
      <c r="L20" s="40">
        <f>IF(tblBills[[#This Row],[Month]]="","",IF(tblBills[[#This Row],[Energy (kWh)]]&gt;0,tblBills[[#This Row],[Total bill]]/tblBills[[#This Row],[Energy (kWh)]],""))</f>
        <v>0.115421920115496</v>
      </c>
      <c r="M20" s="41">
        <f>IF(tblBills[[#This Row],[Month]]="","",MAX(RatchetPct*SUMPRODUCT(MAX((tblBills[Month]&gt;=EDATE(tblBills[[#This Row],[Month]],-RatchetMonths))*(tblBills[Month]&lt;tblBills[[#This Row],[Month]])*tblBills[Peak demand (kW)])),ContractMinPct*ContractKW))</f>
        <v>2224</v>
      </c>
      <c r="N20" s="41">
        <f>IF(tblBills[[#This Row],[Month]]="","",MAX(tblBills[[#This Row],[Peak demand (kW)]],tblBills[[#This Row],[Ratchet floor (kW)]]))</f>
        <v>2224</v>
      </c>
      <c r="O20" s="38">
        <f>IF(tblBills[[#This Row],[Month]]="","",tblBills[[#This Row],[Billing demand (kW)]]*DemandRate*ApplicablePct+FixedDemand)</f>
        <v>32698</v>
      </c>
      <c r="P20" s="38">
        <f>IF(tblBills[[#This Row],[Month]]="","",tblBills[[#This Row],[Demand charges]]-tblBills[[#This Row],[Expected demand charge]])</f>
        <v>0</v>
      </c>
      <c r="Q20" s="38">
        <f>IF(tblBills[[#This Row],[Month]]="","",(tblBills[[#This Row],[Billing demand (kW)]]-tblBills[[#This Row],[Peak demand (kW)]])*DemandRate*ApplicablePct)</f>
        <v>2740.5</v>
      </c>
      <c r="R20" s="41">
        <f>IF(tblBills[[#This Row],[Month]]="","",IF(N(tblBills[[#This Row],[Production]])&gt;0,tblBills[[#This Row],[Energy (kWh)]]/tblBills[[#This Row],[Production]],""))</f>
        <v>1467.60834670947</v>
      </c>
      <c r="S20" s="38">
        <f>IF(tblBills[[#This Row],[Month]]="","",IF(N(tblBills[[#This Row],[Production]])&gt;0,tblBills[[#This Row],[Total bill]]/tblBills[[#This Row],[Production]],""))</f>
        <v>169.394173354735</v>
      </c>
      <c r="T20" s="42" t="str">
        <f>IF(NOT(ISNUMBER(tblBills[[#This Row],[Energy intensity]])),"",IF(tblBills[[#This Row],[Energy intensity]]&lt;=TargetIntensity,"On target",IF(tblBills[[#This Row],[Energy intensity]]&lt;=TargetIntensity*(1+0.05),"Near target","Above target")))</f>
        <v>Near target</v>
      </c>
      <c r="U20"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20" s="44" t="s">
        <v>127</v>
      </c>
    </row>
    <row r="21" spans="2:22">
      <c r="B21" s="36">
        <v>45992</v>
      </c>
      <c r="C21" s="29">
        <v>31</v>
      </c>
      <c r="D21" s="29">
        <v>827570</v>
      </c>
      <c r="E21" s="29">
        <v>1960</v>
      </c>
      <c r="F21" s="31">
        <v>62885.61</v>
      </c>
      <c r="G21" s="31">
        <v>32698</v>
      </c>
      <c r="H21" s="31">
        <v>3117.51</v>
      </c>
      <c r="I21" s="37">
        <v>534</v>
      </c>
      <c r="J21" s="38">
        <f>IF(tblBills[[#This Row],[Month]]="","",tblBills[[#This Row],[Energy charges]]+tblBills[[#This Row],[Demand charges]]+tblBills[[#This Row],[Other charges]])</f>
        <v>98701.12</v>
      </c>
      <c r="K21" s="39">
        <f>IF(tblBills[[#This Row],[Month]]="","",IF(tblBills[[#This Row],[Peak demand (kW)]]*tblBills[[#This Row],[Days]]&gt;0,tblBills[[#This Row],[Energy (kWh)]]/(tblBills[[#This Row],[Peak demand (kW)]]*tblBills[[#This Row],[Days]]*24),""))</f>
        <v>0.567512892253676</v>
      </c>
      <c r="L21" s="40">
        <f>IF(tblBills[[#This Row],[Month]]="","",IF(tblBills[[#This Row],[Energy (kWh)]]&gt;0,tblBills[[#This Row],[Total bill]]/tblBills[[#This Row],[Energy (kWh)]],""))</f>
        <v>0.119266188962867</v>
      </c>
      <c r="M21" s="41">
        <f>IF(tblBills[[#This Row],[Month]]="","",MAX(RatchetPct*SUMPRODUCT(MAX((tblBills[Month]&gt;=EDATE(tblBills[[#This Row],[Month]],-RatchetMonths))*(tblBills[Month]&lt;tblBills[[#This Row],[Month]])*tblBills[Peak demand (kW)])),ContractMinPct*ContractKW))</f>
        <v>2224</v>
      </c>
      <c r="N21" s="41">
        <f>IF(tblBills[[#This Row],[Month]]="","",MAX(tblBills[[#This Row],[Peak demand (kW)]],tblBills[[#This Row],[Ratchet floor (kW)]]))</f>
        <v>2224</v>
      </c>
      <c r="O21" s="38">
        <f>IF(tblBills[[#This Row],[Month]]="","",tblBills[[#This Row],[Billing demand (kW)]]*DemandRate*ApplicablePct+FixedDemand)</f>
        <v>32698</v>
      </c>
      <c r="P21" s="38">
        <f>IF(tblBills[[#This Row],[Month]]="","",tblBills[[#This Row],[Demand charges]]-tblBills[[#This Row],[Expected demand charge]])</f>
        <v>0</v>
      </c>
      <c r="Q21" s="38">
        <f>IF(tblBills[[#This Row],[Month]]="","",(tblBills[[#This Row],[Billing demand (kW)]]-tblBills[[#This Row],[Peak demand (kW)]])*DemandRate*ApplicablePct)</f>
        <v>3828</v>
      </c>
      <c r="R21" s="41">
        <f>IF(tblBills[[#This Row],[Month]]="","",IF(N(tblBills[[#This Row],[Production]])&gt;0,tblBills[[#This Row],[Energy (kWh)]]/tblBills[[#This Row],[Production]],""))</f>
        <v>1549.75655430712</v>
      </c>
      <c r="S21" s="38">
        <f>IF(tblBills[[#This Row],[Month]]="","",IF(N(tblBills[[#This Row],[Production]])&gt;0,tblBills[[#This Row],[Total bill]]/tblBills[[#This Row],[Production]],""))</f>
        <v>184.833558052434</v>
      </c>
      <c r="T21" s="42" t="str">
        <f>IF(NOT(ISNUMBER(tblBills[[#This Row],[Energy intensity]])),"",IF(tblBills[[#This Row],[Energy intensity]]&lt;=TargetIntensity,"On target",IF(tblBills[[#This Row],[Energy intensity]]&lt;=TargetIntensity*(1+0.05),"Near target","Above target")))</f>
        <v>Above target</v>
      </c>
      <c r="U21"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21" s="44" t="s">
        <v>127</v>
      </c>
    </row>
    <row r="22" spans="2:22">
      <c r="B22" s="36">
        <v>46023</v>
      </c>
      <c r="C22" s="29">
        <v>31</v>
      </c>
      <c r="D22" s="29">
        <v>925410</v>
      </c>
      <c r="E22" s="29">
        <v>2310</v>
      </c>
      <c r="F22" s="31">
        <v>75285.44</v>
      </c>
      <c r="G22" s="31">
        <v>33945</v>
      </c>
      <c r="H22" s="31">
        <v>3526.91</v>
      </c>
      <c r="I22" s="37">
        <v>615.3</v>
      </c>
      <c r="J22" s="38">
        <f>IF(tblBills[[#This Row],[Month]]="","",tblBills[[#This Row],[Energy charges]]+tblBills[[#This Row],[Demand charges]]+tblBills[[#This Row],[Other charges]])</f>
        <v>112757.35</v>
      </c>
      <c r="K22" s="39">
        <f>IF(tblBills[[#This Row],[Month]]="","",IF(tblBills[[#This Row],[Peak demand (kW)]]*tblBills[[#This Row],[Days]]&gt;0,tblBills[[#This Row],[Energy (kWh)]]/(tblBills[[#This Row],[Peak demand (kW)]]*tblBills[[#This Row],[Days]]*24),""))</f>
        <v>0.538454824745147</v>
      </c>
      <c r="L22" s="40">
        <f>IF(tblBills[[#This Row],[Month]]="","",IF(tblBills[[#This Row],[Energy (kWh)]]&gt;0,tblBills[[#This Row],[Total bill]]/tblBills[[#This Row],[Energy (kWh)]],""))</f>
        <v>0.121845830496753</v>
      </c>
      <c r="M22" s="41">
        <f>IF(tblBills[[#This Row],[Month]]="","",MAX(RatchetPct*SUMPRODUCT(MAX((tblBills[Month]&gt;=EDATE(tblBills[[#This Row],[Month]],-RatchetMonths))*(tblBills[Month]&lt;tblBills[[#This Row],[Month]])*tblBills[Peak demand (kW)])),ContractMinPct*ContractKW))</f>
        <v>1664</v>
      </c>
      <c r="N22" s="41">
        <f>IF(tblBills[[#This Row],[Month]]="","",MAX(tblBills[[#This Row],[Peak demand (kW)]],tblBills[[#This Row],[Ratchet floor (kW)]]))</f>
        <v>2310</v>
      </c>
      <c r="O22" s="38">
        <f>IF(tblBills[[#This Row],[Month]]="","",tblBills[[#This Row],[Billing demand (kW)]]*DemandRate*ApplicablePct+FixedDemand)</f>
        <v>33945</v>
      </c>
      <c r="P22" s="38">
        <f>IF(tblBills[[#This Row],[Month]]="","",tblBills[[#This Row],[Demand charges]]-tblBills[[#This Row],[Expected demand charge]])</f>
        <v>0</v>
      </c>
      <c r="Q22" s="38">
        <f>IF(tblBills[[#This Row],[Month]]="","",(tblBills[[#This Row],[Billing demand (kW)]]-tblBills[[#This Row],[Peak demand (kW)]])*DemandRate*ApplicablePct)</f>
        <v>0</v>
      </c>
      <c r="R22" s="41">
        <f>IF(tblBills[[#This Row],[Month]]="","",IF(N(tblBills[[#This Row],[Production]])&gt;0,tblBills[[#This Row],[Energy (kWh)]]/tblBills[[#This Row],[Production]],""))</f>
        <v>1503.99804973184</v>
      </c>
      <c r="S22" s="38">
        <f>IF(tblBills[[#This Row],[Month]]="","",IF(N(tblBills[[#This Row],[Production]])&gt;0,tblBills[[#This Row],[Total bill]]/tblBills[[#This Row],[Production]],""))</f>
        <v>183.255891435072</v>
      </c>
      <c r="T22" s="42" t="str">
        <f>IF(NOT(ISNUMBER(tblBills[[#This Row],[Energy intensity]])),"",IF(tblBills[[#This Row],[Energy intensity]]&lt;=TargetIntensity,"On target",IF(tblBills[[#This Row],[Energy intensity]]&lt;=TargetIntensity*(1+0.05),"Near target","Above target")))</f>
        <v>Above target</v>
      </c>
      <c r="U22"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22" s="44" t="s">
        <v>129</v>
      </c>
    </row>
    <row r="23" spans="2:22">
      <c r="B23" s="36">
        <v>46054</v>
      </c>
      <c r="C23" s="29">
        <v>28</v>
      </c>
      <c r="D23" s="29">
        <v>909230</v>
      </c>
      <c r="E23" s="29">
        <v>2005</v>
      </c>
      <c r="F23" s="31">
        <v>74456.64999999999</v>
      </c>
      <c r="G23" s="31">
        <v>29522.5</v>
      </c>
      <c r="H23" s="31">
        <v>3369.37</v>
      </c>
      <c r="I23" s="37">
        <v>634</v>
      </c>
      <c r="J23" s="38">
        <f>IF(tblBills[[#This Row],[Month]]="","",tblBills[[#This Row],[Energy charges]]+tblBills[[#This Row],[Demand charges]]+tblBills[[#This Row],[Other charges]])</f>
        <v>107348.52</v>
      </c>
      <c r="K23" s="39">
        <f>IF(tblBills[[#This Row],[Month]]="","",IF(tblBills[[#This Row],[Peak demand (kW)]]*tblBills[[#This Row],[Days]]&gt;0,tblBills[[#This Row],[Energy (kWh)]]/(tblBills[[#This Row],[Peak demand (kW)]]*tblBills[[#This Row],[Days]]*24),""))</f>
        <v>0.674823358270989</v>
      </c>
      <c r="L23" s="40">
        <f>IF(tblBills[[#This Row],[Month]]="","",IF(tblBills[[#This Row],[Energy (kWh)]]&gt;0,tblBills[[#This Row],[Total bill]]/tblBills[[#This Row],[Energy (kWh)]],""))</f>
        <v>0.118065308007875</v>
      </c>
      <c r="M23" s="41">
        <f>IF(tblBills[[#This Row],[Month]]="","",MAX(RatchetPct*SUMPRODUCT(MAX((tblBills[Month]&gt;=EDATE(tblBills[[#This Row],[Month]],-RatchetMonths))*(tblBills[Month]&lt;tblBills[[#This Row],[Month]])*tblBills[Peak demand (kW)])),ContractMinPct*ContractKW))</f>
        <v>1848</v>
      </c>
      <c r="N23" s="41">
        <f>IF(tblBills[[#This Row],[Month]]="","",MAX(tblBills[[#This Row],[Peak demand (kW)]],tblBills[[#This Row],[Ratchet floor (kW)]]))</f>
        <v>2005</v>
      </c>
      <c r="O23" s="38">
        <f>IF(tblBills[[#This Row],[Month]]="","",tblBills[[#This Row],[Billing demand (kW)]]*DemandRate*ApplicablePct+FixedDemand)</f>
        <v>29522.5</v>
      </c>
      <c r="P23" s="38">
        <f>IF(tblBills[[#This Row],[Month]]="","",tblBills[[#This Row],[Demand charges]]-tblBills[[#This Row],[Expected demand charge]])</f>
        <v>0</v>
      </c>
      <c r="Q23" s="38">
        <f>IF(tblBills[[#This Row],[Month]]="","",(tblBills[[#This Row],[Billing demand (kW)]]-tblBills[[#This Row],[Peak demand (kW)]])*DemandRate*ApplicablePct)</f>
        <v>0</v>
      </c>
      <c r="R23" s="41">
        <f>IF(tblBills[[#This Row],[Month]]="","",IF(N(tblBills[[#This Row],[Production]])&gt;0,tblBills[[#This Row],[Energy (kWh)]]/tblBills[[#This Row],[Production]],""))</f>
        <v>1434.1167192429</v>
      </c>
      <c r="S23" s="38">
        <f>IF(tblBills[[#This Row],[Month]]="","",IF(N(tblBills[[#This Row],[Production]])&gt;0,tblBills[[#This Row],[Total bill]]/tblBills[[#This Row],[Production]],""))</f>
        <v>169.319432176656</v>
      </c>
      <c r="T23" s="42" t="str">
        <f>IF(NOT(ISNUMBER(tblBills[[#This Row],[Energy intensity]])),"",IF(tblBills[[#This Row],[Energy intensity]]&lt;=TargetIntensity,"On target",IF(tblBills[[#This Row],[Energy intensity]]&lt;=TargetIntensity*(1+0.05),"Near target","Above target")))</f>
        <v>Near target</v>
      </c>
      <c r="U23"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23" s="44" t="s">
        <v>127</v>
      </c>
    </row>
    <row r="24" spans="2:22">
      <c r="B24" s="36">
        <v>46082</v>
      </c>
      <c r="C24" s="29">
        <v>31</v>
      </c>
      <c r="D24" s="29">
        <v>918970</v>
      </c>
      <c r="E24" s="29">
        <v>2005</v>
      </c>
      <c r="F24" s="31">
        <v>74755.50999999999</v>
      </c>
      <c r="G24" s="31">
        <v>31234.81</v>
      </c>
      <c r="H24" s="31">
        <v>3429.71</v>
      </c>
      <c r="I24" s="37">
        <v>614.5</v>
      </c>
      <c r="J24" s="38">
        <f>IF(tblBills[[#This Row],[Month]]="","",tblBills[[#This Row],[Energy charges]]+tblBills[[#This Row],[Demand charges]]+tblBills[[#This Row],[Other charges]])</f>
        <v>109420.03</v>
      </c>
      <c r="K24" s="39">
        <f>IF(tblBills[[#This Row],[Month]]="","",IF(tblBills[[#This Row],[Peak demand (kW)]]*tblBills[[#This Row],[Days]]&gt;0,tblBills[[#This Row],[Energy (kWh)]]/(tblBills[[#This Row],[Peak demand (kW)]]*tblBills[[#This Row],[Days]]*24),""))</f>
        <v>0.616047247472716</v>
      </c>
      <c r="L24" s="40">
        <f>IF(tblBills[[#This Row],[Month]]="","",IF(tblBills[[#This Row],[Energy (kWh)]]&gt;0,tblBills[[#This Row],[Total bill]]/tblBills[[#This Row],[Energy (kWh)]],""))</f>
        <v>0.119068119742755</v>
      </c>
      <c r="M24" s="41">
        <f>IF(tblBills[[#This Row],[Month]]="","",MAX(RatchetPct*SUMPRODUCT(MAX((tblBills[Month]&gt;=EDATE(tblBills[[#This Row],[Month]],-RatchetMonths))*(tblBills[Month]&lt;tblBills[[#This Row],[Month]])*tblBills[Peak demand (kW)])),ContractMinPct*ContractKW))</f>
        <v>1848</v>
      </c>
      <c r="N24" s="41">
        <f>IF(tblBills[[#This Row],[Month]]="","",MAX(tblBills[[#This Row],[Peak demand (kW)]],tblBills[[#This Row],[Ratchet floor (kW)]]))</f>
        <v>2005</v>
      </c>
      <c r="O24" s="38">
        <f>IF(tblBills[[#This Row],[Month]]="","",tblBills[[#This Row],[Billing demand (kW)]]*DemandRate*ApplicablePct+FixedDemand)</f>
        <v>29522.5</v>
      </c>
      <c r="P24" s="38">
        <f>IF(tblBills[[#This Row],[Month]]="","",tblBills[[#This Row],[Demand charges]]-tblBills[[#This Row],[Expected demand charge]])</f>
        <v>1712.31</v>
      </c>
      <c r="Q24" s="38">
        <f>IF(tblBills[[#This Row],[Month]]="","",(tblBills[[#This Row],[Billing demand (kW)]]-tblBills[[#This Row],[Peak demand (kW)]])*DemandRate*ApplicablePct)</f>
        <v>0</v>
      </c>
      <c r="R24" s="41">
        <f>IF(tblBills[[#This Row],[Month]]="","",IF(N(tblBills[[#This Row],[Production]])&gt;0,tblBills[[#This Row],[Energy (kWh)]]/tblBills[[#This Row],[Production]],""))</f>
        <v>1495.47599674532</v>
      </c>
      <c r="S24" s="38">
        <f>IF(tblBills[[#This Row],[Month]]="","",IF(N(tblBills[[#This Row],[Production]])&gt;0,tblBills[[#This Row],[Total bill]]/tblBills[[#This Row],[Production]],""))</f>
        <v>178.063515052889</v>
      </c>
      <c r="T24" s="42" t="str">
        <f>IF(NOT(ISNUMBER(tblBills[[#This Row],[Energy intensity]])),"",IF(tblBills[[#This Row],[Energy intensity]]&lt;=TargetIntensity,"On target",IF(tblBills[[#This Row],[Energy intensity]]&lt;=TargetIntensity*(1+0.05),"Near target","Above target")))</f>
        <v>Above target</v>
      </c>
      <c r="U24"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Demand charge above tariff</v>
      </c>
      <c r="V24" s="44" t="s">
        <v>130</v>
      </c>
    </row>
    <row r="25" spans="2:22">
      <c r="B25" s="36">
        <v>46113</v>
      </c>
      <c r="C25" s="29">
        <v>30</v>
      </c>
      <c r="D25" s="29">
        <v>879350</v>
      </c>
      <c r="E25" s="29">
        <v>2065</v>
      </c>
      <c r="F25" s="31">
        <v>71721.58</v>
      </c>
      <c r="G25" s="31">
        <v>30392.5</v>
      </c>
      <c r="H25" s="31">
        <v>3313.42</v>
      </c>
      <c r="I25" s="37">
        <v>620.4</v>
      </c>
      <c r="J25" s="38">
        <f>IF(tblBills[[#This Row],[Month]]="","",tblBills[[#This Row],[Energy charges]]+tblBills[[#This Row],[Demand charges]]+tblBills[[#This Row],[Other charges]])</f>
        <v>105427.5</v>
      </c>
      <c r="K25" s="39">
        <f>IF(tblBills[[#This Row],[Month]]="","",IF(tblBills[[#This Row],[Peak demand (kW)]]*tblBills[[#This Row],[Days]]&gt;0,tblBills[[#This Row],[Energy (kWh)]]/(tblBills[[#This Row],[Peak demand (kW)]]*tblBills[[#This Row],[Days]]*24),""))</f>
        <v>0.591437987624428</v>
      </c>
      <c r="L25" s="40">
        <f>IF(tblBills[[#This Row],[Month]]="","",IF(tblBills[[#This Row],[Energy (kWh)]]&gt;0,tblBills[[#This Row],[Total bill]]/tblBills[[#This Row],[Energy (kWh)]],""))</f>
        <v>0.119892534258259</v>
      </c>
      <c r="M25" s="41">
        <f>IF(tblBills[[#This Row],[Month]]="","",MAX(RatchetPct*SUMPRODUCT(MAX((tblBills[Month]&gt;=EDATE(tblBills[[#This Row],[Month]],-RatchetMonths))*(tblBills[Month]&lt;tblBills[[#This Row],[Month]])*tblBills[Peak demand (kW)])),ContractMinPct*ContractKW))</f>
        <v>1848</v>
      </c>
      <c r="N25" s="41">
        <f>IF(tblBills[[#This Row],[Month]]="","",MAX(tblBills[[#This Row],[Peak demand (kW)]],tblBills[[#This Row],[Ratchet floor (kW)]]))</f>
        <v>2065</v>
      </c>
      <c r="O25" s="38">
        <f>IF(tblBills[[#This Row],[Month]]="","",tblBills[[#This Row],[Billing demand (kW)]]*DemandRate*ApplicablePct+FixedDemand)</f>
        <v>30392.5</v>
      </c>
      <c r="P25" s="38">
        <f>IF(tblBills[[#This Row],[Month]]="","",tblBills[[#This Row],[Demand charges]]-tblBills[[#This Row],[Expected demand charge]])</f>
        <v>0</v>
      </c>
      <c r="Q25" s="38">
        <f>IF(tblBills[[#This Row],[Month]]="","",(tblBills[[#This Row],[Billing demand (kW)]]-tblBills[[#This Row],[Peak demand (kW)]])*DemandRate*ApplicablePct)</f>
        <v>0</v>
      </c>
      <c r="R25" s="41">
        <f>IF(tblBills[[#This Row],[Month]]="","",IF(N(tblBills[[#This Row],[Production]])&gt;0,tblBills[[#This Row],[Energy (kWh)]]/tblBills[[#This Row],[Production]],""))</f>
        <v>1417.39200515796</v>
      </c>
      <c r="S25" s="38">
        <f>IF(tblBills[[#This Row],[Month]]="","",IF(N(tblBills[[#This Row],[Production]])&gt;0,tblBills[[#This Row],[Total bill]]/tblBills[[#This Row],[Production]],""))</f>
        <v>169.934719535783</v>
      </c>
      <c r="T25" s="42" t="str">
        <f>IF(NOT(ISNUMBER(tblBills[[#This Row],[Energy intensity]])),"",IF(tblBills[[#This Row],[Energy intensity]]&lt;=TargetIntensity,"On target",IF(tblBills[[#This Row],[Energy intensity]]&lt;=TargetIntensity*(1+0.05),"Near target","Above target")))</f>
        <v>Near target</v>
      </c>
      <c r="U25"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25" s="44" t="s">
        <v>127</v>
      </c>
    </row>
    <row r="26" spans="2:22">
      <c r="B26" s="36">
        <v>46143</v>
      </c>
      <c r="C26" s="29">
        <v>31</v>
      </c>
      <c r="D26" s="29">
        <v>881870</v>
      </c>
      <c r="E26" s="29">
        <v>2015</v>
      </c>
      <c r="F26" s="31">
        <v>72213.34</v>
      </c>
      <c r="G26" s="31">
        <v>29667.5</v>
      </c>
      <c r="H26" s="31">
        <v>3306.43</v>
      </c>
      <c r="I26" s="37">
        <v>618.4</v>
      </c>
      <c r="J26" s="38">
        <f>IF(tblBills[[#This Row],[Month]]="","",tblBills[[#This Row],[Energy charges]]+tblBills[[#This Row],[Demand charges]]+tblBills[[#This Row],[Other charges]])</f>
        <v>105187.27</v>
      </c>
      <c r="K26" s="39">
        <f>IF(tblBills[[#This Row],[Month]]="","",IF(tblBills[[#This Row],[Peak demand (kW)]]*tblBills[[#This Row],[Days]]&gt;0,tblBills[[#This Row],[Energy (kWh)]]/(tblBills[[#This Row],[Peak demand (kW)]]*tblBills[[#This Row],[Days]]*24),""))</f>
        <v>0.588242749272926</v>
      </c>
      <c r="L26" s="40">
        <f>IF(tblBills[[#This Row],[Month]]="","",IF(tblBills[[#This Row],[Energy (kWh)]]&gt;0,tblBills[[#This Row],[Total bill]]/tblBills[[#This Row],[Energy (kWh)]],""))</f>
        <v>0.11927752389808</v>
      </c>
      <c r="M26" s="41">
        <f>IF(tblBills[[#This Row],[Month]]="","",MAX(RatchetPct*SUMPRODUCT(MAX((tblBills[Month]&gt;=EDATE(tblBills[[#This Row],[Month]],-RatchetMonths))*(tblBills[Month]&lt;tblBills[[#This Row],[Month]])*tblBills[Peak demand (kW)])),ContractMinPct*ContractKW))</f>
        <v>1848</v>
      </c>
      <c r="N26" s="41">
        <f>IF(tblBills[[#This Row],[Month]]="","",MAX(tblBills[[#This Row],[Peak demand (kW)]],tblBills[[#This Row],[Ratchet floor (kW)]]))</f>
        <v>2015</v>
      </c>
      <c r="O26" s="38">
        <f>IF(tblBills[[#This Row],[Month]]="","",tblBills[[#This Row],[Billing demand (kW)]]*DemandRate*ApplicablePct+FixedDemand)</f>
        <v>29667.5</v>
      </c>
      <c r="P26" s="38">
        <f>IF(tblBills[[#This Row],[Month]]="","",tblBills[[#This Row],[Demand charges]]-tblBills[[#This Row],[Expected demand charge]])</f>
        <v>0</v>
      </c>
      <c r="Q26" s="38">
        <f>IF(tblBills[[#This Row],[Month]]="","",(tblBills[[#This Row],[Billing demand (kW)]]-tblBills[[#This Row],[Peak demand (kW)]])*DemandRate*ApplicablePct)</f>
        <v>0</v>
      </c>
      <c r="R26" s="41">
        <f>IF(tblBills[[#This Row],[Month]]="","",IF(N(tblBills[[#This Row],[Production]])&gt;0,tblBills[[#This Row],[Energy (kWh)]]/tblBills[[#This Row],[Production]],""))</f>
        <v>1426.0510996119</v>
      </c>
      <c r="S26" s="38">
        <f>IF(tblBills[[#This Row],[Month]]="","",IF(N(tblBills[[#This Row],[Production]])&gt;0,tblBills[[#This Row],[Total bill]]/tblBills[[#This Row],[Production]],""))</f>
        <v>170.095844113842</v>
      </c>
      <c r="T26" s="42" t="str">
        <f>IF(NOT(ISNUMBER(tblBills[[#This Row],[Energy intensity]])),"",IF(tblBills[[#This Row],[Energy intensity]]&lt;=TargetIntensity,"On target",IF(tblBills[[#This Row],[Energy intensity]]&lt;=TargetIntensity*(1+0.05),"Near target","Above target")))</f>
        <v>Near target</v>
      </c>
      <c r="U26"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26" s="44" t="s">
        <v>127</v>
      </c>
    </row>
    <row r="27" spans="2:22">
      <c r="B27" s="36">
        <v>46174</v>
      </c>
      <c r="C27" s="29">
        <v>30</v>
      </c>
      <c r="D27" s="29">
        <v>891730</v>
      </c>
      <c r="E27" s="29">
        <v>2055</v>
      </c>
      <c r="F27" s="31">
        <v>72975.81</v>
      </c>
      <c r="G27" s="31">
        <v>30247.5</v>
      </c>
      <c r="H27" s="31">
        <v>3346.7</v>
      </c>
      <c r="I27" s="37">
        <v>633.1</v>
      </c>
      <c r="J27" s="38">
        <f>IF(tblBills[[#This Row],[Month]]="","",tblBills[[#This Row],[Energy charges]]+tblBills[[#This Row],[Demand charges]]+tblBills[[#This Row],[Other charges]])</f>
        <v>106570.01</v>
      </c>
      <c r="K27" s="39">
        <f>IF(tblBills[[#This Row],[Month]]="","",IF(tblBills[[#This Row],[Peak demand (kW)]]*tblBills[[#This Row],[Days]]&gt;0,tblBills[[#This Row],[Energy (kWh)]]/(tblBills[[#This Row],[Peak demand (kW)]]*tblBills[[#This Row],[Days]]*24),""))</f>
        <v>0.602683157610165</v>
      </c>
      <c r="L27" s="40">
        <f>IF(tblBills[[#This Row],[Month]]="","",IF(tblBills[[#This Row],[Energy (kWh)]]&gt;0,tblBills[[#This Row],[Total bill]]/tblBills[[#This Row],[Energy (kWh)]],""))</f>
        <v>0.119509279714712</v>
      </c>
      <c r="M27" s="41">
        <f>IF(tblBills[[#This Row],[Month]]="","",MAX(RatchetPct*SUMPRODUCT(MAX((tblBills[Month]&gt;=EDATE(tblBills[[#This Row],[Month]],-RatchetMonths))*(tblBills[Month]&lt;tblBills[[#This Row],[Month]])*tblBills[Peak demand (kW)])),ContractMinPct*ContractKW))</f>
        <v>1848</v>
      </c>
      <c r="N27" s="41">
        <f>IF(tblBills[[#This Row],[Month]]="","",MAX(tblBills[[#This Row],[Peak demand (kW)]],tblBills[[#This Row],[Ratchet floor (kW)]]))</f>
        <v>2055</v>
      </c>
      <c r="O27" s="38">
        <f>IF(tblBills[[#This Row],[Month]]="","",tblBills[[#This Row],[Billing demand (kW)]]*DemandRate*ApplicablePct+FixedDemand)</f>
        <v>30247.5</v>
      </c>
      <c r="P27" s="38">
        <f>IF(tblBills[[#This Row],[Month]]="","",tblBills[[#This Row],[Demand charges]]-tblBills[[#This Row],[Expected demand charge]])</f>
        <v>0</v>
      </c>
      <c r="Q27" s="38">
        <f>IF(tblBills[[#This Row],[Month]]="","",(tblBills[[#This Row],[Billing demand (kW)]]-tblBills[[#This Row],[Peak demand (kW)]])*DemandRate*ApplicablePct)</f>
        <v>0</v>
      </c>
      <c r="R27" s="41">
        <f>IF(tblBills[[#This Row],[Month]]="","",IF(N(tblBills[[#This Row],[Production]])&gt;0,tblBills[[#This Row],[Energy (kWh)]]/tblBills[[#This Row],[Production]],""))</f>
        <v>1408.51366292845</v>
      </c>
      <c r="S27" s="38">
        <f>IF(tblBills[[#This Row],[Month]]="","",IF(N(tblBills[[#This Row],[Production]])&gt;0,tblBills[[#This Row],[Total bill]]/tblBills[[#This Row],[Production]],""))</f>
        <v>168.330453324909</v>
      </c>
      <c r="T27" s="42" t="str">
        <f>IF(NOT(ISNUMBER(tblBills[[#This Row],[Energy intensity]])),"",IF(tblBills[[#This Row],[Energy intensity]]&lt;=TargetIntensity,"On target",IF(tblBills[[#This Row],[Energy intensity]]&lt;=TargetIntensity*(1+0.05),"Near target","Above target")))</f>
        <v>Near target</v>
      </c>
      <c r="U27"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27" s="44" t="s">
        <v>127</v>
      </c>
    </row>
    <row r="28" spans="2:22">
      <c r="B28" s="36">
        <v>46204</v>
      </c>
      <c r="C28" s="29">
        <v>31</v>
      </c>
      <c r="D28" s="29">
        <v>909740</v>
      </c>
      <c r="E28" s="29">
        <v>2090</v>
      </c>
      <c r="F28" s="31">
        <v>73961.75</v>
      </c>
      <c r="G28" s="31">
        <v>30755</v>
      </c>
      <c r="H28" s="31">
        <v>3391.5</v>
      </c>
      <c r="I28" s="37">
        <v>632.1</v>
      </c>
      <c r="J28" s="38">
        <f>IF(tblBills[[#This Row],[Month]]="","",tblBills[[#This Row],[Energy charges]]+tblBills[[#This Row],[Demand charges]]+tblBills[[#This Row],[Other charges]])</f>
        <v>108108.25</v>
      </c>
      <c r="K28" s="39">
        <f>IF(tblBills[[#This Row],[Month]]="","",IF(tblBills[[#This Row],[Peak demand (kW)]]*tblBills[[#This Row],[Days]]&gt;0,tblBills[[#This Row],[Energy (kWh)]]/(tblBills[[#This Row],[Peak demand (kW)]]*tblBills[[#This Row],[Days]]*24),""))</f>
        <v>0.585056850336986</v>
      </c>
      <c r="L28" s="40">
        <f>IF(tblBills[[#This Row],[Month]]="","",IF(tblBills[[#This Row],[Energy (kWh)]]&gt;0,tblBills[[#This Row],[Total bill]]/tblBills[[#This Row],[Energy (kWh)]],""))</f>
        <v>0.118834227361664</v>
      </c>
      <c r="M28" s="41">
        <f>IF(tblBills[[#This Row],[Month]]="","",MAX(RatchetPct*SUMPRODUCT(MAX((tblBills[Month]&gt;=EDATE(tblBills[[#This Row],[Month]],-RatchetMonths))*(tblBills[Month]&lt;tblBills[[#This Row],[Month]])*tblBills[Peak demand (kW)])),ContractMinPct*ContractKW))</f>
        <v>1848</v>
      </c>
      <c r="N28" s="41">
        <f>IF(tblBills[[#This Row],[Month]]="","",MAX(tblBills[[#This Row],[Peak demand (kW)]],tblBills[[#This Row],[Ratchet floor (kW)]]))</f>
        <v>2090</v>
      </c>
      <c r="O28" s="38">
        <f>IF(tblBills[[#This Row],[Month]]="","",tblBills[[#This Row],[Billing demand (kW)]]*DemandRate*ApplicablePct+FixedDemand)</f>
        <v>30755</v>
      </c>
      <c r="P28" s="38">
        <f>IF(tblBills[[#This Row],[Month]]="","",tblBills[[#This Row],[Demand charges]]-tblBills[[#This Row],[Expected demand charge]])</f>
        <v>0</v>
      </c>
      <c r="Q28" s="38">
        <f>IF(tblBills[[#This Row],[Month]]="","",(tblBills[[#This Row],[Billing demand (kW)]]-tblBills[[#This Row],[Peak demand (kW)]])*DemandRate*ApplicablePct)</f>
        <v>0</v>
      </c>
      <c r="R28" s="41">
        <f>IF(tblBills[[#This Row],[Month]]="","",IF(N(tblBills[[#This Row],[Production]])&gt;0,tblBills[[#This Row],[Energy (kWh)]]/tblBills[[#This Row],[Production]],""))</f>
        <v>1439.23429837051</v>
      </c>
      <c r="S28" s="38">
        <f>IF(tblBills[[#This Row],[Month]]="","",IF(N(tblBills[[#This Row],[Production]])&gt;0,tblBills[[#This Row],[Total bill]]/tblBills[[#This Row],[Production]],""))</f>
        <v>171.030295839266</v>
      </c>
      <c r="T28" s="42" t="str">
        <f>IF(NOT(ISNUMBER(tblBills[[#This Row],[Energy intensity]])),"",IF(tblBills[[#This Row],[Energy intensity]]&lt;=TargetIntensity,"On target",IF(tblBills[[#This Row],[Energy intensity]]&lt;=TargetIntensity*(1+0.05),"Near target","Above target")))</f>
        <v>Near target</v>
      </c>
      <c r="U28"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28" s="44" t="s">
        <v>127</v>
      </c>
    </row>
    <row r="29" spans="2:22">
      <c r="B29" s="36">
        <v>46235</v>
      </c>
      <c r="C29" s="29">
        <v>31</v>
      </c>
      <c r="D29" s="29">
        <v>735620</v>
      </c>
      <c r="E29" s="29">
        <v>1775</v>
      </c>
      <c r="F29" s="31">
        <v>59986.97</v>
      </c>
      <c r="G29" s="31">
        <v>27246</v>
      </c>
      <c r="H29" s="31">
        <v>2866.99</v>
      </c>
      <c r="I29" s="37">
        <v>475.8</v>
      </c>
      <c r="J29" s="38">
        <f>IF(tblBills[[#This Row],[Month]]="","",tblBills[[#This Row],[Energy charges]]+tblBills[[#This Row],[Demand charges]]+tblBills[[#This Row],[Other charges]])</f>
        <v>90099.96</v>
      </c>
      <c r="K29" s="39">
        <f>IF(tblBills[[#This Row],[Month]]="","",IF(tblBills[[#This Row],[Peak demand (kW)]]*tblBills[[#This Row],[Days]]&gt;0,tblBills[[#This Row],[Energy (kWh)]]/(tblBills[[#This Row],[Peak demand (kW)]]*tblBills[[#This Row],[Days]]*24),""))</f>
        <v>0.557034681205513</v>
      </c>
      <c r="L29" s="40">
        <f>IF(tblBills[[#This Row],[Month]]="","",IF(tblBills[[#This Row],[Energy (kWh)]]&gt;0,tblBills[[#This Row],[Total bill]]/tblBills[[#This Row],[Energy (kWh)]],""))</f>
        <v>0.122481661727522</v>
      </c>
      <c r="M29" s="41">
        <f>IF(tblBills[[#This Row],[Month]]="","",MAX(RatchetPct*SUMPRODUCT(MAX((tblBills[Month]&gt;=EDATE(tblBills[[#This Row],[Month]],-RatchetMonths))*(tblBills[Month]&lt;tblBills[[#This Row],[Month]])*tblBills[Peak demand (kW)])),ContractMinPct*ContractKW))</f>
        <v>1848</v>
      </c>
      <c r="N29" s="41">
        <f>IF(tblBills[[#This Row],[Month]]="","",MAX(tblBills[[#This Row],[Peak demand (kW)]],tblBills[[#This Row],[Ratchet floor (kW)]]))</f>
        <v>1848</v>
      </c>
      <c r="O29" s="38">
        <f>IF(tblBills[[#This Row],[Month]]="","",tblBills[[#This Row],[Billing demand (kW)]]*DemandRate*ApplicablePct+FixedDemand)</f>
        <v>27246</v>
      </c>
      <c r="P29" s="38">
        <f>IF(tblBills[[#This Row],[Month]]="","",tblBills[[#This Row],[Demand charges]]-tblBills[[#This Row],[Expected demand charge]])</f>
        <v>0</v>
      </c>
      <c r="Q29" s="38">
        <f>IF(tblBills[[#This Row],[Month]]="","",(tblBills[[#This Row],[Billing demand (kW)]]-tblBills[[#This Row],[Peak demand (kW)]])*DemandRate*ApplicablePct)</f>
        <v>1058.5</v>
      </c>
      <c r="R29" s="41">
        <f>IF(tblBills[[#This Row],[Month]]="","",IF(N(tblBills[[#This Row],[Production]])&gt;0,tblBills[[#This Row],[Energy (kWh)]]/tblBills[[#This Row],[Production]],""))</f>
        <v>1546.06977721732</v>
      </c>
      <c r="S29" s="38">
        <f>IF(tblBills[[#This Row],[Month]]="","",IF(N(tblBills[[#This Row],[Production]])&gt;0,tblBills[[#This Row],[Total bill]]/tblBills[[#This Row],[Production]],""))</f>
        <v>189.365195460277</v>
      </c>
      <c r="T29" s="42" t="str">
        <f>IF(NOT(ISNUMBER(tblBills[[#This Row],[Energy intensity]])),"",IF(tblBills[[#This Row],[Energy intensity]]&lt;=TargetIntensity,"On target",IF(tblBills[[#This Row],[Energy intensity]]&lt;=TargetIntensity*(1+0.05),"Near target","Above target")))</f>
        <v>Above target</v>
      </c>
      <c r="U29"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29" s="44" t="s">
        <v>127</v>
      </c>
    </row>
    <row r="30" spans="2:22">
      <c r="B30" s="36">
        <v>46266</v>
      </c>
      <c r="C30" s="29">
        <v>30</v>
      </c>
      <c r="D30" s="29">
        <v>877680</v>
      </c>
      <c r="E30" s="29">
        <v>2030</v>
      </c>
      <c r="F30" s="31">
        <v>71720.03999999999</v>
      </c>
      <c r="G30" s="31">
        <v>29885</v>
      </c>
      <c r="H30" s="31">
        <v>3298.15</v>
      </c>
      <c r="I30" s="37">
        <v>611.4</v>
      </c>
      <c r="J30" s="38">
        <f>IF(tblBills[[#This Row],[Month]]="","",tblBills[[#This Row],[Energy charges]]+tblBills[[#This Row],[Demand charges]]+tblBills[[#This Row],[Other charges]])</f>
        <v>104903.19</v>
      </c>
      <c r="K30" s="39">
        <f>IF(tblBills[[#This Row],[Month]]="","",IF(tblBills[[#This Row],[Peak demand (kW)]]*tblBills[[#This Row],[Days]]&gt;0,tblBills[[#This Row],[Energy (kWh)]]/(tblBills[[#This Row],[Peak demand (kW)]]*tblBills[[#This Row],[Days]]*24),""))</f>
        <v>0.600492610837438</v>
      </c>
      <c r="L30" s="40">
        <f>IF(tblBills[[#This Row],[Month]]="","",IF(tblBills[[#This Row],[Energy (kWh)]]&gt;0,tblBills[[#This Row],[Total bill]]/tblBills[[#This Row],[Energy (kWh)]],""))</f>
        <v>0.119523277276456</v>
      </c>
      <c r="M30" s="41">
        <f>IF(tblBills[[#This Row],[Month]]="","",MAX(RatchetPct*SUMPRODUCT(MAX((tblBills[Month]&gt;=EDATE(tblBills[[#This Row],[Month]],-RatchetMonths))*(tblBills[Month]&lt;tblBills[[#This Row],[Month]])*tblBills[Peak demand (kW)])),ContractMinPct*ContractKW))</f>
        <v>1848</v>
      </c>
      <c r="N30" s="41">
        <f>IF(tblBills[[#This Row],[Month]]="","",MAX(tblBills[[#This Row],[Peak demand (kW)]],tblBills[[#This Row],[Ratchet floor (kW)]]))</f>
        <v>2030</v>
      </c>
      <c r="O30" s="38">
        <f>IF(tblBills[[#This Row],[Month]]="","",tblBills[[#This Row],[Billing demand (kW)]]*DemandRate*ApplicablePct+FixedDemand)</f>
        <v>29885</v>
      </c>
      <c r="P30" s="38">
        <f>IF(tblBills[[#This Row],[Month]]="","",tblBills[[#This Row],[Demand charges]]-tblBills[[#This Row],[Expected demand charge]])</f>
        <v>0</v>
      </c>
      <c r="Q30" s="38">
        <f>IF(tblBills[[#This Row],[Month]]="","",(tblBills[[#This Row],[Billing demand (kW)]]-tblBills[[#This Row],[Peak demand (kW)]])*DemandRate*ApplicablePct)</f>
        <v>0</v>
      </c>
      <c r="R30" s="41">
        <f>IF(tblBills[[#This Row],[Month]]="","",IF(N(tblBills[[#This Row],[Production]])&gt;0,tblBills[[#This Row],[Energy (kWh)]]/tblBills[[#This Row],[Production]],""))</f>
        <v>1435.52502453386</v>
      </c>
      <c r="S30" s="38">
        <f>IF(tblBills[[#This Row],[Month]]="","",IF(N(tblBills[[#This Row],[Production]])&gt;0,tblBills[[#This Row],[Total bill]]/tblBills[[#This Row],[Production]],""))</f>
        <v>171.578655544652</v>
      </c>
      <c r="T30" s="42" t="str">
        <f>IF(NOT(ISNUMBER(tblBills[[#This Row],[Energy intensity]])),"",IF(tblBills[[#This Row],[Energy intensity]]&lt;=TargetIntensity,"On target",IF(tblBills[[#This Row],[Energy intensity]]&lt;=TargetIntensity*(1+0.05),"Near target","Above target")))</f>
        <v>Near target</v>
      </c>
      <c r="U30" s="43" t="str">
        <f>IF(tblBills[[#This Row],[Month]]="","",IF(tblBills[[#This Row],[Days]]="","Missing days",IF(tblBills[[#This Row],[Energy (kWh)]]="","Missing energy",IF(tblBills[[#This Row],[Peak demand (kW)]]="","Missing peak demand",IF(DAY(tblBills[[#This Row],[Month]])&lt;&gt;1,"Use the 1st of the month",IF(COUNTIFS(tblBills[Month],tblBills[[#This Row],[Month]])&gt;1,"Duplicate month",IF(N(tblBills[[#This Row],[Load factor]])&gt;1,"Load factor over 100%",IF(tblBills[[#This Row],[Variance vs tariff]]&gt;BillTol*tblBills[[#This Row],[Expected demand charge]],"Demand charge above tariff",IF(tblBills[[#This Row],[Variance vs tariff]]&lt;-BillTol*tblBills[[#This Row],[Expected demand charge]],"Demand charge below tariff","OK")))))))))</f>
        <v>OK</v>
      </c>
      <c r="V30" s="44" t="s">
        <v>127</v>
      </c>
    </row>
  </sheetData>
  <mergeCells count="3">
    <mergeCell ref="A1:V1"/>
    <mergeCell ref="B2:U2"/>
    <mergeCell ref="B4:V4"/>
  </mergeCells>
  <conditionalFormatting sqref="K7:K530">
    <cfRule type="expression" dxfId="3" priority="1" stopIfTrue="1">
      <formula>AND(ISNUMBER(K7),K7&gt;=(TargetLF))</formula>
    </cfRule>
    <cfRule type="expression" dxfId="4" priority="2" stopIfTrue="1">
      <formula>AND(ISNUMBER(K7),K7&gt;=(TargetLF)*(1-0.05))</formula>
    </cfRule>
    <cfRule type="expression" dxfId="5" priority="3">
      <formula>ISNUMBER(K7)</formula>
    </cfRule>
  </conditionalFormatting>
  <conditionalFormatting sqref="T7:T530">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U7:U530">
    <cfRule type="expression" dxfId="3" priority="24">
      <formula>$U7="OK"</formula>
    </cfRule>
    <cfRule type="expression" dxfId="1" priority="25">
      <formula>AND($U7&lt;&gt;"",$U7&lt;&gt;"OK")</formula>
    </cfRule>
  </conditionalFormatting>
  <dataValidations count="9">
    <dataValidation type="date" allowBlank="1" showInputMessage="1" showErrorMessage="1" errorTitle="Check this entry" error="Enter a date between 01 Jan 2000 and 31 Dec 2100." promptTitle="Month" prompt="The first day of the month the bill covers, e.g. 1 Mar 2026. Enter a date between 01 Jan 2000 and 31 Dec 2100." sqref="B7:B530">
      <formula1>36526</formula1>
      <formula2>73415</formula2>
    </dataValidation>
    <dataValidation type="whole" allowBlank="1" showInputMessage="1" showErrorMessage="1" errorTitle="Check this entry" error="Enter a whole number from 1 to 62." promptTitle="Days" prompt="Days in the billing period. Enter a whole number from 1 to 62." sqref="C7:C530">
      <formula1>1</formula1>
      <formula2>62</formula2>
    </dataValidation>
    <dataValidation type="whole" allowBlank="1" showInputMessage="1" showErrorMessage="1" errorTitle="Check this entry" error="Enter a whole number of at least 0." promptTitle="Energy (kWh)" prompt="Total energy on the bill, all time-of-use periods together. Enter a whole number of at least 0." sqref="D7:D530">
      <formula1>0</formula1>
      <formula2>10000000000</formula2>
    </dataValidation>
    <dataValidation type="whole" allowBlank="1" showInputMessage="1" showErrorMessage="1" errorTitle="Check this entry" error="Enter a whole number from 0 to 100,000,000." promptTitle="Peak demand (kW)" prompt="The highest demand the meter recorded in the period (usually a 15 or 30 minute average). Enter a whole number from 0 to 100,000,000." sqref="E7:E530">
      <formula1>0</formula1>
      <formula2>100000000</formula2>
    </dataValidation>
    <dataValidation type="decimal" allowBlank="1" showInputMessage="1" showErrorMessage="1" errorTitle="Check this entry" error="Enter a number of at least 0." promptTitle="Energy charges" prompt="All energy (kWh) charges on the bill. Enter a number of at least 0." sqref="F7:F530">
      <formula1>0</formula1>
      <formula2>10000000000.0</formula2>
    </dataValidation>
    <dataValidation type="decimal" allowBlank="1" showInputMessage="1" showErrorMessage="1" errorTitle="Check this entry" error="Enter a number of at least 0." promptTitle="Demand charges" prompt="The demand (kW) charge line, including fixed demand-related fees. Enter a number of at least 0." sqref="G7:G530">
      <formula1>0</formula1>
      <formula2>10000000000.0</formula2>
    </dataValidation>
    <dataValidation type="decimal" allowBlank="1" showInputMessage="1" showErrorMessage="1" errorTitle="Check this entry" error="Enter a number of at least 0." promptTitle="Other charges" prompt="Everything else: customer charge, taxes, levies, power factor penalties. Enter a number of at least 0." sqref="H7:H530">
      <formula1>0</formula1>
      <formula2>10000000000.0</formula2>
    </dataValidation>
    <dataValidation type="decimal" allowBlank="1" showInputMessage="1" showErrorMessage="1" errorTitle="Check this entry" error="Enter a number of at least 0." promptTitle="Production" prompt="Good output in the same month, in the unit set on Setup. Enter a number of at least 0." sqref="I7:I530">
      <formula1>0</formula1>
      <formula2>1000000000000.0</formula2>
    </dataValidation>
    <dataValidation type="textLength" allowBlank="1" showInputMessage="1" showErrorMessage="1" errorTitle="Check this entry" error="Text up to 255 characters." promptTitle="Notes" prompt="Text up to 255 characters." sqref="V7:V530">
      <formula1>0</formula1>
      <formula2>255</formula2>
    </dataValidation>
  </dataValidations>
  <hyperlinks>
    <hyperlink ref="V2" r:id="rId1" tooltip="Free manufacturing calculators and templates"/>
  </hyperlinks>
  <pageMargins left="0.4" right="0.4" top="0.7" bottom="0.65" header="0.3" footer="0.3"/>
  <pageSetup fitToHeight="0" orientation="landscape"/>
  <headerFooter>
    <oddHeader>&amp;L&amp;8MFG Calcs - Energy Use and Demand Charge Tracker&amp;R&amp;8&amp;A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3B64D8"/>
    <pageSetUpPr fitToPage="1"/>
  </sheetPr>
  <dimension ref="A1:G65"/>
  <sheetViews>
    <sheetView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2.7109375" customWidth="1"/>
    <col min="2" max="2" width="11.7109375" customWidth="1"/>
    <col min="3" max="3" width="24.7109375" customWidth="1"/>
    <col min="4" max="4" width="12.7109375" customWidth="1"/>
    <col min="5" max="5" width="10.7109375" customWidth="1"/>
    <col min="6" max="6" width="28.7109375" customWidth="1"/>
    <col min="7" max="7" width="26.7109375" customWidth="1"/>
  </cols>
  <sheetData>
    <row r="1" spans="1:7" ht="30" customHeight="1">
      <c r="A1" s="1" t="s">
        <v>0</v>
      </c>
      <c r="B1" s="1"/>
      <c r="C1" s="1"/>
      <c r="D1" s="1"/>
      <c r="E1" s="1"/>
      <c r="F1" s="1"/>
      <c r="G1" s="1"/>
    </row>
    <row r="2" spans="1:7" ht="21" customHeight="1">
      <c r="B2" s="2" t="s">
        <v>24</v>
      </c>
      <c r="C2" s="2"/>
      <c r="D2" s="2"/>
      <c r="E2" s="2"/>
      <c r="F2" s="2"/>
      <c r="G2" s="3" t="s">
        <v>2</v>
      </c>
    </row>
    <row r="3" spans="1:7" ht="6" customHeight="1"/>
    <row r="4" spans="1:7" ht="29.76" customHeight="1">
      <c r="B4" s="34" t="s">
        <v>132</v>
      </c>
      <c r="C4" s="34"/>
      <c r="D4" s="34"/>
      <c r="E4" s="34"/>
      <c r="F4" s="34"/>
      <c r="G4" s="34"/>
    </row>
    <row r="5" spans="1:7" ht="32" customHeight="1">
      <c r="B5" s="33" t="s">
        <v>105</v>
      </c>
      <c r="C5" s="33" t="s">
        <v>64</v>
      </c>
      <c r="D5" s="33" t="s">
        <v>107</v>
      </c>
      <c r="E5" s="33" t="s">
        <v>131</v>
      </c>
      <c r="F5" s="33" t="s">
        <v>124</v>
      </c>
      <c r="G5" s="33" t="s">
        <v>66</v>
      </c>
    </row>
    <row r="6" spans="1:7">
      <c r="B6" s="36">
        <v>45931</v>
      </c>
      <c r="C6" s="28" t="s">
        <v>91</v>
      </c>
      <c r="D6" s="29">
        <v>487670</v>
      </c>
      <c r="E6" s="39">
        <f>IF(tblSubMeters[[#This Row],[Month]]="","",IFERROR(tblSubMeters[[#This Row],[Energy (kWh)]]/INDEX(tblBills[Energy (kWh)],MATCH(tblSubMeters[[#This Row],[Month]],tblBills[Month],0)),""))</f>
        <v>0.525376253730218</v>
      </c>
      <c r="F6"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6" s="28" t="s">
        <v>127</v>
      </c>
    </row>
    <row r="7" spans="1:7">
      <c r="B7" s="36">
        <v>45931</v>
      </c>
      <c r="C7" s="28" t="s">
        <v>94</v>
      </c>
      <c r="D7" s="29">
        <v>162660</v>
      </c>
      <c r="E7" s="39">
        <f>IF(tblSubMeters[[#This Row],[Month]]="","",IFERROR(tblSubMeters[[#This Row],[Energy (kWh)]]/INDEX(tblBills[Energy (kWh)],MATCH(tblSubMeters[[#This Row],[Month]],tblBills[Month],0)),""))</f>
        <v>0.175236740893959</v>
      </c>
      <c r="F7"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7" s="28" t="s">
        <v>127</v>
      </c>
    </row>
    <row r="8" spans="1:7">
      <c r="B8" s="36">
        <v>45931</v>
      </c>
      <c r="C8" s="28" t="s">
        <v>97</v>
      </c>
      <c r="D8" s="29">
        <v>116380</v>
      </c>
      <c r="E8" s="39">
        <f>IF(tblSubMeters[[#This Row],[Month]]="","",IFERROR(tblSubMeters[[#This Row],[Energy (kWh)]]/INDEX(tblBills[Energy (kWh)],MATCH(tblSubMeters[[#This Row],[Month]],tblBills[Month],0)),""))</f>
        <v>0.125378408368616</v>
      </c>
      <c r="F8"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8" s="28" t="s">
        <v>127</v>
      </c>
    </row>
    <row r="9" spans="1:7">
      <c r="B9" s="36">
        <v>45931</v>
      </c>
      <c r="C9" s="28" t="s">
        <v>100</v>
      </c>
      <c r="D9" s="29">
        <v>81010</v>
      </c>
      <c r="E9" s="39">
        <f>IF(tblSubMeters[[#This Row],[Month]]="","",IFERROR(tblSubMeters[[#This Row],[Energy (kWh)]]/INDEX(tblBills[Energy (kWh)],MATCH(tblSubMeters[[#This Row],[Month]],tblBills[Month],0)),""))</f>
        <v>0.08727362830333</v>
      </c>
      <c r="F9"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9" s="28" t="s">
        <v>127</v>
      </c>
    </row>
    <row r="10" spans="1:7">
      <c r="B10" s="36">
        <v>45931</v>
      </c>
      <c r="C10" s="28" t="s">
        <v>103</v>
      </c>
      <c r="D10" s="29">
        <v>27940</v>
      </c>
      <c r="E10" s="39">
        <f>IF(tblSubMeters[[#This Row],[Month]]="","",IFERROR(tblSubMeters[[#This Row],[Energy (kWh)]]/INDEX(tblBills[Energy (kWh)],MATCH(tblSubMeters[[#This Row],[Month]],tblBills[Month],0)),""))</f>
        <v>0.0301002984174181</v>
      </c>
      <c r="F10"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10" s="28" t="s">
        <v>127</v>
      </c>
    </row>
    <row r="11" spans="1:7">
      <c r="B11" s="36">
        <v>45962</v>
      </c>
      <c r="C11" s="28" t="s">
        <v>91</v>
      </c>
      <c r="D11" s="29">
        <v>480260</v>
      </c>
      <c r="E11" s="39">
        <f>IF(tblSubMeters[[#This Row],[Month]]="","",IFERROR(tblSubMeters[[#This Row],[Energy (kWh)]]/INDEX(tblBills[Energy (kWh)],MATCH(tblSubMeters[[#This Row],[Month]],tblBills[Month],0)),""))</f>
        <v>0.525264677574591</v>
      </c>
      <c r="F11"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11" s="28" t="s">
        <v>127</v>
      </c>
    </row>
    <row r="12" spans="1:7">
      <c r="B12" s="36">
        <v>45962</v>
      </c>
      <c r="C12" s="28" t="s">
        <v>94</v>
      </c>
      <c r="D12" s="29">
        <v>166190</v>
      </c>
      <c r="E12" s="39">
        <f>IF(tblSubMeters[[#This Row],[Month]]="","",IFERROR(tblSubMeters[[#This Row],[Energy (kWh)]]/INDEX(tblBills[Energy (kWh)],MATCH(tblSubMeters[[#This Row],[Month]],tblBills[Month],0)),""))</f>
        <v>0.181763496368886</v>
      </c>
      <c r="F12"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12" s="28" t="s">
        <v>127</v>
      </c>
    </row>
    <row r="13" spans="1:7">
      <c r="B13" s="36">
        <v>45962</v>
      </c>
      <c r="C13" s="28" t="s">
        <v>97</v>
      </c>
      <c r="D13" s="29">
        <v>111310</v>
      </c>
      <c r="E13" s="39">
        <f>IF(tblSubMeters[[#This Row],[Month]]="","",IFERROR(tblSubMeters[[#This Row],[Energy (kWh)]]/INDEX(tblBills[Energy (kWh)],MATCH(tblSubMeters[[#This Row],[Month]],tblBills[Month],0)),""))</f>
        <v>0.121740747221979</v>
      </c>
      <c r="F13"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13" s="28" t="s">
        <v>127</v>
      </c>
    </row>
    <row r="14" spans="1:7">
      <c r="B14" s="36">
        <v>45962</v>
      </c>
      <c r="C14" s="28" t="s">
        <v>100</v>
      </c>
      <c r="D14" s="29">
        <v>75560</v>
      </c>
      <c r="E14" s="39">
        <f>IF(tblSubMeters[[#This Row],[Month]]="","",IFERROR(tblSubMeters[[#This Row],[Energy (kWh)]]/INDEX(tblBills[Energy (kWh)],MATCH(tblSubMeters[[#This Row],[Month]],tblBills[Month],0)),""))</f>
        <v>0.0826406509755884</v>
      </c>
      <c r="F14"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14" s="28" t="s">
        <v>127</v>
      </c>
    </row>
    <row r="15" spans="1:7">
      <c r="B15" s="36">
        <v>45962</v>
      </c>
      <c r="C15" s="28" t="s">
        <v>103</v>
      </c>
      <c r="D15" s="29">
        <v>27630</v>
      </c>
      <c r="E15" s="39">
        <f>IF(tblSubMeters[[#This Row],[Month]]="","",IFERROR(tblSubMeters[[#This Row],[Energy (kWh)]]/INDEX(tblBills[Energy (kWh)],MATCH(tblSubMeters[[#This Row],[Month]],tblBills[Month],0)),""))</f>
        <v>0.030219179280777</v>
      </c>
      <c r="F15"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15" s="28" t="s">
        <v>127</v>
      </c>
    </row>
    <row r="16" spans="1:7">
      <c r="B16" s="36">
        <v>45992</v>
      </c>
      <c r="C16" s="28" t="s">
        <v>91</v>
      </c>
      <c r="D16" s="29">
        <v>417480</v>
      </c>
      <c r="E16" s="39">
        <f>IF(tblSubMeters[[#This Row],[Month]]="","",IFERROR(tblSubMeters[[#This Row],[Energy (kWh)]]/INDEX(tblBills[Energy (kWh)],MATCH(tblSubMeters[[#This Row],[Month]],tblBills[Month],0)),""))</f>
        <v>0.504464879103883</v>
      </c>
      <c r="F16"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16" s="28" t="s">
        <v>127</v>
      </c>
    </row>
    <row r="17" spans="2:7">
      <c r="B17" s="36">
        <v>45992</v>
      </c>
      <c r="C17" s="28" t="s">
        <v>94</v>
      </c>
      <c r="D17" s="29">
        <v>147870</v>
      </c>
      <c r="E17" s="39">
        <f>IF(tblSubMeters[[#This Row],[Month]]="","",IFERROR(tblSubMeters[[#This Row],[Energy (kWh)]]/INDEX(tblBills[Energy (kWh)],MATCH(tblSubMeters[[#This Row],[Month]],tblBills[Month],0)),""))</f>
        <v>0.178679749145087</v>
      </c>
      <c r="F17"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17" s="28" t="s">
        <v>127</v>
      </c>
    </row>
    <row r="18" spans="2:7">
      <c r="B18" s="36">
        <v>45992</v>
      </c>
      <c r="C18" s="28" t="s">
        <v>97</v>
      </c>
      <c r="D18" s="29">
        <v>103600</v>
      </c>
      <c r="E18" s="39">
        <f>IF(tblSubMeters[[#This Row],[Month]]="","",IFERROR(tblSubMeters[[#This Row],[Energy (kWh)]]/INDEX(tblBills[Energy (kWh)],MATCH(tblSubMeters[[#This Row],[Month]],tblBills[Month],0)),""))</f>
        <v>0.125185784888287</v>
      </c>
      <c r="F18"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18" s="28" t="s">
        <v>127</v>
      </c>
    </row>
    <row r="19" spans="2:7">
      <c r="B19" s="36">
        <v>45992</v>
      </c>
      <c r="C19" s="28" t="s">
        <v>100</v>
      </c>
      <c r="D19" s="29">
        <v>69920</v>
      </c>
      <c r="E19" s="39">
        <f>IF(tblSubMeters[[#This Row],[Month]]="","",IFERROR(tblSubMeters[[#This Row],[Energy (kWh)]]/INDEX(tblBills[Energy (kWh)],MATCH(tblSubMeters[[#This Row],[Month]],tblBills[Month],0)),""))</f>
        <v>0.0844883212296241</v>
      </c>
      <c r="F19"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19" s="28" t="s">
        <v>127</v>
      </c>
    </row>
    <row r="20" spans="2:7">
      <c r="B20" s="36">
        <v>45992</v>
      </c>
      <c r="C20" s="28" t="s">
        <v>103</v>
      </c>
      <c r="D20" s="29">
        <v>24390</v>
      </c>
      <c r="E20" s="39">
        <f>IF(tblSubMeters[[#This Row],[Month]]="","",IFERROR(tblSubMeters[[#This Row],[Energy (kWh)]]/INDEX(tblBills[Energy (kWh)],MATCH(tblSubMeters[[#This Row],[Month]],tblBills[Month],0)),""))</f>
        <v>0.0294718271566152</v>
      </c>
      <c r="F20"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20" s="28" t="s">
        <v>127</v>
      </c>
    </row>
    <row r="21" spans="2:7">
      <c r="B21" s="36">
        <v>46023</v>
      </c>
      <c r="C21" s="28" t="s">
        <v>91</v>
      </c>
      <c r="D21" s="29">
        <v>489000</v>
      </c>
      <c r="E21" s="39">
        <f>IF(tblSubMeters[[#This Row],[Month]]="","",IFERROR(tblSubMeters[[#This Row],[Energy (kWh)]]/INDEX(tblBills[Energy (kWh)],MATCH(tblSubMeters[[#This Row],[Month]],tblBills[Month],0)),""))</f>
        <v>0.528414432521801</v>
      </c>
      <c r="F21"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21" s="28" t="s">
        <v>127</v>
      </c>
    </row>
    <row r="22" spans="2:7">
      <c r="B22" s="36">
        <v>46023</v>
      </c>
      <c r="C22" s="28" t="s">
        <v>94</v>
      </c>
      <c r="D22" s="29">
        <v>162090</v>
      </c>
      <c r="E22" s="39">
        <f>IF(tblSubMeters[[#This Row],[Month]]="","",IFERROR(tblSubMeters[[#This Row],[Energy (kWh)]]/INDEX(tblBills[Energy (kWh)],MATCH(tblSubMeters[[#This Row],[Month]],tblBills[Month],0)),""))</f>
        <v>0.175154796252472</v>
      </c>
      <c r="F22"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22" s="28" t="s">
        <v>127</v>
      </c>
    </row>
    <row r="23" spans="2:7">
      <c r="B23" s="36">
        <v>46023</v>
      </c>
      <c r="C23" s="28" t="s">
        <v>97</v>
      </c>
      <c r="D23" s="29">
        <v>118100</v>
      </c>
      <c r="E23" s="39">
        <f>IF(tblSubMeters[[#This Row],[Month]]="","",IFERROR(tblSubMeters[[#This Row],[Energy (kWh)]]/INDEX(tblBills[Energy (kWh)],MATCH(tblSubMeters[[#This Row],[Month]],tblBills[Month],0)),""))</f>
        <v>0.12761910936774</v>
      </c>
      <c r="F23"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23" s="28" t="s">
        <v>127</v>
      </c>
    </row>
    <row r="24" spans="2:7">
      <c r="B24" s="36">
        <v>46023</v>
      </c>
      <c r="C24" s="28" t="s">
        <v>100</v>
      </c>
      <c r="D24" s="29">
        <v>76510</v>
      </c>
      <c r="E24" s="39">
        <f>IF(tblSubMeters[[#This Row],[Month]]="","",IFERROR(tblSubMeters[[#This Row],[Energy (kWh)]]/INDEX(tblBills[Energy (kWh)],MATCH(tblSubMeters[[#This Row],[Month]],tblBills[Month],0)),""))</f>
        <v>0.0826768675505992</v>
      </c>
      <c r="F24"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24" s="28" t="s">
        <v>127</v>
      </c>
    </row>
    <row r="25" spans="2:7">
      <c r="B25" s="36">
        <v>46023</v>
      </c>
      <c r="C25" s="28" t="s">
        <v>103</v>
      </c>
      <c r="D25" s="29">
        <v>28000</v>
      </c>
      <c r="E25" s="39">
        <f>IF(tblSubMeters[[#This Row],[Month]]="","",IFERROR(tblSubMeters[[#This Row],[Energy (kWh)]]/INDEX(tblBills[Energy (kWh)],MATCH(tblSubMeters[[#This Row],[Month]],tblBills[Month],0)),""))</f>
        <v>0.0302568591219027</v>
      </c>
      <c r="F25"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25" s="28" t="s">
        <v>127</v>
      </c>
    </row>
    <row r="26" spans="2:7">
      <c r="B26" s="36">
        <v>46054</v>
      </c>
      <c r="C26" s="28" t="s">
        <v>91</v>
      </c>
      <c r="D26" s="29">
        <v>466720</v>
      </c>
      <c r="E26" s="39">
        <f>IF(tblSubMeters[[#This Row],[Month]]="","",IFERROR(tblSubMeters[[#This Row],[Energy (kWh)]]/INDEX(tblBills[Energy (kWh)],MATCH(tblSubMeters[[#This Row],[Month]],tblBills[Month],0)),""))</f>
        <v>0.513313463040155</v>
      </c>
      <c r="F26"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26" s="28" t="s">
        <v>127</v>
      </c>
    </row>
    <row r="27" spans="2:7">
      <c r="B27" s="36">
        <v>46054</v>
      </c>
      <c r="C27" s="28" t="s">
        <v>94</v>
      </c>
      <c r="D27" s="29">
        <v>165080</v>
      </c>
      <c r="E27" s="39">
        <f>IF(tblSubMeters[[#This Row],[Month]]="","",IFERROR(tblSubMeters[[#This Row],[Energy (kWh)]]/INDEX(tblBills[Energy (kWh)],MATCH(tblSubMeters[[#This Row],[Month]],tblBills[Month],0)),""))</f>
        <v>0.181560221286143</v>
      </c>
      <c r="F27"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27" s="28" t="s">
        <v>127</v>
      </c>
    </row>
    <row r="28" spans="2:7">
      <c r="B28" s="36">
        <v>46054</v>
      </c>
      <c r="C28" s="28" t="s">
        <v>97</v>
      </c>
      <c r="D28" s="29">
        <v>116860</v>
      </c>
      <c r="E28" s="39">
        <f>IF(tblSubMeters[[#This Row],[Month]]="","",IFERROR(tblSubMeters[[#This Row],[Energy (kWh)]]/INDEX(tblBills[Energy (kWh)],MATCH(tblSubMeters[[#This Row],[Month]],tblBills[Month],0)),""))</f>
        <v>0.128526335470673</v>
      </c>
      <c r="F28"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28" s="28" t="s">
        <v>127</v>
      </c>
    </row>
    <row r="29" spans="2:7">
      <c r="B29" s="36">
        <v>46054</v>
      </c>
      <c r="C29" s="28" t="s">
        <v>100</v>
      </c>
      <c r="D29" s="29">
        <v>76720</v>
      </c>
      <c r="E29" s="39">
        <f>IF(tblSubMeters[[#This Row],[Month]]="","",IFERROR(tblSubMeters[[#This Row],[Energy (kWh)]]/INDEX(tblBills[Energy (kWh)],MATCH(tblSubMeters[[#This Row],[Month]],tblBills[Month],0)),""))</f>
        <v>0.0843790899992301</v>
      </c>
      <c r="F29"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29" s="28" t="s">
        <v>127</v>
      </c>
    </row>
    <row r="30" spans="2:7">
      <c r="B30" s="36">
        <v>46054</v>
      </c>
      <c r="C30" s="28" t="s">
        <v>103</v>
      </c>
      <c r="D30" s="29">
        <v>26770</v>
      </c>
      <c r="E30" s="39">
        <f>IF(tblSubMeters[[#This Row],[Month]]="","",IFERROR(tblSubMeters[[#This Row],[Energy (kWh)]]/INDEX(tblBills[Energy (kWh)],MATCH(tblSubMeters[[#This Row],[Month]],tblBills[Month],0)),""))</f>
        <v>0.0294424952982194</v>
      </c>
      <c r="F30"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30" s="28" t="s">
        <v>127</v>
      </c>
    </row>
    <row r="31" spans="2:7">
      <c r="B31" s="36">
        <v>46082</v>
      </c>
      <c r="C31" s="28" t="s">
        <v>91</v>
      </c>
      <c r="D31" s="29">
        <v>464510</v>
      </c>
      <c r="E31" s="39">
        <f>IF(tblSubMeters[[#This Row],[Month]]="","",IFERROR(tblSubMeters[[#This Row],[Energy (kWh)]]/INDEX(tblBills[Energy (kWh)],MATCH(tblSubMeters[[#This Row],[Month]],tblBills[Month],0)),""))</f>
        <v>0.505468078392113</v>
      </c>
      <c r="F31"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31" s="28" t="s">
        <v>127</v>
      </c>
    </row>
    <row r="32" spans="2:7">
      <c r="B32" s="36">
        <v>46082</v>
      </c>
      <c r="C32" s="28" t="s">
        <v>94</v>
      </c>
      <c r="D32" s="29">
        <v>165690</v>
      </c>
      <c r="E32" s="39">
        <f>IF(tblSubMeters[[#This Row],[Month]]="","",IFERROR(tblSubMeters[[#This Row],[Energy (kWh)]]/INDEX(tblBills[Energy (kWh)],MATCH(tblSubMeters[[#This Row],[Month]],tblBills[Month],0)),""))</f>
        <v>0.180299683341132</v>
      </c>
      <c r="F32"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32" s="28" t="s">
        <v>127</v>
      </c>
    </row>
    <row r="33" spans="2:7">
      <c r="B33" s="36">
        <v>46082</v>
      </c>
      <c r="C33" s="28" t="s">
        <v>97</v>
      </c>
      <c r="D33" s="29">
        <v>111720</v>
      </c>
      <c r="E33" s="39">
        <f>IF(tblSubMeters[[#This Row],[Month]]="","",IFERROR(tblSubMeters[[#This Row],[Energy (kWh)]]/INDEX(tblBills[Energy (kWh)],MATCH(tblSubMeters[[#This Row],[Month]],tblBills[Month],0)),""))</f>
        <v>0.121570889147633</v>
      </c>
      <c r="F33"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33" s="28" t="s">
        <v>127</v>
      </c>
    </row>
    <row r="34" spans="2:7">
      <c r="B34" s="36">
        <v>46082</v>
      </c>
      <c r="C34" s="28" t="s">
        <v>100</v>
      </c>
      <c r="D34" s="29">
        <v>80210</v>
      </c>
      <c r="E34" s="39">
        <f>IF(tblSubMeters[[#This Row],[Month]]="","",IFERROR(tblSubMeters[[#This Row],[Energy (kWh)]]/INDEX(tblBills[Energy (kWh)],MATCH(tblSubMeters[[#This Row],[Month]],tblBills[Month],0)),""))</f>
        <v>0.0872825010609704</v>
      </c>
      <c r="F34"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34" s="28" t="s">
        <v>127</v>
      </c>
    </row>
    <row r="35" spans="2:7">
      <c r="B35" s="36">
        <v>46082</v>
      </c>
      <c r="C35" s="28" t="s">
        <v>103</v>
      </c>
      <c r="D35" s="29">
        <v>27380</v>
      </c>
      <c r="E35" s="39">
        <f>IF(tblSubMeters[[#This Row],[Month]]="","",IFERROR(tblSubMeters[[#This Row],[Energy (kWh)]]/INDEX(tblBills[Energy (kWh)],MATCH(tblSubMeters[[#This Row],[Month]],tblBills[Month],0)),""))</f>
        <v>0.0297942261444879</v>
      </c>
      <c r="F35"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35" s="28" t="s">
        <v>127</v>
      </c>
    </row>
    <row r="36" spans="2:7">
      <c r="B36" s="36">
        <v>46113</v>
      </c>
      <c r="C36" s="28" t="s">
        <v>91</v>
      </c>
      <c r="D36" s="29">
        <v>458110</v>
      </c>
      <c r="E36" s="39">
        <f>IF(tblSubMeters[[#This Row],[Month]]="","",IFERROR(tblSubMeters[[#This Row],[Energy (kWh)]]/INDEX(tblBills[Energy (kWh)],MATCH(tblSubMeters[[#This Row],[Month]],tblBills[Month],0)),""))</f>
        <v>0.520964348666629</v>
      </c>
      <c r="F36"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36" s="28" t="s">
        <v>127</v>
      </c>
    </row>
    <row r="37" spans="2:7">
      <c r="B37" s="36">
        <v>46113</v>
      </c>
      <c r="C37" s="28" t="s">
        <v>94</v>
      </c>
      <c r="D37" s="29">
        <v>162070</v>
      </c>
      <c r="E37" s="39">
        <f>IF(tblSubMeters[[#This Row],[Month]]="","",IFERROR(tblSubMeters[[#This Row],[Energy (kWh)]]/INDEX(tblBills[Energy (kWh)],MATCH(tblSubMeters[[#This Row],[Month]],tblBills[Month],0)),""))</f>
        <v>0.184306590094957</v>
      </c>
      <c r="F37"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37" s="28" t="s">
        <v>127</v>
      </c>
    </row>
    <row r="38" spans="2:7">
      <c r="B38" s="36">
        <v>46113</v>
      </c>
      <c r="C38" s="28" t="s">
        <v>97</v>
      </c>
      <c r="D38" s="29">
        <v>90640</v>
      </c>
      <c r="E38" s="39">
        <f>IF(tblSubMeters[[#This Row],[Month]]="","",IFERROR(tblSubMeters[[#This Row],[Energy (kWh)]]/INDEX(tblBills[Energy (kWh)],MATCH(tblSubMeters[[#This Row],[Month]],tblBills[Month],0)),""))</f>
        <v>0.103076135782112</v>
      </c>
      <c r="F38"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38" s="28" t="s">
        <v>127</v>
      </c>
    </row>
    <row r="39" spans="2:7">
      <c r="B39" s="36">
        <v>46113</v>
      </c>
      <c r="C39" s="28" t="s">
        <v>100</v>
      </c>
      <c r="D39" s="29">
        <v>76790</v>
      </c>
      <c r="E39" s="39">
        <f>IF(tblSubMeters[[#This Row],[Month]]="","",IFERROR(tblSubMeters[[#This Row],[Energy (kWh)]]/INDEX(tblBills[Energy (kWh)],MATCH(tblSubMeters[[#This Row],[Month]],tblBills[Month],0)),""))</f>
        <v>0.0873258656962529</v>
      </c>
      <c r="F39"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39" s="28" t="s">
        <v>127</v>
      </c>
    </row>
    <row r="40" spans="2:7">
      <c r="B40" s="36">
        <v>46113</v>
      </c>
      <c r="C40" s="28" t="s">
        <v>103</v>
      </c>
      <c r="D40" s="29">
        <v>26630</v>
      </c>
      <c r="E40" s="39">
        <f>IF(tblSubMeters[[#This Row],[Month]]="","",IFERROR(tblSubMeters[[#This Row],[Energy (kWh)]]/INDEX(tblBills[Energy (kWh)],MATCH(tblSubMeters[[#This Row],[Month]],tblBills[Month],0)),""))</f>
        <v>0.0302837323022687</v>
      </c>
      <c r="F40"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40" s="28" t="s">
        <v>127</v>
      </c>
    </row>
    <row r="41" spans="2:7">
      <c r="B41" s="36">
        <v>46143</v>
      </c>
      <c r="C41" s="28" t="s">
        <v>91</v>
      </c>
      <c r="D41" s="29">
        <v>453440</v>
      </c>
      <c r="E41" s="39">
        <f>IF(tblSubMeters[[#This Row],[Month]]="","",IFERROR(tblSubMeters[[#This Row],[Energy (kWh)]]/INDEX(tblBills[Energy (kWh)],MATCH(tblSubMeters[[#This Row],[Month]],tblBills[Month],0)),""))</f>
        <v>0.514180094571762</v>
      </c>
      <c r="F41"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41" s="28" t="s">
        <v>127</v>
      </c>
    </row>
    <row r="42" spans="2:7">
      <c r="B42" s="36">
        <v>46143</v>
      </c>
      <c r="C42" s="28" t="s">
        <v>94</v>
      </c>
      <c r="D42" s="29">
        <v>162590</v>
      </c>
      <c r="E42" s="39">
        <f>IF(tblSubMeters[[#This Row],[Month]]="","",IFERROR(tblSubMeters[[#This Row],[Energy (kWh)]]/INDEX(tblBills[Energy (kWh)],MATCH(tblSubMeters[[#This Row],[Month]],tblBills[Month],0)),""))</f>
        <v>0.184369578282513</v>
      </c>
      <c r="F42"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42" s="28" t="s">
        <v>127</v>
      </c>
    </row>
    <row r="43" spans="2:7">
      <c r="B43" s="36">
        <v>46143</v>
      </c>
      <c r="C43" s="28" t="s">
        <v>97</v>
      </c>
      <c r="D43" s="29">
        <v>91500</v>
      </c>
      <c r="E43" s="39">
        <f>IF(tblSubMeters[[#This Row],[Month]]="","",IFERROR(tblSubMeters[[#This Row],[Energy (kWh)]]/INDEX(tblBills[Energy (kWh)],MATCH(tblSubMeters[[#This Row],[Month]],tblBills[Month],0)),""))</f>
        <v>0.10375678954948</v>
      </c>
      <c r="F43"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43" s="28" t="s">
        <v>127</v>
      </c>
    </row>
    <row r="44" spans="2:7">
      <c r="B44" s="36">
        <v>46143</v>
      </c>
      <c r="C44" s="28" t="s">
        <v>100</v>
      </c>
      <c r="D44" s="29">
        <v>73810</v>
      </c>
      <c r="E44" s="39">
        <f>IF(tblSubMeters[[#This Row],[Month]]="","",IFERROR(tblSubMeters[[#This Row],[Energy (kWh)]]/INDEX(tblBills[Energy (kWh)],MATCH(tblSubMeters[[#This Row],[Month]],tblBills[Month],0)),""))</f>
        <v>0.0836971435699139</v>
      </c>
      <c r="F44"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44" s="28" t="s">
        <v>127</v>
      </c>
    </row>
    <row r="45" spans="2:7">
      <c r="B45" s="36">
        <v>46143</v>
      </c>
      <c r="C45" s="28" t="s">
        <v>103</v>
      </c>
      <c r="D45" s="29">
        <v>27080</v>
      </c>
      <c r="E45" s="39">
        <f>IF(tblSubMeters[[#This Row],[Month]]="","",IFERROR(tblSubMeters[[#This Row],[Energy (kWh)]]/INDEX(tblBills[Energy (kWh)],MATCH(tblSubMeters[[#This Row],[Month]],tblBills[Month],0)),""))</f>
        <v>0.0307074738907095</v>
      </c>
      <c r="F45"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45" s="28" t="s">
        <v>127</v>
      </c>
    </row>
    <row r="46" spans="2:7">
      <c r="B46" s="36">
        <v>46174</v>
      </c>
      <c r="C46" s="28" t="s">
        <v>91</v>
      </c>
      <c r="D46" s="29">
        <v>455770</v>
      </c>
      <c r="E46" s="39">
        <f>IF(tblSubMeters[[#This Row],[Month]]="","",IFERROR(tblSubMeters[[#This Row],[Energy (kWh)]]/INDEX(tblBills[Energy (kWh)],MATCH(tblSubMeters[[#This Row],[Month]],tblBills[Month],0)),""))</f>
        <v>0.511107622262344</v>
      </c>
      <c r="F46"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46" s="28" t="s">
        <v>127</v>
      </c>
    </row>
    <row r="47" spans="2:7">
      <c r="B47" s="36">
        <v>46174</v>
      </c>
      <c r="C47" s="28" t="s">
        <v>94</v>
      </c>
      <c r="D47" s="29">
        <v>159770</v>
      </c>
      <c r="E47" s="39">
        <f>IF(tblSubMeters[[#This Row],[Month]]="","",IFERROR(tblSubMeters[[#This Row],[Energy (kWh)]]/INDEX(tblBills[Energy (kWh)],MATCH(tblSubMeters[[#This Row],[Month]],tblBills[Month],0)),""))</f>
        <v>0.179168582418445</v>
      </c>
      <c r="F47"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47" s="28" t="s">
        <v>127</v>
      </c>
    </row>
    <row r="48" spans="2:7">
      <c r="B48" s="36">
        <v>46174</v>
      </c>
      <c r="C48" s="28" t="s">
        <v>97</v>
      </c>
      <c r="D48" s="29">
        <v>95580</v>
      </c>
      <c r="E48" s="39">
        <f>IF(tblSubMeters[[#This Row],[Month]]="","",IFERROR(tblSubMeters[[#This Row],[Energy (kWh)]]/INDEX(tblBills[Energy (kWh)],MATCH(tblSubMeters[[#This Row],[Month]],tblBills[Month],0)),""))</f>
        <v>0.107184910230675</v>
      </c>
      <c r="F48"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48" s="28" t="s">
        <v>127</v>
      </c>
    </row>
    <row r="49" spans="2:7">
      <c r="B49" s="36">
        <v>46174</v>
      </c>
      <c r="C49" s="28" t="s">
        <v>100</v>
      </c>
      <c r="D49" s="29">
        <v>93930</v>
      </c>
      <c r="E49" s="39">
        <f>IF(tblSubMeters[[#This Row],[Month]]="","",IFERROR(tblSubMeters[[#This Row],[Energy (kWh)]]/INDEX(tblBills[Energy (kWh)],MATCH(tblSubMeters[[#This Row],[Month]],tblBills[Month],0)),""))</f>
        <v>0.10533457436668</v>
      </c>
      <c r="F49"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49" s="28" t="s">
        <v>127</v>
      </c>
    </row>
    <row r="50" spans="2:7">
      <c r="B50" s="36">
        <v>46174</v>
      </c>
      <c r="C50" s="28" t="s">
        <v>103</v>
      </c>
      <c r="D50" s="29">
        <v>27310</v>
      </c>
      <c r="E50" s="39">
        <f>IF(tblSubMeters[[#This Row],[Month]]="","",IFERROR(tblSubMeters[[#This Row],[Energy (kWh)]]/INDEX(tblBills[Energy (kWh)],MATCH(tblSubMeters[[#This Row],[Month]],tblBills[Month],0)),""))</f>
        <v>0.0306258620883003</v>
      </c>
      <c r="F50"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50" s="28" t="s">
        <v>127</v>
      </c>
    </row>
    <row r="51" spans="2:7">
      <c r="B51" s="36">
        <v>46204</v>
      </c>
      <c r="C51" s="28" t="s">
        <v>91</v>
      </c>
      <c r="D51" s="29">
        <v>460770</v>
      </c>
      <c r="E51" s="39">
        <f>IF(tblSubMeters[[#This Row],[Month]]="","",IFERROR(tblSubMeters[[#This Row],[Energy (kWh)]]/INDEX(tblBills[Energy (kWh)],MATCH(tblSubMeters[[#This Row],[Month]],tblBills[Month],0)),""))</f>
        <v>0.506485369446215</v>
      </c>
      <c r="F51"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51" s="28" t="s">
        <v>127</v>
      </c>
    </row>
    <row r="52" spans="2:7">
      <c r="B52" s="36">
        <v>46204</v>
      </c>
      <c r="C52" s="28" t="s">
        <v>94</v>
      </c>
      <c r="D52" s="29">
        <v>159390</v>
      </c>
      <c r="E52" s="39">
        <f>IF(tblSubMeters[[#This Row],[Month]]="","",IFERROR(tblSubMeters[[#This Row],[Energy (kWh)]]/INDEX(tblBills[Energy (kWh)],MATCH(tblSubMeters[[#This Row],[Month]],tblBills[Month],0)),""))</f>
        <v>0.17520390441225</v>
      </c>
      <c r="F52"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52" s="28" t="s">
        <v>127</v>
      </c>
    </row>
    <row r="53" spans="2:7">
      <c r="B53" s="36">
        <v>46204</v>
      </c>
      <c r="C53" s="28" t="s">
        <v>97</v>
      </c>
      <c r="D53" s="29">
        <v>99030</v>
      </c>
      <c r="E53" s="39">
        <f>IF(tblSubMeters[[#This Row],[Month]]="","",IFERROR(tblSubMeters[[#This Row],[Energy (kWh)]]/INDEX(tblBills[Energy (kWh)],MATCH(tblSubMeters[[#This Row],[Month]],tblBills[Month],0)),""))</f>
        <v>0.108855277331985</v>
      </c>
      <c r="F53"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53" s="28" t="s">
        <v>127</v>
      </c>
    </row>
    <row r="54" spans="2:7">
      <c r="B54" s="36">
        <v>46204</v>
      </c>
      <c r="C54" s="28" t="s">
        <v>100</v>
      </c>
      <c r="D54" s="29">
        <v>93460</v>
      </c>
      <c r="E54" s="39">
        <f>IF(tblSubMeters[[#This Row],[Month]]="","",IFERROR(tblSubMeters[[#This Row],[Energy (kWh)]]/INDEX(tblBills[Energy (kWh)],MATCH(tblSubMeters[[#This Row],[Month]],tblBills[Month],0)),""))</f>
        <v>0.102732648888693</v>
      </c>
      <c r="F54"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54" s="28" t="s">
        <v>127</v>
      </c>
    </row>
    <row r="55" spans="2:7">
      <c r="B55" s="36">
        <v>46204</v>
      </c>
      <c r="C55" s="28" t="s">
        <v>103</v>
      </c>
      <c r="D55" s="29">
        <v>27970</v>
      </c>
      <c r="E55" s="39">
        <f>IF(tblSubMeters[[#This Row],[Month]]="","",IFERROR(tblSubMeters[[#This Row],[Energy (kWh)]]/INDEX(tblBills[Energy (kWh)],MATCH(tblSubMeters[[#This Row],[Month]],tblBills[Month],0)),""))</f>
        <v>0.0307450480357025</v>
      </c>
      <c r="F55"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55" s="28" t="s">
        <v>127</v>
      </c>
    </row>
    <row r="56" spans="2:7">
      <c r="B56" s="36">
        <v>46235</v>
      </c>
      <c r="C56" s="28" t="s">
        <v>91</v>
      </c>
      <c r="D56" s="29">
        <v>389950</v>
      </c>
      <c r="E56" s="39">
        <f>IF(tblSubMeters[[#This Row],[Month]]="","",IFERROR(tblSubMeters[[#This Row],[Energy (kWh)]]/INDEX(tblBills[Energy (kWh)],MATCH(tblSubMeters[[#This Row],[Month]],tblBills[Month],0)),""))</f>
        <v>0.530097060982573</v>
      </c>
      <c r="F56"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56" s="28" t="s">
        <v>127</v>
      </c>
    </row>
    <row r="57" spans="2:7">
      <c r="B57" s="36">
        <v>46235</v>
      </c>
      <c r="C57" s="28" t="s">
        <v>94</v>
      </c>
      <c r="D57" s="29">
        <v>131540</v>
      </c>
      <c r="E57" s="39">
        <f>IF(tblSubMeters[[#This Row],[Month]]="","",IFERROR(tblSubMeters[[#This Row],[Energy (kWh)]]/INDEX(tblBills[Energy (kWh)],MATCH(tblSubMeters[[#This Row],[Month]],tblBills[Month],0)),""))</f>
        <v>0.178815149125907</v>
      </c>
      <c r="F57"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57" s="28" t="s">
        <v>127</v>
      </c>
    </row>
    <row r="58" spans="2:7">
      <c r="B58" s="36">
        <v>46235</v>
      </c>
      <c r="C58" s="28" t="s">
        <v>97</v>
      </c>
      <c r="D58" s="29">
        <v>77630</v>
      </c>
      <c r="E58" s="39">
        <f>IF(tblSubMeters[[#This Row],[Month]]="","",IFERROR(tblSubMeters[[#This Row],[Energy (kWh)]]/INDEX(tblBills[Energy (kWh)],MATCH(tblSubMeters[[#This Row],[Month]],tblBills[Month],0)),""))</f>
        <v>0.105530029091107</v>
      </c>
      <c r="F58"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58" s="28" t="s">
        <v>127</v>
      </c>
    </row>
    <row r="59" spans="2:7">
      <c r="B59" s="36">
        <v>46235</v>
      </c>
      <c r="C59" s="28" t="s">
        <v>100</v>
      </c>
      <c r="D59" s="29">
        <v>79520</v>
      </c>
      <c r="E59" s="39">
        <f>IF(tblSubMeters[[#This Row],[Month]]="","",IFERROR(tblSubMeters[[#This Row],[Energy (kWh)]]/INDEX(tblBills[Energy (kWh)],MATCH(tblSubMeters[[#This Row],[Month]],tblBills[Month],0)),""))</f>
        <v>0.108099290394497</v>
      </c>
      <c r="F59"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59" s="28" t="s">
        <v>127</v>
      </c>
    </row>
    <row r="60" spans="2:7">
      <c r="B60" s="36">
        <v>46235</v>
      </c>
      <c r="C60" s="28" t="s">
        <v>103</v>
      </c>
      <c r="D60" s="29">
        <v>22440</v>
      </c>
      <c r="E60" s="39">
        <f>IF(tblSubMeters[[#This Row],[Month]]="","",IFERROR(tblSubMeters[[#This Row],[Energy (kWh)]]/INDEX(tblBills[Energy (kWh)],MATCH(tblSubMeters[[#This Row],[Month]],tblBills[Month],0)),""))</f>
        <v>0.0305048802370789</v>
      </c>
      <c r="F60"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60" s="28" t="s">
        <v>127</v>
      </c>
    </row>
    <row r="61" spans="2:7">
      <c r="B61" s="36">
        <v>46266</v>
      </c>
      <c r="C61" s="28" t="s">
        <v>91</v>
      </c>
      <c r="D61" s="29">
        <v>459550</v>
      </c>
      <c r="E61" s="39">
        <f>IF(tblSubMeters[[#This Row],[Month]]="","",IFERROR(tblSubMeters[[#This Row],[Energy (kWh)]]/INDEX(tblBills[Energy (kWh)],MATCH(tblSubMeters[[#This Row],[Month]],tblBills[Month],0)),""))</f>
        <v>0.523596299334609</v>
      </c>
      <c r="F61"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61" s="28" t="s">
        <v>127</v>
      </c>
    </row>
    <row r="62" spans="2:7">
      <c r="B62" s="36">
        <v>46266</v>
      </c>
      <c r="C62" s="28" t="s">
        <v>94</v>
      </c>
      <c r="D62" s="29">
        <v>158630</v>
      </c>
      <c r="E62" s="39">
        <f>IF(tblSubMeters[[#This Row],[Month]]="","",IFERROR(tblSubMeters[[#This Row],[Energy (kWh)]]/INDEX(tblBills[Energy (kWh)],MATCH(tblSubMeters[[#This Row],[Month]],tblBills[Month],0)),""))</f>
        <v>0.180737854343269</v>
      </c>
      <c r="F62"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62" s="28" t="s">
        <v>127</v>
      </c>
    </row>
    <row r="63" spans="2:7">
      <c r="B63" s="36">
        <v>46266</v>
      </c>
      <c r="C63" s="28" t="s">
        <v>97</v>
      </c>
      <c r="D63" s="29">
        <v>93610</v>
      </c>
      <c r="E63" s="39">
        <f>IF(tblSubMeters[[#This Row],[Month]]="","",IFERROR(tblSubMeters[[#This Row],[Energy (kWh)]]/INDEX(tblBills[Energy (kWh)],MATCH(tblSubMeters[[#This Row],[Month]],tblBills[Month],0)),""))</f>
        <v>0.106656184486373</v>
      </c>
      <c r="F63"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63" s="28" t="s">
        <v>127</v>
      </c>
    </row>
    <row r="64" spans="2:7">
      <c r="B64" s="36">
        <v>46266</v>
      </c>
      <c r="C64" s="28" t="s">
        <v>100</v>
      </c>
      <c r="D64" s="29">
        <v>76510</v>
      </c>
      <c r="E64" s="39">
        <f>IF(tblSubMeters[[#This Row],[Month]]="","",IFERROR(tblSubMeters[[#This Row],[Energy (kWh)]]/INDEX(tblBills[Energy (kWh)],MATCH(tblSubMeters[[#This Row],[Month]],tblBills[Month],0)),""))</f>
        <v>0.0871730015495397</v>
      </c>
      <c r="F64"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64" s="28" t="s">
        <v>127</v>
      </c>
    </row>
    <row r="65" spans="2:7">
      <c r="B65" s="36">
        <v>46266</v>
      </c>
      <c r="C65" s="28" t="s">
        <v>103</v>
      </c>
      <c r="D65" s="29">
        <v>26740</v>
      </c>
      <c r="E65" s="39">
        <f>IF(tblSubMeters[[#This Row],[Month]]="","",IFERROR(tblSubMeters[[#This Row],[Energy (kWh)]]/INDEX(tblBills[Energy (kWh)],MATCH(tblSubMeters[[#This Row],[Month]],tblBills[Month],0)),""))</f>
        <v>0.0304666848965454</v>
      </c>
      <c r="F65" s="43" t="str">
        <f>IF(tblSubMeters[[#This Row],[Month]]="","",IF(tblSubMeters[[#This Row],[Meter]]="","Missing meter",IF(tblSubMeters[[#This Row],[Energy (kWh)]]="","Missing energy",IF(COUNTIFS(tblBills[Month],tblSubMeters[[#This Row],[Month]])=0,"No bill for this month",IF(COUNTIFS(tblSubMeters[Month],tblSubMeters[[#This Row],[Month]],tblSubMeters[Meter],tblSubMeters[[#This Row],[Meter]])&gt;1,"Duplicate month and meter",IF(SUMIFS(tblSubMeters[Energy (kWh)],tblSubMeters[Month],tblSubMeters[[#This Row],[Month]])&gt;SUMIFS(tblBills[Energy (kWh)],tblBills[Month],tblSubMeters[[#This Row],[Month]]),"Meters add up to more than the bill","OK"))))))</f>
        <v>OK</v>
      </c>
      <c r="G65" s="28" t="s">
        <v>127</v>
      </c>
    </row>
  </sheetData>
  <mergeCells count="3">
    <mergeCell ref="A1:G1"/>
    <mergeCell ref="B2:F2"/>
    <mergeCell ref="B4:G4"/>
  </mergeCells>
  <conditionalFormatting sqref="F6:F565">
    <cfRule type="expression" dxfId="3" priority="1">
      <formula>$F6="OK"</formula>
    </cfRule>
    <cfRule type="expression" dxfId="1" priority="2">
      <formula>AND($F6&lt;&gt;"",$F6&lt;&gt;"OK")</formula>
    </cfRule>
  </conditionalFormatting>
  <dataValidations count="4">
    <dataValidation type="date" allowBlank="1" showInputMessage="1" showErrorMessage="1" errorTitle="Check this entry" error="Enter a date between 01 Jan 2000 and 31 Dec 2100." promptTitle="Month" prompt="The first day of the month, matching the bill's month. Enter a date between 01 Jan 2000 and 31 Dec 2100." sqref="B6:B565">
      <formula1>36526</formula1>
      <formula2>73415</formula2>
    </dataValidation>
    <dataValidation type="list" allowBlank="1" showInputMessage="1" showErrorMessage="1" errorTitle="Check this entry" error="Pick from the list (edit the list on Setup: Meters)." promptTitle="Meter" prompt="Pick from the list (edit the list on Setup: Meters)." sqref="C6:C565">
      <formula1>Meters</formula1>
    </dataValidation>
    <dataValidation type="whole" allowBlank="1" showInputMessage="1" showErrorMessage="1" errorTitle="Check this entry" error="Enter a whole number of at least 0." promptTitle="Energy (kWh)" prompt="Enter a whole number of at least 0." sqref="D6:D565">
      <formula1>0</formula1>
      <formula2>10000000000</formula2>
    </dataValidation>
    <dataValidation type="textLength" allowBlank="1" showInputMessage="1" showErrorMessage="1" errorTitle="Check this entry" error="Text up to 255 characters." promptTitle="Notes" prompt="Text up to 255 characters." sqref="G6:G565">
      <formula1>0</formula1>
      <formula2>255</formula2>
    </dataValidation>
  </dataValidations>
  <hyperlinks>
    <hyperlink ref="G2" r:id="rId1" tooltip="Free manufacturing calculators and templates"/>
  </hyperlinks>
  <pageMargins left="0.4" right="0.4" top="0.7" bottom="0.65" header="0.3" footer="0.3"/>
  <pageSetup fitToHeight="0" orientation="landscape"/>
  <headerFooter>
    <oddHeader>&amp;L&amp;8MFG Calcs - Energy Use and Demand Charge Tracker&amp;R&amp;8&amp;A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78"/>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26</v>
      </c>
      <c r="C2" s="2"/>
      <c r="D2" s="2"/>
      <c r="E2" s="2"/>
      <c r="F2" s="2"/>
      <c r="G2" s="2"/>
      <c r="H2" s="2"/>
      <c r="I2" s="2"/>
      <c r="J2" s="2"/>
      <c r="K2" s="3" t="s">
        <v>2</v>
      </c>
      <c r="L2" s="3"/>
    </row>
    <row r="3" spans="1:12" ht="6" customHeight="1" x14ac:dyDescent="0.25"/>
    <row r="4" spans="1:12" x14ac:dyDescent="0.25">
      <c r="B4" s="27" t="s">
        <v>133</v>
      </c>
      <c r="C4" s="27"/>
      <c r="D4" s="45"/>
      <c r="E4" s="45"/>
      <c r="G4" s="27" t="s">
        <v>134</v>
      </c>
      <c r="H4" s="27"/>
      <c r="I4" s="41">
        <f>COUNTIFS(tblBills[Month],"&gt;="&amp;FStart,tblBills[Month],"&lt;="&amp;FEnd)</f>
        <v>12</v>
      </c>
      <c r="J4" s="41"/>
    </row>
    <row r="5" spans="1:12" x14ac:dyDescent="0.25">
      <c r="B5" s="27" t="s">
        <v>135</v>
      </c>
      <c r="C5" s="27"/>
      <c r="D5" s="46">
        <f>IF(FEnd=0,"",FStart)</f>
        <v>45931</v>
      </c>
      <c r="E5" s="46"/>
      <c r="G5" s="27" t="s">
        <v>136</v>
      </c>
      <c r="H5" s="27"/>
      <c r="I5" s="46">
        <f>IF(FEnd=0,"",FEnd)</f>
        <v>46266</v>
      </c>
      <c r="J5" s="46"/>
    </row>
    <row r="6" spans="1:12" x14ac:dyDescent="0.25">
      <c r="B6" s="47" t="str">
        <f>"Money in "&amp;Currency&amp;"; output in "&amp;OutputUnit&amp;". Leave the date blank to see the latest 12 bills."</f>
        <v>Money in USD; output in t. Leave the date blank to see the latest 12 bills.</v>
      </c>
      <c r="C6" s="47"/>
      <c r="D6" s="47"/>
      <c r="E6" s="47"/>
      <c r="F6" s="47"/>
      <c r="G6" s="47"/>
      <c r="H6" s="47"/>
      <c r="I6" s="47"/>
      <c r="J6" s="47"/>
      <c r="K6" s="47"/>
      <c r="L6" s="47"/>
    </row>
    <row r="8" spans="1:12" ht="18" customHeight="1" x14ac:dyDescent="0.25">
      <c r="B8" s="48" t="str">
        <f>"ELECTRICITY COST ("&amp;Currency&amp;")"</f>
        <v>ELECTRICITY COST (USD)</v>
      </c>
      <c r="C8" s="48"/>
      <c r="D8" s="48" t="s">
        <v>137</v>
      </c>
      <c r="E8" s="48"/>
      <c r="F8" s="48"/>
      <c r="G8" s="48" t="str">
        <f>"PAID FOR PAST PEAKS ("&amp;Currency&amp;")"</f>
        <v>PAID FOR PAST PEAKS (USD)</v>
      </c>
      <c r="H8" s="48"/>
      <c r="I8" s="48"/>
      <c r="J8" s="48" t="s">
        <v>138</v>
      </c>
      <c r="K8" s="48"/>
      <c r="L8" s="48"/>
    </row>
    <row r="9" spans="1:12" ht="21" customHeight="1" x14ac:dyDescent="0.25">
      <c r="B9" s="49">
        <f>SUMIFS(tblBills[Total bill],tblBills[Month],"&gt;="&amp;FStart,tblBills[Month],"&lt;="&amp;FEnd)</f>
        <v>1260753.67</v>
      </c>
      <c r="C9" s="49"/>
      <c r="D9" s="50">
        <f>IF((SUMIFS(tblBills[Total bill],tblBills[Month],"&gt;="&amp;FStart,tblBills[Month],"&lt;="&amp;FEnd))=0,"",(SUMIFS(tblBills[Demand charges],tblBills[Month],"&gt;="&amp;FStart,tblBills[Month],"&lt;="&amp;FEnd))/(SUMIFS(tblBills[Total bill],tblBills[Month],"&gt;="&amp;FStart,tblBills[Month],"&lt;="&amp;FEnd)))</f>
        <v>0.294260345083905</v>
      </c>
      <c r="E9" s="50"/>
      <c r="F9" s="50"/>
      <c r="G9" s="49">
        <f>SUMIFS(tblBills[Paid for past peaks],tblBills[Month],"&gt;="&amp;FStart,tblBills[Month],"&lt;="&amp;FEnd)</f>
        <v>9715</v>
      </c>
      <c r="H9" s="49"/>
      <c r="I9" s="49"/>
      <c r="J9" s="49">
        <f>SUMPRODUCT(MAX((tblBills[Month]&gt;=FStart)*(tblBills[Month]&lt;=FEnd)*tblBills[Peak demand (kW)]))</f>
        <v>2310</v>
      </c>
      <c r="K9" s="49"/>
      <c r="L9" s="49"/>
    </row>
    <row r="10" spans="1:12" ht="21" customHeight="1" x14ac:dyDescent="0.25">
      <c r="B10" s="49"/>
      <c r="C10" s="49"/>
      <c r="D10" s="50"/>
      <c r="E10" s="50"/>
      <c r="F10" s="50"/>
      <c r="G10" s="49"/>
      <c r="H10" s="49"/>
      <c r="I10" s="49"/>
      <c r="J10" s="49"/>
      <c r="K10" s="49"/>
      <c r="L10" s="49"/>
    </row>
    <row r="11" spans="1:12" x14ac:dyDescent="0.25">
      <c r="B11" s="51" t="s">
        <v>139</v>
      </c>
      <c r="C11" s="51"/>
      <c r="D11" s="51" t="s">
        <v>140</v>
      </c>
      <c r="E11" s="51"/>
      <c r="F11" s="51"/>
      <c r="G11" s="51" t="s">
        <v>141</v>
      </c>
      <c r="H11" s="51"/>
      <c r="I11" s="51"/>
      <c r="J11" s="51" t="s">
        <v>142</v>
      </c>
      <c r="K11" s="51"/>
      <c r="L11" s="51"/>
    </row>
    <row r="12" spans="1:12" ht="18" customHeight="1" x14ac:dyDescent="0.25">
      <c r="B12" s="52"/>
      <c r="C12" s="52"/>
      <c r="D12" s="52"/>
      <c r="E12" s="52"/>
      <c r="F12" s="52"/>
      <c r="G12" s="52"/>
      <c r="H12" s="52"/>
      <c r="I12" s="52"/>
      <c r="J12" s="52"/>
      <c r="K12" s="52"/>
      <c r="L12" s="52"/>
    </row>
    <row r="30" spans="2:12" ht="18" customHeight="1" x14ac:dyDescent="0.25">
      <c r="B30" s="48" t="str">
        <f>"ENERGY INTENSITY (KWH/"&amp;UPPER(OutputUnit)&amp;")"</f>
        <v>ENERGY INTENSITY (KWH/T)</v>
      </c>
      <c r="C30" s="48"/>
      <c r="D30" s="48" t="s">
        <v>143</v>
      </c>
      <c r="E30" s="48"/>
      <c r="F30" s="48"/>
      <c r="G30" s="48" t="str">
        <f>"BLENDED COST ("&amp;Currency&amp;"/KWH)"</f>
        <v>BLENDED COST (USD/KWH)</v>
      </c>
      <c r="H30" s="48"/>
      <c r="I30" s="48"/>
      <c r="J30" s="48" t="s">
        <v>144</v>
      </c>
      <c r="K30" s="48"/>
      <c r="L30" s="48"/>
    </row>
    <row r="31" spans="2:12" ht="21" customHeight="1" x14ac:dyDescent="0.25">
      <c r="B31" s="49">
        <f>IF((SUMIFS(tblBills[Production],tblBills[Month],"&gt;="&amp;FStart,tblBills[Month],"&lt;="&amp;FEnd))=0,"",(SUMIFS(tblBills[Energy (kWh)],tblBills[Month],"&gt;="&amp;FStart,tblBills[Month],"&lt;="&amp;FEnd))/(SUMIFS(tblBills[Production],tblBills[Month],"&gt;="&amp;FStart,tblBills[Month],"&lt;="&amp;FEnd)))</f>
        <v>1463.80710379495</v>
      </c>
      <c r="C31" s="49"/>
      <c r="D31" s="50">
        <f>IF((SUMPRODUCT((tblBills[Month]&gt;=FStart)*(tblBills[Month]&lt;=FEnd)*tblBills[Peak demand (kW)]*tblBills[Days])*24)=0,"",(SUMIFS(tblBills[Energy (kWh)],tblBills[Month],"&gt;="&amp;FStart,tblBills[Month],"&lt;="&amp;FEnd))/(SUMPRODUCT((tblBills[Month]&gt;=FStart)*(tblBills[Month]&lt;=FEnd)*tblBills[Peak demand (kW)]*tblBills[Days])*24))</f>
        <v>0.594441266529829</v>
      </c>
      <c r="E31" s="50"/>
      <c r="F31" s="50"/>
      <c r="G31" s="53">
        <f>IF((SUMIFS(tblBills[Energy (kWh)],tblBills[Month],"&gt;="&amp;FStart,tblBills[Month],"&lt;="&amp;FEnd))=0,"",(SUMIFS(tblBills[Total bill],tblBills[Month],"&gt;="&amp;FStart,tblBills[Month],"&lt;="&amp;FEnd))/(SUMIFS(tblBills[Energy (kWh)],tblBills[Month],"&gt;="&amp;FStart,tblBills[Month],"&lt;="&amp;FEnd)))</f>
        <v>0.118942167340269</v>
      </c>
      <c r="H31" s="53"/>
      <c r="I31" s="53"/>
      <c r="J31" s="49">
        <f>SUMIFS(tblBills[Energy (kWh)],tblBills[Month],"&gt;="&amp;FStart,tblBills[Month],"&lt;="&amp;FEnd)/1000</f>
        <v>10599.72</v>
      </c>
      <c r="K31" s="49"/>
      <c r="L31" s="49"/>
    </row>
    <row r="32" spans="2:12" ht="21" customHeight="1" x14ac:dyDescent="0.25">
      <c r="B32" s="49"/>
      <c r="C32" s="49"/>
      <c r="D32" s="50"/>
      <c r="E32" s="50"/>
      <c r="F32" s="50"/>
      <c r="G32" s="53"/>
      <c r="H32" s="53"/>
      <c r="I32" s="53"/>
      <c r="J32" s="49"/>
      <c r="K32" s="49"/>
      <c r="L32" s="49"/>
    </row>
    <row r="33" spans="2:12" x14ac:dyDescent="0.25">
      <c r="B33" s="54">
        <f>TargetIntensity</f>
        <v>1400</v>
      </c>
      <c r="C33" s="54"/>
      <c r="D33" s="55">
        <f>TargetLF</f>
        <v>0.65</v>
      </c>
      <c r="E33" s="55"/>
      <c r="F33" s="55"/>
      <c r="G33" s="51" t="s">
        <v>145</v>
      </c>
      <c r="H33" s="51"/>
      <c r="I33" s="51"/>
      <c r="J33" s="51" t="s">
        <v>142</v>
      </c>
      <c r="K33" s="51"/>
      <c r="L33" s="51"/>
    </row>
    <row r="34" spans="2:12" ht="18" customHeight="1" x14ac:dyDescent="0.25">
      <c r="B34" s="52" t="str">
        <f>IF(NOT(ISNUMBER(KpiIntensity)),"No data",IF(KpiIntensity&lt;=(TargetIntensity),"On target",IF(KpiIntensity&lt;=(TargetIntensity)*(1+0.05),"Near target","Above target")))</f>
        <v>Near target</v>
      </c>
      <c r="C34" s="52"/>
      <c r="D34" s="52" t="str">
        <f>IF(NOT(ISNUMBER(KpiLF)),"No data",IF(KpiLF&gt;=(TargetLF),"On target",IF(KpiLF&gt;=(TargetLF)*(1-0.05),"Near target","Below target")))</f>
        <v>Below target</v>
      </c>
      <c r="E34" s="52"/>
      <c r="F34" s="52"/>
      <c r="G34" s="52"/>
      <c r="H34" s="52"/>
      <c r="I34" s="52"/>
      <c r="J34" s="52"/>
      <c r="K34" s="52"/>
      <c r="L34" s="52"/>
    </row>
    <row r="52" spans="2:12" x14ac:dyDescent="0.25">
      <c r="B52" s="32" t="s">
        <v>146</v>
      </c>
      <c r="C52" s="32"/>
      <c r="D52" s="32"/>
      <c r="E52" s="32"/>
      <c r="F52" s="32"/>
      <c r="G52" s="32"/>
      <c r="H52" s="32"/>
      <c r="I52" s="32"/>
      <c r="J52" s="32"/>
      <c r="K52" s="32"/>
      <c r="L52" s="32"/>
    </row>
    <row r="53" spans="2:12" ht="32" customHeight="1" x14ac:dyDescent="0.25">
      <c r="B53" s="56" t="s">
        <v>105</v>
      </c>
      <c r="C53" s="33" t="s">
        <v>107</v>
      </c>
      <c r="D53" s="33" t="s">
        <v>108</v>
      </c>
      <c r="E53" s="33" t="s">
        <v>117</v>
      </c>
      <c r="F53" s="33" t="s">
        <v>109</v>
      </c>
      <c r="G53" s="33" t="s">
        <v>110</v>
      </c>
      <c r="H53" s="33" t="s">
        <v>111</v>
      </c>
      <c r="I53" s="33" t="s">
        <v>113</v>
      </c>
      <c r="J53" s="33" t="s">
        <v>114</v>
      </c>
      <c r="K53" s="33" t="s">
        <v>121</v>
      </c>
      <c r="L53" s="33" t="s">
        <v>147</v>
      </c>
    </row>
    <row r="54" spans="2:12" ht="14" customHeight="1" x14ac:dyDescent="0.25">
      <c r="B54" s="35"/>
      <c r="C54" s="35"/>
      <c r="D54" s="35"/>
      <c r="E54" s="35"/>
      <c r="F54" s="35" t="str">
        <f>Currency</f>
        <v>USD</v>
      </c>
      <c r="G54" s="35" t="str">
        <f>Currency</f>
        <v>USD</v>
      </c>
      <c r="H54" s="35" t="str">
        <f>Currency</f>
        <v>USD</v>
      </c>
      <c r="I54" s="35" t="str">
        <f>Currency</f>
        <v>USD</v>
      </c>
      <c r="J54" s="35" t="s">
        <v>126</v>
      </c>
      <c r="K54" s="35" t="str">
        <f>"kWh/"&amp;OutputUnit</f>
        <v>kWh/t</v>
      </c>
      <c r="L54" s="35" t="str">
        <f>"kWh/"&amp;OutputUnit</f>
        <v>kWh/t</v>
      </c>
    </row>
    <row r="55" spans="2:12" x14ac:dyDescent="0.25">
      <c r="B55" s="57">
        <f>IF(FEnd=0,"",FStart)</f>
        <v>45931</v>
      </c>
      <c r="C55" s="41">
        <f>IF($B$55="","",SUMIFS(tblBills[Energy (kWh)],tblBills[Month],$B$55))</f>
        <v>928230</v>
      </c>
      <c r="D55" s="41">
        <f>IF($B$55="","",SUMIFS(tblBills[Peak demand (kW)],tblBills[Month],$B$55))</f>
        <v>2080</v>
      </c>
      <c r="E55" s="41">
        <f>IF($B$55="","",SUMIFS(tblBills[Billing demand (kW)],tblBills[Month],$B$55))</f>
        <v>2224</v>
      </c>
      <c r="F55" s="41">
        <f>IF($B$55="","",SUMIFS(tblBills[Energy charges],tblBills[Month],$B$55))</f>
        <v>70649.48</v>
      </c>
      <c r="G55" s="41">
        <f>IF($B$55="","",SUMIFS(tblBills[Demand charges],tblBills[Month],$B$55))</f>
        <v>32698</v>
      </c>
      <c r="H55" s="41">
        <f>IF($B$55="","",SUMIFS(tblBills[Other charges],tblBills[Month],$B$55))</f>
        <v>3350.42</v>
      </c>
      <c r="I55" s="41">
        <f>IF($B$55="","",SUMIFS(tblBills[Total bill],tblBills[Month],$B$55))</f>
        <v>106697.9</v>
      </c>
      <c r="J55" s="39">
        <f>IF($B$55="","",IF((SUMIFS(tblBills[Peak demand (kW)],tblBills[Month],$B$55)*SUMIFS(tblBills[Days],tblBills[Month],$B$55)*24)=0,"",(SUMIFS(tblBills[Energy (kWh)],tblBills[Month],$B$55))/(SUMIFS(tblBills[Peak demand (kW)],tblBills[Month],$B$55)*SUMIFS(tblBills[Days],tblBills[Month],$B$55)*24)))</f>
        <v>0.599817772952854</v>
      </c>
      <c r="K55" s="41">
        <f>IF($B$55="","",IF((SUMIFS(tblBills[Production],tblBills[Month],$B$55))=0,"",(SUMIFS(tblBills[Energy (kWh)],tblBills[Month],$B$55))/(SUMIFS(tblBills[Production],tblBills[Month],$B$55))))</f>
        <v>1475.25429116338</v>
      </c>
      <c r="L55" s="58">
        <f>TargetIntensity</f>
        <v>1400</v>
      </c>
    </row>
    <row r="56" spans="2:12" x14ac:dyDescent="0.25">
      <c r="B56" s="57">
        <f>IF($B$55="","",EDATE($B$55,1))</f>
        <v>45962</v>
      </c>
      <c r="C56" s="41">
        <f>IF($B$56="","",SUMIFS(tblBills[Energy (kWh)],tblBills[Month],$B$56))</f>
        <v>914320</v>
      </c>
      <c r="D56" s="41">
        <f>IF($B$56="","",SUMIFS(tblBills[Peak demand (kW)],tblBills[Month],$B$56))</f>
        <v>2035</v>
      </c>
      <c r="E56" s="41">
        <f>IF($B$56="","",SUMIFS(tblBills[Billing demand (kW)],tblBills[Month],$B$56))</f>
        <v>2224</v>
      </c>
      <c r="F56" s="41">
        <f>IF($B$56="","",SUMIFS(tblBills[Energy charges],tblBills[Month],$B$56))</f>
        <v>69518.09</v>
      </c>
      <c r="G56" s="41">
        <f>IF($B$56="","",SUMIFS(tblBills[Demand charges],tblBills[Month],$B$56))</f>
        <v>32698</v>
      </c>
      <c r="H56" s="41">
        <f>IF($B$56="","",SUMIFS(tblBills[Other charges],tblBills[Month],$B$56))</f>
        <v>3316.48</v>
      </c>
      <c r="I56" s="41">
        <f>IF($B$56="","",SUMIFS(tblBills[Total bill],tblBills[Month],$B$56))</f>
        <v>105532.57</v>
      </c>
      <c r="J56" s="39">
        <f>IF($B$56="","",IF((SUMIFS(tblBills[Peak demand (kW)],tblBills[Month],$B$56)*SUMIFS(tblBills[Days],tblBills[Month],$B$56)*24)=0,"",(SUMIFS(tblBills[Energy (kWh)],tblBills[Month],$B$56))/(SUMIFS(tblBills[Peak demand (kW)],tblBills[Month],$B$56)*SUMIFS(tblBills[Days],tblBills[Month],$B$56)*24)))</f>
        <v>0.624024024024024</v>
      </c>
      <c r="K56" s="41">
        <f>IF($B$56="","",IF((SUMIFS(tblBills[Production],tblBills[Month],$B$56))=0,"",(SUMIFS(tblBills[Energy (kWh)],tblBills[Month],$B$56))/(SUMIFS(tblBills[Production],tblBills[Month],$B$56))))</f>
        <v>1467.60834670947</v>
      </c>
      <c r="L56" s="58">
        <f>TargetIntensity</f>
        <v>1400</v>
      </c>
    </row>
    <row r="57" spans="2:12" x14ac:dyDescent="0.25">
      <c r="B57" s="57">
        <f>IF($B$56="","",EDATE($B$56,1))</f>
        <v>45992</v>
      </c>
      <c r="C57" s="41">
        <f>IF($B$57="","",SUMIFS(tblBills[Energy (kWh)],tblBills[Month],$B$57))</f>
        <v>827570</v>
      </c>
      <c r="D57" s="41">
        <f>IF($B$57="","",SUMIFS(tblBills[Peak demand (kW)],tblBills[Month],$B$57))</f>
        <v>1960</v>
      </c>
      <c r="E57" s="41">
        <f>IF($B$57="","",SUMIFS(tblBills[Billing demand (kW)],tblBills[Month],$B$57))</f>
        <v>2224</v>
      </c>
      <c r="F57" s="41">
        <f>IF($B$57="","",SUMIFS(tblBills[Energy charges],tblBills[Month],$B$57))</f>
        <v>62885.61</v>
      </c>
      <c r="G57" s="41">
        <f>IF($B$57="","",SUMIFS(tblBills[Demand charges],tblBills[Month],$B$57))</f>
        <v>32698</v>
      </c>
      <c r="H57" s="41">
        <f>IF($B$57="","",SUMIFS(tblBills[Other charges],tblBills[Month],$B$57))</f>
        <v>3117.51</v>
      </c>
      <c r="I57" s="41">
        <f>IF($B$57="","",SUMIFS(tblBills[Total bill],tblBills[Month],$B$57))</f>
        <v>98701.12</v>
      </c>
      <c r="J57" s="39">
        <f>IF($B$57="","",IF((SUMIFS(tblBills[Peak demand (kW)],tblBills[Month],$B$57)*SUMIFS(tblBills[Days],tblBills[Month],$B$57)*24)=0,"",(SUMIFS(tblBills[Energy (kWh)],tblBills[Month],$B$57))/(SUMIFS(tblBills[Peak demand (kW)],tblBills[Month],$B$57)*SUMIFS(tblBills[Days],tblBills[Month],$B$57)*24)))</f>
        <v>0.567512892253676</v>
      </c>
      <c r="K57" s="41">
        <f>IF($B$57="","",IF((SUMIFS(tblBills[Production],tblBills[Month],$B$57))=0,"",(SUMIFS(tblBills[Energy (kWh)],tblBills[Month],$B$57))/(SUMIFS(tblBills[Production],tblBills[Month],$B$57))))</f>
        <v>1549.75655430712</v>
      </c>
      <c r="L57" s="58">
        <f>TargetIntensity</f>
        <v>1400</v>
      </c>
    </row>
    <row r="58" spans="2:12" x14ac:dyDescent="0.25">
      <c r="B58" s="57">
        <f>IF($B$57="","",EDATE($B$57,1))</f>
        <v>46023</v>
      </c>
      <c r="C58" s="41">
        <f>IF($B$58="","",SUMIFS(tblBills[Energy (kWh)],tblBills[Month],$B$58))</f>
        <v>925410</v>
      </c>
      <c r="D58" s="41">
        <f>IF($B$58="","",SUMIFS(tblBills[Peak demand (kW)],tblBills[Month],$B$58))</f>
        <v>2310</v>
      </c>
      <c r="E58" s="41">
        <f>IF($B$58="","",SUMIFS(tblBills[Billing demand (kW)],tblBills[Month],$B$58))</f>
        <v>2310</v>
      </c>
      <c r="F58" s="41">
        <f>IF($B$58="","",SUMIFS(tblBills[Energy charges],tblBills[Month],$B$58))</f>
        <v>75285.44</v>
      </c>
      <c r="G58" s="41">
        <f>IF($B$58="","",SUMIFS(tblBills[Demand charges],tblBills[Month],$B$58))</f>
        <v>33945</v>
      </c>
      <c r="H58" s="41">
        <f>IF($B$58="","",SUMIFS(tblBills[Other charges],tblBills[Month],$B$58))</f>
        <v>3526.91</v>
      </c>
      <c r="I58" s="41">
        <f>IF($B$58="","",SUMIFS(tblBills[Total bill],tblBills[Month],$B$58))</f>
        <v>112757.35</v>
      </c>
      <c r="J58" s="39">
        <f>IF($B$58="","",IF((SUMIFS(tblBills[Peak demand (kW)],tblBills[Month],$B$58)*SUMIFS(tblBills[Days],tblBills[Month],$B$58)*24)=0,"",(SUMIFS(tblBills[Energy (kWh)],tblBills[Month],$B$58))/(SUMIFS(tblBills[Peak demand (kW)],tblBills[Month],$B$58)*SUMIFS(tblBills[Days],tblBills[Month],$B$58)*24)))</f>
        <v>0.538454824745147</v>
      </c>
      <c r="K58" s="41">
        <f>IF($B$58="","",IF((SUMIFS(tblBills[Production],tblBills[Month],$B$58))=0,"",(SUMIFS(tblBills[Energy (kWh)],tblBills[Month],$B$58))/(SUMIFS(tblBills[Production],tblBills[Month],$B$58))))</f>
        <v>1503.99804973184</v>
      </c>
      <c r="L58" s="58">
        <f>TargetIntensity</f>
        <v>1400</v>
      </c>
    </row>
    <row r="59" spans="2:12" x14ac:dyDescent="0.25">
      <c r="B59" s="57">
        <f>IF($B$58="","",EDATE($B$58,1))</f>
        <v>46054</v>
      </c>
      <c r="C59" s="41">
        <f>IF($B$59="","",SUMIFS(tblBills[Energy (kWh)],tblBills[Month],$B$59))</f>
        <v>909230</v>
      </c>
      <c r="D59" s="41">
        <f>IF($B$59="","",SUMIFS(tblBills[Peak demand (kW)],tblBills[Month],$B$59))</f>
        <v>2005</v>
      </c>
      <c r="E59" s="41">
        <f>IF($B$59="","",SUMIFS(tblBills[Billing demand (kW)],tblBills[Month],$B$59))</f>
        <v>2005</v>
      </c>
      <c r="F59" s="41">
        <f>IF($B$59="","",SUMIFS(tblBills[Energy charges],tblBills[Month],$B$59))</f>
        <v>74456.65</v>
      </c>
      <c r="G59" s="41">
        <f>IF($B$59="","",SUMIFS(tblBills[Demand charges],tblBills[Month],$B$59))</f>
        <v>29522.5</v>
      </c>
      <c r="H59" s="41">
        <f>IF($B$59="","",SUMIFS(tblBills[Other charges],tblBills[Month],$B$59))</f>
        <v>3369.37</v>
      </c>
      <c r="I59" s="41">
        <f>IF($B$59="","",SUMIFS(tblBills[Total bill],tblBills[Month],$B$59))</f>
        <v>107348.52</v>
      </c>
      <c r="J59" s="39">
        <f>IF($B$59="","",IF((SUMIFS(tblBills[Peak demand (kW)],tblBills[Month],$B$59)*SUMIFS(tblBills[Days],tblBills[Month],$B$59)*24)=0,"",(SUMIFS(tblBills[Energy (kWh)],tblBills[Month],$B$59))/(SUMIFS(tblBills[Peak demand (kW)],tblBills[Month],$B$59)*SUMIFS(tblBills[Days],tblBills[Month],$B$59)*24)))</f>
        <v>0.674823358270989</v>
      </c>
      <c r="K59" s="41">
        <f>IF($B$59="","",IF((SUMIFS(tblBills[Production],tblBills[Month],$B$59))=0,"",(SUMIFS(tblBills[Energy (kWh)],tblBills[Month],$B$59))/(SUMIFS(tblBills[Production],tblBills[Month],$B$59))))</f>
        <v>1434.1167192429</v>
      </c>
      <c r="L59" s="58">
        <f>TargetIntensity</f>
        <v>1400</v>
      </c>
    </row>
    <row r="60" spans="2:12" x14ac:dyDescent="0.25">
      <c r="B60" s="57">
        <f>IF($B$59="","",EDATE($B$59,1))</f>
        <v>46082</v>
      </c>
      <c r="C60" s="41">
        <f>IF($B$60="","",SUMIFS(tblBills[Energy (kWh)],tblBills[Month],$B$60))</f>
        <v>918970</v>
      </c>
      <c r="D60" s="41">
        <f>IF($B$60="","",SUMIFS(tblBills[Peak demand (kW)],tblBills[Month],$B$60))</f>
        <v>2005</v>
      </c>
      <c r="E60" s="41">
        <f>IF($B$60="","",SUMIFS(tblBills[Billing demand (kW)],tblBills[Month],$B$60))</f>
        <v>2005</v>
      </c>
      <c r="F60" s="41">
        <f>IF($B$60="","",SUMIFS(tblBills[Energy charges],tblBills[Month],$B$60))</f>
        <v>74755.51</v>
      </c>
      <c r="G60" s="41">
        <f>IF($B$60="","",SUMIFS(tblBills[Demand charges],tblBills[Month],$B$60))</f>
        <v>31234.81</v>
      </c>
      <c r="H60" s="41">
        <f>IF($B$60="","",SUMIFS(tblBills[Other charges],tblBills[Month],$B$60))</f>
        <v>3429.71</v>
      </c>
      <c r="I60" s="41">
        <f>IF($B$60="","",SUMIFS(tblBills[Total bill],tblBills[Month],$B$60))</f>
        <v>109420.03</v>
      </c>
      <c r="J60" s="39">
        <f>IF($B$60="","",IF((SUMIFS(tblBills[Peak demand (kW)],tblBills[Month],$B$60)*SUMIFS(tblBills[Days],tblBills[Month],$B$60)*24)=0,"",(SUMIFS(tblBills[Energy (kWh)],tblBills[Month],$B$60))/(SUMIFS(tblBills[Peak demand (kW)],tblBills[Month],$B$60)*SUMIFS(tblBills[Days],tblBills[Month],$B$60)*24)))</f>
        <v>0.616047247472716</v>
      </c>
      <c r="K60" s="41">
        <f>IF($B$60="","",IF((SUMIFS(tblBills[Production],tblBills[Month],$B$60))=0,"",(SUMIFS(tblBills[Energy (kWh)],tblBills[Month],$B$60))/(SUMIFS(tblBills[Production],tblBills[Month],$B$60))))</f>
        <v>1495.47599674532</v>
      </c>
      <c r="L60" s="58">
        <f>TargetIntensity</f>
        <v>1400</v>
      </c>
    </row>
    <row r="61" spans="2:12" x14ac:dyDescent="0.25">
      <c r="B61" s="57">
        <f>IF($B$60="","",EDATE($B$60,1))</f>
        <v>46113</v>
      </c>
      <c r="C61" s="41">
        <f>IF($B$61="","",SUMIFS(tblBills[Energy (kWh)],tblBills[Month],$B$61))</f>
        <v>879350</v>
      </c>
      <c r="D61" s="41">
        <f>IF($B$61="","",SUMIFS(tblBills[Peak demand (kW)],tblBills[Month],$B$61))</f>
        <v>2065</v>
      </c>
      <c r="E61" s="41">
        <f>IF($B$61="","",SUMIFS(tblBills[Billing demand (kW)],tblBills[Month],$B$61))</f>
        <v>2065</v>
      </c>
      <c r="F61" s="41">
        <f>IF($B$61="","",SUMIFS(tblBills[Energy charges],tblBills[Month],$B$61))</f>
        <v>71721.58</v>
      </c>
      <c r="G61" s="41">
        <f>IF($B$61="","",SUMIFS(tblBills[Demand charges],tblBills[Month],$B$61))</f>
        <v>30392.5</v>
      </c>
      <c r="H61" s="41">
        <f>IF($B$61="","",SUMIFS(tblBills[Other charges],tblBills[Month],$B$61))</f>
        <v>3313.42</v>
      </c>
      <c r="I61" s="41">
        <f>IF($B$61="","",SUMIFS(tblBills[Total bill],tblBills[Month],$B$61))</f>
        <v>105427.5</v>
      </c>
      <c r="J61" s="39">
        <f>IF($B$61="","",IF((SUMIFS(tblBills[Peak demand (kW)],tblBills[Month],$B$61)*SUMIFS(tblBills[Days],tblBills[Month],$B$61)*24)=0,"",(SUMIFS(tblBills[Energy (kWh)],tblBills[Month],$B$61))/(SUMIFS(tblBills[Peak demand (kW)],tblBills[Month],$B$61)*SUMIFS(tblBills[Days],tblBills[Month],$B$61)*24)))</f>
        <v>0.591437987624428</v>
      </c>
      <c r="K61" s="41">
        <f>IF($B$61="","",IF((SUMIFS(tblBills[Production],tblBills[Month],$B$61))=0,"",(SUMIFS(tblBills[Energy (kWh)],tblBills[Month],$B$61))/(SUMIFS(tblBills[Production],tblBills[Month],$B$61))))</f>
        <v>1417.39200515796</v>
      </c>
      <c r="L61" s="58">
        <f>TargetIntensity</f>
        <v>1400</v>
      </c>
    </row>
    <row r="62" spans="2:12" x14ac:dyDescent="0.25">
      <c r="B62" s="57">
        <f>IF($B$61="","",EDATE($B$61,1))</f>
        <v>46143</v>
      </c>
      <c r="C62" s="41">
        <f>IF($B$62="","",SUMIFS(tblBills[Energy (kWh)],tblBills[Month],$B$62))</f>
        <v>881870</v>
      </c>
      <c r="D62" s="41">
        <f>IF($B$62="","",SUMIFS(tblBills[Peak demand (kW)],tblBills[Month],$B$62))</f>
        <v>2015</v>
      </c>
      <c r="E62" s="41">
        <f>IF($B$62="","",SUMIFS(tblBills[Billing demand (kW)],tblBills[Month],$B$62))</f>
        <v>2015</v>
      </c>
      <c r="F62" s="41">
        <f>IF($B$62="","",SUMIFS(tblBills[Energy charges],tblBills[Month],$B$62))</f>
        <v>72213.34</v>
      </c>
      <c r="G62" s="41">
        <f>IF($B$62="","",SUMIFS(tblBills[Demand charges],tblBills[Month],$B$62))</f>
        <v>29667.5</v>
      </c>
      <c r="H62" s="41">
        <f>IF($B$62="","",SUMIFS(tblBills[Other charges],tblBills[Month],$B$62))</f>
        <v>3306.43</v>
      </c>
      <c r="I62" s="41">
        <f>IF($B$62="","",SUMIFS(tblBills[Total bill],tblBills[Month],$B$62))</f>
        <v>105187.27</v>
      </c>
      <c r="J62" s="39">
        <f>IF($B$62="","",IF((SUMIFS(tblBills[Peak demand (kW)],tblBills[Month],$B$62)*SUMIFS(tblBills[Days],tblBills[Month],$B$62)*24)=0,"",(SUMIFS(tblBills[Energy (kWh)],tblBills[Month],$B$62))/(SUMIFS(tblBills[Peak demand (kW)],tblBills[Month],$B$62)*SUMIFS(tblBills[Days],tblBills[Month],$B$62)*24)))</f>
        <v>0.588242749272926</v>
      </c>
      <c r="K62" s="41">
        <f>IF($B$62="","",IF((SUMIFS(tblBills[Production],tblBills[Month],$B$62))=0,"",(SUMIFS(tblBills[Energy (kWh)],tblBills[Month],$B$62))/(SUMIFS(tblBills[Production],tblBills[Month],$B$62))))</f>
        <v>1426.0510996119</v>
      </c>
      <c r="L62" s="58">
        <f>TargetIntensity</f>
        <v>1400</v>
      </c>
    </row>
    <row r="63" spans="2:12" x14ac:dyDescent="0.25">
      <c r="B63" s="57">
        <f>IF($B$62="","",EDATE($B$62,1))</f>
        <v>46174</v>
      </c>
      <c r="C63" s="41">
        <f>IF($B$63="","",SUMIFS(tblBills[Energy (kWh)],tblBills[Month],$B$63))</f>
        <v>891730</v>
      </c>
      <c r="D63" s="41">
        <f>IF($B$63="","",SUMIFS(tblBills[Peak demand (kW)],tblBills[Month],$B$63))</f>
        <v>2055</v>
      </c>
      <c r="E63" s="41">
        <f>IF($B$63="","",SUMIFS(tblBills[Billing demand (kW)],tblBills[Month],$B$63))</f>
        <v>2055</v>
      </c>
      <c r="F63" s="41">
        <f>IF($B$63="","",SUMIFS(tblBills[Energy charges],tblBills[Month],$B$63))</f>
        <v>72975.81</v>
      </c>
      <c r="G63" s="41">
        <f>IF($B$63="","",SUMIFS(tblBills[Demand charges],tblBills[Month],$B$63))</f>
        <v>30247.5</v>
      </c>
      <c r="H63" s="41">
        <f>IF($B$63="","",SUMIFS(tblBills[Other charges],tblBills[Month],$B$63))</f>
        <v>3346.7</v>
      </c>
      <c r="I63" s="41">
        <f>IF($B$63="","",SUMIFS(tblBills[Total bill],tblBills[Month],$B$63))</f>
        <v>106570.01</v>
      </c>
      <c r="J63" s="39">
        <f>IF($B$63="","",IF((SUMIFS(tblBills[Peak demand (kW)],tblBills[Month],$B$63)*SUMIFS(tblBills[Days],tblBills[Month],$B$63)*24)=0,"",(SUMIFS(tblBills[Energy (kWh)],tblBills[Month],$B$63))/(SUMIFS(tblBills[Peak demand (kW)],tblBills[Month],$B$63)*SUMIFS(tblBills[Days],tblBills[Month],$B$63)*24)))</f>
        <v>0.602683157610165</v>
      </c>
      <c r="K63" s="41">
        <f>IF($B$63="","",IF((SUMIFS(tblBills[Production],tblBills[Month],$B$63))=0,"",(SUMIFS(tblBills[Energy (kWh)],tblBills[Month],$B$63))/(SUMIFS(tblBills[Production],tblBills[Month],$B$63))))</f>
        <v>1408.51366292845</v>
      </c>
      <c r="L63" s="58">
        <f>TargetIntensity</f>
        <v>1400</v>
      </c>
    </row>
    <row r="64" spans="2:12" x14ac:dyDescent="0.25">
      <c r="B64" s="57">
        <f>IF($B$63="","",EDATE($B$63,1))</f>
        <v>46204</v>
      </c>
      <c r="C64" s="41">
        <f>IF($B$64="","",SUMIFS(tblBills[Energy (kWh)],tblBills[Month],$B$64))</f>
        <v>909740</v>
      </c>
      <c r="D64" s="41">
        <f>IF($B$64="","",SUMIFS(tblBills[Peak demand (kW)],tblBills[Month],$B$64))</f>
        <v>2090</v>
      </c>
      <c r="E64" s="41">
        <f>IF($B$64="","",SUMIFS(tblBills[Billing demand (kW)],tblBills[Month],$B$64))</f>
        <v>2090</v>
      </c>
      <c r="F64" s="41">
        <f>IF($B$64="","",SUMIFS(tblBills[Energy charges],tblBills[Month],$B$64))</f>
        <v>73961.75</v>
      </c>
      <c r="G64" s="41">
        <f>IF($B$64="","",SUMIFS(tblBills[Demand charges],tblBills[Month],$B$64))</f>
        <v>30755</v>
      </c>
      <c r="H64" s="41">
        <f>IF($B$64="","",SUMIFS(tblBills[Other charges],tblBills[Month],$B$64))</f>
        <v>3391.5</v>
      </c>
      <c r="I64" s="41">
        <f>IF($B$64="","",SUMIFS(tblBills[Total bill],tblBills[Month],$B$64))</f>
        <v>108108.25</v>
      </c>
      <c r="J64" s="39">
        <f>IF($B$64="","",IF((SUMIFS(tblBills[Peak demand (kW)],tblBills[Month],$B$64)*SUMIFS(tblBills[Days],tblBills[Month],$B$64)*24)=0,"",(SUMIFS(tblBills[Energy (kWh)],tblBills[Month],$B$64))/(SUMIFS(tblBills[Peak demand (kW)],tblBills[Month],$B$64)*SUMIFS(tblBills[Days],tblBills[Month],$B$64)*24)))</f>
        <v>0.585056850336986</v>
      </c>
      <c r="K64" s="41">
        <f>IF($B$64="","",IF((SUMIFS(tblBills[Production],tblBills[Month],$B$64))=0,"",(SUMIFS(tblBills[Energy (kWh)],tblBills[Month],$B$64))/(SUMIFS(tblBills[Production],tblBills[Month],$B$64))))</f>
        <v>1439.23429837051</v>
      </c>
      <c r="L64" s="58">
        <f>TargetIntensity</f>
        <v>1400</v>
      </c>
    </row>
    <row r="65" spans="2:12" x14ac:dyDescent="0.25">
      <c r="B65" s="57">
        <f>IF($B$64="","",EDATE($B$64,1))</f>
        <v>46235</v>
      </c>
      <c r="C65" s="41">
        <f>IF($B$65="","",SUMIFS(tblBills[Energy (kWh)],tblBills[Month],$B$65))</f>
        <v>735620</v>
      </c>
      <c r="D65" s="41">
        <f>IF($B$65="","",SUMIFS(tblBills[Peak demand (kW)],tblBills[Month],$B$65))</f>
        <v>1775</v>
      </c>
      <c r="E65" s="41">
        <f>IF($B$65="","",SUMIFS(tblBills[Billing demand (kW)],tblBills[Month],$B$65))</f>
        <v>1848</v>
      </c>
      <c r="F65" s="41">
        <f>IF($B$65="","",SUMIFS(tblBills[Energy charges],tblBills[Month],$B$65))</f>
        <v>59986.97</v>
      </c>
      <c r="G65" s="41">
        <f>IF($B$65="","",SUMIFS(tblBills[Demand charges],tblBills[Month],$B$65))</f>
        <v>27246</v>
      </c>
      <c r="H65" s="41">
        <f>IF($B$65="","",SUMIFS(tblBills[Other charges],tblBills[Month],$B$65))</f>
        <v>2866.99</v>
      </c>
      <c r="I65" s="41">
        <f>IF($B$65="","",SUMIFS(tblBills[Total bill],tblBills[Month],$B$65))</f>
        <v>90099.96</v>
      </c>
      <c r="J65" s="39">
        <f>IF($B$65="","",IF((SUMIFS(tblBills[Peak demand (kW)],tblBills[Month],$B$65)*SUMIFS(tblBills[Days],tblBills[Month],$B$65)*24)=0,"",(SUMIFS(tblBills[Energy (kWh)],tblBills[Month],$B$65))/(SUMIFS(tblBills[Peak demand (kW)],tblBills[Month],$B$65)*SUMIFS(tblBills[Days],tblBills[Month],$B$65)*24)))</f>
        <v>0.557034681205513</v>
      </c>
      <c r="K65" s="41">
        <f>IF($B$65="","",IF((SUMIFS(tblBills[Production],tblBills[Month],$B$65))=0,"",(SUMIFS(tblBills[Energy (kWh)],tblBills[Month],$B$65))/(SUMIFS(tblBills[Production],tblBills[Month],$B$65))))</f>
        <v>1546.06977721732</v>
      </c>
      <c r="L65" s="58">
        <f>TargetIntensity</f>
        <v>1400</v>
      </c>
    </row>
    <row r="66" spans="2:12" x14ac:dyDescent="0.25">
      <c r="B66" s="57">
        <f>IF($B$65="","",EDATE($B$65,1))</f>
        <v>46266</v>
      </c>
      <c r="C66" s="41">
        <f>IF($B$66="","",SUMIFS(tblBills[Energy (kWh)],tblBills[Month],$B$66))</f>
        <v>877680</v>
      </c>
      <c r="D66" s="41">
        <f>IF($B$66="","",SUMIFS(tblBills[Peak demand (kW)],tblBills[Month],$B$66))</f>
        <v>2030</v>
      </c>
      <c r="E66" s="41">
        <f>IF($B$66="","",SUMIFS(tblBills[Billing demand (kW)],tblBills[Month],$B$66))</f>
        <v>2030</v>
      </c>
      <c r="F66" s="41">
        <f>IF($B$66="","",SUMIFS(tblBills[Energy charges],tblBills[Month],$B$66))</f>
        <v>71720.04</v>
      </c>
      <c r="G66" s="41">
        <f>IF($B$66="","",SUMIFS(tblBills[Demand charges],tblBills[Month],$B$66))</f>
        <v>29885</v>
      </c>
      <c r="H66" s="41">
        <f>IF($B$66="","",SUMIFS(tblBills[Other charges],tblBills[Month],$B$66))</f>
        <v>3298.15</v>
      </c>
      <c r="I66" s="41">
        <f>IF($B$66="","",SUMIFS(tblBills[Total bill],tblBills[Month],$B$66))</f>
        <v>104903.19</v>
      </c>
      <c r="J66" s="39">
        <f>IF($B$66="","",IF((SUMIFS(tblBills[Peak demand (kW)],tblBills[Month],$B$66)*SUMIFS(tblBills[Days],tblBills[Month],$B$66)*24)=0,"",(SUMIFS(tblBills[Energy (kWh)],tblBills[Month],$B$66))/(SUMIFS(tblBills[Peak demand (kW)],tblBills[Month],$B$66)*SUMIFS(tblBills[Days],tblBills[Month],$B$66)*24)))</f>
        <v>0.600492610837438</v>
      </c>
      <c r="K66" s="41">
        <f>IF($B$66="","",IF((SUMIFS(tblBills[Production],tblBills[Month],$B$66))=0,"",(SUMIFS(tblBills[Energy (kWh)],tblBills[Month],$B$66))/(SUMIFS(tblBills[Production],tblBills[Month],$B$66))))</f>
        <v>1435.52502453386</v>
      </c>
      <c r="L66" s="58">
        <f>TargetIntensity</f>
        <v>1400</v>
      </c>
    </row>
    <row r="68" spans="2:12" x14ac:dyDescent="0.25">
      <c r="B68" s="32" t="s">
        <v>148</v>
      </c>
      <c r="C68" s="32"/>
      <c r="D68" s="32"/>
      <c r="E68" s="32"/>
      <c r="F68" s="32"/>
      <c r="H68" s="32" t="s">
        <v>149</v>
      </c>
      <c r="I68" s="32"/>
      <c r="J68" s="32"/>
      <c r="K68" s="32"/>
      <c r="L68" s="32"/>
    </row>
    <row r="69" spans="2:12" ht="45.5" customHeight="1" x14ac:dyDescent="0.25">
      <c r="B69" s="56" t="s">
        <v>150</v>
      </c>
      <c r="C69" s="33" t="s">
        <v>107</v>
      </c>
      <c r="D69" s="33" t="s">
        <v>151</v>
      </c>
      <c r="E69" s="33" t="s">
        <v>121</v>
      </c>
      <c r="F69" s="33" t="s">
        <v>152</v>
      </c>
      <c r="H69" s="27" t="s">
        <v>153</v>
      </c>
      <c r="I69" s="27"/>
      <c r="J69" s="27"/>
      <c r="K69" s="41">
        <f>SUMIFS(tblSubMeters[Energy (kWh)],tblSubMeters[Month],"&gt;="&amp;FStart,tblSubMeters[Month],"&lt;="&amp;FEnd)</f>
        <v>9886990</v>
      </c>
      <c r="L69" s="7" t="s">
        <v>154</v>
      </c>
    </row>
    <row r="70" spans="2:12" ht="14" customHeight="1" x14ac:dyDescent="0.25">
      <c r="B70" s="35"/>
      <c r="C70" s="35"/>
      <c r="D70" s="35" t="s">
        <v>126</v>
      </c>
      <c r="E70" s="35" t="str">
        <f>"kWh/"&amp;OutputUnit</f>
        <v>kWh/t</v>
      </c>
      <c r="F70" s="35" t="str">
        <f>Currency</f>
        <v>USD</v>
      </c>
      <c r="H70" s="27" t="s">
        <v>155</v>
      </c>
      <c r="I70" s="27"/>
      <c r="J70" s="27"/>
      <c r="K70" s="41">
        <f>IF(SUMIFS(tblBills[Energy (kWh)],tblBills[Month],"&gt;="&amp;FStart,tblBills[Month],"&lt;="&amp;FEnd)=0,"",SUMIFS(tblBills[Energy (kWh)],tblBills[Month],"&gt;="&amp;FStart,tblBills[Month],"&lt;="&amp;FEnd)-Metered)</f>
        <v>712730</v>
      </c>
      <c r="L70" s="7" t="s">
        <v>154</v>
      </c>
    </row>
    <row r="71" spans="2:12" x14ac:dyDescent="0.25">
      <c r="B71" s="59" t="str">
        <f>IFERROR(INDEX(tblMeters[Meter],1)&amp;"","")</f>
        <v>Melting furnaces</v>
      </c>
      <c r="C71" s="41">
        <f>IF($B$71="","",SUMIFS(tblSubMeters[Energy (kWh)],tblSubMeters[Meter],$B$71,tblSubMeters[Month],"&gt;="&amp;FStart,tblSubMeters[Month],"&lt;="&amp;FEnd))</f>
        <v>5483230</v>
      </c>
      <c r="D71" s="39">
        <f>IF($B$71="","",IF((SUMIFS(tblBills[Energy (kWh)],tblBills[Month],"&gt;="&amp;FStart,tblBills[Month],"&lt;="&amp;FEnd))=0,"",($C$71)/(SUMIFS(tblBills[Energy (kWh)],tblBills[Month],"&gt;="&amp;FStart,tblBills[Month],"&lt;="&amp;FEnd))))</f>
        <v>0.517299513572057</v>
      </c>
      <c r="E71" s="41">
        <f>IF($B$71="","",IF((SUMIFS(tblBills[Production],tblBills[Month],"&gt;="&amp;FStart,tblBills[Month],"&lt;="&amp;FEnd))=0,"",($C$71)/(SUMIFS(tblBills[Production],tblBills[Month],"&gt;="&amp;FStart,tblBills[Month],"&lt;="&amp;FEnd))))</f>
        <v>757.226702756449</v>
      </c>
      <c r="F71" s="41">
        <f>IF($B$71="","",$C$71*N(KpiBlended))</f>
        <v>652187.260225185</v>
      </c>
      <c r="H71" s="27" t="s">
        <v>156</v>
      </c>
      <c r="I71" s="27"/>
      <c r="J71" s="27"/>
      <c r="K71" s="39">
        <f>IF((SUMIFS(tblBills[Energy (kWh)],tblBills[Month],"&gt;="&amp;FStart,tblBills[Month],"&lt;="&amp;FEnd))=0,"",(N(Unmetered))/(SUMIFS(tblBills[Energy (kWh)],tblBills[Month],"&gt;="&amp;FStart,tblBills[Month],"&lt;="&amp;FEnd)))</f>
        <v>0.0672404554082561</v>
      </c>
      <c r="L71" s="7" t="s">
        <v>126</v>
      </c>
    </row>
    <row r="72" spans="2:12" x14ac:dyDescent="0.25">
      <c r="B72" s="59" t="str">
        <f>IFERROR(INDEX(tblMeters[Meter],2)&amp;"","")</f>
        <v>Die casting cells</v>
      </c>
      <c r="C72" s="41">
        <f>IF($B$72="","",SUMIFS(tblSubMeters[Energy (kWh)],tblSubMeters[Meter],$B$72,tblSubMeters[Month],"&gt;="&amp;FStart,tblSubMeters[Month],"&lt;="&amp;FEnd))</f>
        <v>1903570</v>
      </c>
      <c r="D72" s="39">
        <f>IF($B$72="","",IF((SUMIFS(tblBills[Energy (kWh)],tblBills[Month],"&gt;="&amp;FStart,tblBills[Month],"&lt;="&amp;FEnd))=0,"",($C$72)/(SUMIFS(tblBills[Energy (kWh)],tblBills[Month],"&gt;="&amp;FStart,tblBills[Month],"&lt;="&amp;FEnd))))</f>
        <v>0.179586819274471</v>
      </c>
      <c r="E72" s="41">
        <f>IF($B$72="","",IF((SUMIFS(tblBills[Production],tblBills[Month],"&gt;="&amp;FStart,tblBills[Month],"&lt;="&amp;FEnd))=0,"",($C$72)/(SUMIFS(tblBills[Production],tblBills[Month],"&gt;="&amp;FStart,tblBills[Month],"&lt;="&amp;FEnd))))</f>
        <v>262.880461801911</v>
      </c>
      <c r="F72" s="41">
        <f>IF($B$72="","",$C$72*N(KpiBlended))</f>
        <v>226414.741483917</v>
      </c>
    </row>
    <row r="73" spans="2:12" x14ac:dyDescent="0.25">
      <c r="B73" s="59" t="str">
        <f>IFERROR(INDEX(tblMeters[Meter],3)&amp;"","")</f>
        <v>Compressed air</v>
      </c>
      <c r="C73" s="41">
        <f>IF($B$73="","",SUMIFS(tblSubMeters[Energy (kWh)],tblSubMeters[Meter],$B$73,tblSubMeters[Month],"&gt;="&amp;FStart,tblSubMeters[Month],"&lt;="&amp;FEnd))</f>
        <v>1225960</v>
      </c>
      <c r="D73" s="39">
        <f>IF($B$73="","",IF((SUMIFS(tblBills[Energy (kWh)],tblBills[Month],"&gt;="&amp;FStart,tblBills[Month],"&lt;="&amp;FEnd))=0,"",($C$73)/(SUMIFS(tblBills[Energy (kWh)],tblBills[Month],"&gt;="&amp;FStart,tblBills[Month],"&lt;="&amp;FEnd))))</f>
        <v>0.115659658934387</v>
      </c>
      <c r="E73" s="41">
        <f>IF($B$73="","",IF((SUMIFS(tblBills[Production],tblBills[Month],"&gt;="&amp;FStart,tblBills[Month],"&lt;="&amp;FEnd))=0,"",($C$73)/(SUMIFS(tblBills[Production],tblBills[Month],"&gt;="&amp;FStart,tblBills[Month],"&lt;="&amp;FEnd))))</f>
        <v>169.303430370657</v>
      </c>
      <c r="F73" s="41">
        <f>IF($B$73="","",$C$73*N(KpiBlended))</f>
        <v>145818.339472477</v>
      </c>
    </row>
    <row r="74" spans="2:12" x14ac:dyDescent="0.25">
      <c r="B74" s="59" t="str">
        <f>IFERROR(INDEX(tblMeters[Meter],4)&amp;"","")</f>
        <v>HVAC and fume extraction</v>
      </c>
      <c r="C74" s="41">
        <f>IF($B$74="","",SUMIFS(tblSubMeters[Energy (kWh)],tblSubMeters[Meter],$B$74,tblSubMeters[Month],"&gt;="&amp;FStart,tblSubMeters[Month],"&lt;="&amp;FEnd))</f>
        <v>953950</v>
      </c>
      <c r="D74" s="39">
        <f>IF($B$74="","",IF((SUMIFS(tblBills[Energy (kWh)],tblBills[Month],"&gt;="&amp;FStart,tblBills[Month],"&lt;="&amp;FEnd))=0,"",($C$74)/(SUMIFS(tblBills[Energy (kWh)],tblBills[Month],"&gt;="&amp;FStart,tblBills[Month],"&lt;="&amp;FEnd))))</f>
        <v>0.0899976603155555</v>
      </c>
      <c r="E74" s="41">
        <f>IF($B$74="","",IF((SUMIFS(tblBills[Production],tblBills[Month],"&gt;="&amp;FStart,tblBills[Month],"&lt;="&amp;FEnd))=0,"",($C$74)/(SUMIFS(tblBills[Production],tblBills[Month],"&gt;="&amp;FStart,tblBills[Month],"&lt;="&amp;FEnd))))</f>
        <v>131.739214494835</v>
      </c>
      <c r="F74" s="41">
        <f>IF($B$74="","",$C$74*N(KpiBlended))</f>
        <v>113464.88053425</v>
      </c>
    </row>
    <row r="75" spans="2:12" x14ac:dyDescent="0.25">
      <c r="B75" s="59" t="str">
        <f>IFERROR(INDEX(tblMeters[Meter],5)&amp;"","")</f>
        <v>Lighting and offices</v>
      </c>
      <c r="C75" s="41">
        <f>IF($B$75="","",SUMIFS(tblSubMeters[Energy (kWh)],tblSubMeters[Meter],$B$75,tblSubMeters[Month],"&gt;="&amp;FStart,tblSubMeters[Month],"&lt;="&amp;FEnd))</f>
        <v>320280</v>
      </c>
      <c r="D75" s="39">
        <f>IF($B$75="","",IF((SUMIFS(tblBills[Energy (kWh)],tblBills[Month],"&gt;="&amp;FStart,tblBills[Month],"&lt;="&amp;FEnd))=0,"",($C$75)/(SUMIFS(tblBills[Energy (kWh)],tblBills[Month],"&gt;="&amp;FStart,tblBills[Month],"&lt;="&amp;FEnd))))</f>
        <v>0.0302158924952735</v>
      </c>
      <c r="E75" s="41">
        <f>IF($B$75="","",IF((SUMIFS(tblBills[Production],tblBills[Month],"&gt;="&amp;FStart,tblBills[Month],"&lt;="&amp;FEnd))=0,"",($C$75)/(SUMIFS(tblBills[Production],tblBills[Month],"&gt;="&amp;FStart,tblBills[Month],"&lt;="&amp;FEnd))))</f>
        <v>44.2302380820858</v>
      </c>
      <c r="F75" s="41">
        <f>IF($B$75="","",$C$75*N(KpiBlended))</f>
        <v>38094.7973557415</v>
      </c>
    </row>
    <row r="77" spans="2:12" ht="26.76" customHeight="1" x14ac:dyDescent="0.25">
      <c r="B77" s="21" t="s">
        <v>157</v>
      </c>
      <c r="C77" s="21"/>
      <c r="D77" s="21"/>
      <c r="E77" s="21"/>
      <c r="F77" s="21"/>
      <c r="G77" s="21"/>
      <c r="H77" s="21"/>
      <c r="I77" s="21"/>
      <c r="J77" s="21"/>
      <c r="K77" s="21"/>
      <c r="L77" s="21"/>
    </row>
    <row r="78" spans="2:12" x14ac:dyDescent="0.25">
      <c r="B78" s="60">
        <f>IF(COUNTA(tblMeters[Meter])&gt;5,"The Setup list has more sub-meters than the Dashboard shows.","")</f>
        <v/>
      </c>
      <c r="C78" s="60"/>
      <c r="D78" s="60"/>
      <c r="E78" s="60"/>
      <c r="F78" s="60"/>
      <c r="G78" s="60"/>
      <c r="H78" s="60"/>
      <c r="I78" s="60"/>
      <c r="J78" s="60"/>
      <c r="K78" s="60"/>
      <c r="L78" s="60"/>
    </row>
  </sheetData>
  <sheetProtection sheet="1" formatColumns="0" formatRows="0"/>
  <mergeCells count="52">
    <mergeCell ref="A1:L1"/>
    <mergeCell ref="B2:J2"/>
    <mergeCell ref="K2:L2"/>
    <mergeCell ref="B4:C4"/>
    <mergeCell ref="D4:E4"/>
    <mergeCell ref="B5:C5"/>
    <mergeCell ref="D5:E5"/>
    <mergeCell ref="G4:H4"/>
    <mergeCell ref="I4:J4"/>
    <mergeCell ref="G5:H5"/>
    <mergeCell ref="I5:J5"/>
    <mergeCell ref="B6:L6"/>
    <mergeCell ref="B8:C8"/>
    <mergeCell ref="B9:C10"/>
    <mergeCell ref="B11:C11"/>
    <mergeCell ref="B12:C12"/>
    <mergeCell ref="D8:F8"/>
    <mergeCell ref="D9:F10"/>
    <mergeCell ref="D11:F11"/>
    <mergeCell ref="D12:F12"/>
    <mergeCell ref="G8:I8"/>
    <mergeCell ref="G9:I10"/>
    <mergeCell ref="G11:I11"/>
    <mergeCell ref="G12:I12"/>
    <mergeCell ref="J8:L8"/>
    <mergeCell ref="J9:L10"/>
    <mergeCell ref="J11:L11"/>
    <mergeCell ref="J12:L12"/>
    <mergeCell ref="B30:C30"/>
    <mergeCell ref="B31:C32"/>
    <mergeCell ref="B33:C33"/>
    <mergeCell ref="B34:C34"/>
    <mergeCell ref="D30:F30"/>
    <mergeCell ref="D31:F32"/>
    <mergeCell ref="D33:F33"/>
    <mergeCell ref="D34:F34"/>
    <mergeCell ref="G30:I30"/>
    <mergeCell ref="G31:I32"/>
    <mergeCell ref="G33:I33"/>
    <mergeCell ref="G34:I34"/>
    <mergeCell ref="J30:L30"/>
    <mergeCell ref="J31:L32"/>
    <mergeCell ref="J33:L33"/>
    <mergeCell ref="J34:L34"/>
    <mergeCell ref="B52:L52"/>
    <mergeCell ref="B68:F68"/>
    <mergeCell ref="H68:L68"/>
    <mergeCell ref="H69:J69"/>
    <mergeCell ref="H70:J70"/>
    <mergeCell ref="H71:J71"/>
    <mergeCell ref="B77:L77"/>
    <mergeCell ref="B78:L78"/>
  </mergeCells>
  <conditionalFormatting sqref="B34">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3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D71:D75">
    <cfRule type="dataBar" priority="47">
      <dataBar>
        <cfvo type="num" val="0"/>
        <cfvo type="max"/>
        <color rgb="FFA8BDF0"/>
      </dataBar>
      <extLst>
        <ext xmlns:x14="http://schemas.microsoft.com/office/spreadsheetml/2009/9/main" uri="{B025F937-C7B1-47D3-B67F-A62EFF666E3E}">
          <x14:id>{DA7ABA51-AAAA-BBBB-0005-000000000001}</x14:id>
        </ext>
      </extLst>
    </cfRule>
  </conditionalFormatting>
  <conditionalFormatting sqref="J55:J66">
    <cfRule type="expression" dxfId="3" priority="41" stopIfTrue="1">
      <formula>AND(ISNUMBER(J55),J55&gt;=(TargetLF))</formula>
    </cfRule>
    <cfRule type="expression" dxfId="4" priority="42" stopIfTrue="1">
      <formula>AND(ISNUMBER(J55),J55&gt;=(TargetLF)*(1-0.05))</formula>
    </cfRule>
    <cfRule type="expression" dxfId="5" priority="43">
      <formula>ISNUMBER(J55)</formula>
    </cfRule>
  </conditionalFormatting>
  <conditionalFormatting sqref="K55:K66">
    <cfRule type="expression" dxfId="3" priority="44" stopIfTrue="1">
      <formula>AND(ISNUMBER(K55),K55&lt;=(TargetIntensity))</formula>
    </cfRule>
    <cfRule type="expression" dxfId="4" priority="45" stopIfTrue="1">
      <formula>AND(ISNUMBER(K55),K55&lt;=(TargetIntensity)*(1+0.05))</formula>
    </cfRule>
    <cfRule type="expression" dxfId="5" priority="46">
      <formula>ISNUMBER(K55)</formula>
    </cfRule>
  </conditionalFormatting>
  <dataValidations count="1">
    <dataValidation type="date" allowBlank="1" showInputMessage="1" showErrorMessage="1" errorTitle="Check this entry" error="Enter a date between 01 Jan 2000 and 31 Dec 2100." promptTitle="12 months ending" prompt="Any date in the last month to include. Leave blank to end at the latest bill. Enter a date between 01 Jan 2000 and 31 Dec 2100." sqref="D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Energy Use and Demand Charge Tracker&amp;R&amp;8&amp;A</oddHeader>
    <oddFooter>&amp;L&amp;8mfgcalcs.com - free manufacturing templates&amp;R&amp;8Page &amp;P of &amp;N</oddFooter>
  </headerFooter>
  <rowBreaks count="2" manualBreakCount="2">
    <brk id="29" max="16383" man="1"/>
    <brk id="51"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D71:D75</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61"/>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158</v>
      </c>
      <c r="C4" s="8"/>
      <c r="D4" s="8"/>
    </row>
    <row r="5" spans="1:4" ht="5" customHeight="1"/>
    <row r="6" spans="1:4" ht="55.8" customHeight="1">
      <c r="B6" s="10" t="s">
        <v>159</v>
      </c>
      <c r="C6" s="10"/>
      <c r="D6" s="10"/>
    </row>
    <row r="8" spans="1:4" ht="21" customHeight="1">
      <c r="B8" s="8" t="s">
        <v>160</v>
      </c>
      <c r="C8" s="8"/>
      <c r="D8" s="8"/>
    </row>
    <row r="9" spans="1:4" ht="5" customHeight="1"/>
    <row r="10" spans="1:4" ht="20" customHeight="1">
      <c r="B10" s="56" t="s">
        <v>161</v>
      </c>
      <c r="C10" s="56" t="s">
        <v>162</v>
      </c>
      <c r="D10" s="33" t="s">
        <v>163</v>
      </c>
    </row>
    <row r="11" spans="1:4" ht="17.2" customHeight="1">
      <c r="B11" s="61" t="s">
        <v>113</v>
      </c>
      <c r="C11" s="62" t="s">
        <v>164</v>
      </c>
      <c r="D11" s="63" t="s">
        <v>165</v>
      </c>
    </row>
    <row r="12" spans="1:4" ht="30.4" customHeight="1">
      <c r="B12" s="61" t="s">
        <v>114</v>
      </c>
      <c r="C12" s="62" t="s">
        <v>166</v>
      </c>
      <c r="D12" s="63" t="s">
        <v>126</v>
      </c>
    </row>
    <row r="13" spans="1:4" ht="17.2" customHeight="1">
      <c r="B13" s="61" t="s">
        <v>115</v>
      </c>
      <c r="C13" s="62" t="s">
        <v>167</v>
      </c>
      <c r="D13" s="63" t="s">
        <v>168</v>
      </c>
    </row>
    <row r="14" spans="1:4" ht="43.6" customHeight="1">
      <c r="B14" s="61" t="s">
        <v>169</v>
      </c>
      <c r="C14" s="62" t="s">
        <v>170</v>
      </c>
      <c r="D14" s="63" t="s">
        <v>86</v>
      </c>
    </row>
    <row r="15" spans="1:4" ht="17.2" customHeight="1">
      <c r="B15" s="61" t="s">
        <v>171</v>
      </c>
      <c r="C15" s="62" t="s">
        <v>172</v>
      </c>
      <c r="D15" s="63" t="s">
        <v>86</v>
      </c>
    </row>
    <row r="16" spans="1:4" ht="30.4" customHeight="1">
      <c r="B16" s="61" t="s">
        <v>118</v>
      </c>
      <c r="C16" s="62" t="s">
        <v>173</v>
      </c>
      <c r="D16" s="63" t="s">
        <v>165</v>
      </c>
    </row>
    <row r="17" spans="2:4" ht="30.4" customHeight="1">
      <c r="B17" s="61" t="s">
        <v>119</v>
      </c>
      <c r="C17" s="62" t="s">
        <v>174</v>
      </c>
      <c r="D17" s="63" t="s">
        <v>165</v>
      </c>
    </row>
    <row r="18" spans="2:4" ht="30.4" customHeight="1">
      <c r="B18" s="61" t="s">
        <v>120</v>
      </c>
      <c r="C18" s="62" t="s">
        <v>175</v>
      </c>
      <c r="D18" s="63" t="s">
        <v>165</v>
      </c>
    </row>
    <row r="19" spans="2:4" ht="17.2" customHeight="1">
      <c r="B19" s="61" t="s">
        <v>121</v>
      </c>
      <c r="C19" s="62" t="s">
        <v>176</v>
      </c>
      <c r="D19" s="63" t="s">
        <v>177</v>
      </c>
    </row>
    <row r="20" spans="2:4" ht="17.2" customHeight="1">
      <c r="B20" s="61" t="s">
        <v>122</v>
      </c>
      <c r="C20" s="62" t="s">
        <v>178</v>
      </c>
      <c r="D20" s="63" t="s">
        <v>179</v>
      </c>
    </row>
    <row r="21" spans="2:4" ht="30.4" customHeight="1">
      <c r="B21" s="61" t="s">
        <v>123</v>
      </c>
      <c r="C21" s="62" t="s">
        <v>180</v>
      </c>
      <c r="D21" s="63" t="s">
        <v>181</v>
      </c>
    </row>
    <row r="22" spans="2:4" ht="30.4" customHeight="1">
      <c r="B22" s="61" t="s">
        <v>182</v>
      </c>
      <c r="C22" s="62" t="s">
        <v>183</v>
      </c>
      <c r="D22" s="63" t="s">
        <v>126</v>
      </c>
    </row>
    <row r="23" spans="2:4" ht="17.2" customHeight="1">
      <c r="B23" s="61" t="s">
        <v>155</v>
      </c>
      <c r="C23" s="62" t="s">
        <v>184</v>
      </c>
      <c r="D23" s="63" t="s">
        <v>154</v>
      </c>
    </row>
    <row r="24" spans="2:4" ht="30.4" customHeight="1">
      <c r="B24" s="61" t="s">
        <v>152</v>
      </c>
      <c r="C24" s="62" t="s">
        <v>185</v>
      </c>
      <c r="D24" s="63" t="s">
        <v>165</v>
      </c>
    </row>
    <row r="26" spans="2:4" ht="21" customHeight="1">
      <c r="B26" s="8" t="s">
        <v>186</v>
      </c>
      <c r="C26" s="8"/>
      <c r="D26" s="8"/>
    </row>
    <row r="27" spans="2:4" ht="5" customHeight="1"/>
    <row r="28" spans="2:4" ht="29.4" customHeight="1">
      <c r="B28" s="26" t="s">
        <v>57</v>
      </c>
      <c r="C28" s="10" t="s">
        <v>187</v>
      </c>
      <c r="D28" s="10"/>
    </row>
    <row r="29" spans="2:4" ht="29.4" customHeight="1">
      <c r="B29" s="26" t="s">
        <v>57</v>
      </c>
      <c r="C29" s="10" t="s">
        <v>188</v>
      </c>
      <c r="D29" s="10"/>
    </row>
    <row r="30" spans="2:4" ht="29.4" customHeight="1">
      <c r="B30" s="26" t="s">
        <v>57</v>
      </c>
      <c r="C30" s="10" t="s">
        <v>189</v>
      </c>
      <c r="D30" s="10"/>
    </row>
    <row r="31" spans="2:4" ht="16.2" customHeight="1">
      <c r="B31" s="26" t="s">
        <v>57</v>
      </c>
      <c r="C31" s="10" t="s">
        <v>190</v>
      </c>
      <c r="D31" s="10"/>
    </row>
    <row r="33" spans="2:4" ht="21" customHeight="1">
      <c r="B33" s="8" t="s">
        <v>191</v>
      </c>
      <c r="C33" s="8"/>
      <c r="D33" s="8"/>
    </row>
    <row r="34" spans="2:4" ht="5" customHeight="1"/>
    <row r="35" spans="2:4" ht="29.4" customHeight="1">
      <c r="B35" s="26" t="s">
        <v>57</v>
      </c>
      <c r="C35" s="10" t="s">
        <v>192</v>
      </c>
      <c r="D35" s="10"/>
    </row>
    <row r="36" spans="2:4" ht="29.4" customHeight="1">
      <c r="B36" s="26" t="s">
        <v>57</v>
      </c>
      <c r="C36" s="10" t="s">
        <v>193</v>
      </c>
      <c r="D36" s="10"/>
    </row>
    <row r="37" spans="2:4" ht="29.4" customHeight="1">
      <c r="B37" s="26" t="s">
        <v>57</v>
      </c>
      <c r="C37" s="10" t="s">
        <v>194</v>
      </c>
      <c r="D37" s="10"/>
    </row>
    <row r="38" spans="2:4" ht="29.4" customHeight="1">
      <c r="B38" s="26" t="s">
        <v>57</v>
      </c>
      <c r="C38" s="10" t="s">
        <v>195</v>
      </c>
      <c r="D38" s="10"/>
    </row>
    <row r="40" spans="2:4" ht="21" customHeight="1">
      <c r="B40" s="8" t="s">
        <v>196</v>
      </c>
      <c r="C40" s="8"/>
      <c r="D40" s="8"/>
    </row>
    <row r="41" spans="2:4" ht="5" customHeight="1"/>
    <row r="42" spans="2:4" ht="69" customHeight="1">
      <c r="B42" s="10" t="s">
        <v>197</v>
      </c>
      <c r="C42" s="10"/>
      <c r="D42" s="10"/>
    </row>
    <row r="43" spans="2:4">
      <c r="B43" s="24" t="s">
        <v>198</v>
      </c>
      <c r="C43" s="24"/>
      <c r="D43" s="24"/>
    </row>
    <row r="45" spans="2:4" ht="21" customHeight="1">
      <c r="B45" s="8" t="s">
        <v>44</v>
      </c>
      <c r="C45" s="8"/>
      <c r="D45" s="8"/>
    </row>
    <row r="46" spans="2:4" ht="5" customHeight="1"/>
    <row r="47" spans="2:4" ht="42.6" customHeight="1">
      <c r="B47" s="10" t="s">
        <v>199</v>
      </c>
      <c r="C47" s="10"/>
      <c r="D47" s="10"/>
    </row>
    <row r="49" spans="2:4" ht="21" customHeight="1">
      <c r="B49" s="8" t="s">
        <v>200</v>
      </c>
      <c r="C49" s="8"/>
      <c r="D49" s="8"/>
    </row>
    <row r="50" spans="2:4" ht="5" customHeight="1"/>
    <row r="51" spans="2:4" ht="29.4" customHeight="1">
      <c r="B51" s="26" t="s">
        <v>57</v>
      </c>
      <c r="C51" s="10" t="s">
        <v>201</v>
      </c>
      <c r="D51" s="10"/>
    </row>
    <row r="52" spans="2:4" ht="29.4" customHeight="1">
      <c r="B52" s="26" t="s">
        <v>57</v>
      </c>
      <c r="C52" s="10" t="s">
        <v>202</v>
      </c>
      <c r="D52" s="10"/>
    </row>
    <row r="53" spans="2:4" ht="29.4" customHeight="1">
      <c r="B53" s="26" t="s">
        <v>57</v>
      </c>
      <c r="C53" s="10" t="s">
        <v>203</v>
      </c>
      <c r="D53" s="10"/>
    </row>
    <row r="54" spans="2:4">
      <c r="B54" s="21" t="s">
        <v>204</v>
      </c>
      <c r="C54" s="21"/>
      <c r="D54" s="21"/>
    </row>
    <row r="56" spans="2:4" ht="21" customHeight="1">
      <c r="B56" s="8" t="s">
        <v>205</v>
      </c>
      <c r="C56" s="8"/>
      <c r="D56" s="8"/>
    </row>
    <row r="57" spans="2:4" ht="5" customHeight="1"/>
    <row r="58" spans="2:4">
      <c r="B58" s="56" t="s">
        <v>52</v>
      </c>
      <c r="C58" s="56" t="s">
        <v>206</v>
      </c>
      <c r="D58" s="33" t="s">
        <v>207</v>
      </c>
    </row>
    <row r="59" spans="2:4" ht="16.2" customHeight="1">
      <c r="B59" s="64" t="s">
        <v>208</v>
      </c>
      <c r="C59" s="65" t="s">
        <v>209</v>
      </c>
      <c r="D59" s="66" t="s">
        <v>210</v>
      </c>
    </row>
    <row r="61" spans="2:4">
      <c r="B61" s="21" t="s">
        <v>63</v>
      </c>
      <c r="C61" s="21"/>
      <c r="D61" s="21"/>
    </row>
  </sheetData>
  <sheetProtection sheet="1" formatColumns="0" formatRows="0"/>
  <mergeCells count="27">
    <mergeCell ref="A1:D1"/>
    <mergeCell ref="B2:C2"/>
    <mergeCell ref="B4:D4"/>
    <mergeCell ref="B6:D6"/>
    <mergeCell ref="B8:D8"/>
    <mergeCell ref="B26:D26"/>
    <mergeCell ref="C28:D28"/>
    <mergeCell ref="C29:D29"/>
    <mergeCell ref="C30:D30"/>
    <mergeCell ref="C31:D31"/>
    <mergeCell ref="B33:D33"/>
    <mergeCell ref="C35:D35"/>
    <mergeCell ref="C36:D36"/>
    <mergeCell ref="C37:D37"/>
    <mergeCell ref="C38:D38"/>
    <mergeCell ref="B40:D40"/>
    <mergeCell ref="B42:D42"/>
    <mergeCell ref="B43:D43"/>
    <mergeCell ref="B45:D45"/>
    <mergeCell ref="B47:D47"/>
    <mergeCell ref="B49:D49"/>
    <mergeCell ref="C51:D51"/>
    <mergeCell ref="C52:D52"/>
    <mergeCell ref="C53:D53"/>
    <mergeCell ref="B54:D54"/>
    <mergeCell ref="B56:D56"/>
    <mergeCell ref="B61:D61"/>
  </mergeCells>
  <hyperlinks>
    <hyperlink ref="D2" r:id="rId1" tooltip="Free manufacturing calculators and templates"/>
    <hyperlink ref="B43" r:id="rId2"/>
  </hyperlinks>
  <printOptions horizontalCentered="1"/>
  <pageMargins left="0.4" right="0.4" top="0.7" bottom="0.65" header="0.3" footer="0.3"/>
  <pageSetup fitToHeight="0" orientation="portrait"/>
  <headerFooter>
    <oddHeader>&amp;L&amp;8MFG Calcs - Energy Use and Demand Charge Tracker&amp;R&amp;8&amp;A</oddHeader>
    <oddFooter>&amp;L&amp;8mfgcalcs.com - free manufacturing templates&amp;R&amp;8Page &amp;P of &amp;N</oddFooter>
  </headerFooter>
  <rowBreaks count="2" manualBreakCount="2">
    <brk id="25" max="16383" man="1"/>
    <brk id="55"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V54"/>
  <sheetViews>
    <sheetView showGridLines="0" workbookViewId="0"/>
  </sheetViews>
  <sheetFormatPr defaultRowHeight="15"/>
  <cols>
    <col min="1" max="1" width="2.7109375" customWidth="1"/>
    <col min="2" max="19" width="12.7109375" customWidth="1"/>
    <col min="20" max="20" width="11.7109375" customWidth="1"/>
    <col min="21" max="21" width="25.7109375" customWidth="1"/>
    <col min="22" max="22" width="30.7109375" customWidth="1"/>
  </cols>
  <sheetData>
    <row r="1" spans="1:22" ht="30" customHeight="1">
      <c r="A1" s="1" t="s">
        <v>0</v>
      </c>
      <c r="B1" s="1"/>
      <c r="C1" s="1"/>
      <c r="D1" s="1"/>
      <c r="E1" s="1"/>
      <c r="F1" s="1"/>
      <c r="G1" s="1"/>
      <c r="H1" s="1"/>
      <c r="I1" s="1"/>
      <c r="J1" s="1"/>
      <c r="K1" s="1"/>
      <c r="L1" s="1"/>
      <c r="M1" s="1"/>
      <c r="N1" s="1"/>
      <c r="O1" s="1"/>
      <c r="P1" s="1"/>
      <c r="Q1" s="1"/>
      <c r="R1" s="1"/>
      <c r="S1" s="1"/>
      <c r="T1" s="1"/>
      <c r="U1" s="1"/>
      <c r="V1" s="1"/>
    </row>
    <row r="2" spans="1:22" ht="21" customHeight="1">
      <c r="B2" s="2" t="s">
        <v>30</v>
      </c>
      <c r="C2" s="2"/>
      <c r="D2" s="2"/>
      <c r="E2" s="2"/>
      <c r="F2" s="2"/>
      <c r="G2" s="2"/>
      <c r="H2" s="2"/>
      <c r="I2" s="2"/>
      <c r="J2" s="2"/>
      <c r="K2" s="2"/>
      <c r="L2" s="2"/>
      <c r="M2" s="2"/>
      <c r="N2" s="2"/>
      <c r="O2" s="2"/>
      <c r="P2" s="2"/>
      <c r="Q2" s="2"/>
      <c r="R2" s="2"/>
      <c r="S2" s="2"/>
      <c r="T2" s="2"/>
      <c r="U2" s="2"/>
      <c r="V2" s="3" t="s">
        <v>2</v>
      </c>
    </row>
    <row r="3" spans="1:22" ht="6" customHeight="1"/>
    <row r="4" spans="1:22" ht="30" customHeight="1">
      <c r="B4" s="67" t="s">
        <v>211</v>
      </c>
      <c r="C4" s="67"/>
      <c r="D4" s="22" t="str">
        <f>IF(COUNTIF($K$11:$K$29,"PASS")=19,"PASS","FAIL")</f>
        <v>PASS</v>
      </c>
      <c r="E4" s="22"/>
      <c r="F4" s="23" t="str">
        <f>COUNTIF($K$11:$K$29,"PASS")&amp;" of 19 checks pass"</f>
        <v>19 of 19 checks pass</v>
      </c>
      <c r="G4" s="23"/>
      <c r="H4" s="23"/>
      <c r="I4" s="23"/>
      <c r="J4" s="23"/>
    </row>
    <row r="6" spans="1:22" ht="29.4" customHeight="1">
      <c r="B6" s="10" t="s">
        <v>212</v>
      </c>
      <c r="C6" s="10"/>
      <c r="D6" s="10"/>
      <c r="E6" s="10"/>
      <c r="F6" s="10"/>
      <c r="G6" s="10"/>
      <c r="H6" s="10"/>
      <c r="I6" s="10"/>
      <c r="J6" s="10"/>
      <c r="K6" s="10"/>
      <c r="L6" s="10"/>
    </row>
    <row r="8" spans="1:22" ht="21" customHeight="1">
      <c r="B8" s="8" t="s">
        <v>213</v>
      </c>
      <c r="C8" s="8"/>
      <c r="D8" s="8"/>
      <c r="E8" s="8"/>
      <c r="F8" s="8"/>
      <c r="G8" s="8"/>
      <c r="H8" s="8"/>
      <c r="I8" s="8"/>
      <c r="J8" s="8"/>
      <c r="K8" s="8"/>
      <c r="L8" s="8"/>
    </row>
    <row r="9" spans="1:22" ht="5" customHeight="1"/>
    <row r="10" spans="1:22" ht="30" customHeight="1">
      <c r="B10" s="33" t="s">
        <v>214</v>
      </c>
      <c r="C10" s="56" t="s">
        <v>124</v>
      </c>
      <c r="D10" s="56"/>
      <c r="E10" s="56"/>
      <c r="F10" s="56"/>
      <c r="G10" s="33" t="s">
        <v>215</v>
      </c>
      <c r="H10" s="33" t="s">
        <v>216</v>
      </c>
      <c r="I10" s="33" t="s">
        <v>217</v>
      </c>
      <c r="J10" s="33" t="s">
        <v>218</v>
      </c>
      <c r="K10" s="33" t="s">
        <v>219</v>
      </c>
    </row>
    <row r="11" spans="1:22" ht="16.2" customHeight="1">
      <c r="B11" s="68">
        <v>1</v>
      </c>
      <c r="C11" s="65" t="s">
        <v>220</v>
      </c>
      <c r="D11" s="65"/>
      <c r="E11" s="65"/>
      <c r="F11" s="65"/>
      <c r="G11" s="58">
        <v>800</v>
      </c>
      <c r="H11" s="41">
        <f>$M$52</f>
        <v>800</v>
      </c>
      <c r="I11" s="69">
        <f>IF(AND(ISNUMBER($G$11),ISNUMBER($H$11)),ABS($H$11-$G$11),"")</f>
        <v>0</v>
      </c>
      <c r="J11" s="70">
        <v>1E-09</v>
      </c>
      <c r="K11" s="42" t="str">
        <f>IF(AND(ISNUMBER($G$11),ISNUMBER($H$11)),IF(ABS($H$11-$G$11)&lt;=$J$11,"PASS","FAIL"),"FAIL")</f>
        <v>PASS</v>
      </c>
    </row>
    <row r="12" spans="1:22" ht="16.2" customHeight="1">
      <c r="B12" s="68">
        <v>2</v>
      </c>
      <c r="C12" s="65" t="s">
        <v>221</v>
      </c>
      <c r="D12" s="65"/>
      <c r="E12" s="65"/>
      <c r="F12" s="65"/>
      <c r="G12" s="58">
        <v>800</v>
      </c>
      <c r="H12" s="41">
        <f>$N$52</f>
        <v>800</v>
      </c>
      <c r="I12" s="69">
        <f>IF(AND(ISNUMBER($G$12),ISNUMBER($H$12)),ABS($H$12-$G$12),"")</f>
        <v>0</v>
      </c>
      <c r="J12" s="70">
        <v>1E-09</v>
      </c>
      <c r="K12" s="42" t="str">
        <f>IF(AND(ISNUMBER($G$12),ISNUMBER($H$12)),IF(ABS($H$12-$G$12)&lt;=$J$12,"PASS","FAIL"),"FAIL")</f>
        <v>PASS</v>
      </c>
    </row>
    <row r="13" spans="1:22" ht="16.2" customHeight="1">
      <c r="B13" s="68">
        <v>3</v>
      </c>
      <c r="C13" s="65" t="s">
        <v>222</v>
      </c>
      <c r="D13" s="65"/>
      <c r="E13" s="65"/>
      <c r="F13" s="65"/>
      <c r="G13" s="71">
        <v>1850</v>
      </c>
      <c r="H13" s="38">
        <f>$Q$52</f>
        <v>1850</v>
      </c>
      <c r="I13" s="69">
        <f>IF(AND(ISNUMBER($G$13),ISNUMBER($H$13)),ABS($H$13-$G$13),"")</f>
        <v>0</v>
      </c>
      <c r="J13" s="70">
        <v>1E-09</v>
      </c>
      <c r="K13" s="42" t="str">
        <f>IF(AND(ISNUMBER($G$13),ISNUMBER($H$13)),IF(ABS($H$13-$G$13)&lt;=$J$13,"PASS","FAIL"),"FAIL")</f>
        <v>PASS</v>
      </c>
    </row>
    <row r="14" spans="1:22" ht="16.2" customHeight="1">
      <c r="B14" s="68">
        <v>4</v>
      </c>
      <c r="C14" s="65" t="s">
        <v>223</v>
      </c>
      <c r="D14" s="65"/>
      <c r="E14" s="65"/>
      <c r="F14" s="65"/>
      <c r="G14" s="58">
        <v>920</v>
      </c>
      <c r="H14" s="41">
        <f>$N$53</f>
        <v>920</v>
      </c>
      <c r="I14" s="69">
        <f>IF(AND(ISNUMBER($G$14),ISNUMBER($H$14)),ABS($H$14-$G$14),"")</f>
        <v>0</v>
      </c>
      <c r="J14" s="70">
        <v>1E-09</v>
      </c>
      <c r="K14" s="42" t="str">
        <f>IF(AND(ISNUMBER($G$14),ISNUMBER($H$14)),IF(ABS($H$14-$G$14)&lt;=$J$14,"PASS","FAIL"),"FAIL")</f>
        <v>PASS</v>
      </c>
    </row>
    <row r="15" spans="1:22" ht="16.2" customHeight="1">
      <c r="B15" s="68">
        <v>5</v>
      </c>
      <c r="C15" s="65" t="s">
        <v>224</v>
      </c>
      <c r="D15" s="65"/>
      <c r="E15" s="65"/>
      <c r="F15" s="65"/>
      <c r="G15" s="71">
        <v>17470</v>
      </c>
      <c r="H15" s="38">
        <f>$O$53</f>
        <v>17470</v>
      </c>
      <c r="I15" s="69">
        <f>IF(AND(ISNUMBER($G$15),ISNUMBER($H$15)),ABS($H$15-$G$15),"")</f>
        <v>0</v>
      </c>
      <c r="J15" s="70">
        <v>1E-09</v>
      </c>
      <c r="K15" s="42" t="str">
        <f>IF(AND(ISNUMBER($G$15),ISNUMBER($H$15)),IF(ABS($H$15-$G$15)&lt;=$J$15,"PASS","FAIL"),"FAIL")</f>
        <v>PASS</v>
      </c>
    </row>
    <row r="16" spans="1:22" ht="29.4" customHeight="1">
      <c r="B16" s="68">
        <v>6</v>
      </c>
      <c r="C16" s="65" t="s">
        <v>225</v>
      </c>
      <c r="D16" s="65"/>
      <c r="E16" s="65"/>
      <c r="F16" s="65"/>
      <c r="G16" s="58">
        <v>750</v>
      </c>
      <c r="H16" s="41">
        <f>$M$54</f>
        <v>750</v>
      </c>
      <c r="I16" s="69">
        <f>IF(AND(ISNUMBER($G$16),ISNUMBER($H$16)),ABS($H$16-$G$16),"")</f>
        <v>0</v>
      </c>
      <c r="J16" s="70">
        <v>1E-09</v>
      </c>
      <c r="K16" s="42" t="str">
        <f>IF(AND(ISNUMBER($G$16),ISNUMBER($H$16)),IF(ABS($H$16-$G$16)&lt;=$J$16,"PASS","FAIL"),"FAIL")</f>
        <v>PASS</v>
      </c>
    </row>
    <row r="17" spans="2:12" ht="16.2" customHeight="1">
      <c r="B17" s="68">
        <v>7</v>
      </c>
      <c r="C17" s="65" t="s">
        <v>226</v>
      </c>
      <c r="D17" s="65"/>
      <c r="E17" s="65"/>
      <c r="F17" s="65"/>
      <c r="G17" s="64" t="s">
        <v>227</v>
      </c>
      <c r="H17" s="72" t="str">
        <f>$U$54</f>
        <v>Demand charge above tariff</v>
      </c>
      <c r="I17" s="72"/>
      <c r="J17" s="66" t="s">
        <v>228</v>
      </c>
      <c r="K17" s="42" t="str">
        <f>IF($H$17&amp;""=$G$17&amp;"","PASS","FAIL")</f>
        <v>PASS</v>
      </c>
    </row>
    <row r="18" spans="2:12" ht="16.2" customHeight="1">
      <c r="B18" s="68">
        <v>8</v>
      </c>
      <c r="C18" s="65" t="s">
        <v>229</v>
      </c>
      <c r="D18" s="65"/>
      <c r="E18" s="65"/>
      <c r="F18" s="65"/>
      <c r="G18" s="73">
        <v>0.5376344086021505</v>
      </c>
      <c r="H18" s="74">
        <f>$K$51</f>
        <v>0.537634408602151</v>
      </c>
      <c r="I18" s="69">
        <f>IF(AND(ISNUMBER($G$18),ISNUMBER($H$18)),ABS($H$18-$G$18),"")</f>
        <v>0</v>
      </c>
      <c r="J18" s="70">
        <v>1E-09</v>
      </c>
      <c r="K18" s="42" t="str">
        <f>IF(AND(ISNUMBER($G$18),ISNUMBER($H$18)),IF(ABS($H$18-$G$18)&lt;=$J$18,"PASS","FAIL"),"FAIL")</f>
        <v>PASS</v>
      </c>
    </row>
    <row r="19" spans="2:12" ht="16.2" customHeight="1">
      <c r="B19" s="68">
        <v>9</v>
      </c>
      <c r="C19" s="65" t="s">
        <v>230</v>
      </c>
      <c r="D19" s="65"/>
      <c r="E19" s="65"/>
      <c r="F19" s="65"/>
      <c r="G19" s="75">
        <v>0.124875</v>
      </c>
      <c r="H19" s="40">
        <f>$L$51</f>
        <v>0.124875</v>
      </c>
      <c r="I19" s="69">
        <f>IF(AND(ISNUMBER($G$19),ISNUMBER($H$19)),ABS($H$19-$G$19),"")</f>
        <v>0</v>
      </c>
      <c r="J19" s="70">
        <v>1E-09</v>
      </c>
      <c r="K19" s="42" t="str">
        <f>IF(AND(ISNUMBER($G$19),ISNUMBER($H$19)),IF(ABS($H$19-$G$19)&lt;=$J$19,"PASS","FAIL"),"FAIL")</f>
        <v>PASS</v>
      </c>
    </row>
    <row r="20" spans="2:12" ht="16.2" customHeight="1">
      <c r="B20" s="68">
        <v>10</v>
      </c>
      <c r="C20" s="65" t="s">
        <v>231</v>
      </c>
      <c r="D20" s="65"/>
      <c r="E20" s="65"/>
      <c r="F20" s="65"/>
      <c r="G20" s="71">
        <v>1600</v>
      </c>
      <c r="H20" s="38">
        <f>$R$51</f>
        <v>1600</v>
      </c>
      <c r="I20" s="69">
        <f>IF(AND(ISNUMBER($G$20),ISNUMBER($H$20)),ABS($H$20-$G$20),"")</f>
        <v>0</v>
      </c>
      <c r="J20" s="70">
        <v>1E-09</v>
      </c>
      <c r="K20" s="42" t="str">
        <f>IF(AND(ISNUMBER($G$20),ISNUMBER($H$20)),IF(ABS($H$20-$G$20)&lt;=$J$20,"PASS","FAIL"),"FAIL")</f>
        <v>PASS</v>
      </c>
    </row>
    <row r="21" spans="2:12" ht="16.2" customHeight="1">
      <c r="B21" s="68">
        <v>11</v>
      </c>
      <c r="C21" s="65" t="s">
        <v>232</v>
      </c>
      <c r="D21" s="65"/>
      <c r="E21" s="65"/>
      <c r="F21" s="65"/>
      <c r="G21" s="64" t="s">
        <v>233</v>
      </c>
      <c r="H21" s="72" t="str">
        <f>$T$52</f>
        <v>Near target</v>
      </c>
      <c r="I21" s="72"/>
      <c r="J21" s="66" t="s">
        <v>228</v>
      </c>
      <c r="K21" s="42" t="str">
        <f>IF($H$21&amp;""=$G$21&amp;"","PASS","FAIL")</f>
        <v>PASS</v>
      </c>
    </row>
    <row r="22" spans="2:12" ht="16.2" customHeight="1">
      <c r="B22" s="68">
        <v>12</v>
      </c>
      <c r="C22" s="65" t="s">
        <v>234</v>
      </c>
      <c r="D22" s="65"/>
      <c r="E22" s="65"/>
      <c r="F22" s="65"/>
      <c r="G22" s="64" t="s">
        <v>235</v>
      </c>
      <c r="H22" s="72" t="str">
        <f>$T$51</f>
        <v>Above target</v>
      </c>
      <c r="I22" s="72"/>
      <c r="J22" s="66" t="s">
        <v>228</v>
      </c>
      <c r="K22" s="42" t="str">
        <f>IF($H$22&amp;""=$G$22&amp;"","PASS","FAIL")</f>
        <v>PASS</v>
      </c>
    </row>
    <row r="23" spans="2:12" ht="16.2" customHeight="1">
      <c r="B23" s="68">
        <v>13</v>
      </c>
      <c r="C23" s="65" t="s">
        <v>236</v>
      </c>
      <c r="D23" s="65"/>
      <c r="E23" s="65"/>
      <c r="F23" s="65"/>
      <c r="G23" s="64" t="s">
        <v>237</v>
      </c>
      <c r="H23" s="72" t="str">
        <f>$U$53</f>
        <v>OK</v>
      </c>
      <c r="I23" s="72"/>
      <c r="J23" s="66" t="s">
        <v>228</v>
      </c>
      <c r="K23" s="42" t="str">
        <f>IF($H$23&amp;""=$G$23&amp;"","PASS","FAIL")</f>
        <v>PASS</v>
      </c>
    </row>
    <row r="24" spans="2:12" ht="16.2" customHeight="1">
      <c r="B24" s="68">
        <v>14</v>
      </c>
      <c r="C24" s="65" t="s">
        <v>238</v>
      </c>
      <c r="D24" s="65"/>
      <c r="E24" s="65"/>
      <c r="F24" s="65"/>
      <c r="G24" s="71">
        <v>123220</v>
      </c>
      <c r="H24" s="38">
        <f>SUMIFS(tblVerifyBills[Total bill],tblVerifyBills[Month],"&gt;="&amp;$E$45,tblVerifyBills[Month],"&lt;="&amp;$E$46)</f>
        <v>123220</v>
      </c>
      <c r="I24" s="69">
        <f>IF(AND(ISNUMBER($G$24),ISNUMBER($H$24)),ABS($H$24-$G$24),"")</f>
        <v>0</v>
      </c>
      <c r="J24" s="70">
        <v>1E-09</v>
      </c>
      <c r="K24" s="42" t="str">
        <f>IF(AND(ISNUMBER($G$24),ISNUMBER($H$24)),IF(ABS($H$24-$G$24)&lt;=$J$24,"PASS","FAIL"),"FAIL")</f>
        <v>PASS</v>
      </c>
    </row>
    <row r="25" spans="2:12" ht="16.2" customHeight="1">
      <c r="B25" s="68">
        <v>15</v>
      </c>
      <c r="C25" s="65" t="s">
        <v>239</v>
      </c>
      <c r="D25" s="65"/>
      <c r="E25" s="65"/>
      <c r="F25" s="65"/>
      <c r="G25" s="73">
        <v>0.3937672455770167</v>
      </c>
      <c r="H25" s="74">
        <f>IF((SUMIFS(tblVerifyBills[Total bill],tblVerifyBills[Month],"&gt;="&amp;$E$45,tblVerifyBills[Month],"&lt;="&amp;$E$46))=0,"",(SUMIFS(tblVerifyBills[Demand charges],tblVerifyBills[Month],"&gt;="&amp;$E$45,tblVerifyBills[Month],"&lt;="&amp;$E$46))/(SUMIFS(tblVerifyBills[Total bill],tblVerifyBills[Month],"&gt;="&amp;$E$45,tblVerifyBills[Month],"&lt;="&amp;$E$46)))</f>
        <v>0.393767245577017</v>
      </c>
      <c r="I25" s="69">
        <f>IF(AND(ISNUMBER($G$25),ISNUMBER($H$25)),ABS($H$25-$G$25),"")</f>
        <v>0</v>
      </c>
      <c r="J25" s="70">
        <v>1E-09</v>
      </c>
      <c r="K25" s="42" t="str">
        <f>IF(AND(ISNUMBER($G$25),ISNUMBER($H$25)),IF(ABS($H$25-$G$25)&lt;=$J$25,"PASS","FAIL"),"FAIL")</f>
        <v>PASS</v>
      </c>
    </row>
    <row r="26" spans="2:12" ht="16.2" customHeight="1">
      <c r="B26" s="68">
        <v>16</v>
      </c>
      <c r="C26" s="65" t="s">
        <v>240</v>
      </c>
      <c r="D26" s="65"/>
      <c r="E26" s="65"/>
      <c r="F26" s="65"/>
      <c r="G26" s="71">
        <v>4625</v>
      </c>
      <c r="H26" s="38">
        <f>SUMIFS(tblVerifyBills[Paid for past peaks],tblVerifyBills[Month],"&gt;="&amp;$E$45,tblVerifyBills[Month],"&lt;="&amp;$E$46)</f>
        <v>4625</v>
      </c>
      <c r="I26" s="69">
        <f>IF(AND(ISNUMBER($G$26),ISNUMBER($H$26)),ABS($H$26-$G$26),"")</f>
        <v>0</v>
      </c>
      <c r="J26" s="70">
        <v>1E-09</v>
      </c>
      <c r="K26" s="42" t="str">
        <f>IF(AND(ISNUMBER($G$26),ISNUMBER($H$26)),IF(ABS($H$26-$G$26)&lt;=$J$26,"PASS","FAIL"),"FAIL")</f>
        <v>PASS</v>
      </c>
    </row>
    <row r="27" spans="2:12" ht="16.2" customHeight="1">
      <c r="B27" s="68">
        <v>17</v>
      </c>
      <c r="C27" s="65" t="s">
        <v>241</v>
      </c>
      <c r="D27" s="65"/>
      <c r="E27" s="65"/>
      <c r="F27" s="65"/>
      <c r="G27" s="58">
        <v>920</v>
      </c>
      <c r="H27" s="41">
        <f>SUMPRODUCT(MAX((tblVerifyBills[Month]&gt;=$E$45)*(tblVerifyBills[Month]&lt;=$E$46)*tblVerifyBills[Peak demand (kW)]))</f>
        <v>920</v>
      </c>
      <c r="I27" s="69">
        <f>IF(AND(ISNUMBER($G$27),ISNUMBER($H$27)),ABS($H$27-$G$27),"")</f>
        <v>0</v>
      </c>
      <c r="J27" s="70">
        <v>1E-09</v>
      </c>
      <c r="K27" s="42" t="str">
        <f>IF(AND(ISNUMBER($G$27),ISNUMBER($H$27)),IF(ABS($H$27-$G$27)&lt;=$J$27,"PASS","FAIL"),"FAIL")</f>
        <v>PASS</v>
      </c>
    </row>
    <row r="28" spans="2:12" ht="16.2" customHeight="1">
      <c r="B28" s="68">
        <v>18</v>
      </c>
      <c r="C28" s="65" t="s">
        <v>242</v>
      </c>
      <c r="D28" s="65"/>
      <c r="E28" s="65"/>
      <c r="F28" s="65"/>
      <c r="G28" s="73">
        <v>0.5995203836930456</v>
      </c>
      <c r="H28" s="74">
        <f>IF((SUMPRODUCT((tblVerifyBills[Month]&gt;=$E$45)*(tblVerifyBills[Month]&lt;=$E$46)*tblVerifyBills[Peak demand (kW)]*tblVerifyBills[Days])*24)=0,"",(SUMIFS(tblVerifyBills[Energy (kWh)],tblVerifyBills[Month],"&gt;="&amp;$E$45,tblVerifyBills[Month],"&lt;="&amp;$E$46))/(SUMPRODUCT((tblVerifyBills[Month]&gt;=$E$45)*(tblVerifyBills[Month]&lt;=$E$46)*tblVerifyBills[Peak demand (kW)]*tblVerifyBills[Days])*24))</f>
        <v>0.599520383693046</v>
      </c>
      <c r="I28" s="69">
        <f>IF(AND(ISNUMBER($G$28),ISNUMBER($H$28)),ABS($H$28-$G$28),"")</f>
        <v>0</v>
      </c>
      <c r="J28" s="70">
        <v>1E-09</v>
      </c>
      <c r="K28" s="42" t="str">
        <f>IF(AND(ISNUMBER($G$28),ISNUMBER($H$28)),IF(ABS($H$28-$G$28)&lt;=$J$28,"PASS","FAIL"),"FAIL")</f>
        <v>PASS</v>
      </c>
    </row>
    <row r="29" spans="2:12" ht="16.2" customHeight="1">
      <c r="B29" s="68">
        <v>19</v>
      </c>
      <c r="C29" s="65" t="s">
        <v>243</v>
      </c>
      <c r="D29" s="65"/>
      <c r="E29" s="65"/>
      <c r="F29" s="65"/>
      <c r="G29" s="71">
        <v>1523.809523809524</v>
      </c>
      <c r="H29" s="38">
        <f>IF((SUMIFS(tblVerifyBills[Production],tblVerifyBills[Month],"&gt;="&amp;$E$45,tblVerifyBills[Month],"&lt;="&amp;$E$46))=0,"",(SUMIFS(tblVerifyBills[Energy (kWh)],tblVerifyBills[Month],"&gt;="&amp;$E$45,tblVerifyBills[Month],"&lt;="&amp;$E$46))/(SUMIFS(tblVerifyBills[Production],tblVerifyBills[Month],"&gt;="&amp;$E$45,tblVerifyBills[Month],"&lt;="&amp;$E$46)))</f>
        <v>1523.80952380952</v>
      </c>
      <c r="I29" s="69">
        <f>IF(AND(ISNUMBER($G$29),ISNUMBER($H$29)),ABS($H$29-$G$29),"")</f>
        <v>0</v>
      </c>
      <c r="J29" s="70">
        <v>1E-09</v>
      </c>
      <c r="K29" s="42" t="str">
        <f>IF(AND(ISNUMBER($G$29),ISNUMBER($H$29)),IF(ABS($H$29-$G$29)&lt;=$J$29,"PASS","FAIL"),"FAIL")</f>
        <v>PASS</v>
      </c>
    </row>
    <row r="31" spans="2:12" ht="21" customHeight="1">
      <c r="B31" s="8" t="s">
        <v>244</v>
      </c>
      <c r="C31" s="8"/>
      <c r="D31" s="8"/>
      <c r="E31" s="8"/>
      <c r="F31" s="8"/>
      <c r="G31" s="8"/>
      <c r="H31" s="8"/>
      <c r="I31" s="8"/>
      <c r="J31" s="8"/>
      <c r="K31" s="8"/>
      <c r="L31" s="8"/>
    </row>
    <row r="32" spans="2:12" ht="5" customHeight="1"/>
    <row r="33" spans="2:12">
      <c r="B33" s="21" t="s">
        <v>245</v>
      </c>
      <c r="C33" s="21"/>
      <c r="D33" s="21"/>
      <c r="E33" s="21"/>
      <c r="F33" s="21"/>
      <c r="G33" s="21"/>
      <c r="H33" s="21"/>
      <c r="I33" s="21"/>
      <c r="J33" s="21"/>
      <c r="K33" s="21"/>
      <c r="L33" s="21"/>
    </row>
    <row r="34" spans="2:12">
      <c r="B34" s="32" t="s">
        <v>246</v>
      </c>
      <c r="C34" s="32"/>
      <c r="D34" s="32"/>
      <c r="E34" s="32"/>
      <c r="F34" s="32"/>
    </row>
    <row r="35" spans="2:12">
      <c r="B35" s="27" t="s">
        <v>79</v>
      </c>
      <c r="C35" s="27"/>
      <c r="D35" s="27"/>
      <c r="E35" s="71">
        <v>18.5</v>
      </c>
      <c r="F35" s="7"/>
    </row>
    <row r="36" spans="2:12">
      <c r="B36" s="27" t="s">
        <v>80</v>
      </c>
      <c r="C36" s="27"/>
      <c r="D36" s="27"/>
      <c r="E36" s="76">
        <v>1</v>
      </c>
      <c r="F36" s="7"/>
    </row>
    <row r="37" spans="2:12">
      <c r="B37" s="27" t="s">
        <v>81</v>
      </c>
      <c r="C37" s="27"/>
      <c r="D37" s="27"/>
      <c r="E37" s="71">
        <v>450</v>
      </c>
      <c r="F37" s="7"/>
    </row>
    <row r="38" spans="2:12">
      <c r="B38" s="27" t="s">
        <v>82</v>
      </c>
      <c r="C38" s="27"/>
      <c r="D38" s="27"/>
      <c r="E38" s="76">
        <v>0.8</v>
      </c>
      <c r="F38" s="7"/>
    </row>
    <row r="39" spans="2:12">
      <c r="B39" s="27" t="s">
        <v>247</v>
      </c>
      <c r="C39" s="27"/>
      <c r="D39" s="27"/>
      <c r="E39" s="58">
        <v>11</v>
      </c>
      <c r="F39" s="7"/>
    </row>
    <row r="40" spans="2:12">
      <c r="B40" s="27" t="s">
        <v>248</v>
      </c>
      <c r="C40" s="27"/>
      <c r="D40" s="27"/>
      <c r="E40" s="58">
        <v>1000</v>
      </c>
      <c r="F40" s="7"/>
    </row>
    <row r="41" spans="2:12">
      <c r="B41" s="27" t="s">
        <v>249</v>
      </c>
      <c r="C41" s="27"/>
      <c r="D41" s="27"/>
      <c r="E41" s="76">
        <v>0.75</v>
      </c>
      <c r="F41" s="7"/>
    </row>
    <row r="42" spans="2:12">
      <c r="B42" s="27" t="s">
        <v>88</v>
      </c>
      <c r="C42" s="27"/>
      <c r="D42" s="27"/>
      <c r="E42" s="76">
        <v>0.02</v>
      </c>
      <c r="F42" s="7"/>
    </row>
    <row r="43" spans="2:12">
      <c r="B43" s="27" t="s">
        <v>75</v>
      </c>
      <c r="C43" s="27"/>
      <c r="D43" s="27"/>
      <c r="E43" s="76">
        <v>0.65</v>
      </c>
      <c r="F43" s="7"/>
    </row>
    <row r="44" spans="2:12">
      <c r="B44" s="27" t="s">
        <v>74</v>
      </c>
      <c r="C44" s="27"/>
      <c r="D44" s="27"/>
      <c r="E44" s="58">
        <v>1400</v>
      </c>
      <c r="F44" s="7"/>
    </row>
    <row r="45" spans="2:12">
      <c r="B45" s="27" t="s">
        <v>250</v>
      </c>
      <c r="C45" s="27"/>
      <c r="D45" s="27"/>
      <c r="E45" s="77">
        <v>46054</v>
      </c>
      <c r="F45" s="7"/>
    </row>
    <row r="46" spans="2:12">
      <c r="B46" s="27" t="s">
        <v>251</v>
      </c>
      <c r="C46" s="27"/>
      <c r="D46" s="27"/>
      <c r="E46" s="77">
        <v>46388</v>
      </c>
      <c r="F46" s="7"/>
    </row>
    <row r="48" spans="2:12">
      <c r="B48" s="32" t="s">
        <v>252</v>
      </c>
      <c r="C48" s="32"/>
      <c r="D48" s="32"/>
      <c r="E48" s="32"/>
      <c r="F48" s="32"/>
      <c r="G48" s="32"/>
      <c r="H48" s="32"/>
      <c r="I48" s="32"/>
      <c r="J48" s="32"/>
      <c r="K48" s="32"/>
      <c r="L48" s="32"/>
    </row>
    <row r="49" spans="2:22" ht="14" customHeight="1">
      <c r="B49" s="35"/>
      <c r="C49" s="35"/>
      <c r="D49" s="35"/>
      <c r="E49" s="35"/>
      <c r="F49" s="35" t="str">
        <f>Currency</f>
        <v>USD</v>
      </c>
      <c r="G49" s="35" t="str">
        <f>Currency</f>
        <v>USD</v>
      </c>
      <c r="H49" s="35" t="str">
        <f>Currency</f>
        <v>USD</v>
      </c>
      <c r="I49" s="35" t="str">
        <f>OutputUnit</f>
        <v>t</v>
      </c>
      <c r="J49" s="35" t="str">
        <f>Currency</f>
        <v>USD</v>
      </c>
      <c r="K49" s="35" t="s">
        <v>126</v>
      </c>
      <c r="L49" s="35" t="str">
        <f>Currency&amp;"/kWh"</f>
        <v>USD/kWh</v>
      </c>
      <c r="M49" s="35"/>
      <c r="N49" s="35"/>
      <c r="O49" s="35" t="str">
        <f>Currency</f>
        <v>USD</v>
      </c>
      <c r="P49" s="35" t="str">
        <f>Currency</f>
        <v>USD</v>
      </c>
      <c r="Q49" s="35" t="str">
        <f>Currency</f>
        <v>USD</v>
      </c>
      <c r="R49" s="35" t="str">
        <f>"kWh/"&amp;OutputUnit</f>
        <v>kWh/t</v>
      </c>
      <c r="S49" s="35" t="str">
        <f>Currency&amp;"/"&amp;OutputUnit</f>
        <v>USD/t</v>
      </c>
      <c r="T49" s="35"/>
      <c r="U49" s="35"/>
      <c r="V49" s="35"/>
    </row>
    <row r="50" spans="2:22" ht="32" customHeight="1">
      <c r="B50" s="33" t="s">
        <v>105</v>
      </c>
      <c r="C50" s="33" t="s">
        <v>106</v>
      </c>
      <c r="D50" s="33" t="s">
        <v>107</v>
      </c>
      <c r="E50" s="33" t="s">
        <v>108</v>
      </c>
      <c r="F50" s="33" t="s">
        <v>109</v>
      </c>
      <c r="G50" s="33" t="s">
        <v>110</v>
      </c>
      <c r="H50" s="33" t="s">
        <v>111</v>
      </c>
      <c r="I50" s="33" t="s">
        <v>112</v>
      </c>
      <c r="J50" s="33" t="s">
        <v>113</v>
      </c>
      <c r="K50" s="33" t="s">
        <v>114</v>
      </c>
      <c r="L50" s="33" t="s">
        <v>115</v>
      </c>
      <c r="M50" s="33" t="s">
        <v>116</v>
      </c>
      <c r="N50" s="33" t="s">
        <v>117</v>
      </c>
      <c r="O50" s="33" t="s">
        <v>118</v>
      </c>
      <c r="P50" s="33" t="s">
        <v>119</v>
      </c>
      <c r="Q50" s="33" t="s">
        <v>120</v>
      </c>
      <c r="R50" s="33" t="s">
        <v>121</v>
      </c>
      <c r="S50" s="33" t="s">
        <v>122</v>
      </c>
      <c r="T50" s="33" t="s">
        <v>123</v>
      </c>
      <c r="U50" s="33" t="s">
        <v>124</v>
      </c>
      <c r="V50" s="33" t="s">
        <v>66</v>
      </c>
    </row>
    <row r="51" spans="2:22">
      <c r="B51" s="77">
        <v>46023</v>
      </c>
      <c r="C51" s="58">
        <v>31</v>
      </c>
      <c r="D51" s="58">
        <v>400000</v>
      </c>
      <c r="E51" s="58">
        <v>1000</v>
      </c>
      <c r="F51" s="71">
        <v>30000</v>
      </c>
      <c r="G51" s="71">
        <v>18950</v>
      </c>
      <c r="H51" s="71">
        <v>1000</v>
      </c>
      <c r="I51" s="78">
        <v>250</v>
      </c>
      <c r="J51" s="38">
        <f>IF(tblVerifyBills[[#This Row],[Month]]="","",tblVerifyBills[[#This Row],[Energy charges]]+tblVerifyBills[[#This Row],[Demand charges]]+tblVerifyBills[[#This Row],[Other charges]])</f>
        <v>49950</v>
      </c>
      <c r="K51" s="39">
        <f>IF(tblVerifyBills[[#This Row],[Month]]="","",IF(tblVerifyBills[[#This Row],[Peak demand (kW)]]*tblVerifyBills[[#This Row],[Days]]&gt;0,tblVerifyBills[[#This Row],[Energy (kWh)]]/(tblVerifyBills[[#This Row],[Peak demand (kW)]]*tblVerifyBills[[#This Row],[Days]]*24),""))</f>
        <v>0.537634408602151</v>
      </c>
      <c r="L51" s="40">
        <f>IF(tblVerifyBills[[#This Row],[Month]]="","",IF(tblVerifyBills[[#This Row],[Energy (kWh)]]&gt;0,tblVerifyBills[[#This Row],[Total bill]]/tblVerifyBills[[#This Row],[Energy (kWh)]],""))</f>
        <v>0.124875</v>
      </c>
      <c r="M51" s="41">
        <f>IF(tblVerifyBills[[#This Row],[Month]]="","",MAX($E$38*SUMPRODUCT(MAX((tblVerifyBills[Month]&gt;=EDATE(tblVerifyBills[[#This Row],[Month]],-$E$39))*(tblVerifyBills[Month]&lt;tblVerifyBills[[#This Row],[Month]])*tblVerifyBills[Peak demand (kW)])),$E$41*$E$40))</f>
        <v>750</v>
      </c>
      <c r="N51" s="41">
        <f>IF(tblVerifyBills[[#This Row],[Month]]="","",MAX(tblVerifyBills[[#This Row],[Peak demand (kW)]],tblVerifyBills[[#This Row],[Ratchet floor (kW)]]))</f>
        <v>1000</v>
      </c>
      <c r="O51" s="38">
        <f>IF(tblVerifyBills[[#This Row],[Month]]="","",tblVerifyBills[[#This Row],[Billing demand (kW)]]*$E$35*$E$36+$E$37)</f>
        <v>18950</v>
      </c>
      <c r="P51" s="38">
        <f>IF(tblVerifyBills[[#This Row],[Month]]="","",tblVerifyBills[[#This Row],[Demand charges]]-tblVerifyBills[[#This Row],[Expected demand charge]])</f>
        <v>0</v>
      </c>
      <c r="Q51" s="38">
        <f>IF(tblVerifyBills[[#This Row],[Month]]="","",(tblVerifyBills[[#This Row],[Billing demand (kW)]]-tblVerifyBills[[#This Row],[Peak demand (kW)]])*$E$35*$E$36)</f>
        <v>0</v>
      </c>
      <c r="R51" s="41">
        <f>IF(tblVerifyBills[[#This Row],[Month]]="","",IF(N(tblVerifyBills[[#This Row],[Production]])&gt;0,tblVerifyBills[[#This Row],[Energy (kWh)]]/tblVerifyBills[[#This Row],[Production]],""))</f>
        <v>1600</v>
      </c>
      <c r="S51" s="38">
        <f>IF(tblVerifyBills[[#This Row],[Month]]="","",IF(N(tblVerifyBills[[#This Row],[Production]])&gt;0,tblVerifyBills[[#This Row],[Total bill]]/tblVerifyBills[[#This Row],[Production]],""))</f>
        <v>199.8</v>
      </c>
      <c r="T51" s="42" t="str">
        <f>IF(NOT(ISNUMBER(tblVerifyBills[[#This Row],[Energy intensity]])),"",IF(tblVerifyBills[[#This Row],[Energy intensity]]&lt;=$E$44,"On target",IF(tblVerifyBills[[#This Row],[Energy intensity]]&lt;=$E$44*(1+0.05),"Near target","Above target")))</f>
        <v>Above target</v>
      </c>
      <c r="U51" s="43" t="str">
        <f>IF(tblVerifyBills[[#This Row],[Month]]="","",IF(tblVerifyBills[[#This Row],[Days]]="","Missing days",IF(tblVerifyBills[[#This Row],[Energy (kWh)]]="","Missing energy",IF(tblVerifyBills[[#This Row],[Peak demand (kW)]]="","Missing peak demand",IF(DAY(tblVerifyBills[[#This Row],[Month]])&lt;&gt;1,"Use the 1st of the month",IF(COUNTIFS(tblVerifyBills[Month],tblVerifyBills[[#This Row],[Month]])&gt;1,"Duplicate month",IF(N(tblVerifyBills[[#This Row],[Load factor]])&gt;1,"Load factor over 100%",IF(tblVerifyBills[[#This Row],[Variance vs tariff]]&gt;$E$42*tblVerifyBills[[#This Row],[Expected demand charge]],"Demand charge above tariff",IF(tblVerifyBills[[#This Row],[Variance vs tariff]]&lt;-$E$42*tblVerifyBills[[#This Row],[Expected demand charge]],"Demand charge below tariff","OK")))))))))</f>
        <v>OK</v>
      </c>
      <c r="V51" s="64"/>
    </row>
    <row r="52" spans="2:22">
      <c r="B52" s="77">
        <v>46054</v>
      </c>
      <c r="C52" s="58">
        <v>28</v>
      </c>
      <c r="D52" s="58">
        <v>300000</v>
      </c>
      <c r="E52" s="58">
        <v>700</v>
      </c>
      <c r="F52" s="71">
        <v>22500</v>
      </c>
      <c r="G52" s="71">
        <v>15250</v>
      </c>
      <c r="H52" s="71">
        <v>900</v>
      </c>
      <c r="I52" s="78">
        <v>210</v>
      </c>
      <c r="J52" s="38">
        <f>IF(tblVerifyBills[[#This Row],[Month]]="","",tblVerifyBills[[#This Row],[Energy charges]]+tblVerifyBills[[#This Row],[Demand charges]]+tblVerifyBills[[#This Row],[Other charges]])</f>
        <v>38650</v>
      </c>
      <c r="K52" s="39">
        <f>IF(tblVerifyBills[[#This Row],[Month]]="","",IF(tblVerifyBills[[#This Row],[Peak demand (kW)]]*tblVerifyBills[[#This Row],[Days]]&gt;0,tblVerifyBills[[#This Row],[Energy (kWh)]]/(tblVerifyBills[[#This Row],[Peak demand (kW)]]*tblVerifyBills[[#This Row],[Days]]*24),""))</f>
        <v>0.637755102040816</v>
      </c>
      <c r="L52" s="40">
        <f>IF(tblVerifyBills[[#This Row],[Month]]="","",IF(tblVerifyBills[[#This Row],[Energy (kWh)]]&gt;0,tblVerifyBills[[#This Row],[Total bill]]/tblVerifyBills[[#This Row],[Energy (kWh)]],""))</f>
        <v>0.128833333333333</v>
      </c>
      <c r="M52" s="41">
        <f>IF(tblVerifyBills[[#This Row],[Month]]="","",MAX($E$38*SUMPRODUCT(MAX((tblVerifyBills[Month]&gt;=EDATE(tblVerifyBills[[#This Row],[Month]],-$E$39))*(tblVerifyBills[Month]&lt;tblVerifyBills[[#This Row],[Month]])*tblVerifyBills[Peak demand (kW)])),$E$41*$E$40))</f>
        <v>800</v>
      </c>
      <c r="N52" s="41">
        <f>IF(tblVerifyBills[[#This Row],[Month]]="","",MAX(tblVerifyBills[[#This Row],[Peak demand (kW)]],tblVerifyBills[[#This Row],[Ratchet floor (kW)]]))</f>
        <v>800</v>
      </c>
      <c r="O52" s="38">
        <f>IF(tblVerifyBills[[#This Row],[Month]]="","",tblVerifyBills[[#This Row],[Billing demand (kW)]]*$E$35*$E$36+$E$37)</f>
        <v>15250</v>
      </c>
      <c r="P52" s="38">
        <f>IF(tblVerifyBills[[#This Row],[Month]]="","",tblVerifyBills[[#This Row],[Demand charges]]-tblVerifyBills[[#This Row],[Expected demand charge]])</f>
        <v>0</v>
      </c>
      <c r="Q52" s="38">
        <f>IF(tblVerifyBills[[#This Row],[Month]]="","",(tblVerifyBills[[#This Row],[Billing demand (kW)]]-tblVerifyBills[[#This Row],[Peak demand (kW)]])*$E$35*$E$36)</f>
        <v>1850</v>
      </c>
      <c r="R52" s="41">
        <f>IF(tblVerifyBills[[#This Row],[Month]]="","",IF(N(tblVerifyBills[[#This Row],[Production]])&gt;0,tblVerifyBills[[#This Row],[Energy (kWh)]]/tblVerifyBills[[#This Row],[Production]],""))</f>
        <v>1428.57142857143</v>
      </c>
      <c r="S52" s="38">
        <f>IF(tblVerifyBills[[#This Row],[Month]]="","",IF(N(tblVerifyBills[[#This Row],[Production]])&gt;0,tblVerifyBills[[#This Row],[Total bill]]/tblVerifyBills[[#This Row],[Production]],""))</f>
        <v>184.047619047619</v>
      </c>
      <c r="T52" s="42" t="str">
        <f>IF(NOT(ISNUMBER(tblVerifyBills[[#This Row],[Energy intensity]])),"",IF(tblVerifyBills[[#This Row],[Energy intensity]]&lt;=$E$44,"On target",IF(tblVerifyBills[[#This Row],[Energy intensity]]&lt;=$E$44*(1+0.05),"Near target","Above target")))</f>
        <v>Near target</v>
      </c>
      <c r="U52" s="43" t="str">
        <f>IF(tblVerifyBills[[#This Row],[Month]]="","",IF(tblVerifyBills[[#This Row],[Days]]="","Missing days",IF(tblVerifyBills[[#This Row],[Energy (kWh)]]="","Missing energy",IF(tblVerifyBills[[#This Row],[Peak demand (kW)]]="","Missing peak demand",IF(DAY(tblVerifyBills[[#This Row],[Month]])&lt;&gt;1,"Use the 1st of the month",IF(COUNTIFS(tblVerifyBills[Month],tblVerifyBills[[#This Row],[Month]])&gt;1,"Duplicate month",IF(N(tblVerifyBills[[#This Row],[Load factor]])&gt;1,"Load factor over 100%",IF(tblVerifyBills[[#This Row],[Variance vs tariff]]&gt;$E$42*tblVerifyBills[[#This Row],[Expected demand charge]],"Demand charge above tariff",IF(tblVerifyBills[[#This Row],[Variance vs tariff]]&lt;-$E$42*tblVerifyBills[[#This Row],[Expected demand charge]],"Demand charge below tariff","OK")))))))))</f>
        <v>OK</v>
      </c>
      <c r="V52" s="64"/>
    </row>
    <row r="53" spans="2:22">
      <c r="B53" s="77">
        <v>46082</v>
      </c>
      <c r="C53" s="58">
        <v>31</v>
      </c>
      <c r="D53" s="58">
        <v>410000</v>
      </c>
      <c r="E53" s="58">
        <v>920</v>
      </c>
      <c r="F53" s="71">
        <v>30750</v>
      </c>
      <c r="G53" s="71">
        <v>17470</v>
      </c>
      <c r="H53" s="71">
        <v>1000</v>
      </c>
      <c r="I53" s="78">
        <v>260</v>
      </c>
      <c r="J53" s="38">
        <f>IF(tblVerifyBills[[#This Row],[Month]]="","",tblVerifyBills[[#This Row],[Energy charges]]+tblVerifyBills[[#This Row],[Demand charges]]+tblVerifyBills[[#This Row],[Other charges]])</f>
        <v>49220</v>
      </c>
      <c r="K53" s="39">
        <f>IF(tblVerifyBills[[#This Row],[Month]]="","",IF(tblVerifyBills[[#This Row],[Peak demand (kW)]]*tblVerifyBills[[#This Row],[Days]]&gt;0,tblVerifyBills[[#This Row],[Energy (kWh)]]/(tblVerifyBills[[#This Row],[Peak demand (kW)]]*tblVerifyBills[[#This Row],[Days]]*24),""))</f>
        <v>0.598994857410005</v>
      </c>
      <c r="L53" s="40">
        <f>IF(tblVerifyBills[[#This Row],[Month]]="","",IF(tblVerifyBills[[#This Row],[Energy (kWh)]]&gt;0,tblVerifyBills[[#This Row],[Total bill]]/tblVerifyBills[[#This Row],[Energy (kWh)]],""))</f>
        <v>0.120048780487805</v>
      </c>
      <c r="M53" s="41">
        <f>IF(tblVerifyBills[[#This Row],[Month]]="","",MAX($E$38*SUMPRODUCT(MAX((tblVerifyBills[Month]&gt;=EDATE(tblVerifyBills[[#This Row],[Month]],-$E$39))*(tblVerifyBills[Month]&lt;tblVerifyBills[[#This Row],[Month]])*tblVerifyBills[Peak demand (kW)])),$E$41*$E$40))</f>
        <v>800</v>
      </c>
      <c r="N53" s="41">
        <f>IF(tblVerifyBills[[#This Row],[Month]]="","",MAX(tblVerifyBills[[#This Row],[Peak demand (kW)]],tblVerifyBills[[#This Row],[Ratchet floor (kW)]]))</f>
        <v>920</v>
      </c>
      <c r="O53" s="38">
        <f>IF(tblVerifyBills[[#This Row],[Month]]="","",tblVerifyBills[[#This Row],[Billing demand (kW)]]*$E$35*$E$36+$E$37)</f>
        <v>17470</v>
      </c>
      <c r="P53" s="38">
        <f>IF(tblVerifyBills[[#This Row],[Month]]="","",tblVerifyBills[[#This Row],[Demand charges]]-tblVerifyBills[[#This Row],[Expected demand charge]])</f>
        <v>0</v>
      </c>
      <c r="Q53" s="38">
        <f>IF(tblVerifyBills[[#This Row],[Month]]="","",(tblVerifyBills[[#This Row],[Billing demand (kW)]]-tblVerifyBills[[#This Row],[Peak demand (kW)]])*$E$35*$E$36)</f>
        <v>0</v>
      </c>
      <c r="R53" s="41">
        <f>IF(tblVerifyBills[[#This Row],[Month]]="","",IF(N(tblVerifyBills[[#This Row],[Production]])&gt;0,tblVerifyBills[[#This Row],[Energy (kWh)]]/tblVerifyBills[[#This Row],[Production]],""))</f>
        <v>1576.92307692308</v>
      </c>
      <c r="S53" s="38">
        <f>IF(tblVerifyBills[[#This Row],[Month]]="","",IF(N(tblVerifyBills[[#This Row],[Production]])&gt;0,tblVerifyBills[[#This Row],[Total bill]]/tblVerifyBills[[#This Row],[Production]],""))</f>
        <v>189.307692307692</v>
      </c>
      <c r="T53" s="42" t="str">
        <f>IF(NOT(ISNUMBER(tblVerifyBills[[#This Row],[Energy intensity]])),"",IF(tblVerifyBills[[#This Row],[Energy intensity]]&lt;=$E$44,"On target",IF(tblVerifyBills[[#This Row],[Energy intensity]]&lt;=$E$44*(1+0.05),"Near target","Above target")))</f>
        <v>Above target</v>
      </c>
      <c r="U53" s="43" t="str">
        <f>IF(tblVerifyBills[[#This Row],[Month]]="","",IF(tblVerifyBills[[#This Row],[Days]]="","Missing days",IF(tblVerifyBills[[#This Row],[Energy (kWh)]]="","Missing energy",IF(tblVerifyBills[[#This Row],[Peak demand (kW)]]="","Missing peak demand",IF(DAY(tblVerifyBills[[#This Row],[Month]])&lt;&gt;1,"Use the 1st of the month",IF(COUNTIFS(tblVerifyBills[Month],tblVerifyBills[[#This Row],[Month]])&gt;1,"Duplicate month",IF(N(tblVerifyBills[[#This Row],[Load factor]])&gt;1,"Load factor over 100%",IF(tblVerifyBills[[#This Row],[Variance vs tariff]]&gt;$E$42*tblVerifyBills[[#This Row],[Expected demand charge]],"Demand charge above tariff",IF(tblVerifyBills[[#This Row],[Variance vs tariff]]&lt;-$E$42*tblVerifyBills[[#This Row],[Expected demand charge]],"Demand charge below tariff","OK")))))))))</f>
        <v>OK</v>
      </c>
      <c r="V53" s="64"/>
    </row>
    <row r="54" spans="2:22">
      <c r="B54" s="77">
        <v>46388</v>
      </c>
      <c r="C54" s="58">
        <v>31</v>
      </c>
      <c r="D54" s="58">
        <v>250000</v>
      </c>
      <c r="E54" s="58">
        <v>600</v>
      </c>
      <c r="F54" s="71">
        <v>18750</v>
      </c>
      <c r="G54" s="71">
        <v>15800</v>
      </c>
      <c r="H54" s="71">
        <v>800</v>
      </c>
      <c r="I54" s="78">
        <v>160</v>
      </c>
      <c r="J54" s="38">
        <f>IF(tblVerifyBills[[#This Row],[Month]]="","",tblVerifyBills[[#This Row],[Energy charges]]+tblVerifyBills[[#This Row],[Demand charges]]+tblVerifyBills[[#This Row],[Other charges]])</f>
        <v>35350</v>
      </c>
      <c r="K54" s="39">
        <f>IF(tblVerifyBills[[#This Row],[Month]]="","",IF(tblVerifyBills[[#This Row],[Peak demand (kW)]]*tblVerifyBills[[#This Row],[Days]]&gt;0,tblVerifyBills[[#This Row],[Energy (kWh)]]/(tblVerifyBills[[#This Row],[Peak demand (kW)]]*tblVerifyBills[[#This Row],[Days]]*24),""))</f>
        <v>0.560035842293907</v>
      </c>
      <c r="L54" s="40">
        <f>IF(tblVerifyBills[[#This Row],[Month]]="","",IF(tblVerifyBills[[#This Row],[Energy (kWh)]]&gt;0,tblVerifyBills[[#This Row],[Total bill]]/tblVerifyBills[[#This Row],[Energy (kWh)]],""))</f>
        <v>0.1414</v>
      </c>
      <c r="M54" s="41">
        <f>IF(tblVerifyBills[[#This Row],[Month]]="","",MAX($E$38*SUMPRODUCT(MAX((tblVerifyBills[Month]&gt;=EDATE(tblVerifyBills[[#This Row],[Month]],-$E$39))*(tblVerifyBills[Month]&lt;tblVerifyBills[[#This Row],[Month]])*tblVerifyBills[Peak demand (kW)])),$E$41*$E$40))</f>
        <v>750</v>
      </c>
      <c r="N54" s="41">
        <f>IF(tblVerifyBills[[#This Row],[Month]]="","",MAX(tblVerifyBills[[#This Row],[Peak demand (kW)]],tblVerifyBills[[#This Row],[Ratchet floor (kW)]]))</f>
        <v>750</v>
      </c>
      <c r="O54" s="38">
        <f>IF(tblVerifyBills[[#This Row],[Month]]="","",tblVerifyBills[[#This Row],[Billing demand (kW)]]*$E$35*$E$36+$E$37)</f>
        <v>14325</v>
      </c>
      <c r="P54" s="38">
        <f>IF(tblVerifyBills[[#This Row],[Month]]="","",tblVerifyBills[[#This Row],[Demand charges]]-tblVerifyBills[[#This Row],[Expected demand charge]])</f>
        <v>1475</v>
      </c>
      <c r="Q54" s="38">
        <f>IF(tblVerifyBills[[#This Row],[Month]]="","",(tblVerifyBills[[#This Row],[Billing demand (kW)]]-tblVerifyBills[[#This Row],[Peak demand (kW)]])*$E$35*$E$36)</f>
        <v>2775</v>
      </c>
      <c r="R54" s="41">
        <f>IF(tblVerifyBills[[#This Row],[Month]]="","",IF(N(tblVerifyBills[[#This Row],[Production]])&gt;0,tblVerifyBills[[#This Row],[Energy (kWh)]]/tblVerifyBills[[#This Row],[Production]],""))</f>
        <v>1562.5</v>
      </c>
      <c r="S54" s="38">
        <f>IF(tblVerifyBills[[#This Row],[Month]]="","",IF(N(tblVerifyBills[[#This Row],[Production]])&gt;0,tblVerifyBills[[#This Row],[Total bill]]/tblVerifyBills[[#This Row],[Production]],""))</f>
        <v>220.9375</v>
      </c>
      <c r="T54" s="42" t="str">
        <f>IF(NOT(ISNUMBER(tblVerifyBills[[#This Row],[Energy intensity]])),"",IF(tblVerifyBills[[#This Row],[Energy intensity]]&lt;=$E$44,"On target",IF(tblVerifyBills[[#This Row],[Energy intensity]]&lt;=$E$44*(1+0.05),"Near target","Above target")))</f>
        <v>Above target</v>
      </c>
      <c r="U54" s="43" t="str">
        <f>IF(tblVerifyBills[[#This Row],[Month]]="","",IF(tblVerifyBills[[#This Row],[Days]]="","Missing days",IF(tblVerifyBills[[#This Row],[Energy (kWh)]]="","Missing energy",IF(tblVerifyBills[[#This Row],[Peak demand (kW)]]="","Missing peak demand",IF(DAY(tblVerifyBills[[#This Row],[Month]])&lt;&gt;1,"Use the 1st of the month",IF(COUNTIFS(tblVerifyBills[Month],tblVerifyBills[[#This Row],[Month]])&gt;1,"Duplicate month",IF(N(tblVerifyBills[[#This Row],[Load factor]])&gt;1,"Load factor over 100%",IF(tblVerifyBills[[#This Row],[Variance vs tariff]]&gt;$E$42*tblVerifyBills[[#This Row],[Expected demand charge]],"Demand charge above tariff",IF(tblVerifyBills[[#This Row],[Variance vs tariff]]&lt;-$E$42*tblVerifyBills[[#This Row],[Expected demand charge]],"Demand charge below tariff","OK")))))))))</f>
        <v>Demand charge above tariff</v>
      </c>
      <c r="V54" s="64"/>
    </row>
  </sheetData>
  <sheetProtection sheet="1" formatColumns="0" formatRows="0"/>
  <mergeCells count="43">
    <mergeCell ref="A1:V1"/>
    <mergeCell ref="B2:U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1:L31"/>
    <mergeCell ref="B33:L33"/>
    <mergeCell ref="B34:F34"/>
    <mergeCell ref="B35:D35"/>
    <mergeCell ref="B36:D36"/>
    <mergeCell ref="B37:D37"/>
    <mergeCell ref="B38:D38"/>
    <mergeCell ref="B39:D39"/>
    <mergeCell ref="B40:D40"/>
    <mergeCell ref="B41:D41"/>
    <mergeCell ref="B42:D42"/>
    <mergeCell ref="B43:D43"/>
    <mergeCell ref="B44:D44"/>
    <mergeCell ref="B45:D45"/>
    <mergeCell ref="B46:D46"/>
    <mergeCell ref="B48:L48"/>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U51:U54">
    <cfRule type="expression" dxfId="3" priority="41">
      <formula>$U51="OK"</formula>
    </cfRule>
    <cfRule type="expression" dxfId="1" priority="42">
      <formula>AND($U51&lt;&gt;"",$U51&lt;&gt;"OK")</formula>
    </cfRule>
  </conditionalFormatting>
  <hyperlinks>
    <hyperlink ref="V2" r:id="rId1" tooltip="Free manufacturing calculators and templates"/>
  </hyperlinks>
  <printOptions horizontalCentered="1"/>
  <pageMargins left="0.4" right="0.4" top="0.7" bottom="0.65" header="0.3" footer="0.3"/>
  <pageSetup fitToHeight="0" orientation="landscape"/>
  <headerFooter>
    <oddHeader>&amp;L&amp;8MFG Calcs - Energy Use and Demand Charge Tracker&amp;R&amp;8&amp;A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40</vt:i4>
      </vt:variant>
    </vt:vector>
  </HeadingPairs>
  <TitlesOfParts>
    <vt:vector size="47" baseType="lpstr">
      <vt:lpstr>Start Here</vt:lpstr>
      <vt:lpstr>Setup</vt:lpstr>
      <vt:lpstr>Monthly Bills</vt:lpstr>
      <vt:lpstr>Sub-meters</vt:lpstr>
      <vt:lpstr>Dashboard</vt:lpstr>
      <vt:lpstr>Method</vt:lpstr>
      <vt:lpstr>Verify</vt:lpstr>
      <vt:lpstr>ApplicablePct</vt:lpstr>
      <vt:lpstr>BillsShown</vt:lpstr>
      <vt:lpstr>BillTol</vt:lpstr>
      <vt:lpstr>ContractKW</vt:lpstr>
      <vt:lpstr>ContractMinPct</vt:lpstr>
      <vt:lpstr>Currency</vt:lpstr>
      <vt:lpstr>DashEnd</vt:lpstr>
      <vt:lpstr>DemandRate</vt:lpstr>
      <vt:lpstr>FixedDemand</vt:lpstr>
      <vt:lpstr>KpiBlended</vt:lpstr>
      <vt:lpstr>KpiCost</vt:lpstr>
      <vt:lpstr>KpiDShare</vt:lpstr>
      <vt:lpstr>KpiIntensity</vt:lpstr>
      <vt:lpstr>KpiLF</vt:lpstr>
      <vt:lpstr>KpiMWh</vt:lpstr>
      <vt:lpstr>KpiPeak</vt:lpstr>
      <vt:lpstr>KpiRatchet</vt:lpstr>
      <vt:lpstr>Metered</vt:lpstr>
      <vt:lpstr>OutputUnit</vt:lpstr>
      <vt:lpstr>PlantName</vt:lpstr>
      <vt:lpstr>Dashboard!Print_Area</vt:lpstr>
      <vt:lpstr>Method!Print_Area</vt:lpstr>
      <vt:lpstr>'Monthly Bills'!Print_Area</vt:lpstr>
      <vt:lpstr>Setup!Print_Area</vt:lpstr>
      <vt:lpstr>'Start Here'!Print_Area</vt:lpstr>
      <vt:lpstr>'Sub-meters'!Print_Area</vt:lpstr>
      <vt:lpstr>Verify!Print_Area</vt:lpstr>
      <vt:lpstr>Method!Print_Titles</vt:lpstr>
      <vt:lpstr>'Monthly Bills'!Print_Titles</vt:lpstr>
      <vt:lpstr>'Sub-meters'!Print_Titles</vt:lpstr>
      <vt:lpstr>RatchetMonths</vt:lpstr>
      <vt:lpstr>RatchetPct</vt:lpstr>
      <vt:lpstr>SelfCheck</vt:lpstr>
      <vt:lpstr>SelfCheckSummary</vt:lpstr>
      <vt:lpstr>ShowFrom</vt:lpstr>
      <vt:lpstr>ShowTo</vt:lpstr>
      <vt:lpstr>TargetIntensity</vt:lpstr>
      <vt:lpstr>TargetLF</vt:lpstr>
      <vt:lpstr>Unmetered</vt:lpstr>
      <vt:lpstr>UnmeteredShare</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Energy Use and Demand Charge Tracker - free Excel template from MFG Calcs</dc:title>
  <dc:subject>Log monthly electricity bills and sub-meter readings, and see cost, peak and billing demand, ratchet charges, load factor and energy per unit of output.</dc:subject>
  <dc:creator>MFG Calcs</dc:creator>
  <cp:keywords>energy monitoring, demand charge, ratchet, peak demand, load factor, energy intensity, kWh per unit, utility bill, ISO 50001</cp:keywords>
  <dc:description>https://www.mfgcalcs.com/templates/energy-monitoring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energy-monitoring</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https://www.mfgcalcs.com/templates/energy-monitoring</vt:lpwstr>
  </property>
  <property fmtid="{D5CDD505-2E9C-101B-9397-08002B2CF9AE}" pid="7" name="Template sheet roles">
    <vt:lpwstr>Start Here=start;Setup=setup;Monthly Bills=work;Sub-meters=work;Dashboard=dashboard;Method=method;Verify=verify</vt:lpwstr>
  </property>
</Properties>
</file>