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FAI Register" sheetId="3" r:id="rId3"/>
    <sheet name="Characteristic Results" sheetId="4" r:id="rId4"/>
    <sheet name="Dashboard" sheetId="5" r:id="rId5"/>
    <sheet name="Method" sheetId="6" r:id="rId6"/>
    <sheet name="Verify" sheetId="7" r:id="rId7"/>
  </sheets>
  <definedNames>
    <definedName name="AsOf">Setup!$C$7</definedName>
    <definedName name="Categories">tblCategories[Category]</definedName>
    <definedName name="Customers">tblCustomers[Customer]</definedName>
    <definedName name="DueSoonDays">Setup!$C$8</definedName>
    <definedName name="FAIIDs">tblFAIs[FAI no.]</definedName>
    <definedName name="Inspectors">tblInspectors[Inspector]</definedName>
    <definedName name="KpiChars">Dashboard!$J$31</definedName>
    <definedName name="KpiHours">Dashboard!$G$31</definedName>
    <definedName name="KpiMeasured">Dashboard!$G$7</definedName>
    <definedName name="KpiNC">Dashboard!$B$31</definedName>
    <definedName name="KpiNear">Dashboard!$D$31</definedName>
    <definedName name="KpiOpen">Dashboard!$B$7</definedName>
    <definedName name="KpiOverdue">Dashboard!$D$7</definedName>
    <definedName name="KpiPassed">Dashboard!$J$7</definedName>
    <definedName name="MinPerChar">Setup!$C$14</definedName>
    <definedName name="NearLimit">Setup!$C$9</definedName>
    <definedName name="PlantName">Setup!$C$6</definedName>
    <definedName name="_xlnm.Print_Area" localSheetId="3">'Characteristic Results'!$A$1:$V$98</definedName>
    <definedName name="_xlnm.Print_Area" localSheetId="4">Dashboard!$A$1:$L$62</definedName>
    <definedName name="_xlnm.Print_Area" localSheetId="2">'FAI Register'!$A$1:$U$16</definedName>
    <definedName name="_xlnm.Print_Area" localSheetId="5">Method!$A$1:$D$59</definedName>
    <definedName name="_xlnm.Print_Area" localSheetId="1">Setup!$A$1:$E$50</definedName>
    <definedName name="_xlnm.Print_Area" localSheetId="0">'Start Here'!$A$1:$F$57</definedName>
    <definedName name="_xlnm.Print_Area" localSheetId="6">Verify!$A$1:$V$64</definedName>
    <definedName name="_xlnm.Print_Titles" localSheetId="3">'Characteristic Results'!$1:$5</definedName>
    <definedName name="_xlnm.Print_Titles" localSheetId="2">'FAI Register'!$1:$5</definedName>
    <definedName name="_xlnm.Print_Titles" localSheetId="5">Method!$1:$2</definedName>
    <definedName name="Reasons">tblReasons[Reason]</definedName>
    <definedName name="ReportMin">Setup!$C$16</definedName>
    <definedName name="SelfCheck">Verify!$D$4</definedName>
    <definedName name="SelfCheckSummary">Verify!$F$4</definedName>
    <definedName name="SetupMin">Setup!$C$15</definedName>
    <definedName name="TargetPass">Setup!$C$10</definedName>
  </definedNames>
  <calcPr calcId="124519" fullCalcOnLoad="1"/>
</workbook>
</file>

<file path=xl/sharedStrings.xml><?xml version="1.0" encoding="utf-8"?>
<sst xmlns="http://schemas.openxmlformats.org/spreadsheetml/2006/main" count="1251" uniqueCount="422">
  <si>
    <t>First Article Inspection Tracker</t>
  </si>
  <si>
    <t>Read this first: what the workbook does and how to use it.</t>
  </si>
  <si>
    <t>mfgcalcs.com</t>
  </si>
  <si>
    <t>Record every first article and each ballooned characteristic, and see which FAIs are open or overdue, which failed, and which characteristics sit near their limits.</t>
  </si>
  <si>
    <t>For: Quality engineers, inspectors and quality managers at machine shops, aerospace and medical device suppliers who run first article inspections.</t>
  </si>
  <si>
    <t>Version 1.0.0  ·  updated 15 October 2026</t>
  </si>
  <si>
    <t>Quick start</t>
  </si>
  <si>
    <t>1.</t>
  </si>
  <si>
    <t>On Setup, set the status date, the due-soon window, the near-limit share, your pass target and the time standards, then replace the example customers, reasons, categories and inspectors.</t>
  </si>
  <si>
    <t>2.</t>
  </si>
  <si>
    <t>On FAI Register, add one row per first article: FAI number, part, revision, customer, reason, full or partial, inspector and planned date.</t>
  </si>
  <si>
    <t>3.</t>
  </si>
  <si>
    <t>On Characteristic Results, add one row per ballooned characteristic: number, description, category, unit, nominal and tolerances; then type each measured value (or the attribute result) and the gauge.</t>
  </si>
  <si>
    <t>4.</t>
  </si>
  <si>
    <t>Type the completed date on the register when the FAI is finished; read the Check columns and fix anything that is not OK.</t>
  </si>
  <si>
    <t>5.</t>
  </si>
  <si>
    <t>Move the status date forward and open the Dashboard for open, overdue and failed FAIs and the characteristics near their limits.</t>
  </si>
  <si>
    <t>What is in this workbook</t>
  </si>
  <si>
    <t>Start Here</t>
  </si>
  <si>
    <t>Setup</t>
  </si>
  <si>
    <t>Status date, due-soon window, near-limit share, your pass target, time standards, and the customer, reason, category and inspector lists.</t>
  </si>
  <si>
    <t>FAI Register</t>
  </si>
  <si>
    <t>One row per first article: part, revision, customer, reason, dates. Counts, result and time come from the results.</t>
  </si>
  <si>
    <t>Characteristic Results</t>
  </si>
  <si>
    <t>One row per ballooned characteristic: requirement, measured value or attribute result, gauge. Limits and result are calculated.</t>
  </si>
  <si>
    <t>Dashboard</t>
  </si>
  <si>
    <t>Open, overdue and failed first articles, measured progress, and characteristics that failed or sit near a limit.</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</si>
  <si>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</si>
  <si>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</si>
  <si>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</si>
  <si>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</si>
  <si>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</si>
  <si>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</si>
  <si>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</si>
  <si>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</si>
  <si>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</si>
  <si>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</si>
  <si>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</si>
  <si>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</si>
  <si>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</si>
  <si>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</si>
  <si>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</si>
  <si>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</si>
  <si>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</si>
  <si>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</si>
  <si>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</si>
  <si>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</si>
  <si>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First Article Inspection Time Calculator on mfgcalcs.com</t>
  </si>
  <si>
    <t>Latest version</t>
  </si>
  <si>
    <t>mfgcalcs.com/templates/first-article-inspection</t>
  </si>
  <si>
    <t>More free templates</t>
  </si>
  <si>
    <t>mfgcalcs.com/templates</t>
  </si>
  <si>
    <t>Version</t>
  </si>
  <si>
    <t>1.0.0 (updated 15 October 2026)</t>
  </si>
  <si>
    <t>About the example data</t>
  </si>
  <si>
    <t>Every number already in this workbook is example data for Corvane Precision, a fictional business invented for this template, so the dashboard and charts show something meaningful on day one. It covers eleven first articles for three fictional customers from June to October 2026 (status date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</si>
  <si>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</si>
  <si>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</si>
  <si>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</si>
  <si>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</si>
  <si>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</si>
  <si>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</si>
  <si>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</si>
  <si>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</si>
  <si>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Customer</t>
  </si>
  <si>
    <t>Notes</t>
  </si>
  <si>
    <t>Reason</t>
  </si>
  <si>
    <t>Category</t>
  </si>
  <si>
    <t>Inspector</t>
  </si>
  <si>
    <t>Site and status date</t>
  </si>
  <si>
    <t>Company or site name</t>
  </si>
  <si>
    <t>Corvane Precision (example)</t>
  </si>
  <si>
    <t>Status date (as of)</t>
  </si>
  <si>
    <t>Due soon window</t>
  </si>
  <si>
    <t>days</t>
  </si>
  <si>
    <t>Near-limit share of tolerance</t>
  </si>
  <si>
    <t>Completed FAIs that pass, target</t>
  </si>
  <si>
    <t>Inspection time standards (your own estimates)</t>
  </si>
  <si>
    <t>Measurement time per characteristic</t>
  </si>
  <si>
    <t>min per characteristic</t>
  </si>
  <si>
    <t>Setup and fixturing time per FAI</t>
  </si>
  <si>
    <t>min</t>
  </si>
  <si>
    <t>Planning and reporting time per FAI</t>
  </si>
  <si>
    <t>Targets and time standards are yours to set; nothing here assumes an industry figure. Estimated time per FAI = characteristics x minutes per characteristic + setup + reporting (the First Article Inspection Time calculator's formula).</t>
  </si>
  <si>
    <t>Lists that feed the dropdowns</t>
  </si>
  <si>
    <t>Edit, add or remove rows; the register and results dropdowns read these lists. Which events need a full or partial FAI is set by your customer and the standard you work to (for example AS9102 in aerospace). Keep names unique.</t>
  </si>
  <si>
    <t>Customers</t>
  </si>
  <si>
    <t>Halcyon Aerostructures (example)</t>
  </si>
  <si>
    <t>Aerospace; FAI report on the customer's form (fictional)</t>
  </si>
  <si>
    <t>Meridian Surgical (example)</t>
  </si>
  <si>
    <t>Medical devices (fictional)</t>
  </si>
  <si>
    <t>Tellis Pumps (example)</t>
  </si>
  <si>
    <t>Industrial pumps (fictional)</t>
  </si>
  <si>
    <t>Reasons for an FAI</t>
  </si>
  <si>
    <t>New part</t>
  </si>
  <si>
    <t>First production run of a new part number</t>
  </si>
  <si>
    <t>Design change</t>
  </si>
  <si>
    <t>Drawing revision that affects form, fit or function</t>
  </si>
  <si>
    <t>Process or source change</t>
  </si>
  <si>
    <t>New machine, method, site or sub-supplier</t>
  </si>
  <si>
    <t>Production lapse</t>
  </si>
  <si>
    <t>No production for a long period (your customer sets how long)</t>
  </si>
  <si>
    <t>Corrective action</t>
  </si>
  <si>
    <t>Re-inspection of failed characteristics after a fix</t>
  </si>
  <si>
    <t>Characteristic categories</t>
  </si>
  <si>
    <t>Dimension</t>
  </si>
  <si>
    <t>Sizes, lengths, diameters</t>
  </si>
  <si>
    <t>Geometric tolerance</t>
  </si>
  <si>
    <t>Position, flatness, runout and other GD&amp;T</t>
  </si>
  <si>
    <t>Thread</t>
  </si>
  <si>
    <t>Thread gauges, go/no-go</t>
  </si>
  <si>
    <t>Surface finish</t>
  </si>
  <si>
    <t>Roughness, Ra</t>
  </si>
  <si>
    <t>Note or specification</t>
  </si>
  <si>
    <t>Drawing notes, finishes, marking</t>
  </si>
  <si>
    <t>Material or process cert</t>
  </si>
  <si>
    <t>Material, heat treat, plating certificates</t>
  </si>
  <si>
    <t>Inspectors</t>
  </si>
  <si>
    <t>R. Okafor</t>
  </si>
  <si>
    <t>CMM programmer</t>
  </si>
  <si>
    <t>L. Brandt</t>
  </si>
  <si>
    <t>S. Iyer</t>
  </si>
  <si>
    <t>Quality engineer</t>
  </si>
  <si>
    <t>FAI no.</t>
  </si>
  <si>
    <t>Part number</t>
  </si>
  <si>
    <t>Rev</t>
  </si>
  <si>
    <t>Part name</t>
  </si>
  <si>
    <t>FAI type</t>
  </si>
  <si>
    <t>Planned date</t>
  </si>
  <si>
    <t>Completed</t>
  </si>
  <si>
    <t>Characteristics</t>
  </si>
  <si>
    <t>Measured</t>
  </si>
  <si>
    <t>Nonconforming</t>
  </si>
  <si>
    <t>Measured share</t>
  </si>
  <si>
    <t>Result</t>
  </si>
  <si>
    <t>Due status</t>
  </si>
  <si>
    <t>Est. time (min)</t>
  </si>
  <si>
    <t>Open</t>
  </si>
  <si>
    <t>Check</t>
  </si>
  <si>
    <t>Example data for Corvane Precision (fictional). Replace it with your own: select the example rows, right-click, Delete &gt; Table Rows (do the same on Characteristic Results). Yellow = you type; blue = calculated; Check names any problem. Due status is measured to the status date on Setup.</t>
  </si>
  <si>
    <t>F26-031</t>
  </si>
  <si>
    <t>HB-1104</t>
  </si>
  <si>
    <t>C</t>
  </si>
  <si>
    <t>Hinge bracket</t>
  </si>
  <si>
    <t>Full</t>
  </si>
  <si>
    <t/>
  </si>
  <si>
    <t>F26-032</t>
  </si>
  <si>
    <t>MB-2210</t>
  </si>
  <si>
    <t>A</t>
  </si>
  <si>
    <t>Mounting block</t>
  </si>
  <si>
    <t>Bore position out: fixture re-shimmed, see partial FAI F26-036</t>
  </si>
  <si>
    <t>F26-033</t>
  </si>
  <si>
    <t>SC-0412</t>
  </si>
  <si>
    <t>B</t>
  </si>
  <si>
    <t>Clamp jaw</t>
  </si>
  <si>
    <t>Partial</t>
  </si>
  <si>
    <t>F26-034</t>
  </si>
  <si>
    <t>PH-7701</t>
  </si>
  <si>
    <t>D</t>
  </si>
  <si>
    <t>Pump housing</t>
  </si>
  <si>
    <t>F26-035</t>
  </si>
  <si>
    <t>SP-3300</t>
  </si>
  <si>
    <t>Spindle shaft</t>
  </si>
  <si>
    <t>Journal finish out: grinding wheel dressing changed, see F26-037</t>
  </si>
  <si>
    <t>F26-036</t>
  </si>
  <si>
    <t>F26-037</t>
  </si>
  <si>
    <t>F26-038</t>
  </si>
  <si>
    <t>FT-5120</t>
  </si>
  <si>
    <t>Fitting body</t>
  </si>
  <si>
    <t>F26-039</t>
  </si>
  <si>
    <t>HB-1180</t>
  </si>
  <si>
    <t>Hinge bracket, long</t>
  </si>
  <si>
    <t>CMM program for the pocket features in proof-out</t>
  </si>
  <si>
    <t>F26-040</t>
  </si>
  <si>
    <t>VC-0090</t>
  </si>
  <si>
    <t>Valve cap</t>
  </si>
  <si>
    <t>F26-041</t>
  </si>
  <si>
    <t>SC-0415</t>
  </si>
  <si>
    <t>Clamp jaw, wide</t>
  </si>
  <si>
    <t>Char no.</t>
  </si>
  <si>
    <t>Characteristic</t>
  </si>
  <si>
    <t>Unit</t>
  </si>
  <si>
    <t>Nominal</t>
  </si>
  <si>
    <t>Lower tol</t>
  </si>
  <si>
    <t>Upper tol</t>
  </si>
  <si>
    <t>Attribute result</t>
  </si>
  <si>
    <t>Gauge</t>
  </si>
  <si>
    <t>Open FAI</t>
  </si>
  <si>
    <t>LSL</t>
  </si>
  <si>
    <t>USL</t>
  </si>
  <si>
    <t>Deviation</t>
  </si>
  <si>
    <t>Tolerance used</t>
  </si>
  <si>
    <t>Near limit</t>
  </si>
  <si>
    <t>Example data for Corvane Precision (fictional). Each row is one ballooned characteristic in its own unit (the aerospace parts are in inches, the others in mm); nothing is converted. Two readings are out of tolerance on purpose (FAI F26-032 and F26-035) and were re-inspected by partial FAIs.</t>
  </si>
  <si>
    <t>Overall length</t>
  </si>
  <si>
    <t>in</t>
  </si>
  <si>
    <t>CMM-080</t>
  </si>
  <si>
    <t>Width</t>
  </si>
  <si>
    <t>HGT-020</t>
  </si>
  <si>
    <t>Thickness</t>
  </si>
  <si>
    <t>MIC-010</t>
  </si>
  <si>
    <t>Hinge bore dia</t>
  </si>
  <si>
    <t>Hinge bore position</t>
  </si>
  <si>
    <t>Mounting face flatness</t>
  </si>
  <si>
    <t>CAL-001</t>
  </si>
  <si>
    <t>Hole dia, 4 places</t>
  </si>
  <si>
    <t>Hole pattern position</t>
  </si>
  <si>
    <t>Thread 10-32 UNF-2B, 2 places</t>
  </si>
  <si>
    <t>n/a</t>
  </si>
  <si>
    <t>Conforms</t>
  </si>
  <si>
    <t>THR-050</t>
  </si>
  <si>
    <t>Face A finish</t>
  </si>
  <si>
    <t>uin Ra</t>
  </si>
  <si>
    <t>SRF-100</t>
  </si>
  <si>
    <t>Edge break</t>
  </si>
  <si>
    <t>Anodise, type II, black</t>
  </si>
  <si>
    <t>Part marking per drawing note</t>
  </si>
  <si>
    <t>Cert review</t>
  </si>
  <si>
    <t>Material 7075-T7351 certificate</t>
  </si>
  <si>
    <t>mm</t>
  </si>
  <si>
    <t>Height</t>
  </si>
  <si>
    <t>MIC-011</t>
  </si>
  <si>
    <t>Bore dia 20 H7</t>
  </si>
  <si>
    <t>BOR-030</t>
  </si>
  <si>
    <t>Bore position</t>
  </si>
  <si>
    <t>Out of tolerance: NCR raised</t>
  </si>
  <si>
    <t>Bore perpendicularity</t>
  </si>
  <si>
    <t>CAL-002</t>
  </si>
  <si>
    <t>Slot width</t>
  </si>
  <si>
    <t>Counterbore depth</t>
  </si>
  <si>
    <t>Thread M8x1.25-6H, 4 places</t>
  </si>
  <si>
    <t>Bore finish</t>
  </si>
  <si>
    <t>um Ra</t>
  </si>
  <si>
    <t>Chamfer angle</t>
  </si>
  <si>
    <t>deg</t>
  </si>
  <si>
    <t>Material 6082-T6 certificate</t>
  </si>
  <si>
    <t>Deburr all edges</t>
  </si>
  <si>
    <t>Jaw length</t>
  </si>
  <si>
    <t>Jaw width</t>
  </si>
  <si>
    <t>Serration pitch</t>
  </si>
  <si>
    <t>Passivation certificate</t>
  </si>
  <si>
    <t>Flange dia</t>
  </si>
  <si>
    <t>Bore dia 62 H7</t>
  </si>
  <si>
    <t>Bore runout to datum A</t>
  </si>
  <si>
    <t>Face flatness</t>
  </si>
  <si>
    <t>Bolt circle position, 6 holes</t>
  </si>
  <si>
    <t>Seal groove dia</t>
  </si>
  <si>
    <t>Seal groove width</t>
  </si>
  <si>
    <t>Seal groove finish</t>
  </si>
  <si>
    <t>Port thread G1/2</t>
  </si>
  <si>
    <t>Overall height</t>
  </si>
  <si>
    <t>Casting certificate EN-GJS-500-7</t>
  </si>
  <si>
    <t>Pressure test per note 4</t>
  </si>
  <si>
    <t>Visual</t>
  </si>
  <si>
    <t>Bearing journal dia</t>
  </si>
  <si>
    <t>Journal runout</t>
  </si>
  <si>
    <t>Journal finish</t>
  </si>
  <si>
    <t>Keyway width</t>
  </si>
  <si>
    <t>Shoulder length</t>
  </si>
  <si>
    <t>Thread M12x1.5-6g</t>
  </si>
  <si>
    <t>Hardness 58-62 HRC certificate</t>
  </si>
  <si>
    <t>Centre holes per note 2</t>
  </si>
  <si>
    <t>Body length</t>
  </si>
  <si>
    <t>Hex across flats</t>
  </si>
  <si>
    <t>Bore dia</t>
  </si>
  <si>
    <t>Cone angle</t>
  </si>
  <si>
    <t>Thread M22x1.5</t>
  </si>
  <si>
    <t>Zinc-nickel plating certificate</t>
  </si>
  <si>
    <t>Hole dia, 6 places</t>
  </si>
  <si>
    <t>Lightening pocket depth</t>
  </si>
  <si>
    <t>Pocket corner radius</t>
  </si>
  <si>
    <t>Thread 10-32 UNF-2B, 3 places</t>
  </si>
  <si>
    <t>Cap dia</t>
  </si>
  <si>
    <t>Cap height</t>
  </si>
  <si>
    <t>Seat dia</t>
  </si>
  <si>
    <t>Seat runout</t>
  </si>
  <si>
    <t>Seat finish</t>
  </si>
  <si>
    <t>Thread M30x1.5</t>
  </si>
  <si>
    <t>Material 316L certificate</t>
  </si>
  <si>
    <t>Pivot hole dia</t>
  </si>
  <si>
    <t>Pivot hole position</t>
  </si>
  <si>
    <t>Laser mark legible</t>
  </si>
  <si>
    <t>OPEN FAIS</t>
  </si>
  <si>
    <t>FAIS OVERDUE</t>
  </si>
  <si>
    <t>MEASURED, OPEN FAIS</t>
  </si>
  <si>
    <t>COMPLETED FAIS PASSED</t>
  </si>
  <si>
    <t>No completed date yet</t>
  </si>
  <si>
    <t>Characteristics with a result</t>
  </si>
  <si>
    <t>NONCONFORMING CHARACTERISTICS</t>
  </si>
  <si>
    <t>NEAR LIMIT</t>
  </si>
  <si>
    <t>INSPECTION TIME, OPEN FAIS (H)</t>
  </si>
  <si>
    <t>CHARACTERISTICS RECORDED</t>
  </si>
  <si>
    <t>FAIL on the results log</t>
  </si>
  <si>
    <t>Conforming, past the near-limit share</t>
  </si>
  <si>
    <t>Estimate from the Setup time standards</t>
  </si>
  <si>
    <t>All FAIs</t>
  </si>
  <si>
    <t>By FAI (first 12 on the register)</t>
  </si>
  <si>
    <t>Part</t>
  </si>
  <si>
    <t>PASS</t>
  </si>
  <si>
    <t>FAIL</t>
  </si>
  <si>
    <t>Not measured</t>
  </si>
  <si>
    <t>Planned</t>
  </si>
  <si>
    <t>By characteristic category (all FAIs)</t>
  </si>
  <si>
    <t>Nonconforming share</t>
  </si>
  <si>
    <t>The Dashboard shows the first 12 FAIs on the register and the 6 categories of the Setup list. Move finished FAIs to an archive copy of the workbook when the register grows, or extend the blocks (see Method).</t>
  </si>
  <si>
    <t>What this workbook calculates</t>
  </si>
  <si>
    <t>A first article inspection proves that the production process makes a part that meets every requirement of its drawing and specifications. This workbook keeps one register row per FAI and one results row per ballooned characteristic, in that characteristic's own unit. Limits come from the nominal and signed tolerances; a reading outside them, or an attribute that does not conform, is a FAIL; an FAI passes when every characteristic is measured and none fails. Dates are compared with the status date on Setup, so the file never changes by itself.</t>
  </si>
  <si>
    <t>Calculations</t>
  </si>
  <si>
    <t>Quantity</t>
  </si>
  <si>
    <t>How it is calculated</t>
  </si>
  <si>
    <t>Units</t>
  </si>
  <si>
    <t>LSL, USL</t>
  </si>
  <si>
    <t>Nominal + lower tolerance; nominal + upper tolerance. A blank lower tolerance means an upper limit only (position, flatness, runout, Ra), with 0 as the natural floor.</t>
  </si>
  <si>
    <t>char. unit</t>
  </si>
  <si>
    <t>Measured - nominal.</t>
  </si>
  <si>
    <t>Two limits: |measured - (LSL + USL) / 2| / ((USL - LSL) / 2), so 0% is mid-band and 100% is at a limit. Upper limit only: measured / USL.</t>
  </si>
  <si>
    <t>%</t>
  </si>
  <si>
    <t>Result (characteristic)</t>
  </si>
  <si>
    <t>Attribute: PASS when Conforms, FAIL otherwise. Variable: Not measured while blank; FAIL below LSL or above USL; else PASS.</t>
  </si>
  <si>
    <t>-</t>
  </si>
  <si>
    <t>1 when a PASS reading's tolerance used is at least the Setup near-limit share.</t>
  </si>
  <si>
    <t>count</t>
  </si>
  <si>
    <t>Characteristics, measured, nonconforming</t>
  </si>
  <si>
    <t>Results rows for the FAI; those with PASS or FAIL; those with FAIL.</t>
  </si>
  <si>
    <t>Result (FAI)</t>
  </si>
  <si>
    <t>FAIL if any characteristic fails; In progress while any is not measured; PASS when all are measured and pass.</t>
  </si>
  <si>
    <t>Complete when the completed date is typed; else Overdue after the planned date, Due soon within the window, otherwise OK.</t>
  </si>
  <si>
    <t>Est. time</t>
  </si>
  <si>
    <t>Characteristics x minutes per characteristic + setup and fixturing + planning and reporting (Setup): the First Article Inspection Time calculator's formula.</t>
  </si>
  <si>
    <t>Completed FAIs passed</t>
  </si>
  <si>
    <t>Completed FAIs with result PASS / completed FAIs with characteristics.</t>
  </si>
  <si>
    <t>Measured, open FAIs</t>
  </si>
  <si>
    <t>Characteristics with PASS or FAIL on open FAIs / all characteristics on open FAIs.</t>
  </si>
  <si>
    <t>Assumptions</t>
  </si>
  <si>
    <t>Each reading is compared exactly with its limits at the resolution you type; measurement uncertainty and guard bands are not applied (see the Bilateral Tolerance calculator for a guard band).</t>
  </si>
  <si>
    <t>Upper-limit-only characteristics have a natural floor of 0 (form, orientation, location, runout and roughness).</t>
  </si>
  <si>
    <t>One reading per characteristic per FAI. For characteristics with several places, record the worst reading or add a row per place.</t>
  </si>
  <si>
    <t>A partial FAI lists only the characteristics it re-inspects; the original FAI keeps its FAIL as the record.</t>
  </si>
  <si>
    <t>Limitations</t>
  </si>
  <si>
    <t>The workbook is the accountability and results record; it does not reproduce AS9102 or customer FAI forms. Transfer the results onto the form your customer requires.</t>
  </si>
  <si>
    <t>Units are not converted: a characteristic's nominal, tolerances and reading must be in the same unit.</t>
  </si>
  <si>
    <t>The by-FAI block shows the first 12 FAIs on the register and the category block has fixed rows (a warning appears when either grows).</t>
  </si>
  <si>
    <t>Estimated inspection time is a planning figure from your own standards, not a measured time.</t>
  </si>
  <si>
    <t>Agreement with the live calculator</t>
  </si>
  <si>
    <t>Estimated time per FAI is the First Article Inspection Time calculator's required time: characteristic count x measurement minutes per characteristic + setup and fixturing + planning and reporting. With the calculator's default example (60 characteristics, 3 min each, 36 min setup, 45 min reporting, 300 min window) both give 261 min and a 39 min margin; the template's reference is checked against the engine on every build. The workbook adds the register, the results log, limits and PASS/FAIL.</t>
  </si>
  <si>
    <t>Open the First Article Inspection Time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</si>
  <si>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</si>
  <si>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</si>
  <si>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SAE AS9102C, Aerospace First Article Inspection Requirement (referenced, not reproduced).</t>
  </si>
  <si>
    <t>ASME Y14.5-2018, Dimensioning and Tolerancing (limits and geometric tolerances by reference).</t>
  </si>
  <si>
    <t>ISO 1101:2017, Geometrical product specifications - Geometrical tolerancing (by reference).</t>
  </si>
  <si>
    <t>MFG Calcs First Article Inspection Time calculator: characteristics x minutes per characteristic + setup + reporting.</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</si>
  <si>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</si>
  <si>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</si>
  <si>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</si>
  <si>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</si>
  <si>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</si>
  <si>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</si>
  <si>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</si>
  <si>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</si>
  <si>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</si>
  <si>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</si>
  <si>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</si>
  <si>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</si>
  <si>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</si>
  <si>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</si>
  <si>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</si>
  <si>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Char 1: USL (20.000 H7)</t>
  </si>
  <si>
    <t>Char 1: tolerance used</t>
  </si>
  <si>
    <t>Char 2: tolerance used (inch part)</t>
  </si>
  <si>
    <t>Char 2: near limit</t>
  </si>
  <si>
    <t>Char 3: upper limit only, deviation</t>
  </si>
  <si>
    <t>Char 3: upper limit only, result</t>
  </si>
  <si>
    <t>exact</t>
  </si>
  <si>
    <t>Char 4: attribute conforms</t>
  </si>
  <si>
    <t>Char 6: not measured</t>
  </si>
  <si>
    <t>Char 7: attribute does not conform</t>
  </si>
  <si>
    <t>Char 8: Check reports the duplicate</t>
  </si>
  <si>
    <t>Duplicate char no.</t>
  </si>
  <si>
    <t>A1: characteristics</t>
  </si>
  <si>
    <t>A1: result (one FAIL)</t>
  </si>
  <si>
    <t>A1: estimated time</t>
  </si>
  <si>
    <t>A2: result (3 rows: 1 measured twice, 1 open)</t>
  </si>
  <si>
    <t>In progress</t>
  </si>
  <si>
    <t>A2: due status (planned date passed)</t>
  </si>
  <si>
    <t>Overdue</t>
  </si>
  <si>
    <t>A3: due status (within 7 days)</t>
  </si>
  <si>
    <t>Due soon</t>
  </si>
  <si>
    <t>A4: Check reports no characteristics</t>
  </si>
  <si>
    <t>No characteristics listed</t>
  </si>
  <si>
    <t>FAIs overdue (Dashboard formula)</t>
  </si>
  <si>
    <t>Nonconforming characteristics (Dashboard formula)</t>
  </si>
  <si>
    <t>Near-limit characteristics (Dashboard formula)</t>
  </si>
  <si>
    <t>Required time, calculator example: 60 x 3 + 36 + 45</t>
  </si>
  <si>
    <t>Fixed test inputs</t>
  </si>
  <si>
    <t>White cells are fixed test inputs; blue cells are the workbook's formulas evaluated on them.</t>
  </si>
  <si>
    <t>Parameters</t>
  </si>
  <si>
    <t>Status date</t>
  </si>
  <si>
    <t>Due soon window (days)</t>
  </si>
  <si>
    <t>Near-limit share</t>
  </si>
  <si>
    <t>Minutes per characteristic (calculator example)</t>
  </si>
  <si>
    <t>Setup minutes (calculator example)</t>
  </si>
  <si>
    <t>Reporting minutes (calculator example)</t>
  </si>
  <si>
    <t>Test table: Customers</t>
  </si>
  <si>
    <t>C1</t>
  </si>
  <si>
    <t>Test table: FAIs</t>
  </si>
  <si>
    <t>A1</t>
  </si>
  <si>
    <t>P-A1</t>
  </si>
  <si>
    <t>I1</t>
  </si>
  <si>
    <t>A2</t>
  </si>
  <si>
    <t>P-A2</t>
  </si>
  <si>
    <t>A3</t>
  </si>
  <si>
    <t>P-A3</t>
  </si>
  <si>
    <t>A4</t>
  </si>
  <si>
    <t>P-A4</t>
  </si>
  <si>
    <t>Test table: Chars</t>
  </si>
  <si>
    <t>Char 1</t>
  </si>
  <si>
    <t>G1</t>
  </si>
  <si>
    <t>Char 2</t>
  </si>
  <si>
    <t>Char 3</t>
  </si>
  <si>
    <t>Char 4</t>
  </si>
  <si>
    <t>Does not conform</t>
  </si>
</sst>
</file>

<file path=xl/styles.xml><?xml version="1.0" encoding="utf-8"?>
<styleSheet xmlns="http://schemas.openxmlformats.org/spreadsheetml/2006/main">
  <numFmts count="9">
    <numFmt numFmtId="164" formatCode="d mmm yyyy"/>
    <numFmt numFmtId="165" formatCode="#,##0"/>
    <numFmt numFmtId="166" formatCode="0%"/>
    <numFmt numFmtId="167" formatCode="#,##0.0"/>
    <numFmt numFmtId="168" formatCode="0.0000"/>
    <numFmt numFmtId="169" formatCode="0.0%"/>
    <numFmt numFmtId="170" formatCode="&quot;Limit &quot;#,##0"/>
    <numFmt numFmtId="171" formatCode="&quot;Target &quot;0.0%"/>
    <numFmt numFmtId="172"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5"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8"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8" fontId="10" fillId="4" borderId="3" xfId="0" applyNumberFormat="1"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7"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4"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8"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Characteristic results by FAI</a:t>
            </a:r>
          </a:p>
        </c:rich>
      </c:tx>
      <c:layout/>
    </c:title>
    <c:plotArea>
      <c:layout/>
      <c:barChart>
        <c:barDir val="bar"/>
        <c:grouping val="stacked"/>
        <c:ser>
          <c:idx val="0"/>
          <c:order val="0"/>
          <c:tx>
            <c:v>PASS</c:v>
          </c:tx>
          <c:spPr>
            <a:solidFill>
              <a:srgbClr val="1BA37A"/>
            </a:solidFill>
            <a:ln w="9525">
              <a:solidFill>
                <a:srgbClr val="FFFFFF"/>
              </a:solidFill>
            </a:ln>
          </c:spPr>
          <c:cat>
            <c:strRef>
              <c:f>Dashboard!$C$38:$C$49</c:f>
              <c:strCache>
                <c:ptCount val="12"/>
                <c:pt idx="0">
                  <c:v>F26-031 HB-1104</c:v>
                </c:pt>
                <c:pt idx="1">
                  <c:v>F26-032 MB-2210</c:v>
                </c:pt>
                <c:pt idx="2">
                  <c:v>F26-033 SC-0412</c:v>
                </c:pt>
                <c:pt idx="3">
                  <c:v>F26-034 PH-7701</c:v>
                </c:pt>
                <c:pt idx="4">
                  <c:v>F26-035 SP-3300</c:v>
                </c:pt>
                <c:pt idx="5">
                  <c:v>F26-036 MB-2210</c:v>
                </c:pt>
                <c:pt idx="6">
                  <c:v>F26-037 SP-3300</c:v>
                </c:pt>
                <c:pt idx="7">
                  <c:v>F26-038 FT-5120</c:v>
                </c:pt>
                <c:pt idx="8">
                  <c:v>F26-039 HB-1180</c:v>
                </c:pt>
                <c:pt idx="9">
                  <c:v>F26-040 VC-0090</c:v>
                </c:pt>
                <c:pt idx="10">
                  <c:v>F26-041 SC-0415</c:v>
                </c:pt>
                <c:pt idx="11">
                  <c:v/>
                </c:pt>
              </c:strCache>
            </c:strRef>
          </c:cat>
          <c:val>
            <c:numRef>
              <c:f>Dashboard!$E$38:$E$49</c:f>
              <c:numCache>
                <c:formatCode>General</c:formatCode>
                <c:ptCount val="12"/>
                <c:pt idx="0">
                  <c:v>14</c:v>
                </c:pt>
                <c:pt idx="1">
                  <c:v>11</c:v>
                </c:pt>
                <c:pt idx="2">
                  <c:v>4</c:v>
                </c:pt>
                <c:pt idx="3">
                  <c:v>12</c:v>
                </c:pt>
                <c:pt idx="4">
                  <c:v>8</c:v>
                </c:pt>
                <c:pt idx="5">
                  <c:v>3</c:v>
                </c:pt>
                <c:pt idx="6">
                  <c:v>3</c:v>
                </c:pt>
                <c:pt idx="7">
                  <c:v>6</c:v>
                </c:pt>
                <c:pt idx="8">
                  <c:v>10</c:v>
                </c:pt>
                <c:pt idx="9">
                  <c:v>0</c:v>
                </c:pt>
                <c:pt idx="10">
                  <c:v>0</c:v>
                </c:pt>
                <c:pt idx="11">
                  <c:v>0</c:v>
                </c:pt>
              </c:numCache>
            </c:numRef>
          </c:val>
        </c:ser>
        <c:ser>
          <c:idx val="1"/>
          <c:order val="1"/>
          <c:tx>
            <c:v>FAIL</c:v>
          </c:tx>
          <c:spPr>
            <a:solidFill>
              <a:srgbClr val="B3000C"/>
            </a:solidFill>
            <a:ln w="9525">
              <a:solidFill>
                <a:srgbClr val="FFFFFF"/>
              </a:solidFill>
            </a:ln>
          </c:spPr>
          <c:cat>
            <c:strRef>
              <c:f>Dashboard!$C$38:$C$49</c:f>
              <c:strCache>
                <c:ptCount val="12"/>
                <c:pt idx="0">
                  <c:v>F26-031 HB-1104</c:v>
                </c:pt>
                <c:pt idx="1">
                  <c:v>F26-032 MB-2210</c:v>
                </c:pt>
                <c:pt idx="2">
                  <c:v>F26-033 SC-0412</c:v>
                </c:pt>
                <c:pt idx="3">
                  <c:v>F26-034 PH-7701</c:v>
                </c:pt>
                <c:pt idx="4">
                  <c:v>F26-035 SP-3300</c:v>
                </c:pt>
                <c:pt idx="5">
                  <c:v>F26-036 MB-2210</c:v>
                </c:pt>
                <c:pt idx="6">
                  <c:v>F26-037 SP-3300</c:v>
                </c:pt>
                <c:pt idx="7">
                  <c:v>F26-038 FT-5120</c:v>
                </c:pt>
                <c:pt idx="8">
                  <c:v>F26-039 HB-1180</c:v>
                </c:pt>
                <c:pt idx="9">
                  <c:v>F26-040 VC-0090</c:v>
                </c:pt>
                <c:pt idx="10">
                  <c:v>F26-041 SC-0415</c:v>
                </c:pt>
                <c:pt idx="11">
                  <c:v/>
                </c:pt>
              </c:strCache>
            </c:strRef>
          </c:cat>
          <c:val>
            <c:numRef>
              <c:f>Dashboard!$F$38:$F$49</c:f>
              <c:numCache>
                <c:formatCode>General</c:formatCode>
                <c:ptCount val="12"/>
                <c:pt idx="0">
                  <c:v>0</c:v>
                </c:pt>
                <c:pt idx="1">
                  <c:v>1</c:v>
                </c:pt>
                <c:pt idx="2">
                  <c:v>0</c:v>
                </c:pt>
                <c:pt idx="3">
                  <c:v>0</c:v>
                </c:pt>
                <c:pt idx="4">
                  <c:v>1</c:v>
                </c:pt>
                <c:pt idx="5">
                  <c:v>0</c:v>
                </c:pt>
                <c:pt idx="6">
                  <c:v>0</c:v>
                </c:pt>
                <c:pt idx="7">
                  <c:v>0</c:v>
                </c:pt>
                <c:pt idx="8">
                  <c:v>0</c:v>
                </c:pt>
                <c:pt idx="9">
                  <c:v>0</c:v>
                </c:pt>
                <c:pt idx="10">
                  <c:v>0</c:v>
                </c:pt>
                <c:pt idx="11">
                  <c:v>0</c:v>
                </c:pt>
              </c:numCache>
            </c:numRef>
          </c:val>
        </c:ser>
        <c:ser>
          <c:idx val="2"/>
          <c:order val="2"/>
          <c:tx>
            <c:v>Not measured</c:v>
          </c:tx>
          <c:spPr>
            <a:solidFill>
              <a:srgbClr val="9AA5B4"/>
            </a:solidFill>
            <a:ln w="9525">
              <a:solidFill>
                <a:srgbClr val="FFFFFF"/>
              </a:solidFill>
            </a:ln>
          </c:spPr>
          <c:cat>
            <c:strRef>
              <c:f>Dashboard!$C$38:$C$49</c:f>
              <c:strCache>
                <c:ptCount val="12"/>
                <c:pt idx="0">
                  <c:v>F26-031 HB-1104</c:v>
                </c:pt>
                <c:pt idx="1">
                  <c:v>F26-032 MB-2210</c:v>
                </c:pt>
                <c:pt idx="2">
                  <c:v>F26-033 SC-0412</c:v>
                </c:pt>
                <c:pt idx="3">
                  <c:v>F26-034 PH-7701</c:v>
                </c:pt>
                <c:pt idx="4">
                  <c:v>F26-035 SP-3300</c:v>
                </c:pt>
                <c:pt idx="5">
                  <c:v>F26-036 MB-2210</c:v>
                </c:pt>
                <c:pt idx="6">
                  <c:v>F26-037 SP-3300</c:v>
                </c:pt>
                <c:pt idx="7">
                  <c:v>F26-038 FT-5120</c:v>
                </c:pt>
                <c:pt idx="8">
                  <c:v>F26-039 HB-1180</c:v>
                </c:pt>
                <c:pt idx="9">
                  <c:v>F26-040 VC-0090</c:v>
                </c:pt>
                <c:pt idx="10">
                  <c:v>F26-041 SC-0415</c:v>
                </c:pt>
                <c:pt idx="11">
                  <c:v/>
                </c:pt>
              </c:strCache>
            </c:strRef>
          </c:cat>
          <c:val>
            <c:numRef>
              <c:f>Dashboard!$G$38:$G$49</c:f>
              <c:numCache>
                <c:formatCode>General</c:formatCode>
                <c:ptCount val="12"/>
                <c:pt idx="0">
                  <c:v>0</c:v>
                </c:pt>
                <c:pt idx="1">
                  <c:v>0</c:v>
                </c:pt>
                <c:pt idx="2">
                  <c:v>0</c:v>
                </c:pt>
                <c:pt idx="3">
                  <c:v>0</c:v>
                </c:pt>
                <c:pt idx="4">
                  <c:v>0</c:v>
                </c:pt>
                <c:pt idx="5">
                  <c:v>0</c:v>
                </c:pt>
                <c:pt idx="6">
                  <c:v>0</c:v>
                </c:pt>
                <c:pt idx="7">
                  <c:v>0</c:v>
                </c:pt>
                <c:pt idx="8">
                  <c:v>6</c:v>
                </c:pt>
                <c:pt idx="9">
                  <c:v>7</c:v>
                </c:pt>
                <c:pt idx="10">
                  <c:v>7</c:v>
                </c:pt>
                <c:pt idx="11">
                  <c:v>0</c:v>
                </c:pt>
              </c:numCache>
            </c:numRef>
          </c:val>
        </c:ser>
        <c:gapWidth val="6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Findings by characteristic category</a:t>
            </a:r>
          </a:p>
        </c:rich>
      </c:tx>
      <c:layout/>
    </c:title>
    <c:plotArea>
      <c:layout/>
      <c:barChart>
        <c:barDir val="col"/>
        <c:grouping val="clustered"/>
        <c:ser>
          <c:idx val="0"/>
          <c:order val="0"/>
          <c:tx>
            <c:v>Nonconforming</c:v>
          </c:tx>
          <c:spPr>
            <a:solidFill>
              <a:srgbClr val="B3000C"/>
            </a:solidFill>
            <a:ln w="9525">
              <a:solidFill>
                <a:srgbClr val="FFFFFF"/>
              </a:solidFill>
            </a:ln>
          </c:spPr>
          <c:cat>
            <c:strRef>
              <c:f>Dashboard!$B$53:$B$58</c:f>
              <c:strCache>
                <c:ptCount val="6"/>
                <c:pt idx="0">
                  <c:v>Dimension</c:v>
                </c:pt>
                <c:pt idx="1">
                  <c:v>Geometric tolerance</c:v>
                </c:pt>
                <c:pt idx="2">
                  <c:v>Thread</c:v>
                </c:pt>
                <c:pt idx="3">
                  <c:v>Surface finish</c:v>
                </c:pt>
                <c:pt idx="4">
                  <c:v>Note or specification</c:v>
                </c:pt>
                <c:pt idx="5">
                  <c:v>Material or process cert</c:v>
                </c:pt>
              </c:strCache>
            </c:strRef>
          </c:cat>
          <c:val>
            <c:numRef>
              <c:f>Dashboard!$E$53:$E$58</c:f>
              <c:numCache>
                <c:formatCode>General</c:formatCode>
                <c:ptCount val="6"/>
                <c:pt idx="0">
                  <c:v>0</c:v>
                </c:pt>
                <c:pt idx="1">
                  <c:v>1</c:v>
                </c:pt>
                <c:pt idx="2">
                  <c:v>0</c:v>
                </c:pt>
                <c:pt idx="3">
                  <c:v>1</c:v>
                </c:pt>
                <c:pt idx="4">
                  <c:v>0</c:v>
                </c:pt>
                <c:pt idx="5">
                  <c:v>0</c:v>
                </c:pt>
              </c:numCache>
            </c:numRef>
          </c:val>
        </c:ser>
        <c:ser>
          <c:idx val="1"/>
          <c:order val="1"/>
          <c:tx>
            <c:v>Near limit</c:v>
          </c:tx>
          <c:spPr>
            <a:solidFill>
              <a:srgbClr val="E0A100"/>
            </a:solidFill>
            <a:ln w="9525">
              <a:solidFill>
                <a:srgbClr val="FFFFFF"/>
              </a:solidFill>
            </a:ln>
          </c:spPr>
          <c:cat>
            <c:strRef>
              <c:f>Dashboard!$B$53:$B$58</c:f>
              <c:strCache>
                <c:ptCount val="6"/>
                <c:pt idx="0">
                  <c:v>Dimension</c:v>
                </c:pt>
                <c:pt idx="1">
                  <c:v>Geometric tolerance</c:v>
                </c:pt>
                <c:pt idx="2">
                  <c:v>Thread</c:v>
                </c:pt>
                <c:pt idx="3">
                  <c:v>Surface finish</c:v>
                </c:pt>
                <c:pt idx="4">
                  <c:v>Note or specification</c:v>
                </c:pt>
                <c:pt idx="5">
                  <c:v>Material or process cert</c:v>
                </c:pt>
              </c:strCache>
            </c:strRef>
          </c:cat>
          <c:val>
            <c:numRef>
              <c:f>Dashboard!$F$53:$F$58</c:f>
              <c:numCache>
                <c:formatCode>General</c:formatCode>
                <c:ptCount val="6"/>
                <c:pt idx="0">
                  <c:v>3</c:v>
                </c:pt>
                <c:pt idx="1">
                  <c:v>2</c:v>
                </c:pt>
                <c:pt idx="2">
                  <c:v>0</c:v>
                </c:pt>
                <c:pt idx="3">
                  <c:v>0</c:v>
                </c:pt>
                <c:pt idx="4">
                  <c:v>0</c:v>
                </c:pt>
                <c:pt idx="5">
                  <c:v>0</c:v>
                </c:pt>
              </c:numCache>
            </c:numRef>
          </c:val>
        </c:ser>
        <c:gapWidth val="6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647700</xdr:colOff>
      <xdr:row>27</xdr:row>
      <xdr:rowOff>152400</xdr:rowOff>
    </xdr:to>
    <xdr:graphicFrame macro="">
      <xdr:nvGraphicFramePr>
        <xdr:cNvPr id="2" name="Chart 1" descr="Stacked bar chart of conforming, nonconforming and not yet measured characteristics for each FAI on the registe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647700</xdr:colOff>
      <xdr:row>27</xdr:row>
      <xdr:rowOff>152400</xdr:rowOff>
    </xdr:to>
    <xdr:graphicFrame macro="">
      <xdr:nvGraphicFramePr>
        <xdr:cNvPr id="3" name="Chart 2" descr="Column chart of nonconforming and near-limit characteristics in each characteristic category, over all FA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ustomers" displayName="tblCustomers" ref="B24:C27" totalsRowShown="0">
  <autoFilter ref="B24:C27"/>
  <tableColumns count="2">
    <tableColumn id="1" name="Customer"/>
    <tableColumn id="2" name="Notes"/>
  </tableColumns>
  <tableStyleInfo name="TableStyleLight1" showFirstColumn="0" showLastColumn="0" showRowStripes="0" showColumnStripes="0"/>
</table>
</file>

<file path=xl/tables/table2.xml><?xml version="1.0" encoding="utf-8"?>
<table xmlns="http://schemas.openxmlformats.org/spreadsheetml/2006/main" id="2" name="tblReasons" displayName="tblReasons" ref="B30:C35" totalsRowShown="0">
  <autoFilter ref="B30:C35"/>
  <tableColumns count="2">
    <tableColumn id="1" name="Reason"/>
    <tableColumn id="2" name="Notes"/>
  </tableColumns>
  <tableStyleInfo name="TableStyleLight1" showFirstColumn="0" showLastColumn="0" showRowStripes="0" showColumnStripes="0"/>
</table>
</file>

<file path=xl/tables/table3.xml><?xml version="1.0" encoding="utf-8"?>
<table xmlns="http://schemas.openxmlformats.org/spreadsheetml/2006/main" id="3" name="tblCategories" displayName="tblCategories" ref="B38:C44" totalsRowShown="0">
  <autoFilter ref="B38:C44"/>
  <tableColumns count="2">
    <tableColumn id="1" name="Category"/>
    <tableColumn id="2" name="Notes"/>
  </tableColumns>
  <tableStyleInfo name="TableStyleLight1" showFirstColumn="0" showLastColumn="0" showRowStripes="0" showColumnStripes="0"/>
</table>
</file>

<file path=xl/tables/table4.xml><?xml version="1.0" encoding="utf-8"?>
<table xmlns="http://schemas.openxmlformats.org/spreadsheetml/2006/main" id="4" name="tblInspectors" displayName="tblInspectors" ref="B47:C50" totalsRowShown="0">
  <autoFilter ref="B47:C50"/>
  <tableColumns count="2">
    <tableColumn id="1" name="Inspector"/>
    <tableColumn id="2" name="Notes"/>
  </tableColumns>
  <tableStyleInfo name="TableStyleLight1" showFirstColumn="0" showLastColumn="0" showRowStripes="0" showColumnStripes="0"/>
</table>
</file>

<file path=xl/tables/table5.xml><?xml version="1.0" encoding="utf-8"?>
<table xmlns="http://schemas.openxmlformats.org/spreadsheetml/2006/main" id="5" name="tblFAIs" displayName="tblFAIs" ref="B5:U16" totalsRowShown="0">
  <autoFilter ref="B5:U16"/>
  <tableColumns count="20">
    <tableColumn id="1" name="FAI no."/>
    <tableColumn id="2" name="Part number"/>
    <tableColumn id="3" name="Rev"/>
    <tableColumn id="4" name="Part name"/>
    <tableColumn id="5" name="Customer"/>
    <tableColumn id="6" name="Reason"/>
    <tableColumn id="7" name="FAI type"/>
    <tableColumn id="8" name="Inspector"/>
    <tableColumn id="9" name="Planned date"/>
    <tableColumn id="10" name="Completed"/>
    <tableColumn id="11" name="Characteristics">
      <calculatedColumnFormula>IF(tblFAIs[[#This Row],[FAI no.]]="","",COUNTIFS(tblChars[FAI no.],tblFAIs[[#This Row],[FAI no.]]))</calculatedColumnFormula>
    </tableColumn>
    <tableColumn id="12" name="Measured">
      <calculatedColumnFormula>IF(tblFAIs[[#This Row],[FAI no.]]="","",COUNTIFS(tblChars[FAI no.],tblFAIs[[#This Row],[FAI no.]],tblChars[Result],"PASS")+COUNTIFS(tblChars[FAI no.],tblFAIs[[#This Row],[FAI no.]],tblChars[Result],"FAIL"))</calculatedColumnFormula>
    </tableColumn>
    <tableColumn id="13" name="Nonconforming">
      <calculatedColumnFormula>IF(tblFAIs[[#This Row],[FAI no.]]="","",COUNTIFS(tblChars[FAI no.],tblFAIs[[#This Row],[FAI no.]],tblChars[Result],"FAIL"))</calculatedColumnFormula>
    </tableColumn>
    <tableColumn id="14" name="Measured share">
      <calculatedColumnFormula>IF(tblFAIs[[#This Row],[FAI no.]]="","",IF(tblFAIs[[#This Row],[Characteristics]]&gt;0,tblFAIs[[#This Row],[Measured]]/tblFAIs[[#This Row],[Characteristics]],""))</calculatedColumnFormula>
    </tableColumn>
    <tableColumn id="15" name="Result">
      <calculatedColumnFormula>IF(tblFAIs[[#This Row],[FAI no.]]="","",IF(tblFAIs[[#This Row],[Characteristics]]=0,"",IF(tblFAIs[[#This Row],[Nonconforming]]&gt;0,"FAIL",IF(tblFAIs[[#This Row],[Measured]]&lt;tblFAIs[[#This Row],[Characteristics]],"In progress","PASS"))))</calculatedColumnFormula>
    </tableColumn>
    <tableColumn id="16" name="Due status">
      <calculatedColumnFormula>IF(tblFAIs[[#This Row],[FAI no.]]="","",IF(ISNUMBER(tblFAIs[[#This Row],[Completed]]),"Complete",IF(AsOf&gt;tblFAIs[[#This Row],[Planned date]],"Overdue",IF(tblFAIs[[#This Row],[Planned date]]-AsOf&lt;=DueSoonDays,"Due soon","OK"))))</calculatedColumnFormula>
    </tableColumn>
    <tableColumn id="17" name="Est. time (min)">
      <calculatedColumnFormula>IF(tblFAIs[[#This Row],[FAI no.]]="","",tblFAIs[[#This Row],[Characteristics]]*MinPerChar+SetupMin+ReportMin)</calculatedColumnFormula>
    </tableColumn>
    <tableColumn id="18" name="Open">
      <calculatedColumnFormula>IF(tblFAIs[[#This Row],[FAI no.]]="","",IF(ISNUMBER(tblFAIs[[#This Row],[Completed]]),0,1))</calculatedColumnFormula>
    </tableColumn>
    <tableColumn id="19" name="Check">
      <calculatedColumnFormula>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calculatedColumnFormula>
    </tableColumn>
    <tableColumn id="20" name="Notes"/>
  </tableColumns>
  <tableStyleInfo name="TableStyleLight1" showFirstColumn="0" showLastColumn="0" showRowStripes="0" showColumnStripes="0"/>
</table>
</file>

<file path=xl/tables/table6.xml><?xml version="1.0" encoding="utf-8"?>
<table xmlns="http://schemas.openxmlformats.org/spreadsheetml/2006/main" id="6" name="tblChars" displayName="tblChars" ref="B5:V98" totalsRowShown="0">
  <autoFilter ref="B5:V98"/>
  <tableColumns count="21">
    <tableColumn id="1" name="FAI no."/>
    <tableColumn id="2" name="Char no."/>
    <tableColumn id="3" name="Characteristic"/>
    <tableColumn id="4" name="Category"/>
    <tableColumn id="5" name="Unit"/>
    <tableColumn id="6" name="Nominal"/>
    <tableColumn id="7" name="Lower tol"/>
    <tableColumn id="8" name="Upper tol"/>
    <tableColumn id="9" name="Measured"/>
    <tableColumn id="10" name="Attribute result"/>
    <tableColumn id="11" name="Gauge"/>
    <tableColumn id="12" name="Part number">
      <calculatedColumnFormula>IF(tblChars[[#This Row],[FAI no.]]="","",IFERROR(INDEX(tblFAIs[Part number],MATCH(tblChars[[#This Row],[FAI no.]],tblFAIs[FAI no.],0)),""))</calculatedColumnFormula>
    </tableColumn>
    <tableColumn id="13" name="Open FAI">
      <calculatedColumnFormula>IF(tblChars[[#This Row],[FAI no.]]="","",IFERROR(INDEX(tblFAIs[Open],MATCH(tblChars[[#This Row],[FAI no.]],tblFAIs[FAI no.],0)),""))</calculatedColumnFormula>
    </tableColumn>
    <tableColumn id="14" name="LSL">
      <calculatedColumnFormula>IF(tblChars[[#This Row],[FAI no.]]="","",IF(OR(tblChars[[#This Row],[Nominal]]="",tblChars[[#This Row],[Lower tol]]=""),"",tblChars[[#This Row],[Nominal]]+tblChars[[#This Row],[Lower tol]]))</calculatedColumnFormula>
    </tableColumn>
    <tableColumn id="15" name="USL">
      <calculatedColumnFormula>IF(tblChars[[#This Row],[FAI no.]]="","",IF(OR(tblChars[[#This Row],[Nominal]]="",tblChars[[#This Row],[Upper tol]]=""),"",tblChars[[#This Row],[Nominal]]+tblChars[[#This Row],[Upper tol]]))</calculatedColumnFormula>
    </tableColumn>
    <tableColumn id="16" name="Deviation">
      <calculatedColumnFormula>IF(tblChars[[#This Row],[FAI no.]]="","",IF(OR(tblChars[[#This Row],[Measured]]="",tblChars[[#This Row],[Nominal]]=""),"",tblChars[[#This Row],[Measured]]-tblChars[[#This Row],[Nominal]]))</calculatedColumnFormula>
    </tableColumn>
    <tableColumn id="17" name="Tolerance used">
      <calculatedColumnFormula>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calculatedColumnFormula>
    </tableColumn>
    <tableColumn id="18" name="Result">
      <calculatedColumnFormula>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calculatedColumnFormula>
    </tableColumn>
    <tableColumn id="19" name="Near limit">
      <calculatedColumnFormula>IF(tblChars[[#This Row],[FAI no.]]="","",IF(AND(tblChars[[#This Row],[Result]]="PASS",ISNUMBER(tblChars[[#This Row],[Tolerance used]])),IF(tblChars[[#This Row],[Tolerance used]]&gt;=NearLimit,1,0),0))</calculatedColumnFormula>
    </tableColumn>
    <tableColumn id="20" name="Check">
      <calculatedColumnFormula>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calculatedColumnFormula>
    </tableColumn>
    <tableColumn id="21" name="Notes"/>
  </tableColumns>
  <tableStyleInfo name="TableStyleLight1" showFirstColumn="0" showLastColumn="0" showRowStripes="0" showColumnStripes="0"/>
</table>
</file>

<file path=xl/tables/table7.xml><?xml version="1.0" encoding="utf-8"?>
<table xmlns="http://schemas.openxmlformats.org/spreadsheetml/2006/main" id="7" name="tblVerifyCustomers" displayName="tblVerifyCustomers" ref="B45:C46" totalsRowShown="0">
  <tableColumns count="2">
    <tableColumn id="1" name="Customer"/>
    <tableColumn id="2" name="Notes"/>
  </tableColumns>
  <tableStyleInfo name="TableStyleLight1" showFirstColumn="0" showLastColumn="0" showRowStripes="0" showColumnStripes="0"/>
</table>
</file>

<file path=xl/tables/table8.xml><?xml version="1.0" encoding="utf-8"?>
<table xmlns="http://schemas.openxmlformats.org/spreadsheetml/2006/main" id="8" name="tblVerifyFAIs" displayName="tblVerifyFAIs" ref="B49:U53" totalsRowShown="0">
  <tableColumns count="20">
    <tableColumn id="1" name="FAI no."/>
    <tableColumn id="2" name="Part number"/>
    <tableColumn id="3" name="Rev"/>
    <tableColumn id="4" name="Part name"/>
    <tableColumn id="5" name="Customer"/>
    <tableColumn id="6" name="Reason"/>
    <tableColumn id="7" name="FAI type"/>
    <tableColumn id="8" name="Inspector"/>
    <tableColumn id="9" name="Planned date"/>
    <tableColumn id="10" name="Completed"/>
    <tableColumn id="11" name="Characteristics">
      <calculatedColumnFormula>IF(tblVerifyFAIs[[#This Row],[FAI no.]]="","",COUNTIFS(tblVerifyChars[FAI no.],tblVerifyFAIs[[#This Row],[FAI no.]]))</calculatedColumnFormula>
    </tableColumn>
    <tableColumn id="12" name="Measured">
      <calculatedColumnFormula>IF(tblVerifyFAIs[[#This Row],[FAI no.]]="","",COUNTIFS(tblVerifyChars[FAI no.],tblVerifyFAIs[[#This Row],[FAI no.]],tblVerifyChars[Result],"PASS")+COUNTIFS(tblVerifyChars[FAI no.],tblVerifyFAIs[[#This Row],[FAI no.]],tblVerifyChars[Result],"FAIL"))</calculatedColumnFormula>
    </tableColumn>
    <tableColumn id="13" name="Nonconforming">
      <calculatedColumnFormula>IF(tblVerifyFAIs[[#This Row],[FAI no.]]="","",COUNTIFS(tblVerifyChars[FAI no.],tblVerifyFAIs[[#This Row],[FAI no.]],tblVerifyChars[Result],"FAIL"))</calculatedColumnFormula>
    </tableColumn>
    <tableColumn id="14" name="Measured share">
      <calculatedColumnFormula>IF(tblVerifyFAIs[[#This Row],[FAI no.]]="","",IF(tblVerifyFAIs[[#This Row],[Characteristics]]&gt;0,tblVerifyFAIs[[#This Row],[Measured]]/tblVerifyFAIs[[#This Row],[Characteristics]],""))</calculatedColumnFormula>
    </tableColumn>
    <tableColumn id="15" name="Result">
      <calculatedColumnFormula>IF(tblVerifyFAIs[[#This Row],[FAI no.]]="","",IF(tblVerifyFAIs[[#This Row],[Characteristics]]=0,"",IF(tblVerifyFAIs[[#This Row],[Nonconforming]]&gt;0,"FAIL",IF(tblVerifyFAIs[[#This Row],[Measured]]&lt;tblVerifyFAIs[[#This Row],[Characteristics]],"In progress","PASS"))))</calculatedColumnFormula>
    </tableColumn>
    <tableColumn id="16" name="Due status">
      <calculatedColumnFormula>IF(tblVerifyFAIs[[#This Row],[FAI no.]]="","",IF(ISNUMBER(tblVerifyFAIs[[#This Row],[Completed]]),"Complete",IF($E$37&gt;tblVerifyFAIs[[#This Row],[Planned date]],"Overdue",IF(tblVerifyFAIs[[#This Row],[Planned date]]-$E$37&lt;=$E$38,"Due soon","OK"))))</calculatedColumnFormula>
    </tableColumn>
    <tableColumn id="17" name="Est. time (min)">
      <calculatedColumnFormula>IF(tblVerifyFAIs[[#This Row],[FAI no.]]="","",tblVerifyFAIs[[#This Row],[Characteristics]]*$E$40+$E$41+$E$42)</calculatedColumnFormula>
    </tableColumn>
    <tableColumn id="18" name="Open">
      <calculatedColumnFormula>IF(tblVerifyFAIs[[#This Row],[FAI no.]]="","",IF(ISNUMBER(tblVerifyFAIs[[#This Row],[Completed]]),0,1))</calculatedColumnFormula>
    </tableColumn>
    <tableColumn id="19" name="Check">
      <calculatedColumnFormula>IF(tblVerifyFAIs[[#This Row],[FAI no.]]="","",IF(tblVerifyFAIs[[#This Row],[Part number]]="","Missing part number",IF(tblVerifyFAIs[[#This Row],[Rev]]="","Missing rev",IF(tblVerifyFAIs[[#This Row],[Planned date]]="","Missing planned date",IF(COUNTIF(tblVerifyFAIs[FAI no.],tblVerifyFAIs[[#This Row],[FAI no.]])&gt;1,"Duplicate FAI no.",IF(COUNTIF(tblVerifyCustomers[Customer],tblVerifyFAIs[[#This Row],[Customer]])=0,"Customer not on Setup list",IF(tblVerifyFAIs[[#This Row],[Characteristics]]=0,"No characteristics listed",IF(AND(ISNUMBER(tblVerifyFAIs[[#This Row],[Completed]]),tblVerifyFAIs[[#This Row],[Measured]]&lt;tblVerifyFAIs[[#This Row],[Characteristics]]),"Completed with unmeasured items",IF(AND(ISNUMBER(tblVerifyFAIs[[#This Row],[Completed]]),tblVerifyFAIs[[#This Row],[Completed]]&gt;$E$37),"Completed after the status date","OK")))))))))</calculatedColumnFormula>
    </tableColumn>
    <tableColumn id="20" name="Notes"/>
  </tableColumns>
  <tableStyleInfo name="TableStyleLight1" showFirstColumn="0" showLastColumn="0" showRowStripes="0" showColumnStripes="0"/>
</table>
</file>

<file path=xl/tables/table9.xml><?xml version="1.0" encoding="utf-8"?>
<table xmlns="http://schemas.openxmlformats.org/spreadsheetml/2006/main" id="9" name="tblVerifyChars" displayName="tblVerifyChars" ref="B56:V64" totalsRowShown="0">
  <tableColumns count="21">
    <tableColumn id="1" name="FAI no."/>
    <tableColumn id="2" name="Char no."/>
    <tableColumn id="3" name="Characteristic"/>
    <tableColumn id="4" name="Category"/>
    <tableColumn id="5" name="Unit"/>
    <tableColumn id="6" name="Nominal"/>
    <tableColumn id="7" name="Lower tol"/>
    <tableColumn id="8" name="Upper tol"/>
    <tableColumn id="9" name="Measured"/>
    <tableColumn id="10" name="Attribute result"/>
    <tableColumn id="11" name="Gauge"/>
    <tableColumn id="12" name="Part number"/>
    <tableColumn id="13" name="Open FAI"/>
    <tableColumn id="14" name="LSL">
      <calculatedColumnFormula>IF(tblVerifyChars[[#This Row],[FAI no.]]="","",IF(OR(tblVerifyChars[[#This Row],[Nominal]]="",tblVerifyChars[[#This Row],[Lower tol]]=""),"",tblVerifyChars[[#This Row],[Nominal]]+tblVerifyChars[[#This Row],[Lower tol]]))</calculatedColumnFormula>
    </tableColumn>
    <tableColumn id="15" name="USL">
      <calculatedColumnFormula>IF(tblVerifyChars[[#This Row],[FAI no.]]="","",IF(OR(tblVerifyChars[[#This Row],[Nominal]]="",tblVerifyChars[[#This Row],[Upper tol]]=""),"",tblVerifyChars[[#This Row],[Nominal]]+tblVerifyChars[[#This Row],[Upper tol]]))</calculatedColumnFormula>
    </tableColumn>
    <tableColumn id="16" name="Deviation">
      <calculatedColumnFormula>IF(tblVerifyChars[[#This Row],[FAI no.]]="","",IF(OR(tblVerifyChars[[#This Row],[Measured]]="",tblVerifyChars[[#This Row],[Nominal]]=""),"",tblVerifyChars[[#This Row],[Measured]]-tblVerifyChars[[#This Row],[Nominal]]))</calculatedColumnFormula>
    </tableColumn>
    <tableColumn id="17" name="Tolerance used">
      <calculatedColumnFormula>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calculatedColumnFormula>
    </tableColumn>
    <tableColumn id="18" name="Result">
      <calculatedColumnFormula>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calculatedColumnFormula>
    </tableColumn>
    <tableColumn id="19" name="Near limit">
      <calculatedColumnFormula>IF(tblVerifyChars[[#This Row],[FAI no.]]="","",IF(AND(tblVerifyChars[[#This Row],[Result]]="PASS",ISNUMBER(tblVerifyChars[[#This Row],[Tolerance used]])),IF(tblVerifyChars[[#This Row],[Tolerance used]]&gt;=$E$39,1,0),0))</calculatedColumnFormula>
    </tableColumn>
    <tableColumn id="20" name="Check">
      <calculatedColumnFormula>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calculatedColumnFormula>
    </tableColumn>
    <tableColumn id="2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article-inspection" TargetMode="External"/><Relationship Id="rId2" Type="http://schemas.openxmlformats.org/officeDocument/2006/relationships/hyperlink" Target="https://www.mfgcalcs.com/calculators/quality-inspection-metrology/first-article-inspection-time?utm_source=mfgcalcs-template&amp;utm_medium=xlsx&amp;utm_campaign=first-article-inspection" TargetMode="External"/><Relationship Id="rId3" Type="http://schemas.openxmlformats.org/officeDocument/2006/relationships/hyperlink" Target="https://www.mfgcalcs.com/templates/first-article-inspection?utm_source=mfgcalcs-template&amp;utm_medium=xlsx&amp;utm_campaign=first-article-inspection" TargetMode="External"/><Relationship Id="rId4" Type="http://schemas.openxmlformats.org/officeDocument/2006/relationships/hyperlink" Target="https://www.mfgcalcs.com/templates?utm_source=mfgcalcs-template&amp;utm_medium=xlsx&amp;utm_campaign=first-article-inspection"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article-inspection"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article-inspection"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article-inspection" TargetMode="External"/><Relationship Id="rId2"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article-inspection"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article-inspection" TargetMode="External"/><Relationship Id="rId2" Type="http://schemas.openxmlformats.org/officeDocument/2006/relationships/hyperlink" Target="https://www.mfgcalcs.com/calculators/quality-inspection-metrology/first-article-inspection-time?utm_source=mfgcalcs-template&amp;utm_medium=xlsx&amp;utm_campaign=first-article-inspectio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article-inspection" TargetMode="External"/><Relationship Id="rId2" Type="http://schemas.openxmlformats.org/officeDocument/2006/relationships/table" Target="../tables/table7.xml"/><Relationship Id="rId3" Type="http://schemas.openxmlformats.org/officeDocument/2006/relationships/table" Target="../tables/table8.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21 of 21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FAI Register'!A1" tooltip="Go to FAI Register" display="FAI Register"/>
    <hyperlink ref="C23" location="'Characteristic Results'!A1" tooltip="Go to Characteristic Results" display="Characteristic Results"/>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First Article Inspection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50"/>
  <sheetViews>
    <sheetView showGridLines="0" workbookViewId="0"/>
  </sheetViews>
  <sheetFormatPr defaultRowHeight="15"/>
  <cols>
    <col min="1" max="1" width="2.7109375" customWidth="1"/>
    <col min="2" max="2" width="34.7109375" customWidth="1"/>
    <col min="3" max="3" width="22.7109375" customWidth="1"/>
    <col min="4" max="4" width="5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69</v>
      </c>
      <c r="C4" s="8"/>
      <c r="D4" s="8"/>
    </row>
    <row r="5" spans="1:5" ht="5" customHeight="1"/>
    <row r="6" spans="1:5">
      <c r="B6" s="27" t="s">
        <v>70</v>
      </c>
      <c r="C6" s="28" t="s">
        <v>71</v>
      </c>
      <c r="D6" s="28"/>
    </row>
    <row r="7" spans="1:5">
      <c r="B7" s="27" t="s">
        <v>72</v>
      </c>
      <c r="C7" s="29">
        <v>46304</v>
      </c>
      <c r="D7" s="7"/>
    </row>
    <row r="8" spans="1:5">
      <c r="B8" s="27" t="s">
        <v>73</v>
      </c>
      <c r="C8" s="30">
        <v>7</v>
      </c>
      <c r="D8" s="7" t="s">
        <v>74</v>
      </c>
    </row>
    <row r="9" spans="1:5">
      <c r="B9" s="27" t="s">
        <v>75</v>
      </c>
      <c r="C9" s="31">
        <v>0.8</v>
      </c>
      <c r="D9" s="7"/>
    </row>
    <row r="10" spans="1:5">
      <c r="B10" s="27" t="s">
        <v>76</v>
      </c>
      <c r="C10" s="31">
        <v>0.9</v>
      </c>
      <c r="D10" s="7"/>
    </row>
    <row r="12" spans="1:5" ht="21" customHeight="1">
      <c r="B12" s="8" t="s">
        <v>77</v>
      </c>
      <c r="C12" s="8"/>
      <c r="D12" s="8"/>
    </row>
    <row r="13" spans="1:5" ht="5" customHeight="1"/>
    <row r="14" spans="1:5">
      <c r="B14" s="27" t="s">
        <v>78</v>
      </c>
      <c r="C14" s="32">
        <v>3</v>
      </c>
      <c r="D14" s="7" t="s">
        <v>79</v>
      </c>
    </row>
    <row r="15" spans="1:5">
      <c r="B15" s="27" t="s">
        <v>80</v>
      </c>
      <c r="C15" s="32">
        <v>36</v>
      </c>
      <c r="D15" s="7" t="s">
        <v>81</v>
      </c>
    </row>
    <row r="16" spans="1:5">
      <c r="B16" s="27" t="s">
        <v>82</v>
      </c>
      <c r="C16" s="32">
        <v>45</v>
      </c>
      <c r="D16" s="7" t="s">
        <v>81</v>
      </c>
    </row>
    <row r="18" spans="2:4" ht="35.4" customHeight="1">
      <c r="B18" s="25" t="s">
        <v>83</v>
      </c>
      <c r="C18" s="25"/>
      <c r="D18" s="25"/>
    </row>
    <row r="20" spans="2:4" ht="21" customHeight="1">
      <c r="B20" s="8" t="s">
        <v>84</v>
      </c>
      <c r="C20" s="8"/>
      <c r="D20" s="8"/>
    </row>
    <row r="21" spans="2:4" ht="5" customHeight="1"/>
    <row r="22" spans="2:4" ht="26.76" customHeight="1">
      <c r="B22" s="21" t="s">
        <v>85</v>
      </c>
      <c r="C22" s="21"/>
      <c r="D22" s="21"/>
    </row>
    <row r="23" spans="2:4">
      <c r="B23" s="33" t="s">
        <v>86</v>
      </c>
      <c r="C23" s="33"/>
    </row>
    <row r="24" spans="2:4" ht="20" customHeight="1">
      <c r="B24" s="34" t="s">
        <v>64</v>
      </c>
      <c r="C24" s="34" t="s">
        <v>65</v>
      </c>
    </row>
    <row r="25" spans="2:4">
      <c r="B25" s="28" t="s">
        <v>87</v>
      </c>
      <c r="C25" s="28" t="s">
        <v>88</v>
      </c>
    </row>
    <row r="26" spans="2:4">
      <c r="B26" s="28" t="s">
        <v>89</v>
      </c>
      <c r="C26" s="28" t="s">
        <v>90</v>
      </c>
    </row>
    <row r="27" spans="2:4">
      <c r="B27" s="28" t="s">
        <v>91</v>
      </c>
      <c r="C27" s="28" t="s">
        <v>92</v>
      </c>
    </row>
    <row r="29" spans="2:4">
      <c r="B29" s="33" t="s">
        <v>93</v>
      </c>
      <c r="C29" s="33"/>
    </row>
    <row r="30" spans="2:4" ht="20" customHeight="1">
      <c r="B30" s="34" t="s">
        <v>66</v>
      </c>
      <c r="C30" s="34" t="s">
        <v>65</v>
      </c>
    </row>
    <row r="31" spans="2:4">
      <c r="B31" s="28" t="s">
        <v>94</v>
      </c>
      <c r="C31" s="28" t="s">
        <v>95</v>
      </c>
    </row>
    <row r="32" spans="2:4">
      <c r="B32" s="28" t="s">
        <v>96</v>
      </c>
      <c r="C32" s="28" t="s">
        <v>97</v>
      </c>
    </row>
    <row r="33" spans="2:3">
      <c r="B33" s="28" t="s">
        <v>98</v>
      </c>
      <c r="C33" s="28" t="s">
        <v>99</v>
      </c>
    </row>
    <row r="34" spans="2:3">
      <c r="B34" s="28" t="s">
        <v>100</v>
      </c>
      <c r="C34" s="28" t="s">
        <v>101</v>
      </c>
    </row>
    <row r="35" spans="2:3">
      <c r="B35" s="28" t="s">
        <v>102</v>
      </c>
      <c r="C35" s="28" t="s">
        <v>103</v>
      </c>
    </row>
    <row r="37" spans="2:3">
      <c r="B37" s="33" t="s">
        <v>104</v>
      </c>
      <c r="C37" s="33"/>
    </row>
    <row r="38" spans="2:3" ht="20" customHeight="1">
      <c r="B38" s="34" t="s">
        <v>67</v>
      </c>
      <c r="C38" s="34" t="s">
        <v>65</v>
      </c>
    </row>
    <row r="39" spans="2:3">
      <c r="B39" s="28" t="s">
        <v>105</v>
      </c>
      <c r="C39" s="28" t="s">
        <v>106</v>
      </c>
    </row>
    <row r="40" spans="2:3">
      <c r="B40" s="28" t="s">
        <v>107</v>
      </c>
      <c r="C40" s="28" t="s">
        <v>108</v>
      </c>
    </row>
    <row r="41" spans="2:3">
      <c r="B41" s="28" t="s">
        <v>109</v>
      </c>
      <c r="C41" s="28" t="s">
        <v>110</v>
      </c>
    </row>
    <row r="42" spans="2:3">
      <c r="B42" s="28" t="s">
        <v>111</v>
      </c>
      <c r="C42" s="28" t="s">
        <v>112</v>
      </c>
    </row>
    <row r="43" spans="2:3">
      <c r="B43" s="28" t="s">
        <v>113</v>
      </c>
      <c r="C43" s="28" t="s">
        <v>114</v>
      </c>
    </row>
    <row r="44" spans="2:3">
      <c r="B44" s="28" t="s">
        <v>115</v>
      </c>
      <c r="C44" s="28" t="s">
        <v>116</v>
      </c>
    </row>
    <row r="46" spans="2:3">
      <c r="B46" s="33" t="s">
        <v>117</v>
      </c>
      <c r="C46" s="33"/>
    </row>
    <row r="47" spans="2:3" ht="20" customHeight="1">
      <c r="B47" s="34" t="s">
        <v>68</v>
      </c>
      <c r="C47" s="34" t="s">
        <v>65</v>
      </c>
    </row>
    <row r="48" spans="2:3">
      <c r="B48" s="28" t="s">
        <v>118</v>
      </c>
      <c r="C48" s="28" t="s">
        <v>119</v>
      </c>
    </row>
    <row r="49" spans="2:3">
      <c r="B49" s="28" t="s">
        <v>120</v>
      </c>
      <c r="C49" s="28" t="s">
        <v>68</v>
      </c>
    </row>
    <row r="50" spans="2:3">
      <c r="B50" s="28" t="s">
        <v>121</v>
      </c>
      <c r="C50" s="28" t="s">
        <v>122</v>
      </c>
    </row>
  </sheetData>
  <mergeCells count="13">
    <mergeCell ref="A1:E1"/>
    <mergeCell ref="B2:C2"/>
    <mergeCell ref="D2:E2"/>
    <mergeCell ref="B4:D4"/>
    <mergeCell ref="C6:D6"/>
    <mergeCell ref="B12:D12"/>
    <mergeCell ref="B18:D18"/>
    <mergeCell ref="B20:D20"/>
    <mergeCell ref="B22:D22"/>
    <mergeCell ref="B23:C23"/>
    <mergeCell ref="B29:C29"/>
    <mergeCell ref="B37:C37"/>
    <mergeCell ref="B46:C46"/>
  </mergeCells>
  <dataValidations count="16">
    <dataValidation type="textLength" allowBlank="1" showInputMessage="1" showErrorMessage="1" errorTitle="Check this entry" error="Text up to 80 characters." promptTitle="Company or site name" prompt="Shown on the Dashboard header. Text up to 80 characters." sqref="C6">
      <formula1>0</formula1>
      <formula2>80</formula2>
    </dataValidation>
    <dataValidation type="date" allowBlank="1" showInputMessage="1" showErrorMessage="1" errorTitle="Check this entry" error="Enter a date between 01 Jan 2000 and 31 Dec 2100." promptTitle="Status date (as of)" prompt="The date the register was last brought up to date. Overdue and due-soon flags are measured to this date. Enter a date between 01 Jan 2000 and 31 Dec 2100." sqref="C7">
      <formula1>36526</formula1>
      <formula2>73415</formula2>
    </dataValidation>
    <dataValidation type="whole" allowBlank="1" showInputMessage="1" showErrorMessage="1" errorTitle="Check this entry" error="Enter a whole number from 0 to 365." promptTitle="Due soon window" prompt="Open FAIs planned within this many days of the status date read Due soon. Enter a whole number from 0 to 365." sqref="C8">
      <formula1>0</formula1>
      <formula2>365</formula2>
    </dataValidation>
    <dataValidation type="decimal" allowBlank="1" showInputMessage="1" showErrorMessage="1" errorTitle="Check this entry" error="Enter a percentage from 0% to 100% (type 85% or 0.85)." promptTitle="Near-limit share of tolerance" prompt="A conforming reading that uses at least this share of its tolerance (from the middle of the band to a limit) is flagged Near limit. Enter a percentage from 0% to 100% (type 85% or 0.85)." sqref="C9">
      <formula1>0</formula1>
      <formula2>1</formula2>
    </dataValidation>
    <dataValidation type="decimal" allowBlank="1" showInputMessage="1" showErrorMessage="1" errorTitle="Check this entry" error="Enter a percentage from 0% to 100% (type 85% or 0.85)." promptTitle="Completed FAIs that pass, target" prompt="Share of completed FAIs with every characteristic conforming. Your own target; no industry figure is assumed. Enter a percentage from 0% to 100% (type 85% or 0.85)." sqref="C10">
      <formula1>0</formula1>
      <formula2>1</formula2>
    </dataValidation>
    <dataValidation type="decimal" allowBlank="1" showInputMessage="1" showErrorMessage="1" errorTitle="Check this entry" error="Enter a number from 0 to 10,000." promptTitle="Measurement time per characte..." prompt="Average time to measure and record one characteristic, from your own history. Example value. Enter a number from 0 to 10,000." sqref="C14">
      <formula1>0</formula1>
      <formula2>10000</formula2>
    </dataValidation>
    <dataValidation type="decimal" allowBlank="1" showInputMessage="1" showErrorMessage="1" errorTitle="Check this entry" error="Enter a number from 0 to 100,000." promptTitle="Setup and fixturing time per FAI" prompt="Fixturing, CMM alignment, gauge preparation. Enter a number from 0 to 100,000." sqref="C15">
      <formula1>0</formula1>
      <formula2>100000</formula2>
    </dataValidation>
    <dataValidation type="decimal" allowBlank="1" showInputMessage="1" showErrorMessage="1" errorTitle="Check this entry" error="Enter a number from 0 to 100,000." promptTitle="Planning and reporting time p..." prompt="Ballooning, filling in the customer's form, review and sign-off. Enter a number from 0 to 100,000." sqref="C16">
      <formula1>0</formula1>
      <formula2>100000</formula2>
    </dataValidation>
    <dataValidation type="textLength" allowBlank="1" showInputMessage="1" showErrorMessage="1" errorTitle="Check this entry" error="Text up to 60 characters." promptTitle="Customer" prompt="Text up to 60 characters." sqref="B25:B127">
      <formula1>0</formula1>
      <formula2>60</formula2>
    </dataValidation>
    <dataValidation type="textLength" allowBlank="1" showInputMessage="1" showErrorMessage="1" errorTitle="Check this entry" error="Text up to 120 characters." promptTitle="Notes" prompt="Text up to 120 characters." sqref="C25:C127">
      <formula1>0</formula1>
      <formula2>120</formula2>
    </dataValidation>
    <dataValidation type="textLength" allowBlank="1" showInputMessage="1" showErrorMessage="1" errorTitle="Check this entry" error="Text up to 40 characters." promptTitle="Reason" prompt="Text up to 40 characters." sqref="B31:B135">
      <formula1>0</formula1>
      <formula2>40</formula2>
    </dataValidation>
    <dataValidation type="textLength" allowBlank="1" showInputMessage="1" showErrorMessage="1" errorTitle="Check this entry" error="Text up to 120 characters." promptTitle="Notes" prompt="Text up to 120 characters." sqref="C31:C135">
      <formula1>0</formula1>
      <formula2>120</formula2>
    </dataValidation>
    <dataValidation type="textLength" allowBlank="1" showInputMessage="1" showErrorMessage="1" errorTitle="Check this entry" error="Text up to 40 characters." promptTitle="Category" prompt="Text up to 40 characters." sqref="B39:B144">
      <formula1>0</formula1>
      <formula2>40</formula2>
    </dataValidation>
    <dataValidation type="textLength" allowBlank="1" showInputMessage="1" showErrorMessage="1" errorTitle="Check this entry" error="Text up to 120 characters." promptTitle="Notes" prompt="Text up to 120 characters." sqref="C39:C144">
      <formula1>0</formula1>
      <formula2>120</formula2>
    </dataValidation>
    <dataValidation type="textLength" allowBlank="1" showInputMessage="1" showErrorMessage="1" errorTitle="Check this entry" error="Text up to 40 characters." promptTitle="Inspector" prompt="Text up to 40 characters." sqref="B48:B150">
      <formula1>0</formula1>
      <formula2>40</formula2>
    </dataValidation>
    <dataValidation type="textLength" allowBlank="1" showInputMessage="1" showErrorMessage="1" errorTitle="Check this entry" error="Text up to 120 characters." promptTitle="Notes" prompt="Text up to 120 characters." sqref="C48:C150">
      <formula1>0</formula1>
      <formula2>120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First Article Inspection Tracker&amp;R&amp;8&amp;A</oddHeader>
    <oddFooter>&amp;L&amp;8mfgcalcs.com - free manufacturing templates&amp;R&amp;8Page &amp;P of &amp;N</oddFooter>
  </headerFooter>
  <rowBreaks count="1" manualBreakCount="1">
    <brk id="28"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U16"/>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9.7109375" customWidth="1"/>
    <col min="3" max="3" width="10.7109375" customWidth="1"/>
    <col min="4" max="4" width="5.7109375" customWidth="1"/>
    <col min="5" max="5" width="17.7109375" customWidth="1"/>
    <col min="6" max="6" width="27.7109375" customWidth="1"/>
    <col min="7" max="7" width="19.7109375" customWidth="1"/>
    <col min="8" max="8" width="8.28515625" customWidth="1"/>
    <col min="9" max="9" width="10.7109375" customWidth="1"/>
    <col min="10" max="11" width="12.28515625" customWidth="1"/>
    <col min="12" max="12" width="10.28515625" customWidth="1"/>
    <col min="13" max="13" width="9.28515625" customWidth="1"/>
    <col min="14" max="14" width="10.28515625" customWidth="1"/>
    <col min="15" max="15" width="9.28515625" customWidth="1"/>
    <col min="16" max="16" width="10.28515625" customWidth="1"/>
    <col min="17" max="17" width="10.7109375" customWidth="1"/>
    <col min="18" max="18" width="9.28515625" customWidth="1"/>
    <col min="19" max="19" width="6.7109375" customWidth="1"/>
    <col min="20" max="20" width="27.7109375" customWidth="1"/>
    <col min="21" max="21" width="40.7109375" customWidth="1"/>
  </cols>
  <sheetData>
    <row r="1" spans="1:21" ht="30" customHeight="1" x14ac:dyDescent="0.25">
      <c r="A1" s="1" t="s">
        <v>0</v>
      </c>
      <c r="B1" s="1"/>
      <c r="C1" s="1"/>
      <c r="D1" s="1"/>
      <c r="E1" s="1"/>
      <c r="F1" s="1"/>
      <c r="G1" s="1"/>
      <c r="H1" s="1"/>
      <c r="I1" s="1"/>
      <c r="J1" s="1"/>
      <c r="K1" s="1"/>
      <c r="L1" s="1"/>
      <c r="M1" s="1"/>
      <c r="N1" s="1"/>
      <c r="O1" s="1"/>
      <c r="P1" s="1"/>
      <c r="Q1" s="1"/>
      <c r="R1" s="1"/>
      <c r="S1" s="1"/>
      <c r="T1" s="1"/>
      <c r="U1" s="1"/>
    </row>
    <row r="2" spans="1:21" ht="21" customHeight="1" x14ac:dyDescent="0.25">
      <c r="B2" s="2" t="s">
        <v>22</v>
      </c>
      <c r="C2" s="2"/>
      <c r="D2" s="2"/>
      <c r="E2" s="2"/>
      <c r="F2" s="2"/>
      <c r="G2" s="2"/>
      <c r="H2" s="2"/>
      <c r="I2" s="2"/>
      <c r="J2" s="2"/>
      <c r="K2" s="2"/>
      <c r="L2" s="2"/>
      <c r="M2" s="2"/>
      <c r="N2" s="2"/>
      <c r="O2" s="2"/>
      <c r="P2" s="2"/>
      <c r="Q2" s="2"/>
      <c r="R2" s="2"/>
      <c r="S2" s="2"/>
      <c r="T2" s="2"/>
      <c r="U2" s="3" t="s">
        <v>2</v>
      </c>
    </row>
    <row r="3" spans="1:21" ht="6" customHeight="1" x14ac:dyDescent="0.25"/>
    <row r="4" spans="1:21" ht="29.76" customHeight="1" x14ac:dyDescent="0.25">
      <c r="B4" s="35" t="s">
        <v>139</v>
      </c>
      <c r="C4" s="35"/>
      <c r="D4" s="35"/>
      <c r="E4" s="35"/>
      <c r="F4" s="35"/>
      <c r="G4" s="35"/>
      <c r="H4" s="35"/>
      <c r="I4" s="35"/>
      <c r="J4" s="35"/>
      <c r="K4" s="35"/>
      <c r="L4" s="35"/>
      <c r="M4" s="35"/>
      <c r="N4" s="35"/>
      <c r="O4" s="35"/>
      <c r="P4" s="35"/>
      <c r="Q4" s="35"/>
      <c r="R4" s="35"/>
      <c r="S4" s="35"/>
      <c r="T4" s="35"/>
      <c r="U4" s="35"/>
    </row>
    <row r="5" spans="1:21" ht="32" customHeight="1" x14ac:dyDescent="0.25">
      <c r="B5" s="34" t="s">
        <v>123</v>
      </c>
      <c r="C5" s="34" t="s">
        <v>124</v>
      </c>
      <c r="D5" s="34" t="s">
        <v>125</v>
      </c>
      <c r="E5" s="34" t="s">
        <v>126</v>
      </c>
      <c r="F5" s="34" t="s">
        <v>64</v>
      </c>
      <c r="G5" s="34" t="s">
        <v>66</v>
      </c>
      <c r="H5" s="34" t="s">
        <v>127</v>
      </c>
      <c r="I5" s="34" t="s">
        <v>68</v>
      </c>
      <c r="J5" s="34" t="s">
        <v>128</v>
      </c>
      <c r="K5" s="34" t="s">
        <v>129</v>
      </c>
      <c r="L5" s="34" t="s">
        <v>130</v>
      </c>
      <c r="M5" s="34" t="s">
        <v>131</v>
      </c>
      <c r="N5" s="34" t="s">
        <v>132</v>
      </c>
      <c r="O5" s="34" t="s">
        <v>133</v>
      </c>
      <c r="P5" s="34" t="s">
        <v>134</v>
      </c>
      <c r="Q5" s="34" t="s">
        <v>135</v>
      </c>
      <c r="R5" s="34" t="s">
        <v>136</v>
      </c>
      <c r="S5" s="34" t="s">
        <v>137</v>
      </c>
      <c r="T5" s="34" t="s">
        <v>138</v>
      </c>
      <c r="U5" s="34" t="s">
        <v>65</v>
      </c>
    </row>
    <row r="6" spans="1:21" x14ac:dyDescent="0.25">
      <c r="B6" s="28" t="s">
        <v>140</v>
      </c>
      <c r="C6" s="28" t="s">
        <v>141</v>
      </c>
      <c r="D6" s="28" t="s">
        <v>142</v>
      </c>
      <c r="E6" s="28" t="s">
        <v>143</v>
      </c>
      <c r="F6" s="28" t="s">
        <v>87</v>
      </c>
      <c r="G6" s="28" t="s">
        <v>94</v>
      </c>
      <c r="H6" s="28" t="s">
        <v>144</v>
      </c>
      <c r="I6" s="28" t="s">
        <v>118</v>
      </c>
      <c r="J6" s="29">
        <v>46185</v>
      </c>
      <c r="K6" s="29">
        <v>46184</v>
      </c>
      <c r="L6" s="36">
        <f>IF(tblFAIs[[#This Row],[FAI no.]]="","",COUNTIFS(tblChars[FAI no.],tblFAIs[[#This Row],[FAI no.]]))</f>
        <v>14</v>
      </c>
      <c r="M6" s="36">
        <f>IF(tblFAIs[[#This Row],[FAI no.]]="","",COUNTIFS(tblChars[FAI no.],tblFAIs[[#This Row],[FAI no.]],tblChars[Result],"PASS")+COUNTIFS(tblChars[FAI no.],tblFAIs[[#This Row],[FAI no.]],tblChars[Result],"FAIL"))</f>
        <v>14</v>
      </c>
      <c r="N6" s="36">
        <f>IF(tblFAIs[[#This Row],[FAI no.]]="","",COUNTIFS(tblChars[FAI no.],tblFAIs[[#This Row],[FAI no.]],tblChars[Result],"FAIL"))</f>
        <v>0</v>
      </c>
      <c r="O6" s="37">
        <f>IF(tblFAIs[[#This Row],[FAI no.]]="","",IF(tblFAIs[[#This Row],[Characteristics]]&gt;0,tblFAIs[[#This Row],[Measured]]/tblFAIs[[#This Row],[Characteristics]],""))</f>
        <v>1</v>
      </c>
      <c r="P6" s="38" t="str">
        <f>IF(tblFAIs[[#This Row],[FAI no.]]="","",IF(tblFAIs[[#This Row],[Characteristics]]=0,"",IF(tblFAIs[[#This Row],[Nonconforming]]&gt;0,"FAIL",IF(tblFAIs[[#This Row],[Measured]]&lt;tblFAIs[[#This Row],[Characteristics]],"In progress","PASS"))))</f>
        <v>PASS</v>
      </c>
      <c r="Q6" s="38" t="str">
        <f>IF(tblFAIs[[#This Row],[FAI no.]]="","",IF(ISNUMBER(tblFAIs[[#This Row],[Completed]]),"Complete",IF(AsOf&gt;tblFAIs[[#This Row],[Planned date]],"Overdue",IF(tblFAIs[[#This Row],[Planned date]]-AsOf&lt;=DueSoonDays,"Due soon","OK"))))</f>
        <v>Complete</v>
      </c>
      <c r="R6" s="36">
        <f>IF(tblFAIs[[#This Row],[FAI no.]]="","",tblFAIs[[#This Row],[Characteristics]]*MinPerChar+SetupMin+ReportMin)</f>
        <v>123</v>
      </c>
      <c r="S6" s="36">
        <f>IF(tblFAIs[[#This Row],[FAI no.]]="","",IF(ISNUMBER(tblFAIs[[#This Row],[Completed]]),0,1))</f>
        <v>0</v>
      </c>
      <c r="T6"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6" s="40" t="s">
        <v>145</v>
      </c>
    </row>
    <row r="7" spans="1:21" x14ac:dyDescent="0.25">
      <c r="B7" s="28" t="s">
        <v>146</v>
      </c>
      <c r="C7" s="28" t="s">
        <v>147</v>
      </c>
      <c r="D7" s="28" t="s">
        <v>148</v>
      </c>
      <c r="E7" s="28" t="s">
        <v>149</v>
      </c>
      <c r="F7" s="28" t="s">
        <v>91</v>
      </c>
      <c r="G7" s="28" t="s">
        <v>94</v>
      </c>
      <c r="H7" s="28" t="s">
        <v>144</v>
      </c>
      <c r="I7" s="28" t="s">
        <v>120</v>
      </c>
      <c r="J7" s="29">
        <v>46199</v>
      </c>
      <c r="K7" s="29">
        <v>46203</v>
      </c>
      <c r="L7" s="36">
        <f>IF(tblFAIs[[#This Row],[FAI no.]]="","",COUNTIFS(tblChars[FAI no.],tblFAIs[[#This Row],[FAI no.]]))</f>
        <v>12</v>
      </c>
      <c r="M7" s="36">
        <f>IF(tblFAIs[[#This Row],[FAI no.]]="","",COUNTIFS(tblChars[FAI no.],tblFAIs[[#This Row],[FAI no.]],tblChars[Result],"PASS")+COUNTIFS(tblChars[FAI no.],tblFAIs[[#This Row],[FAI no.]],tblChars[Result],"FAIL"))</f>
        <v>12</v>
      </c>
      <c r="N7" s="36">
        <f>IF(tblFAIs[[#This Row],[FAI no.]]="","",COUNTIFS(tblChars[FAI no.],tblFAIs[[#This Row],[FAI no.]],tblChars[Result],"FAIL"))</f>
        <v>1</v>
      </c>
      <c r="O7" s="37">
        <f>IF(tblFAIs[[#This Row],[FAI no.]]="","",IF(tblFAIs[[#This Row],[Characteristics]]&gt;0,tblFAIs[[#This Row],[Measured]]/tblFAIs[[#This Row],[Characteristics]],""))</f>
        <v>1</v>
      </c>
      <c r="P7" s="38" t="str">
        <f>IF(tblFAIs[[#This Row],[FAI no.]]="","",IF(tblFAIs[[#This Row],[Characteristics]]=0,"",IF(tblFAIs[[#This Row],[Nonconforming]]&gt;0,"FAIL",IF(tblFAIs[[#This Row],[Measured]]&lt;tblFAIs[[#This Row],[Characteristics]],"In progress","PASS"))))</f>
        <v>FAIL</v>
      </c>
      <c r="Q7" s="38" t="str">
        <f>IF(tblFAIs[[#This Row],[FAI no.]]="","",IF(ISNUMBER(tblFAIs[[#This Row],[Completed]]),"Complete",IF(AsOf&gt;tblFAIs[[#This Row],[Planned date]],"Overdue",IF(tblFAIs[[#This Row],[Planned date]]-AsOf&lt;=DueSoonDays,"Due soon","OK"))))</f>
        <v>Complete</v>
      </c>
      <c r="R7" s="36">
        <f>IF(tblFAIs[[#This Row],[FAI no.]]="","",tblFAIs[[#This Row],[Characteristics]]*MinPerChar+SetupMin+ReportMin)</f>
        <v>117</v>
      </c>
      <c r="S7" s="36">
        <f>IF(tblFAIs[[#This Row],[FAI no.]]="","",IF(ISNUMBER(tblFAIs[[#This Row],[Completed]]),0,1))</f>
        <v>0</v>
      </c>
      <c r="T7"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7" s="40" t="s">
        <v>150</v>
      </c>
    </row>
    <row r="8" spans="1:21" x14ac:dyDescent="0.25">
      <c r="B8" s="28" t="s">
        <v>151</v>
      </c>
      <c r="C8" s="28" t="s">
        <v>152</v>
      </c>
      <c r="D8" s="28" t="s">
        <v>153</v>
      </c>
      <c r="E8" s="28" t="s">
        <v>154</v>
      </c>
      <c r="F8" s="28" t="s">
        <v>89</v>
      </c>
      <c r="G8" s="28" t="s">
        <v>96</v>
      </c>
      <c r="H8" s="28" t="s">
        <v>155</v>
      </c>
      <c r="I8" s="28" t="s">
        <v>121</v>
      </c>
      <c r="J8" s="29">
        <v>46213</v>
      </c>
      <c r="K8" s="29">
        <v>46212</v>
      </c>
      <c r="L8" s="36">
        <f>IF(tblFAIs[[#This Row],[FAI no.]]="","",COUNTIFS(tblChars[FAI no.],tblFAIs[[#This Row],[FAI no.]]))</f>
        <v>4</v>
      </c>
      <c r="M8" s="36">
        <f>IF(tblFAIs[[#This Row],[FAI no.]]="","",COUNTIFS(tblChars[FAI no.],tblFAIs[[#This Row],[FAI no.]],tblChars[Result],"PASS")+COUNTIFS(tblChars[FAI no.],tblFAIs[[#This Row],[FAI no.]],tblChars[Result],"FAIL"))</f>
        <v>4</v>
      </c>
      <c r="N8" s="36">
        <f>IF(tblFAIs[[#This Row],[FAI no.]]="","",COUNTIFS(tblChars[FAI no.],tblFAIs[[#This Row],[FAI no.]],tblChars[Result],"FAIL"))</f>
        <v>0</v>
      </c>
      <c r="O8" s="37">
        <f>IF(tblFAIs[[#This Row],[FAI no.]]="","",IF(tblFAIs[[#This Row],[Characteristics]]&gt;0,tblFAIs[[#This Row],[Measured]]/tblFAIs[[#This Row],[Characteristics]],""))</f>
        <v>1</v>
      </c>
      <c r="P8" s="38" t="str">
        <f>IF(tblFAIs[[#This Row],[FAI no.]]="","",IF(tblFAIs[[#This Row],[Characteristics]]=0,"",IF(tblFAIs[[#This Row],[Nonconforming]]&gt;0,"FAIL",IF(tblFAIs[[#This Row],[Measured]]&lt;tblFAIs[[#This Row],[Characteristics]],"In progress","PASS"))))</f>
        <v>PASS</v>
      </c>
      <c r="Q8" s="38" t="str">
        <f>IF(tblFAIs[[#This Row],[FAI no.]]="","",IF(ISNUMBER(tblFAIs[[#This Row],[Completed]]),"Complete",IF(AsOf&gt;tblFAIs[[#This Row],[Planned date]],"Overdue",IF(tblFAIs[[#This Row],[Planned date]]-AsOf&lt;=DueSoonDays,"Due soon","OK"))))</f>
        <v>Complete</v>
      </c>
      <c r="R8" s="36">
        <f>IF(tblFAIs[[#This Row],[FAI no.]]="","",tblFAIs[[#This Row],[Characteristics]]*MinPerChar+SetupMin+ReportMin)</f>
        <v>93</v>
      </c>
      <c r="S8" s="36">
        <f>IF(tblFAIs[[#This Row],[FAI no.]]="","",IF(ISNUMBER(tblFAIs[[#This Row],[Completed]]),0,1))</f>
        <v>0</v>
      </c>
      <c r="T8"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8" s="40" t="s">
        <v>145</v>
      </c>
    </row>
    <row r="9" spans="1:21" x14ac:dyDescent="0.25">
      <c r="B9" s="28" t="s">
        <v>156</v>
      </c>
      <c r="C9" s="28" t="s">
        <v>157</v>
      </c>
      <c r="D9" s="28" t="s">
        <v>158</v>
      </c>
      <c r="E9" s="28" t="s">
        <v>159</v>
      </c>
      <c r="F9" s="28" t="s">
        <v>91</v>
      </c>
      <c r="G9" s="28" t="s">
        <v>98</v>
      </c>
      <c r="H9" s="28" t="s">
        <v>144</v>
      </c>
      <c r="I9" s="28" t="s">
        <v>118</v>
      </c>
      <c r="J9" s="29">
        <v>46227</v>
      </c>
      <c r="K9" s="29">
        <v>46231</v>
      </c>
      <c r="L9" s="36">
        <f>IF(tblFAIs[[#This Row],[FAI no.]]="","",COUNTIFS(tblChars[FAI no.],tblFAIs[[#This Row],[FAI no.]]))</f>
        <v>12</v>
      </c>
      <c r="M9" s="36">
        <f>IF(tblFAIs[[#This Row],[FAI no.]]="","",COUNTIFS(tblChars[FAI no.],tblFAIs[[#This Row],[FAI no.]],tblChars[Result],"PASS")+COUNTIFS(tblChars[FAI no.],tblFAIs[[#This Row],[FAI no.]],tblChars[Result],"FAIL"))</f>
        <v>12</v>
      </c>
      <c r="N9" s="36">
        <f>IF(tblFAIs[[#This Row],[FAI no.]]="","",COUNTIFS(tblChars[FAI no.],tblFAIs[[#This Row],[FAI no.]],tblChars[Result],"FAIL"))</f>
        <v>0</v>
      </c>
      <c r="O9" s="37">
        <f>IF(tblFAIs[[#This Row],[FAI no.]]="","",IF(tblFAIs[[#This Row],[Characteristics]]&gt;0,tblFAIs[[#This Row],[Measured]]/tblFAIs[[#This Row],[Characteristics]],""))</f>
        <v>1</v>
      </c>
      <c r="P9" s="38" t="str">
        <f>IF(tblFAIs[[#This Row],[FAI no.]]="","",IF(tblFAIs[[#This Row],[Characteristics]]=0,"",IF(tblFAIs[[#This Row],[Nonconforming]]&gt;0,"FAIL",IF(tblFAIs[[#This Row],[Measured]]&lt;tblFAIs[[#This Row],[Characteristics]],"In progress","PASS"))))</f>
        <v>PASS</v>
      </c>
      <c r="Q9" s="38" t="str">
        <f>IF(tblFAIs[[#This Row],[FAI no.]]="","",IF(ISNUMBER(tblFAIs[[#This Row],[Completed]]),"Complete",IF(AsOf&gt;tblFAIs[[#This Row],[Planned date]],"Overdue",IF(tblFAIs[[#This Row],[Planned date]]-AsOf&lt;=DueSoonDays,"Due soon","OK"))))</f>
        <v>Complete</v>
      </c>
      <c r="R9" s="36">
        <f>IF(tblFAIs[[#This Row],[FAI no.]]="","",tblFAIs[[#This Row],[Characteristics]]*MinPerChar+SetupMin+ReportMin)</f>
        <v>117</v>
      </c>
      <c r="S9" s="36">
        <f>IF(tblFAIs[[#This Row],[FAI no.]]="","",IF(ISNUMBER(tblFAIs[[#This Row],[Completed]]),0,1))</f>
        <v>0</v>
      </c>
      <c r="T9"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9" s="40" t="s">
        <v>145</v>
      </c>
    </row>
    <row r="10" spans="1:21" x14ac:dyDescent="0.25">
      <c r="B10" s="28" t="s">
        <v>160</v>
      </c>
      <c r="C10" s="28" t="s">
        <v>161</v>
      </c>
      <c r="D10" s="28" t="s">
        <v>148</v>
      </c>
      <c r="E10" s="28" t="s">
        <v>162</v>
      </c>
      <c r="F10" s="28" t="s">
        <v>89</v>
      </c>
      <c r="G10" s="28" t="s">
        <v>94</v>
      </c>
      <c r="H10" s="28" t="s">
        <v>144</v>
      </c>
      <c r="I10" s="28" t="s">
        <v>120</v>
      </c>
      <c r="J10" s="29">
        <v>46241</v>
      </c>
      <c r="K10" s="29">
        <v>46240</v>
      </c>
      <c r="L10" s="36">
        <f>IF(tblFAIs[[#This Row],[FAI no.]]="","",COUNTIFS(tblChars[FAI no.],tblFAIs[[#This Row],[FAI no.]]))</f>
        <v>9</v>
      </c>
      <c r="M10" s="36">
        <f>IF(tblFAIs[[#This Row],[FAI no.]]="","",COUNTIFS(tblChars[FAI no.],tblFAIs[[#This Row],[FAI no.]],tblChars[Result],"PASS")+COUNTIFS(tblChars[FAI no.],tblFAIs[[#This Row],[FAI no.]],tblChars[Result],"FAIL"))</f>
        <v>9</v>
      </c>
      <c r="N10" s="36">
        <f>IF(tblFAIs[[#This Row],[FAI no.]]="","",COUNTIFS(tblChars[FAI no.],tblFAIs[[#This Row],[FAI no.]],tblChars[Result],"FAIL"))</f>
        <v>1</v>
      </c>
      <c r="O10" s="37">
        <f>IF(tblFAIs[[#This Row],[FAI no.]]="","",IF(tblFAIs[[#This Row],[Characteristics]]&gt;0,tblFAIs[[#This Row],[Measured]]/tblFAIs[[#This Row],[Characteristics]],""))</f>
        <v>1</v>
      </c>
      <c r="P10" s="38" t="str">
        <f>IF(tblFAIs[[#This Row],[FAI no.]]="","",IF(tblFAIs[[#This Row],[Characteristics]]=0,"",IF(tblFAIs[[#This Row],[Nonconforming]]&gt;0,"FAIL",IF(tblFAIs[[#This Row],[Measured]]&lt;tblFAIs[[#This Row],[Characteristics]],"In progress","PASS"))))</f>
        <v>FAIL</v>
      </c>
      <c r="Q10" s="38" t="str">
        <f>IF(tblFAIs[[#This Row],[FAI no.]]="","",IF(ISNUMBER(tblFAIs[[#This Row],[Completed]]),"Complete",IF(AsOf&gt;tblFAIs[[#This Row],[Planned date]],"Overdue",IF(tblFAIs[[#This Row],[Planned date]]-AsOf&lt;=DueSoonDays,"Due soon","OK"))))</f>
        <v>Complete</v>
      </c>
      <c r="R10" s="36">
        <f>IF(tblFAIs[[#This Row],[FAI no.]]="","",tblFAIs[[#This Row],[Characteristics]]*MinPerChar+SetupMin+ReportMin)</f>
        <v>108</v>
      </c>
      <c r="S10" s="36">
        <f>IF(tblFAIs[[#This Row],[FAI no.]]="","",IF(ISNUMBER(tblFAIs[[#This Row],[Completed]]),0,1))</f>
        <v>0</v>
      </c>
      <c r="T10"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10" s="40" t="s">
        <v>163</v>
      </c>
    </row>
    <row r="11" spans="1:21" x14ac:dyDescent="0.25">
      <c r="B11" s="28" t="s">
        <v>164</v>
      </c>
      <c r="C11" s="28" t="s">
        <v>147</v>
      </c>
      <c r="D11" s="28" t="s">
        <v>148</v>
      </c>
      <c r="E11" s="28" t="s">
        <v>149</v>
      </c>
      <c r="F11" s="28" t="s">
        <v>91</v>
      </c>
      <c r="G11" s="28" t="s">
        <v>102</v>
      </c>
      <c r="H11" s="28" t="s">
        <v>155</v>
      </c>
      <c r="I11" s="28" t="s">
        <v>120</v>
      </c>
      <c r="J11" s="29">
        <v>46248</v>
      </c>
      <c r="K11" s="29">
        <v>46247</v>
      </c>
      <c r="L11" s="36">
        <f>IF(tblFAIs[[#This Row],[FAI no.]]="","",COUNTIFS(tblChars[FAI no.],tblFAIs[[#This Row],[FAI no.]]))</f>
        <v>3</v>
      </c>
      <c r="M11" s="36">
        <f>IF(tblFAIs[[#This Row],[FAI no.]]="","",COUNTIFS(tblChars[FAI no.],tblFAIs[[#This Row],[FAI no.]],tblChars[Result],"PASS")+COUNTIFS(tblChars[FAI no.],tblFAIs[[#This Row],[FAI no.]],tblChars[Result],"FAIL"))</f>
        <v>3</v>
      </c>
      <c r="N11" s="36">
        <f>IF(tblFAIs[[#This Row],[FAI no.]]="","",COUNTIFS(tblChars[FAI no.],tblFAIs[[#This Row],[FAI no.]],tblChars[Result],"FAIL"))</f>
        <v>0</v>
      </c>
      <c r="O11" s="37">
        <f>IF(tblFAIs[[#This Row],[FAI no.]]="","",IF(tblFAIs[[#This Row],[Characteristics]]&gt;0,tblFAIs[[#This Row],[Measured]]/tblFAIs[[#This Row],[Characteristics]],""))</f>
        <v>1</v>
      </c>
      <c r="P11" s="38" t="str">
        <f>IF(tblFAIs[[#This Row],[FAI no.]]="","",IF(tblFAIs[[#This Row],[Characteristics]]=0,"",IF(tblFAIs[[#This Row],[Nonconforming]]&gt;0,"FAIL",IF(tblFAIs[[#This Row],[Measured]]&lt;tblFAIs[[#This Row],[Characteristics]],"In progress","PASS"))))</f>
        <v>PASS</v>
      </c>
      <c r="Q11" s="38" t="str">
        <f>IF(tblFAIs[[#This Row],[FAI no.]]="","",IF(ISNUMBER(tblFAIs[[#This Row],[Completed]]),"Complete",IF(AsOf&gt;tblFAIs[[#This Row],[Planned date]],"Overdue",IF(tblFAIs[[#This Row],[Planned date]]-AsOf&lt;=DueSoonDays,"Due soon","OK"))))</f>
        <v>Complete</v>
      </c>
      <c r="R11" s="36">
        <f>IF(tblFAIs[[#This Row],[FAI no.]]="","",tblFAIs[[#This Row],[Characteristics]]*MinPerChar+SetupMin+ReportMin)</f>
        <v>90</v>
      </c>
      <c r="S11" s="36">
        <f>IF(tblFAIs[[#This Row],[FAI no.]]="","",IF(ISNUMBER(tblFAIs[[#This Row],[Completed]]),0,1))</f>
        <v>0</v>
      </c>
      <c r="T11"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11" s="40" t="s">
        <v>145</v>
      </c>
    </row>
    <row r="12" spans="1:21" x14ac:dyDescent="0.25">
      <c r="B12" s="28" t="s">
        <v>165</v>
      </c>
      <c r="C12" s="28" t="s">
        <v>161</v>
      </c>
      <c r="D12" s="28" t="s">
        <v>148</v>
      </c>
      <c r="E12" s="28" t="s">
        <v>162</v>
      </c>
      <c r="F12" s="28" t="s">
        <v>89</v>
      </c>
      <c r="G12" s="28" t="s">
        <v>102</v>
      </c>
      <c r="H12" s="28" t="s">
        <v>155</v>
      </c>
      <c r="I12" s="28" t="s">
        <v>121</v>
      </c>
      <c r="J12" s="29">
        <v>46269</v>
      </c>
      <c r="K12" s="29">
        <v>46268</v>
      </c>
      <c r="L12" s="36">
        <f>IF(tblFAIs[[#This Row],[FAI no.]]="","",COUNTIFS(tblChars[FAI no.],tblFAIs[[#This Row],[FAI no.]]))</f>
        <v>3</v>
      </c>
      <c r="M12" s="36">
        <f>IF(tblFAIs[[#This Row],[FAI no.]]="","",COUNTIFS(tblChars[FAI no.],tblFAIs[[#This Row],[FAI no.]],tblChars[Result],"PASS")+COUNTIFS(tblChars[FAI no.],tblFAIs[[#This Row],[FAI no.]],tblChars[Result],"FAIL"))</f>
        <v>3</v>
      </c>
      <c r="N12" s="36">
        <f>IF(tblFAIs[[#This Row],[FAI no.]]="","",COUNTIFS(tblChars[FAI no.],tblFAIs[[#This Row],[FAI no.]],tblChars[Result],"FAIL"))</f>
        <v>0</v>
      </c>
      <c r="O12" s="37">
        <f>IF(tblFAIs[[#This Row],[FAI no.]]="","",IF(tblFAIs[[#This Row],[Characteristics]]&gt;0,tblFAIs[[#This Row],[Measured]]/tblFAIs[[#This Row],[Characteristics]],""))</f>
        <v>1</v>
      </c>
      <c r="P12" s="38" t="str">
        <f>IF(tblFAIs[[#This Row],[FAI no.]]="","",IF(tblFAIs[[#This Row],[Characteristics]]=0,"",IF(tblFAIs[[#This Row],[Nonconforming]]&gt;0,"FAIL",IF(tblFAIs[[#This Row],[Measured]]&lt;tblFAIs[[#This Row],[Characteristics]],"In progress","PASS"))))</f>
        <v>PASS</v>
      </c>
      <c r="Q12" s="38" t="str">
        <f>IF(tblFAIs[[#This Row],[FAI no.]]="","",IF(ISNUMBER(tblFAIs[[#This Row],[Completed]]),"Complete",IF(AsOf&gt;tblFAIs[[#This Row],[Planned date]],"Overdue",IF(tblFAIs[[#This Row],[Planned date]]-AsOf&lt;=DueSoonDays,"Due soon","OK"))))</f>
        <v>Complete</v>
      </c>
      <c r="R12" s="36">
        <f>IF(tblFAIs[[#This Row],[FAI no.]]="","",tblFAIs[[#This Row],[Characteristics]]*MinPerChar+SetupMin+ReportMin)</f>
        <v>90</v>
      </c>
      <c r="S12" s="36">
        <f>IF(tblFAIs[[#This Row],[FAI no.]]="","",IF(ISNUMBER(tblFAIs[[#This Row],[Completed]]),0,1))</f>
        <v>0</v>
      </c>
      <c r="T12"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12" s="40" t="s">
        <v>145</v>
      </c>
    </row>
    <row r="13" spans="1:21" x14ac:dyDescent="0.25">
      <c r="B13" s="28" t="s">
        <v>166</v>
      </c>
      <c r="C13" s="28" t="s">
        <v>167</v>
      </c>
      <c r="D13" s="28" t="s">
        <v>153</v>
      </c>
      <c r="E13" s="28" t="s">
        <v>168</v>
      </c>
      <c r="F13" s="28" t="s">
        <v>91</v>
      </c>
      <c r="G13" s="28" t="s">
        <v>100</v>
      </c>
      <c r="H13" s="28" t="s">
        <v>144</v>
      </c>
      <c r="I13" s="28" t="s">
        <v>118</v>
      </c>
      <c r="J13" s="29">
        <v>46290</v>
      </c>
      <c r="K13" s="29">
        <v>46294</v>
      </c>
      <c r="L13" s="36">
        <f>IF(tblFAIs[[#This Row],[FAI no.]]="","",COUNTIFS(tblChars[FAI no.],tblFAIs[[#This Row],[FAI no.]]))</f>
        <v>6</v>
      </c>
      <c r="M13" s="36">
        <f>IF(tblFAIs[[#This Row],[FAI no.]]="","",COUNTIFS(tblChars[FAI no.],tblFAIs[[#This Row],[FAI no.]],tblChars[Result],"PASS")+COUNTIFS(tblChars[FAI no.],tblFAIs[[#This Row],[FAI no.]],tblChars[Result],"FAIL"))</f>
        <v>6</v>
      </c>
      <c r="N13" s="36">
        <f>IF(tblFAIs[[#This Row],[FAI no.]]="","",COUNTIFS(tblChars[FAI no.],tblFAIs[[#This Row],[FAI no.]],tblChars[Result],"FAIL"))</f>
        <v>0</v>
      </c>
      <c r="O13" s="37">
        <f>IF(tblFAIs[[#This Row],[FAI no.]]="","",IF(tblFAIs[[#This Row],[Characteristics]]&gt;0,tblFAIs[[#This Row],[Measured]]/tblFAIs[[#This Row],[Characteristics]],""))</f>
        <v>1</v>
      </c>
      <c r="P13" s="38" t="str">
        <f>IF(tblFAIs[[#This Row],[FAI no.]]="","",IF(tblFAIs[[#This Row],[Characteristics]]=0,"",IF(tblFAIs[[#This Row],[Nonconforming]]&gt;0,"FAIL",IF(tblFAIs[[#This Row],[Measured]]&lt;tblFAIs[[#This Row],[Characteristics]],"In progress","PASS"))))</f>
        <v>PASS</v>
      </c>
      <c r="Q13" s="38" t="str">
        <f>IF(tblFAIs[[#This Row],[FAI no.]]="","",IF(ISNUMBER(tblFAIs[[#This Row],[Completed]]),"Complete",IF(AsOf&gt;tblFAIs[[#This Row],[Planned date]],"Overdue",IF(tblFAIs[[#This Row],[Planned date]]-AsOf&lt;=DueSoonDays,"Due soon","OK"))))</f>
        <v>Complete</v>
      </c>
      <c r="R13" s="36">
        <f>IF(tblFAIs[[#This Row],[FAI no.]]="","",tblFAIs[[#This Row],[Characteristics]]*MinPerChar+SetupMin+ReportMin)</f>
        <v>99</v>
      </c>
      <c r="S13" s="36">
        <f>IF(tblFAIs[[#This Row],[FAI no.]]="","",IF(ISNUMBER(tblFAIs[[#This Row],[Completed]]),0,1))</f>
        <v>0</v>
      </c>
      <c r="T13"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13" s="40" t="s">
        <v>145</v>
      </c>
    </row>
    <row r="14" spans="1:21" x14ac:dyDescent="0.25">
      <c r="B14" s="28" t="s">
        <v>169</v>
      </c>
      <c r="C14" s="28" t="s">
        <v>170</v>
      </c>
      <c r="D14" s="28" t="s">
        <v>148</v>
      </c>
      <c r="E14" s="28" t="s">
        <v>171</v>
      </c>
      <c r="F14" s="28" t="s">
        <v>87</v>
      </c>
      <c r="G14" s="28" t="s">
        <v>94</v>
      </c>
      <c r="H14" s="28" t="s">
        <v>144</v>
      </c>
      <c r="I14" s="28" t="s">
        <v>118</v>
      </c>
      <c r="J14" s="29">
        <v>46302</v>
      </c>
      <c r="K14" s="29"/>
      <c r="L14" s="36">
        <f>IF(tblFAIs[[#This Row],[FAI no.]]="","",COUNTIFS(tblChars[FAI no.],tblFAIs[[#This Row],[FAI no.]]))</f>
        <v>16</v>
      </c>
      <c r="M14" s="36">
        <f>IF(tblFAIs[[#This Row],[FAI no.]]="","",COUNTIFS(tblChars[FAI no.],tblFAIs[[#This Row],[FAI no.]],tblChars[Result],"PASS")+COUNTIFS(tblChars[FAI no.],tblFAIs[[#This Row],[FAI no.]],tblChars[Result],"FAIL"))</f>
        <v>10</v>
      </c>
      <c r="N14" s="36">
        <f>IF(tblFAIs[[#This Row],[FAI no.]]="","",COUNTIFS(tblChars[FAI no.],tblFAIs[[#This Row],[FAI no.]],tblChars[Result],"FAIL"))</f>
        <v>0</v>
      </c>
      <c r="O14" s="37">
        <f>IF(tblFAIs[[#This Row],[FAI no.]]="","",IF(tblFAIs[[#This Row],[Characteristics]]&gt;0,tblFAIs[[#This Row],[Measured]]/tblFAIs[[#This Row],[Characteristics]],""))</f>
        <v>0.625</v>
      </c>
      <c r="P14" s="38" t="str">
        <f>IF(tblFAIs[[#This Row],[FAI no.]]="","",IF(tblFAIs[[#This Row],[Characteristics]]=0,"",IF(tblFAIs[[#This Row],[Nonconforming]]&gt;0,"FAIL",IF(tblFAIs[[#This Row],[Measured]]&lt;tblFAIs[[#This Row],[Characteristics]],"In progress","PASS"))))</f>
        <v>In progress</v>
      </c>
      <c r="Q14" s="38" t="str">
        <f>IF(tblFAIs[[#This Row],[FAI no.]]="","",IF(ISNUMBER(tblFAIs[[#This Row],[Completed]]),"Complete",IF(AsOf&gt;tblFAIs[[#This Row],[Planned date]],"Overdue",IF(tblFAIs[[#This Row],[Planned date]]-AsOf&lt;=DueSoonDays,"Due soon","OK"))))</f>
        <v>Overdue</v>
      </c>
      <c r="R14" s="36">
        <f>IF(tblFAIs[[#This Row],[FAI no.]]="","",tblFAIs[[#This Row],[Characteristics]]*MinPerChar+SetupMin+ReportMin)</f>
        <v>129</v>
      </c>
      <c r="S14" s="36">
        <f>IF(tblFAIs[[#This Row],[FAI no.]]="","",IF(ISNUMBER(tblFAIs[[#This Row],[Completed]]),0,1))</f>
        <v>1</v>
      </c>
      <c r="T14"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14" s="40" t="s">
        <v>172</v>
      </c>
    </row>
    <row r="15" spans="1:21" x14ac:dyDescent="0.25">
      <c r="B15" s="28" t="s">
        <v>173</v>
      </c>
      <c r="C15" s="28" t="s">
        <v>174</v>
      </c>
      <c r="D15" s="28" t="s">
        <v>148</v>
      </c>
      <c r="E15" s="28" t="s">
        <v>175</v>
      </c>
      <c r="F15" s="28" t="s">
        <v>91</v>
      </c>
      <c r="G15" s="28" t="s">
        <v>94</v>
      </c>
      <c r="H15" s="28" t="s">
        <v>144</v>
      </c>
      <c r="I15" s="28" t="s">
        <v>120</v>
      </c>
      <c r="J15" s="29">
        <v>46309</v>
      </c>
      <c r="K15" s="29"/>
      <c r="L15" s="36">
        <f>IF(tblFAIs[[#This Row],[FAI no.]]="","",COUNTIFS(tblChars[FAI no.],tblFAIs[[#This Row],[FAI no.]]))</f>
        <v>7</v>
      </c>
      <c r="M15" s="36">
        <f>IF(tblFAIs[[#This Row],[FAI no.]]="","",COUNTIFS(tblChars[FAI no.],tblFAIs[[#This Row],[FAI no.]],tblChars[Result],"PASS")+COUNTIFS(tblChars[FAI no.],tblFAIs[[#This Row],[FAI no.]],tblChars[Result],"FAIL"))</f>
        <v>0</v>
      </c>
      <c r="N15" s="36">
        <f>IF(tblFAIs[[#This Row],[FAI no.]]="","",COUNTIFS(tblChars[FAI no.],tblFAIs[[#This Row],[FAI no.]],tblChars[Result],"FAIL"))</f>
        <v>0</v>
      </c>
      <c r="O15" s="37">
        <f>IF(tblFAIs[[#This Row],[FAI no.]]="","",IF(tblFAIs[[#This Row],[Characteristics]]&gt;0,tblFAIs[[#This Row],[Measured]]/tblFAIs[[#This Row],[Characteristics]],""))</f>
        <v>0</v>
      </c>
      <c r="P15" s="38" t="str">
        <f>IF(tblFAIs[[#This Row],[FAI no.]]="","",IF(tblFAIs[[#This Row],[Characteristics]]=0,"",IF(tblFAIs[[#This Row],[Nonconforming]]&gt;0,"FAIL",IF(tblFAIs[[#This Row],[Measured]]&lt;tblFAIs[[#This Row],[Characteristics]],"In progress","PASS"))))</f>
        <v>In progress</v>
      </c>
      <c r="Q15" s="38" t="str">
        <f>IF(tblFAIs[[#This Row],[FAI no.]]="","",IF(ISNUMBER(tblFAIs[[#This Row],[Completed]]),"Complete",IF(AsOf&gt;tblFAIs[[#This Row],[Planned date]],"Overdue",IF(tblFAIs[[#This Row],[Planned date]]-AsOf&lt;=DueSoonDays,"Due soon","OK"))))</f>
        <v>Due soon</v>
      </c>
      <c r="R15" s="36">
        <f>IF(tblFAIs[[#This Row],[FAI no.]]="","",tblFAIs[[#This Row],[Characteristics]]*MinPerChar+SetupMin+ReportMin)</f>
        <v>102</v>
      </c>
      <c r="S15" s="36">
        <f>IF(tblFAIs[[#This Row],[FAI no.]]="","",IF(ISNUMBER(tblFAIs[[#This Row],[Completed]]),0,1))</f>
        <v>1</v>
      </c>
      <c r="T15"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15" s="40" t="s">
        <v>145</v>
      </c>
    </row>
    <row r="16" spans="1:21" x14ac:dyDescent="0.25">
      <c r="B16" s="28" t="s">
        <v>176</v>
      </c>
      <c r="C16" s="28" t="s">
        <v>177</v>
      </c>
      <c r="D16" s="28" t="s">
        <v>148</v>
      </c>
      <c r="E16" s="28" t="s">
        <v>178</v>
      </c>
      <c r="F16" s="28" t="s">
        <v>89</v>
      </c>
      <c r="G16" s="28" t="s">
        <v>94</v>
      </c>
      <c r="H16" s="28" t="s">
        <v>144</v>
      </c>
      <c r="I16" s="28" t="s">
        <v>121</v>
      </c>
      <c r="J16" s="29">
        <v>46325</v>
      </c>
      <c r="K16" s="29"/>
      <c r="L16" s="36">
        <f>IF(tblFAIs[[#This Row],[FAI no.]]="","",COUNTIFS(tblChars[FAI no.],tblFAIs[[#This Row],[FAI no.]]))</f>
        <v>7</v>
      </c>
      <c r="M16" s="36">
        <f>IF(tblFAIs[[#This Row],[FAI no.]]="","",COUNTIFS(tblChars[FAI no.],tblFAIs[[#This Row],[FAI no.]],tblChars[Result],"PASS")+COUNTIFS(tblChars[FAI no.],tblFAIs[[#This Row],[FAI no.]],tblChars[Result],"FAIL"))</f>
        <v>0</v>
      </c>
      <c r="N16" s="36">
        <f>IF(tblFAIs[[#This Row],[FAI no.]]="","",COUNTIFS(tblChars[FAI no.],tblFAIs[[#This Row],[FAI no.]],tblChars[Result],"FAIL"))</f>
        <v>0</v>
      </c>
      <c r="O16" s="37">
        <f>IF(tblFAIs[[#This Row],[FAI no.]]="","",IF(tblFAIs[[#This Row],[Characteristics]]&gt;0,tblFAIs[[#This Row],[Measured]]/tblFAIs[[#This Row],[Characteristics]],""))</f>
        <v>0</v>
      </c>
      <c r="P16" s="38" t="str">
        <f>IF(tblFAIs[[#This Row],[FAI no.]]="","",IF(tblFAIs[[#This Row],[Characteristics]]=0,"",IF(tblFAIs[[#This Row],[Nonconforming]]&gt;0,"FAIL",IF(tblFAIs[[#This Row],[Measured]]&lt;tblFAIs[[#This Row],[Characteristics]],"In progress","PASS"))))</f>
        <v>In progress</v>
      </c>
      <c r="Q16" s="38" t="str">
        <f>IF(tblFAIs[[#This Row],[FAI no.]]="","",IF(ISNUMBER(tblFAIs[[#This Row],[Completed]]),"Complete",IF(AsOf&gt;tblFAIs[[#This Row],[Planned date]],"Overdue",IF(tblFAIs[[#This Row],[Planned date]]-AsOf&lt;=DueSoonDays,"Due soon","OK"))))</f>
        <v>OK</v>
      </c>
      <c r="R16" s="36">
        <f>IF(tblFAIs[[#This Row],[FAI no.]]="","",tblFAIs[[#This Row],[Characteristics]]*MinPerChar+SetupMin+ReportMin)</f>
        <v>102</v>
      </c>
      <c r="S16" s="36">
        <f>IF(tblFAIs[[#This Row],[FAI no.]]="","",IF(ISNUMBER(tblFAIs[[#This Row],[Completed]]),0,1))</f>
        <v>1</v>
      </c>
      <c r="T16" s="39" t="str">
        <f>IF(tblFAIs[[#This Row],[FAI no.]]="","",IF(tblFAIs[[#This Row],[Part number]]="","Missing part number",IF(tblFAIs[[#This Row],[Rev]]="","Missing rev",IF(tblFAIs[[#This Row],[Planned date]]="","Missing planned date",IF(COUNTIF(tblFAIs[FAI no.],tblFAIs[[#This Row],[FAI no.]])&gt;1,"Duplicate FAI no.",IF(COUNTIF(tblCustomers[Customer],tblFAIs[[#This Row],[Customer]])=0,"Customer not on Setup list",IF(tblFAIs[[#This Row],[Characteristics]]=0,"No characteristics listed",IF(AND(ISNUMBER(tblFAIs[[#This Row],[Completed]]),tblFAIs[[#This Row],[Measured]]&lt;tblFAIs[[#This Row],[Characteristics]]),"Completed with unmeasured items",IF(AND(ISNUMBER(tblFAIs[[#This Row],[Completed]]),tblFAIs[[#This Row],[Completed]]&gt;AsOf),"Completed after the status date","OK")))))))))</f>
        <v>OK</v>
      </c>
      <c r="U16" s="40" t="s">
        <v>145</v>
      </c>
    </row>
  </sheetData>
  <mergeCells count="3">
    <mergeCell ref="A1:U1"/>
    <mergeCell ref="B2:T2"/>
    <mergeCell ref="B4:U4"/>
  </mergeCells>
  <conditionalFormatting sqref="O6:O51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P6:P516">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Q6:Q516">
    <cfRule type="cellIs" dxfId="0" priority="22" operator="equal">
      <formula>"On target"</formula>
    </cfRule>
    <cfRule type="cellIs" dxfId="0" priority="23" operator="equal">
      <formula>"PASS"</formula>
    </cfRule>
    <cfRule type="cellIs" dxfId="0" priority="24" operator="equal">
      <formula>"OK"</formula>
    </cfRule>
    <cfRule type="cellIs" dxfId="0" priority="25" operator="equal">
      <formula>"Within limits"</formula>
    </cfRule>
    <cfRule type="cellIs" dxfId="0" priority="26" operator="equal">
      <formula>"Under capacity"</formula>
    </cfRule>
    <cfRule type="cellIs" dxfId="0" priority="27" operator="equal">
      <formula>"Complete"</formula>
    </cfRule>
    <cfRule type="cellIs" dxfId="0" priority="28" operator="equal">
      <formula>"Yes"</formula>
    </cfRule>
    <cfRule type="cellIs" dxfId="1" priority="29" operator="equal">
      <formula>"Near target"</formula>
    </cfRule>
    <cfRule type="cellIs" dxfId="1" priority="30" operator="equal">
      <formula>"Check"</formula>
    </cfRule>
    <cfRule type="cellIs" dxfId="1" priority="31" operator="equal">
      <formula>"Due soon"</formula>
    </cfRule>
    <cfRule type="cellIs" dxfId="1" priority="32" operator="equal">
      <formula>"Near capacity"</formula>
    </cfRule>
    <cfRule type="cellIs" dxfId="1" priority="33" operator="equal">
      <formula>"In progress"</formula>
    </cfRule>
    <cfRule type="cellIs" dxfId="1" priority="34" operator="equal">
      <formula>"Partial"</formula>
    </cfRule>
    <cfRule type="cellIs" dxfId="2" priority="35" operator="equal">
      <formula>"Below target"</formula>
    </cfRule>
    <cfRule type="cellIs" dxfId="2" priority="36" operator="equal">
      <formula>"Above target"</formula>
    </cfRule>
    <cfRule type="cellIs" dxfId="2" priority="37" operator="equal">
      <formula>"FAIL"</formula>
    </cfRule>
    <cfRule type="cellIs" dxfId="2" priority="38" operator="equal">
      <formula>"Over capacity"</formula>
    </cfRule>
    <cfRule type="cellIs" dxfId="2" priority="39" operator="equal">
      <formula>"Overdue"</formula>
    </cfRule>
    <cfRule type="cellIs" dxfId="2" priority="40" operator="equal">
      <formula>"Out of limits"</formula>
    </cfRule>
    <cfRule type="cellIs" dxfId="2" priority="41" operator="equal">
      <formula>"No"</formula>
    </cfRule>
  </conditionalFormatting>
  <conditionalFormatting sqref="T6:T516">
    <cfRule type="expression" dxfId="3" priority="42">
      <formula>$T6="OK"</formula>
    </cfRule>
    <cfRule type="expression" dxfId="1" priority="43">
      <formula>AND($T6&lt;&gt;"",$T6&lt;&gt;"OK")</formula>
    </cfRule>
  </conditionalFormatting>
  <dataValidations count="11">
    <dataValidation type="textLength" allowBlank="1" showInputMessage="1" showErrorMessage="1" errorTitle="Check this entry" error="Text up to 30 characters." promptTitle="FAI no." prompt="Your FAI or report number. Each number once. Text up to 30 characters." sqref="B6:B516">
      <formula1>0</formula1>
      <formula2>30</formula2>
    </dataValidation>
    <dataValidation type="textLength" allowBlank="1" showInputMessage="1" showErrorMessage="1" errorTitle="Check this entry" error="Text up to 40 characters." promptTitle="Part number" prompt="Text up to 40 characters." sqref="C6:C516">
      <formula1>0</formula1>
      <formula2>40</formula2>
    </dataValidation>
    <dataValidation type="textLength" allowBlank="1" showInputMessage="1" showErrorMessage="1" errorTitle="Check this entry" error="Text up to 10 characters." promptTitle="Rev" prompt="Drawing revision inspected. Text up to 10 characters." sqref="D6:D516">
      <formula1>0</formula1>
      <formula2>10</formula2>
    </dataValidation>
    <dataValidation type="textLength" allowBlank="1" showInputMessage="1" showErrorMessage="1" errorTitle="Check this entry" error="Text up to 60 characters." promptTitle="Part name" prompt="Text up to 60 characters." sqref="E6:E516">
      <formula1>0</formula1>
      <formula2>60</formula2>
    </dataValidation>
    <dataValidation type="list" allowBlank="1" showInputMessage="1" showErrorMessage="1" errorTitle="Check this entry" error="Pick from the list (edit the list on Setup: Customers)." promptTitle="Customer" prompt="Pick from the list (edit the list on Setup: Customers)." sqref="F6:F516">
      <formula1>Customers</formula1>
    </dataValidation>
    <dataValidation type="list" allowBlank="1" showInputMessage="1" showErrorMessage="1" errorTitle="Check this entry" error="Pick from the list (edit the list on Setup: Reasons)." promptTitle="Reason" prompt="Pick from the list (edit the list on Setup: Reasons)." sqref="G6:G516">
      <formula1>Reasons</formula1>
    </dataValidation>
    <dataValidation type="list" allowBlank="1" showInputMessage="1" showErrorMessage="1" errorTitle="Check this entry" error="Pick one of: Full, Partial." promptTitle="FAI type" prompt="Full: every characteristic. Partial: only the characteristics affected by the change. Pick one of: Full, Partial." sqref="H6:H516">
      <formula1>"Full,Partial"</formula1>
    </dataValidation>
    <dataValidation type="list" allowBlank="1" showInputMessage="1" showErrorMessage="1" errorTitle="Check this entry" error="Pick from the list (edit the list on Setup: Inspectors)." promptTitle="Inspector" prompt="Pick from the list (edit the list on Setup: Inspectors)." sqref="I6:I516">
      <formula1>Inspectors</formula1>
    </dataValidation>
    <dataValidation type="date" allowBlank="1" showInputMessage="1" showErrorMessage="1" errorTitle="Check this entry" error="Enter a date between 01 Jan 2000 and 31 Dec 2100." promptTitle="Planned date" prompt="Date the FAI is due to be complete. Enter a date between 01 Jan 2000 and 31 Dec 2100." sqref="J6:J516">
      <formula1>36526</formula1>
      <formula2>73415</formula2>
    </dataValidation>
    <dataValidation type="date" allowBlank="1" showInputMessage="1" showErrorMessage="1" errorTitle="Check this entry" error="Enter a date between 01 Jan 2000 and 31 Dec 2100." promptTitle="Completed" prompt="Date the FAI was finished and signed; blank while open. Enter a date between 01 Jan 2000 and 31 Dec 2100." sqref="K6:K516">
      <formula1>36526</formula1>
      <formula2>73415</formula2>
    </dataValidation>
    <dataValidation type="textLength" allowBlank="1" showInputMessage="1" showErrorMessage="1" errorTitle="Check this entry" error="Text up to 255 characters." promptTitle="Notes" prompt="Text up to 255 characters." sqref="U6:U516">
      <formula1>0</formula1>
      <formula2>255</formula2>
    </dataValidation>
  </dataValidations>
  <hyperlinks>
    <hyperlink ref="U2" r:id="rId1" tooltip="Free manufacturing calculators and templates"/>
  </hyperlinks>
  <pageMargins left="0.4" right="0.4" top="0.7" bottom="0.65" header="0.3" footer="0.3"/>
  <pageSetup fitToHeight="0" orientation="landscape"/>
  <headerFooter>
    <oddHeader>&amp;L&amp;8MFG Calcs - First Article Inspection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O6:O516</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V98"/>
  <sheetViews>
    <sheetView workbookViewId="0">
      <pane xSplit="4" ySplit="5" topLeftCell="E6" activePane="bottomRight" state="frozen"/>
      <selection pane="topRight" activeCell="E1" sqref="E1"/>
      <selection pane="bottomLeft" activeCell="A6" sqref="A6"/>
      <selection pane="bottomRight"/>
    </sheetView>
  </sheetViews>
  <sheetFormatPr defaultRowHeight="15"/>
  <cols>
    <col min="1" max="1" width="2.7109375" customWidth="1"/>
    <col min="2" max="2" width="9.7109375" customWidth="1"/>
    <col min="3" max="3" width="7.28515625" customWidth="1"/>
    <col min="4" max="4" width="27.7109375" customWidth="1"/>
    <col min="5" max="5" width="17.7109375" customWidth="1"/>
    <col min="6" max="6" width="7.28515625" customWidth="1"/>
    <col min="7" max="7" width="9.7109375" customWidth="1"/>
    <col min="8" max="9" width="9.28515625" customWidth="1"/>
    <col min="10" max="10" width="9.7109375" customWidth="1"/>
    <col min="11" max="11" width="13.28515625" customWidth="1"/>
    <col min="12" max="13" width="10.7109375" customWidth="1"/>
    <col min="14" max="14" width="7.28515625" customWidth="1"/>
    <col min="15" max="18" width="9.28515625" customWidth="1"/>
    <col min="19" max="19" width="10.7109375" customWidth="1"/>
    <col min="20" max="20" width="7.28515625" customWidth="1"/>
    <col min="21" max="21" width="24.7109375" customWidth="1"/>
    <col min="22" max="22" width="28.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24</v>
      </c>
      <c r="C2" s="2"/>
      <c r="D2" s="2"/>
      <c r="E2" s="2"/>
      <c r="F2" s="2"/>
      <c r="G2" s="2"/>
      <c r="H2" s="2"/>
      <c r="I2" s="2"/>
      <c r="J2" s="2"/>
      <c r="K2" s="2"/>
      <c r="L2" s="2"/>
      <c r="M2" s="2"/>
      <c r="N2" s="2"/>
      <c r="O2" s="2"/>
      <c r="P2" s="2"/>
      <c r="Q2" s="2"/>
      <c r="R2" s="2"/>
      <c r="S2" s="2"/>
      <c r="T2" s="2"/>
      <c r="U2" s="2"/>
      <c r="V2" s="3" t="s">
        <v>2</v>
      </c>
    </row>
    <row r="3" spans="1:22" ht="6" customHeight="1"/>
    <row r="4" spans="1:22" ht="29.76" customHeight="1">
      <c r="B4" s="35" t="s">
        <v>193</v>
      </c>
      <c r="C4" s="35"/>
      <c r="D4" s="35"/>
      <c r="E4" s="35"/>
      <c r="F4" s="35"/>
      <c r="G4" s="35"/>
      <c r="H4" s="35"/>
      <c r="I4" s="35"/>
      <c r="J4" s="35"/>
      <c r="K4" s="35"/>
      <c r="L4" s="35"/>
      <c r="M4" s="35"/>
      <c r="N4" s="35"/>
      <c r="O4" s="35"/>
      <c r="P4" s="35"/>
      <c r="Q4" s="35"/>
      <c r="R4" s="35"/>
      <c r="S4" s="35"/>
      <c r="T4" s="35"/>
      <c r="U4" s="35"/>
      <c r="V4" s="35"/>
    </row>
    <row r="5" spans="1:22" ht="32" customHeight="1">
      <c r="B5" s="34" t="s">
        <v>123</v>
      </c>
      <c r="C5" s="34" t="s">
        <v>179</v>
      </c>
      <c r="D5" s="34" t="s">
        <v>180</v>
      </c>
      <c r="E5" s="34" t="s">
        <v>67</v>
      </c>
      <c r="F5" s="34" t="s">
        <v>181</v>
      </c>
      <c r="G5" s="34" t="s">
        <v>182</v>
      </c>
      <c r="H5" s="34" t="s">
        <v>183</v>
      </c>
      <c r="I5" s="34" t="s">
        <v>184</v>
      </c>
      <c r="J5" s="34" t="s">
        <v>131</v>
      </c>
      <c r="K5" s="34" t="s">
        <v>185</v>
      </c>
      <c r="L5" s="34" t="s">
        <v>186</v>
      </c>
      <c r="M5" s="34" t="s">
        <v>124</v>
      </c>
      <c r="N5" s="34" t="s">
        <v>187</v>
      </c>
      <c r="O5" s="34" t="s">
        <v>188</v>
      </c>
      <c r="P5" s="34" t="s">
        <v>189</v>
      </c>
      <c r="Q5" s="34" t="s">
        <v>190</v>
      </c>
      <c r="R5" s="34" t="s">
        <v>191</v>
      </c>
      <c r="S5" s="34" t="s">
        <v>134</v>
      </c>
      <c r="T5" s="34" t="s">
        <v>192</v>
      </c>
      <c r="U5" s="34" t="s">
        <v>138</v>
      </c>
      <c r="V5" s="34" t="s">
        <v>65</v>
      </c>
    </row>
    <row r="6" spans="1:22">
      <c r="B6" s="28" t="s">
        <v>140</v>
      </c>
      <c r="C6" s="30">
        <v>1</v>
      </c>
      <c r="D6" s="28" t="s">
        <v>194</v>
      </c>
      <c r="E6" s="28" t="s">
        <v>105</v>
      </c>
      <c r="F6" s="28" t="s">
        <v>195</v>
      </c>
      <c r="G6" s="41">
        <v>4.25</v>
      </c>
      <c r="H6" s="41">
        <v>-0.01</v>
      </c>
      <c r="I6" s="41">
        <v>0.01</v>
      </c>
      <c r="J6" s="41">
        <v>4.253</v>
      </c>
      <c r="K6" s="28"/>
      <c r="L6" s="28" t="s">
        <v>196</v>
      </c>
      <c r="M6" s="42" t="str">
        <f>IF(tblChars[[#This Row],[FAI no.]]="","",IFERROR(INDEX(tblFAIs[Part number],MATCH(tblChars[[#This Row],[FAI no.]],tblFAIs[FAI no.],0)),""))</f>
        <v>HB-1104</v>
      </c>
      <c r="N6" s="36">
        <f>IF(tblChars[[#This Row],[FAI no.]]="","",IFERROR(INDEX(tblFAIs[Open],MATCH(tblChars[[#This Row],[FAI no.]],tblFAIs[FAI no.],0)),""))</f>
        <v>0</v>
      </c>
      <c r="O6" s="43">
        <f>IF(tblChars[[#This Row],[FAI no.]]="","",IF(OR(tblChars[[#This Row],[Nominal]]="",tblChars[[#This Row],[Lower tol]]=""),"",tblChars[[#This Row],[Nominal]]+tblChars[[#This Row],[Lower tol]]))</f>
        <v>4.24</v>
      </c>
      <c r="P6" s="43">
        <f>IF(tblChars[[#This Row],[FAI no.]]="","",IF(OR(tblChars[[#This Row],[Nominal]]="",tblChars[[#This Row],[Upper tol]]=""),"",tblChars[[#This Row],[Nominal]]+tblChars[[#This Row],[Upper tol]]))</f>
        <v>4.26</v>
      </c>
      <c r="Q6" s="43">
        <f>IF(tblChars[[#This Row],[FAI no.]]="","",IF(OR(tblChars[[#This Row],[Measured]]="",tblChars[[#This Row],[Nominal]]=""),"",tblChars[[#This Row],[Measured]]-tblChars[[#This Row],[Nominal]]))</f>
        <v>0.00300000000000011</v>
      </c>
      <c r="R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0.300000000000018</v>
      </c>
      <c r="S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 s="36">
        <f>IF(tblChars[[#This Row],[FAI no.]]="","",IF(AND(tblChars[[#This Row],[Result]]="PASS",ISNUMBER(tblChars[[#This Row],[Tolerance used]])),IF(tblChars[[#This Row],[Tolerance used]]&gt;=NearLimit,1,0),0))</f>
        <v>0</v>
      </c>
      <c r="U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 s="28" t="s">
        <v>145</v>
      </c>
    </row>
    <row r="7" spans="1:22">
      <c r="B7" s="28" t="s">
        <v>140</v>
      </c>
      <c r="C7" s="30">
        <v>2</v>
      </c>
      <c r="D7" s="28" t="s">
        <v>197</v>
      </c>
      <c r="E7" s="28" t="s">
        <v>105</v>
      </c>
      <c r="F7" s="28" t="s">
        <v>195</v>
      </c>
      <c r="G7" s="41">
        <v>1.5</v>
      </c>
      <c r="H7" s="41">
        <v>-0.005</v>
      </c>
      <c r="I7" s="41">
        <v>0.005</v>
      </c>
      <c r="J7" s="41">
        <v>1.498</v>
      </c>
      <c r="K7" s="28"/>
      <c r="L7" s="28" t="s">
        <v>198</v>
      </c>
      <c r="M7" s="42" t="str">
        <f>IF(tblChars[[#This Row],[FAI no.]]="","",IFERROR(INDEX(tblFAIs[Part number],MATCH(tblChars[[#This Row],[FAI no.]],tblFAIs[FAI no.],0)),""))</f>
        <v>HB-1104</v>
      </c>
      <c r="N7" s="36">
        <f>IF(tblChars[[#This Row],[FAI no.]]="","",IFERROR(INDEX(tblFAIs[Open],MATCH(tblChars[[#This Row],[FAI no.]],tblFAIs[FAI no.],0)),""))</f>
        <v>0</v>
      </c>
      <c r="O7" s="43">
        <f>IF(tblChars[[#This Row],[FAI no.]]="","",IF(OR(tblChars[[#This Row],[Nominal]]="",tblChars[[#This Row],[Lower tol]]=""),"",tblChars[[#This Row],[Nominal]]+tblChars[[#This Row],[Lower tol]]))</f>
        <v>1.495</v>
      </c>
      <c r="P7" s="43">
        <f>IF(tblChars[[#This Row],[FAI no.]]="","",IF(OR(tblChars[[#This Row],[Nominal]]="",tblChars[[#This Row],[Upper tol]]=""),"",tblChars[[#This Row],[Nominal]]+tblChars[[#This Row],[Upper tol]]))</f>
        <v>1.505</v>
      </c>
      <c r="Q7" s="43">
        <f>IF(tblChars[[#This Row],[FAI no.]]="","",IF(OR(tblChars[[#This Row],[Measured]]="",tblChars[[#This Row],[Nominal]]=""),"",tblChars[[#This Row],[Measured]]-tblChars[[#This Row],[Nominal]]))</f>
        <v>-0.002</v>
      </c>
      <c r="R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0.400000000000009</v>
      </c>
      <c r="S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 s="36">
        <f>IF(tblChars[[#This Row],[FAI no.]]="","",IF(AND(tblChars[[#This Row],[Result]]="PASS",ISNUMBER(tblChars[[#This Row],[Tolerance used]])),IF(tblChars[[#This Row],[Tolerance used]]&gt;=NearLimit,1,0),0))</f>
        <v>0</v>
      </c>
      <c r="U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 s="28" t="s">
        <v>145</v>
      </c>
    </row>
    <row r="8" spans="1:22">
      <c r="B8" s="28" t="s">
        <v>140</v>
      </c>
      <c r="C8" s="30">
        <v>3</v>
      </c>
      <c r="D8" s="28" t="s">
        <v>199</v>
      </c>
      <c r="E8" s="28" t="s">
        <v>105</v>
      </c>
      <c r="F8" s="28" t="s">
        <v>195</v>
      </c>
      <c r="G8" s="41">
        <v>0.375</v>
      </c>
      <c r="H8" s="41">
        <v>-0.005</v>
      </c>
      <c r="I8" s="41">
        <v>0.005</v>
      </c>
      <c r="J8" s="41">
        <v>0.373</v>
      </c>
      <c r="K8" s="28"/>
      <c r="L8" s="28" t="s">
        <v>200</v>
      </c>
      <c r="M8" s="42" t="str">
        <f>IF(tblChars[[#This Row],[FAI no.]]="","",IFERROR(INDEX(tblFAIs[Part number],MATCH(tblChars[[#This Row],[FAI no.]],tblFAIs[FAI no.],0)),""))</f>
        <v>HB-1104</v>
      </c>
      <c r="N8" s="36">
        <f>IF(tblChars[[#This Row],[FAI no.]]="","",IFERROR(INDEX(tblFAIs[Open],MATCH(tblChars[[#This Row],[FAI no.]],tblFAIs[FAI no.],0)),""))</f>
        <v>0</v>
      </c>
      <c r="O8" s="43">
        <f>IF(tblChars[[#This Row],[FAI no.]]="","",IF(OR(tblChars[[#This Row],[Nominal]]="",tblChars[[#This Row],[Lower tol]]=""),"",tblChars[[#This Row],[Nominal]]+tblChars[[#This Row],[Lower tol]]))</f>
        <v>0.37</v>
      </c>
      <c r="P8" s="43">
        <f>IF(tblChars[[#This Row],[FAI no.]]="","",IF(OR(tblChars[[#This Row],[Nominal]]="",tblChars[[#This Row],[Upper tol]]=""),"",tblChars[[#This Row],[Nominal]]+tblChars[[#This Row],[Upper tol]]))</f>
        <v>0.38</v>
      </c>
      <c r="Q8" s="43">
        <f>IF(tblChars[[#This Row],[FAI no.]]="","",IF(OR(tblChars[[#This Row],[Measured]]="",tblChars[[#This Row],[Nominal]]=""),"",tblChars[[#This Row],[Measured]]-tblChars[[#This Row],[Nominal]]))</f>
        <v>-0.002</v>
      </c>
      <c r="R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0.4</v>
      </c>
      <c r="S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8" s="36">
        <f>IF(tblChars[[#This Row],[FAI no.]]="","",IF(AND(tblChars[[#This Row],[Result]]="PASS",ISNUMBER(tblChars[[#This Row],[Tolerance used]])),IF(tblChars[[#This Row],[Tolerance used]]&gt;=NearLimit,1,0),0))</f>
        <v>0</v>
      </c>
      <c r="U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 s="28" t="s">
        <v>145</v>
      </c>
    </row>
    <row r="9" spans="1:22">
      <c r="B9" s="28" t="s">
        <v>140</v>
      </c>
      <c r="C9" s="30">
        <v>4</v>
      </c>
      <c r="D9" s="28" t="s">
        <v>201</v>
      </c>
      <c r="E9" s="28" t="s">
        <v>105</v>
      </c>
      <c r="F9" s="28" t="s">
        <v>195</v>
      </c>
      <c r="G9" s="41">
        <v>0.3125</v>
      </c>
      <c r="H9" s="41">
        <v>0</v>
      </c>
      <c r="I9" s="41">
        <v>0.001</v>
      </c>
      <c r="J9" s="41">
        <v>0.313</v>
      </c>
      <c r="K9" s="28"/>
      <c r="L9" s="28" t="s">
        <v>200</v>
      </c>
      <c r="M9" s="42" t="str">
        <f>IF(tblChars[[#This Row],[FAI no.]]="","",IFERROR(INDEX(tblFAIs[Part number],MATCH(tblChars[[#This Row],[FAI no.]],tblFAIs[FAI no.],0)),""))</f>
        <v>HB-1104</v>
      </c>
      <c r="N9" s="36">
        <f>IF(tblChars[[#This Row],[FAI no.]]="","",IFERROR(INDEX(tblFAIs[Open],MATCH(tblChars[[#This Row],[FAI no.]],tblFAIs[FAI no.],0)),""))</f>
        <v>0</v>
      </c>
      <c r="O9" s="43">
        <f>IF(tblChars[[#This Row],[FAI no.]]="","",IF(OR(tblChars[[#This Row],[Nominal]]="",tblChars[[#This Row],[Lower tol]]=""),"",tblChars[[#This Row],[Nominal]]+tblChars[[#This Row],[Lower tol]]))</f>
        <v>0.3125</v>
      </c>
      <c r="P9" s="43">
        <f>IF(tblChars[[#This Row],[FAI no.]]="","",IF(OR(tblChars[[#This Row],[Nominal]]="",tblChars[[#This Row],[Upper tol]]=""),"",tblChars[[#This Row],[Nominal]]+tblChars[[#This Row],[Upper tol]]))</f>
        <v>0.3135</v>
      </c>
      <c r="Q9" s="43">
        <f>IF(tblChars[[#This Row],[FAI no.]]="","",IF(OR(tblChars[[#This Row],[Measured]]="",tblChars[[#This Row],[Nominal]]=""),"",tblChars[[#This Row],[Measured]]-tblChars[[#This Row],[Nominal]]))</f>
        <v>0.0005</v>
      </c>
      <c r="R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v>
      </c>
      <c r="S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9" s="36">
        <f>IF(tblChars[[#This Row],[FAI no.]]="","",IF(AND(tblChars[[#This Row],[Result]]="PASS",ISNUMBER(tblChars[[#This Row],[Tolerance used]])),IF(tblChars[[#This Row],[Tolerance used]]&gt;=NearLimit,1,0),0))</f>
        <v>0</v>
      </c>
      <c r="U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 s="28" t="s">
        <v>145</v>
      </c>
    </row>
    <row r="10" spans="1:22">
      <c r="B10" s="28" t="s">
        <v>140</v>
      </c>
      <c r="C10" s="30">
        <v>5</v>
      </c>
      <c r="D10" s="28" t="s">
        <v>202</v>
      </c>
      <c r="E10" s="28" t="s">
        <v>107</v>
      </c>
      <c r="F10" s="28" t="s">
        <v>195</v>
      </c>
      <c r="G10" s="41">
        <v>0</v>
      </c>
      <c r="H10" s="41"/>
      <c r="I10" s="41">
        <v>0.005</v>
      </c>
      <c r="J10" s="41">
        <v>0.0031</v>
      </c>
      <c r="K10" s="28"/>
      <c r="L10" s="28" t="s">
        <v>200</v>
      </c>
      <c r="M10" s="42" t="str">
        <f>IF(tblChars[[#This Row],[FAI no.]]="","",IFERROR(INDEX(tblFAIs[Part number],MATCH(tblChars[[#This Row],[FAI no.]],tblFAIs[FAI no.],0)),""))</f>
        <v>HB-1104</v>
      </c>
      <c r="N10" s="36">
        <f>IF(tblChars[[#This Row],[FAI no.]]="","",IFERROR(INDEX(tblFAIs[Open],MATCH(tblChars[[#This Row],[FAI no.]],tblFAIs[FAI no.],0)),""))</f>
        <v>0</v>
      </c>
      <c r="O10" s="43">
        <f>IF(tblChars[[#This Row],[FAI no.]]="","",IF(OR(tblChars[[#This Row],[Nominal]]="",tblChars[[#This Row],[Lower tol]]=""),"",tblChars[[#This Row],[Nominal]]+tblChars[[#This Row],[Lower tol]]))</f>
        <v/>
      </c>
      <c r="P10" s="43">
        <f>IF(tblChars[[#This Row],[FAI no.]]="","",IF(OR(tblChars[[#This Row],[Nominal]]="",tblChars[[#This Row],[Upper tol]]=""),"",tblChars[[#This Row],[Nominal]]+tblChars[[#This Row],[Upper tol]]))</f>
        <v>0.005</v>
      </c>
      <c r="Q10" s="43">
        <f>IF(tblChars[[#This Row],[FAI no.]]="","",IF(OR(tblChars[[#This Row],[Measured]]="",tblChars[[#This Row],[Nominal]]=""),"",tblChars[[#This Row],[Measured]]-tblChars[[#This Row],[Nominal]]))</f>
        <v>0.0031</v>
      </c>
      <c r="R1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0.62</v>
      </c>
      <c r="S1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0" s="36">
        <f>IF(tblChars[[#This Row],[FAI no.]]="","",IF(AND(tblChars[[#This Row],[Result]]="PASS",ISNUMBER(tblChars[[#This Row],[Tolerance used]])),IF(tblChars[[#This Row],[Tolerance used]]&gt;=NearLimit,1,0),0))</f>
        <v>0</v>
      </c>
      <c r="U1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0" s="28" t="s">
        <v>145</v>
      </c>
    </row>
    <row r="11" spans="1:22">
      <c r="B11" s="28" t="s">
        <v>140</v>
      </c>
      <c r="C11" s="30">
        <v>6</v>
      </c>
      <c r="D11" s="28" t="s">
        <v>203</v>
      </c>
      <c r="E11" s="28" t="s">
        <v>107</v>
      </c>
      <c r="F11" s="28" t="s">
        <v>195</v>
      </c>
      <c r="G11" s="41">
        <v>0</v>
      </c>
      <c r="H11" s="41"/>
      <c r="I11" s="41">
        <v>0.002</v>
      </c>
      <c r="J11" s="41">
        <v>0.0003</v>
      </c>
      <c r="K11" s="28"/>
      <c r="L11" s="28" t="s">
        <v>204</v>
      </c>
      <c r="M11" s="42" t="str">
        <f>IF(tblChars[[#This Row],[FAI no.]]="","",IFERROR(INDEX(tblFAIs[Part number],MATCH(tblChars[[#This Row],[FAI no.]],tblFAIs[FAI no.],0)),""))</f>
        <v>HB-1104</v>
      </c>
      <c r="N11" s="36">
        <f>IF(tblChars[[#This Row],[FAI no.]]="","",IFERROR(INDEX(tblFAIs[Open],MATCH(tblChars[[#This Row],[FAI no.]],tblFAIs[FAI no.],0)),""))</f>
        <v>0</v>
      </c>
      <c r="O11" s="43">
        <f>IF(tblChars[[#This Row],[FAI no.]]="","",IF(OR(tblChars[[#This Row],[Nominal]]="",tblChars[[#This Row],[Lower tol]]=""),"",tblChars[[#This Row],[Nominal]]+tblChars[[#This Row],[Lower tol]]))</f>
        <v/>
      </c>
      <c r="P11" s="43">
        <f>IF(tblChars[[#This Row],[FAI no.]]="","",IF(OR(tblChars[[#This Row],[Nominal]]="",tblChars[[#This Row],[Upper tol]]=""),"",tblChars[[#This Row],[Nominal]]+tblChars[[#This Row],[Upper tol]]))</f>
        <v>0.002</v>
      </c>
      <c r="Q11" s="43">
        <f>IF(tblChars[[#This Row],[FAI no.]]="","",IF(OR(tblChars[[#This Row],[Measured]]="",tblChars[[#This Row],[Nominal]]=""),"",tblChars[[#This Row],[Measured]]-tblChars[[#This Row],[Nominal]]))</f>
        <v>0.0003</v>
      </c>
      <c r="R1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0.15</v>
      </c>
      <c r="S1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1" s="36">
        <f>IF(tblChars[[#This Row],[FAI no.]]="","",IF(AND(tblChars[[#This Row],[Result]]="PASS",ISNUMBER(tblChars[[#This Row],[Tolerance used]])),IF(tblChars[[#This Row],[Tolerance used]]&gt;=NearLimit,1,0),0))</f>
        <v>0</v>
      </c>
      <c r="U1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1" s="28" t="s">
        <v>145</v>
      </c>
    </row>
    <row r="12" spans="1:22">
      <c r="B12" s="28" t="s">
        <v>140</v>
      </c>
      <c r="C12" s="30">
        <v>7</v>
      </c>
      <c r="D12" s="28" t="s">
        <v>205</v>
      </c>
      <c r="E12" s="28" t="s">
        <v>105</v>
      </c>
      <c r="F12" s="28" t="s">
        <v>195</v>
      </c>
      <c r="G12" s="41">
        <v>0.201</v>
      </c>
      <c r="H12" s="41">
        <v>-0.002</v>
      </c>
      <c r="I12" s="41">
        <v>0.003</v>
      </c>
      <c r="J12" s="41">
        <v>0.2013</v>
      </c>
      <c r="K12" s="28"/>
      <c r="L12" s="28" t="s">
        <v>200</v>
      </c>
      <c r="M12" s="42" t="str">
        <f>IF(tblChars[[#This Row],[FAI no.]]="","",IFERROR(INDEX(tblFAIs[Part number],MATCH(tblChars[[#This Row],[FAI no.]],tblFAIs[FAI no.],0)),""))</f>
        <v>HB-1104</v>
      </c>
      <c r="N12" s="36">
        <f>IF(tblChars[[#This Row],[FAI no.]]="","",IFERROR(INDEX(tblFAIs[Open],MATCH(tblChars[[#This Row],[FAI no.]],tblFAIs[FAI no.],0)),""))</f>
        <v>0</v>
      </c>
      <c r="O12" s="43">
        <f>IF(tblChars[[#This Row],[FAI no.]]="","",IF(OR(tblChars[[#This Row],[Nominal]]="",tblChars[[#This Row],[Lower tol]]=""),"",tblChars[[#This Row],[Nominal]]+tblChars[[#This Row],[Lower tol]]))</f>
        <v>0.199</v>
      </c>
      <c r="P12" s="43">
        <f>IF(tblChars[[#This Row],[FAI no.]]="","",IF(OR(tblChars[[#This Row],[Nominal]]="",tblChars[[#This Row],[Upper tol]]=""),"",tblChars[[#This Row],[Nominal]]+tblChars[[#This Row],[Upper tol]]))</f>
        <v>0.204</v>
      </c>
      <c r="Q12" s="43">
        <f>IF(tblChars[[#This Row],[FAI no.]]="","",IF(OR(tblChars[[#This Row],[Measured]]="",tblChars[[#This Row],[Nominal]]=""),"",tblChars[[#This Row],[Measured]]-tblChars[[#This Row],[Nominal]]))</f>
        <v>0.000299999999999995</v>
      </c>
      <c r="R1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0.0800000000000022</v>
      </c>
      <c r="S1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2" s="36">
        <f>IF(tblChars[[#This Row],[FAI no.]]="","",IF(AND(tblChars[[#This Row],[Result]]="PASS",ISNUMBER(tblChars[[#This Row],[Tolerance used]])),IF(tblChars[[#This Row],[Tolerance used]]&gt;=NearLimit,1,0),0))</f>
        <v>0</v>
      </c>
      <c r="U1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2" s="28" t="s">
        <v>145</v>
      </c>
    </row>
    <row r="13" spans="1:22">
      <c r="B13" s="28" t="s">
        <v>140</v>
      </c>
      <c r="C13" s="30">
        <v>8</v>
      </c>
      <c r="D13" s="28" t="s">
        <v>206</v>
      </c>
      <c r="E13" s="28" t="s">
        <v>107</v>
      </c>
      <c r="F13" s="28" t="s">
        <v>195</v>
      </c>
      <c r="G13" s="41">
        <v>0</v>
      </c>
      <c r="H13" s="41"/>
      <c r="I13" s="41">
        <v>0.007</v>
      </c>
      <c r="J13" s="41">
        <v>0.0028</v>
      </c>
      <c r="K13" s="28"/>
      <c r="L13" s="28" t="s">
        <v>196</v>
      </c>
      <c r="M13" s="42" t="str">
        <f>IF(tblChars[[#This Row],[FAI no.]]="","",IFERROR(INDEX(tblFAIs[Part number],MATCH(tblChars[[#This Row],[FAI no.]],tblFAIs[FAI no.],0)),""))</f>
        <v>HB-1104</v>
      </c>
      <c r="N13" s="36">
        <f>IF(tblChars[[#This Row],[FAI no.]]="","",IFERROR(INDEX(tblFAIs[Open],MATCH(tblChars[[#This Row],[FAI no.]],tblFAIs[FAI no.],0)),""))</f>
        <v>0</v>
      </c>
      <c r="O13" s="43">
        <f>IF(tblChars[[#This Row],[FAI no.]]="","",IF(OR(tblChars[[#This Row],[Nominal]]="",tblChars[[#This Row],[Lower tol]]=""),"",tblChars[[#This Row],[Nominal]]+tblChars[[#This Row],[Lower tol]]))</f>
        <v/>
      </c>
      <c r="P13" s="43">
        <f>IF(tblChars[[#This Row],[FAI no.]]="","",IF(OR(tblChars[[#This Row],[Nominal]]="",tblChars[[#This Row],[Upper tol]]=""),"",tblChars[[#This Row],[Nominal]]+tblChars[[#This Row],[Upper tol]]))</f>
        <v>0.007</v>
      </c>
      <c r="Q13" s="43">
        <f>IF(tblChars[[#This Row],[FAI no.]]="","",IF(OR(tblChars[[#This Row],[Measured]]="",tblChars[[#This Row],[Nominal]]=""),"",tblChars[[#This Row],[Measured]]-tblChars[[#This Row],[Nominal]]))</f>
        <v>0.0028</v>
      </c>
      <c r="R1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0.4</v>
      </c>
      <c r="S1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3" s="36">
        <f>IF(tblChars[[#This Row],[FAI no.]]="","",IF(AND(tblChars[[#This Row],[Result]]="PASS",ISNUMBER(tblChars[[#This Row],[Tolerance used]])),IF(tblChars[[#This Row],[Tolerance used]]&gt;=NearLimit,1,0),0))</f>
        <v>0</v>
      </c>
      <c r="U1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3" s="28" t="s">
        <v>145</v>
      </c>
    </row>
    <row r="14" spans="1:22">
      <c r="B14" s="28" t="s">
        <v>140</v>
      </c>
      <c r="C14" s="30">
        <v>9</v>
      </c>
      <c r="D14" s="28" t="s">
        <v>207</v>
      </c>
      <c r="E14" s="28" t="s">
        <v>109</v>
      </c>
      <c r="F14" s="28" t="s">
        <v>208</v>
      </c>
      <c r="G14" s="41"/>
      <c r="H14" s="41"/>
      <c r="I14" s="41"/>
      <c r="J14" s="41"/>
      <c r="K14" s="28" t="s">
        <v>209</v>
      </c>
      <c r="L14" s="28" t="s">
        <v>210</v>
      </c>
      <c r="M14" s="42" t="str">
        <f>IF(tblChars[[#This Row],[FAI no.]]="","",IFERROR(INDEX(tblFAIs[Part number],MATCH(tblChars[[#This Row],[FAI no.]],tblFAIs[FAI no.],0)),""))</f>
        <v>HB-1104</v>
      </c>
      <c r="N14" s="36">
        <f>IF(tblChars[[#This Row],[FAI no.]]="","",IFERROR(INDEX(tblFAIs[Open],MATCH(tblChars[[#This Row],[FAI no.]],tblFAIs[FAI no.],0)),""))</f>
        <v>0</v>
      </c>
      <c r="O14" s="43">
        <f>IF(tblChars[[#This Row],[FAI no.]]="","",IF(OR(tblChars[[#This Row],[Nominal]]="",tblChars[[#This Row],[Lower tol]]=""),"",tblChars[[#This Row],[Nominal]]+tblChars[[#This Row],[Lower tol]]))</f>
        <v/>
      </c>
      <c r="P14" s="43">
        <f>IF(tblChars[[#This Row],[FAI no.]]="","",IF(OR(tblChars[[#This Row],[Nominal]]="",tblChars[[#This Row],[Upper tol]]=""),"",tblChars[[#This Row],[Nominal]]+tblChars[[#This Row],[Upper tol]]))</f>
        <v/>
      </c>
      <c r="Q14" s="43">
        <f>IF(tblChars[[#This Row],[FAI no.]]="","",IF(OR(tblChars[[#This Row],[Measured]]="",tblChars[[#This Row],[Nominal]]=""),"",tblChars[[#This Row],[Measured]]-tblChars[[#This Row],[Nominal]]))</f>
        <v/>
      </c>
      <c r="R1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1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4" s="36">
        <f>IF(tblChars[[#This Row],[FAI no.]]="","",IF(AND(tblChars[[#This Row],[Result]]="PASS",ISNUMBER(tblChars[[#This Row],[Tolerance used]])),IF(tblChars[[#This Row],[Tolerance used]]&gt;=NearLimit,1,0),0))</f>
        <v>0</v>
      </c>
      <c r="U1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4" s="28" t="s">
        <v>145</v>
      </c>
    </row>
    <row r="15" spans="1:22">
      <c r="B15" s="28" t="s">
        <v>140</v>
      </c>
      <c r="C15" s="30">
        <v>10</v>
      </c>
      <c r="D15" s="28" t="s">
        <v>211</v>
      </c>
      <c r="E15" s="28" t="s">
        <v>111</v>
      </c>
      <c r="F15" s="28" t="s">
        <v>212</v>
      </c>
      <c r="G15" s="41">
        <v>0</v>
      </c>
      <c r="H15" s="41"/>
      <c r="I15" s="41">
        <v>63</v>
      </c>
      <c r="J15" s="41">
        <v>37</v>
      </c>
      <c r="K15" s="28"/>
      <c r="L15" s="28" t="s">
        <v>213</v>
      </c>
      <c r="M15" s="42" t="str">
        <f>IF(tblChars[[#This Row],[FAI no.]]="","",IFERROR(INDEX(tblFAIs[Part number],MATCH(tblChars[[#This Row],[FAI no.]],tblFAIs[FAI no.],0)),""))</f>
        <v>HB-1104</v>
      </c>
      <c r="N15" s="36">
        <f>IF(tblChars[[#This Row],[FAI no.]]="","",IFERROR(INDEX(tblFAIs[Open],MATCH(tblChars[[#This Row],[FAI no.]],tblFAIs[FAI no.],0)),""))</f>
        <v>0</v>
      </c>
      <c r="O15" s="43">
        <f>IF(tblChars[[#This Row],[FAI no.]]="","",IF(OR(tblChars[[#This Row],[Nominal]]="",tblChars[[#This Row],[Lower tol]]=""),"",tblChars[[#This Row],[Nominal]]+tblChars[[#This Row],[Lower tol]]))</f>
        <v/>
      </c>
      <c r="P15" s="43">
        <f>IF(tblChars[[#This Row],[FAI no.]]="","",IF(OR(tblChars[[#This Row],[Nominal]]="",tblChars[[#This Row],[Upper tol]]=""),"",tblChars[[#This Row],[Nominal]]+tblChars[[#This Row],[Upper tol]]))</f>
        <v>63</v>
      </c>
      <c r="Q15" s="43">
        <f>IF(tblChars[[#This Row],[FAI no.]]="","",IF(OR(tblChars[[#This Row],[Measured]]="",tblChars[[#This Row],[Nominal]]=""),"",tblChars[[#This Row],[Measured]]-tblChars[[#This Row],[Nominal]]))</f>
        <v>37</v>
      </c>
      <c r="R1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0.587301587301587</v>
      </c>
      <c r="S1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5" s="36">
        <f>IF(tblChars[[#This Row],[FAI no.]]="","",IF(AND(tblChars[[#This Row],[Result]]="PASS",ISNUMBER(tblChars[[#This Row],[Tolerance used]])),IF(tblChars[[#This Row],[Tolerance used]]&gt;=NearLimit,1,0),0))</f>
        <v>0</v>
      </c>
      <c r="U1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5" s="28" t="s">
        <v>145</v>
      </c>
    </row>
    <row r="16" spans="1:22">
      <c r="B16" s="28" t="s">
        <v>140</v>
      </c>
      <c r="C16" s="30">
        <v>11</v>
      </c>
      <c r="D16" s="28" t="s">
        <v>214</v>
      </c>
      <c r="E16" s="28" t="s">
        <v>105</v>
      </c>
      <c r="F16" s="28" t="s">
        <v>195</v>
      </c>
      <c r="G16" s="41">
        <v>0.01</v>
      </c>
      <c r="H16" s="41">
        <v>-0.005</v>
      </c>
      <c r="I16" s="41">
        <v>0.005</v>
      </c>
      <c r="J16" s="41">
        <v>0.0101</v>
      </c>
      <c r="K16" s="28"/>
      <c r="L16" s="28" t="s">
        <v>198</v>
      </c>
      <c r="M16" s="42" t="str">
        <f>IF(tblChars[[#This Row],[FAI no.]]="","",IFERROR(INDEX(tblFAIs[Part number],MATCH(tblChars[[#This Row],[FAI no.]],tblFAIs[FAI no.],0)),""))</f>
        <v>HB-1104</v>
      </c>
      <c r="N16" s="36">
        <f>IF(tblChars[[#This Row],[FAI no.]]="","",IFERROR(INDEX(tblFAIs[Open],MATCH(tblChars[[#This Row],[FAI no.]],tblFAIs[FAI no.],0)),""))</f>
        <v>0</v>
      </c>
      <c r="O16" s="43">
        <f>IF(tblChars[[#This Row],[FAI no.]]="","",IF(OR(tblChars[[#This Row],[Nominal]]="",tblChars[[#This Row],[Lower tol]]=""),"",tblChars[[#This Row],[Nominal]]+tblChars[[#This Row],[Lower tol]]))</f>
        <v>0.005</v>
      </c>
      <c r="P16" s="43">
        <f>IF(tblChars[[#This Row],[FAI no.]]="","",IF(OR(tblChars[[#This Row],[Nominal]]="",tblChars[[#This Row],[Upper tol]]=""),"",tblChars[[#This Row],[Nominal]]+tblChars[[#This Row],[Upper tol]]))</f>
        <v>0.015</v>
      </c>
      <c r="Q16" s="43">
        <f>IF(tblChars[[#This Row],[FAI no.]]="","",IF(OR(tblChars[[#This Row],[Measured]]="",tblChars[[#This Row],[Nominal]]=""),"",tblChars[[#This Row],[Measured]]-tblChars[[#This Row],[Nominal]]))</f>
        <v>9.99999999999994e-05</v>
      </c>
      <c r="R1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0.0199999999999999</v>
      </c>
      <c r="S1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6" s="36">
        <f>IF(tblChars[[#This Row],[FAI no.]]="","",IF(AND(tblChars[[#This Row],[Result]]="PASS",ISNUMBER(tblChars[[#This Row],[Tolerance used]])),IF(tblChars[[#This Row],[Tolerance used]]&gt;=NearLimit,1,0),0))</f>
        <v>0</v>
      </c>
      <c r="U1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6" s="28" t="s">
        <v>145</v>
      </c>
    </row>
    <row r="17" spans="2:22">
      <c r="B17" s="28" t="s">
        <v>140</v>
      </c>
      <c r="C17" s="30">
        <v>12</v>
      </c>
      <c r="D17" s="28" t="s">
        <v>215</v>
      </c>
      <c r="E17" s="28" t="s">
        <v>113</v>
      </c>
      <c r="F17" s="28" t="s">
        <v>208</v>
      </c>
      <c r="G17" s="41"/>
      <c r="H17" s="41"/>
      <c r="I17" s="41"/>
      <c r="J17" s="41"/>
      <c r="K17" s="28" t="s">
        <v>209</v>
      </c>
      <c r="L17" s="28" t="s">
        <v>210</v>
      </c>
      <c r="M17" s="42" t="str">
        <f>IF(tblChars[[#This Row],[FAI no.]]="","",IFERROR(INDEX(tblFAIs[Part number],MATCH(tblChars[[#This Row],[FAI no.]],tblFAIs[FAI no.],0)),""))</f>
        <v>HB-1104</v>
      </c>
      <c r="N17" s="36">
        <f>IF(tblChars[[#This Row],[FAI no.]]="","",IFERROR(INDEX(tblFAIs[Open],MATCH(tblChars[[#This Row],[FAI no.]],tblFAIs[FAI no.],0)),""))</f>
        <v>0</v>
      </c>
      <c r="O17" s="43">
        <f>IF(tblChars[[#This Row],[FAI no.]]="","",IF(OR(tblChars[[#This Row],[Nominal]]="",tblChars[[#This Row],[Lower tol]]=""),"",tblChars[[#This Row],[Nominal]]+tblChars[[#This Row],[Lower tol]]))</f>
        <v/>
      </c>
      <c r="P17" s="43">
        <f>IF(tblChars[[#This Row],[FAI no.]]="","",IF(OR(tblChars[[#This Row],[Nominal]]="",tblChars[[#This Row],[Upper tol]]=""),"",tblChars[[#This Row],[Nominal]]+tblChars[[#This Row],[Upper tol]]))</f>
        <v/>
      </c>
      <c r="Q17" s="43">
        <f>IF(tblChars[[#This Row],[FAI no.]]="","",IF(OR(tblChars[[#This Row],[Measured]]="",tblChars[[#This Row],[Nominal]]=""),"",tblChars[[#This Row],[Measured]]-tblChars[[#This Row],[Nominal]]))</f>
        <v/>
      </c>
      <c r="R1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1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7" s="36">
        <f>IF(tblChars[[#This Row],[FAI no.]]="","",IF(AND(tblChars[[#This Row],[Result]]="PASS",ISNUMBER(tblChars[[#This Row],[Tolerance used]])),IF(tblChars[[#This Row],[Tolerance used]]&gt;=NearLimit,1,0),0))</f>
        <v>0</v>
      </c>
      <c r="U1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7" s="28" t="s">
        <v>145</v>
      </c>
    </row>
    <row r="18" spans="2:22">
      <c r="B18" s="28" t="s">
        <v>140</v>
      </c>
      <c r="C18" s="30">
        <v>13</v>
      </c>
      <c r="D18" s="28" t="s">
        <v>216</v>
      </c>
      <c r="E18" s="28" t="s">
        <v>113</v>
      </c>
      <c r="F18" s="28" t="s">
        <v>208</v>
      </c>
      <c r="G18" s="41"/>
      <c r="H18" s="41"/>
      <c r="I18" s="41"/>
      <c r="J18" s="41"/>
      <c r="K18" s="28" t="s">
        <v>209</v>
      </c>
      <c r="L18" s="28" t="s">
        <v>217</v>
      </c>
      <c r="M18" s="42" t="str">
        <f>IF(tblChars[[#This Row],[FAI no.]]="","",IFERROR(INDEX(tblFAIs[Part number],MATCH(tblChars[[#This Row],[FAI no.]],tblFAIs[FAI no.],0)),""))</f>
        <v>HB-1104</v>
      </c>
      <c r="N18" s="36">
        <f>IF(tblChars[[#This Row],[FAI no.]]="","",IFERROR(INDEX(tblFAIs[Open],MATCH(tblChars[[#This Row],[FAI no.]],tblFAIs[FAI no.],0)),""))</f>
        <v>0</v>
      </c>
      <c r="O18" s="43">
        <f>IF(tblChars[[#This Row],[FAI no.]]="","",IF(OR(tblChars[[#This Row],[Nominal]]="",tblChars[[#This Row],[Lower tol]]=""),"",tblChars[[#This Row],[Nominal]]+tblChars[[#This Row],[Lower tol]]))</f>
        <v/>
      </c>
      <c r="P18" s="43">
        <f>IF(tblChars[[#This Row],[FAI no.]]="","",IF(OR(tblChars[[#This Row],[Nominal]]="",tblChars[[#This Row],[Upper tol]]=""),"",tblChars[[#This Row],[Nominal]]+tblChars[[#This Row],[Upper tol]]))</f>
        <v/>
      </c>
      <c r="Q18" s="43">
        <f>IF(tblChars[[#This Row],[FAI no.]]="","",IF(OR(tblChars[[#This Row],[Measured]]="",tblChars[[#This Row],[Nominal]]=""),"",tblChars[[#This Row],[Measured]]-tblChars[[#This Row],[Nominal]]))</f>
        <v/>
      </c>
      <c r="R1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1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8" s="36">
        <f>IF(tblChars[[#This Row],[FAI no.]]="","",IF(AND(tblChars[[#This Row],[Result]]="PASS",ISNUMBER(tblChars[[#This Row],[Tolerance used]])),IF(tblChars[[#This Row],[Tolerance used]]&gt;=NearLimit,1,0),0))</f>
        <v>0</v>
      </c>
      <c r="U1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8" s="28" t="s">
        <v>145</v>
      </c>
    </row>
    <row r="19" spans="2:22">
      <c r="B19" s="28" t="s">
        <v>140</v>
      </c>
      <c r="C19" s="30">
        <v>14</v>
      </c>
      <c r="D19" s="28" t="s">
        <v>218</v>
      </c>
      <c r="E19" s="28" t="s">
        <v>115</v>
      </c>
      <c r="F19" s="28" t="s">
        <v>208</v>
      </c>
      <c r="G19" s="41"/>
      <c r="H19" s="41"/>
      <c r="I19" s="41"/>
      <c r="J19" s="41"/>
      <c r="K19" s="28" t="s">
        <v>209</v>
      </c>
      <c r="L19" s="28" t="s">
        <v>217</v>
      </c>
      <c r="M19" s="42" t="str">
        <f>IF(tblChars[[#This Row],[FAI no.]]="","",IFERROR(INDEX(tblFAIs[Part number],MATCH(tblChars[[#This Row],[FAI no.]],tblFAIs[FAI no.],0)),""))</f>
        <v>HB-1104</v>
      </c>
      <c r="N19" s="36">
        <f>IF(tblChars[[#This Row],[FAI no.]]="","",IFERROR(INDEX(tblFAIs[Open],MATCH(tblChars[[#This Row],[FAI no.]],tblFAIs[FAI no.],0)),""))</f>
        <v>0</v>
      </c>
      <c r="O19" s="43">
        <f>IF(tblChars[[#This Row],[FAI no.]]="","",IF(OR(tblChars[[#This Row],[Nominal]]="",tblChars[[#This Row],[Lower tol]]=""),"",tblChars[[#This Row],[Nominal]]+tblChars[[#This Row],[Lower tol]]))</f>
        <v/>
      </c>
      <c r="P19" s="43">
        <f>IF(tblChars[[#This Row],[FAI no.]]="","",IF(OR(tblChars[[#This Row],[Nominal]]="",tblChars[[#This Row],[Upper tol]]=""),"",tblChars[[#This Row],[Nominal]]+tblChars[[#This Row],[Upper tol]]))</f>
        <v/>
      </c>
      <c r="Q19" s="43">
        <f>IF(tblChars[[#This Row],[FAI no.]]="","",IF(OR(tblChars[[#This Row],[Measured]]="",tblChars[[#This Row],[Nominal]]=""),"",tblChars[[#This Row],[Measured]]-tblChars[[#This Row],[Nominal]]))</f>
        <v/>
      </c>
      <c r="R1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1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19" s="36">
        <f>IF(tblChars[[#This Row],[FAI no.]]="","",IF(AND(tblChars[[#This Row],[Result]]="PASS",ISNUMBER(tblChars[[#This Row],[Tolerance used]])),IF(tblChars[[#This Row],[Tolerance used]]&gt;=NearLimit,1,0),0))</f>
        <v>0</v>
      </c>
      <c r="U1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19" s="28" t="s">
        <v>145</v>
      </c>
    </row>
    <row r="20" spans="2:22">
      <c r="B20" s="28" t="s">
        <v>146</v>
      </c>
      <c r="C20" s="30">
        <v>1</v>
      </c>
      <c r="D20" s="28" t="s">
        <v>194</v>
      </c>
      <c r="E20" s="28" t="s">
        <v>105</v>
      </c>
      <c r="F20" s="28" t="s">
        <v>219</v>
      </c>
      <c r="G20" s="41">
        <v>120</v>
      </c>
      <c r="H20" s="41">
        <v>-0.1</v>
      </c>
      <c r="I20" s="41">
        <v>0.1</v>
      </c>
      <c r="J20" s="41">
        <v>119.962</v>
      </c>
      <c r="K20" s="28"/>
      <c r="L20" s="28" t="s">
        <v>196</v>
      </c>
      <c r="M20" s="42" t="str">
        <f>IF(tblChars[[#This Row],[FAI no.]]="","",IFERROR(INDEX(tblFAIs[Part number],MATCH(tblChars[[#This Row],[FAI no.]],tblFAIs[FAI no.],0)),""))</f>
        <v>MB-2210</v>
      </c>
      <c r="N20" s="36">
        <f>IF(tblChars[[#This Row],[FAI no.]]="","",IFERROR(INDEX(tblFAIs[Open],MATCH(tblChars[[#This Row],[FAI no.]],tblFAIs[FAI no.],0)),""))</f>
        <v>0</v>
      </c>
      <c r="O20" s="43">
        <f>IF(tblChars[[#This Row],[FAI no.]]="","",IF(OR(tblChars[[#This Row],[Nominal]]="",tblChars[[#This Row],[Lower tol]]=""),"",tblChars[[#This Row],[Nominal]]+tblChars[[#This Row],[Lower tol]]))</f>
        <v>119.9</v>
      </c>
      <c r="P20" s="43">
        <f>IF(tblChars[[#This Row],[FAI no.]]="","",IF(OR(tblChars[[#This Row],[Nominal]]="",tblChars[[#This Row],[Upper tol]]=""),"",tblChars[[#This Row],[Nominal]]+tblChars[[#This Row],[Upper tol]]))</f>
        <v>120.1</v>
      </c>
      <c r="Q20" s="43">
        <f>IF(tblChars[[#This Row],[FAI no.]]="","",IF(OR(tblChars[[#This Row],[Measured]]="",tblChars[[#This Row],[Nominal]]=""),"",tblChars[[#This Row],[Measured]]-tblChars[[#This Row],[Nominal]]))</f>
        <v>-0.0379999999999967</v>
      </c>
      <c r="R2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0.379999999999989</v>
      </c>
      <c r="S2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0" s="36">
        <f>IF(tblChars[[#This Row],[FAI no.]]="","",IF(AND(tblChars[[#This Row],[Result]]="PASS",ISNUMBER(tblChars[[#This Row],[Tolerance used]])),IF(tblChars[[#This Row],[Tolerance used]]&gt;=NearLimit,1,0),0))</f>
        <v>0</v>
      </c>
      <c r="U2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0" s="28" t="s">
        <v>145</v>
      </c>
    </row>
    <row r="21" spans="2:22">
      <c r="B21" s="28" t="s">
        <v>146</v>
      </c>
      <c r="C21" s="30">
        <v>2</v>
      </c>
      <c r="D21" s="28" t="s">
        <v>220</v>
      </c>
      <c r="E21" s="28" t="s">
        <v>105</v>
      </c>
      <c r="F21" s="28" t="s">
        <v>219</v>
      </c>
      <c r="G21" s="41">
        <v>45</v>
      </c>
      <c r="H21" s="41">
        <v>-0.05</v>
      </c>
      <c r="I21" s="41">
        <v>0.05</v>
      </c>
      <c r="J21" s="41">
        <v>44.996</v>
      </c>
      <c r="K21" s="28"/>
      <c r="L21" s="28" t="s">
        <v>221</v>
      </c>
      <c r="M21" s="42" t="str">
        <f>IF(tblChars[[#This Row],[FAI no.]]="","",IFERROR(INDEX(tblFAIs[Part number],MATCH(tblChars[[#This Row],[FAI no.]],tblFAIs[FAI no.],0)),""))</f>
        <v>MB-2210</v>
      </c>
      <c r="N21" s="36">
        <f>IF(tblChars[[#This Row],[FAI no.]]="","",IFERROR(INDEX(tblFAIs[Open],MATCH(tblChars[[#This Row],[FAI no.]],tblFAIs[FAI no.],0)),""))</f>
        <v>0</v>
      </c>
      <c r="O21" s="43">
        <f>IF(tblChars[[#This Row],[FAI no.]]="","",IF(OR(tblChars[[#This Row],[Nominal]]="",tblChars[[#This Row],[Lower tol]]=""),"",tblChars[[#This Row],[Nominal]]+tblChars[[#This Row],[Lower tol]]))</f>
        <v>44.95</v>
      </c>
      <c r="P21" s="43">
        <f>IF(tblChars[[#This Row],[FAI no.]]="","",IF(OR(tblChars[[#This Row],[Nominal]]="",tblChars[[#This Row],[Upper tol]]=""),"",tblChars[[#This Row],[Nominal]]+tblChars[[#This Row],[Upper tol]]))</f>
        <v>45.05</v>
      </c>
      <c r="Q21" s="43">
        <f>IF(tblChars[[#This Row],[FAI no.]]="","",IF(OR(tblChars[[#This Row],[Measured]]="",tblChars[[#This Row],[Nominal]]=""),"",tblChars[[#This Row],[Measured]]-tblChars[[#This Row],[Nominal]]))</f>
        <v>-0.00399999999999778</v>
      </c>
      <c r="R2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0.0799999999999602</v>
      </c>
      <c r="S2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1" s="36">
        <f>IF(tblChars[[#This Row],[FAI no.]]="","",IF(AND(tblChars[[#This Row],[Result]]="PASS",ISNUMBER(tblChars[[#This Row],[Tolerance used]])),IF(tblChars[[#This Row],[Tolerance used]]&gt;=NearLimit,1,0),0))</f>
        <v>0</v>
      </c>
      <c r="U2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1" s="28" t="s">
        <v>145</v>
      </c>
    </row>
    <row r="22" spans="2:22">
      <c r="B22" s="28" t="s">
        <v>146</v>
      </c>
      <c r="C22" s="30">
        <v>3</v>
      </c>
      <c r="D22" s="28" t="s">
        <v>222</v>
      </c>
      <c r="E22" s="28" t="s">
        <v>105</v>
      </c>
      <c r="F22" s="28" t="s">
        <v>219</v>
      </c>
      <c r="G22" s="41">
        <v>20</v>
      </c>
      <c r="H22" s="41">
        <v>0</v>
      </c>
      <c r="I22" s="41">
        <v>0.021</v>
      </c>
      <c r="J22" s="41">
        <v>20.02</v>
      </c>
      <c r="K22" s="28"/>
      <c r="L22" s="28" t="s">
        <v>223</v>
      </c>
      <c r="M22" s="42" t="str">
        <f>IF(tblChars[[#This Row],[FAI no.]]="","",IFERROR(INDEX(tblFAIs[Part number],MATCH(tblChars[[#This Row],[FAI no.]],tblFAIs[FAI no.],0)),""))</f>
        <v>MB-2210</v>
      </c>
      <c r="N22" s="36">
        <f>IF(tblChars[[#This Row],[FAI no.]]="","",IFERROR(INDEX(tblFAIs[Open],MATCH(tblChars[[#This Row],[FAI no.]],tblFAIs[FAI no.],0)),""))</f>
        <v>0</v>
      </c>
      <c r="O22" s="43">
        <f>IF(tblChars[[#This Row],[FAI no.]]="","",IF(OR(tblChars[[#This Row],[Nominal]]="",tblChars[[#This Row],[Lower tol]]=""),"",tblChars[[#This Row],[Nominal]]+tblChars[[#This Row],[Lower tol]]))</f>
        <v>20</v>
      </c>
      <c r="P22" s="43">
        <f>IF(tblChars[[#This Row],[FAI no.]]="","",IF(OR(tblChars[[#This Row],[Nominal]]="",tblChars[[#This Row],[Upper tol]]=""),"",tblChars[[#This Row],[Nominal]]+tblChars[[#This Row],[Upper tol]]))</f>
        <v>20.021</v>
      </c>
      <c r="Q22" s="43">
        <f>IF(tblChars[[#This Row],[FAI no.]]="","",IF(OR(tblChars[[#This Row],[Measured]]="",tblChars[[#This Row],[Nominal]]=""),"",tblChars[[#This Row],[Measured]]-tblChars[[#This Row],[Nominal]]))</f>
        <v>0.0199999999999996</v>
      </c>
      <c r="R2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0.904761904761792</v>
      </c>
      <c r="S2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2" s="36">
        <f>IF(tblChars[[#This Row],[FAI no.]]="","",IF(AND(tblChars[[#This Row],[Result]]="PASS",ISNUMBER(tblChars[[#This Row],[Tolerance used]])),IF(tblChars[[#This Row],[Tolerance used]]&gt;=NearLimit,1,0),0))</f>
        <v>1</v>
      </c>
      <c r="U2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2" s="28" t="s">
        <v>145</v>
      </c>
    </row>
    <row r="23" spans="2:22">
      <c r="B23" s="28" t="s">
        <v>146</v>
      </c>
      <c r="C23" s="30">
        <v>4</v>
      </c>
      <c r="D23" s="28" t="s">
        <v>224</v>
      </c>
      <c r="E23" s="28" t="s">
        <v>107</v>
      </c>
      <c r="F23" s="28" t="s">
        <v>219</v>
      </c>
      <c r="G23" s="41">
        <v>0</v>
      </c>
      <c r="H23" s="41"/>
      <c r="I23" s="41">
        <v>0.05</v>
      </c>
      <c r="J23" s="41">
        <v>0.064</v>
      </c>
      <c r="K23" s="28"/>
      <c r="L23" s="28" t="s">
        <v>221</v>
      </c>
      <c r="M23" s="42" t="str">
        <f>IF(tblChars[[#This Row],[FAI no.]]="","",IFERROR(INDEX(tblFAIs[Part number],MATCH(tblChars[[#This Row],[FAI no.]],tblFAIs[FAI no.],0)),""))</f>
        <v>MB-2210</v>
      </c>
      <c r="N23" s="36">
        <f>IF(tblChars[[#This Row],[FAI no.]]="","",IFERROR(INDEX(tblFAIs[Open],MATCH(tblChars[[#This Row],[FAI no.]],tblFAIs[FAI no.],0)),""))</f>
        <v>0</v>
      </c>
      <c r="O23" s="43">
        <f>IF(tblChars[[#This Row],[FAI no.]]="","",IF(OR(tblChars[[#This Row],[Nominal]]="",tblChars[[#This Row],[Lower tol]]=""),"",tblChars[[#This Row],[Nominal]]+tblChars[[#This Row],[Lower tol]]))</f>
        <v/>
      </c>
      <c r="P23" s="43">
        <f>IF(tblChars[[#This Row],[FAI no.]]="","",IF(OR(tblChars[[#This Row],[Nominal]]="",tblChars[[#This Row],[Upper tol]]=""),"",tblChars[[#This Row],[Nominal]]+tblChars[[#This Row],[Upper tol]]))</f>
        <v>0.05</v>
      </c>
      <c r="Q23" s="43">
        <f>IF(tblChars[[#This Row],[FAI no.]]="","",IF(OR(tblChars[[#This Row],[Measured]]="",tblChars[[#This Row],[Nominal]]=""),"",tblChars[[#This Row],[Measured]]-tblChars[[#This Row],[Nominal]]))</f>
        <v>0.064</v>
      </c>
      <c r="R2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1.28</v>
      </c>
      <c r="S2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FAIL</v>
      </c>
      <c r="T23" s="36">
        <f>IF(tblChars[[#This Row],[FAI no.]]="","",IF(AND(tblChars[[#This Row],[Result]]="PASS",ISNUMBER(tblChars[[#This Row],[Tolerance used]])),IF(tblChars[[#This Row],[Tolerance used]]&gt;=NearLimit,1,0),0))</f>
        <v>0</v>
      </c>
      <c r="U2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3" s="28" t="s">
        <v>225</v>
      </c>
    </row>
    <row r="24" spans="2:22">
      <c r="B24" s="28" t="s">
        <v>146</v>
      </c>
      <c r="C24" s="30">
        <v>5</v>
      </c>
      <c r="D24" s="28" t="s">
        <v>226</v>
      </c>
      <c r="E24" s="28" t="s">
        <v>107</v>
      </c>
      <c r="F24" s="28" t="s">
        <v>219</v>
      </c>
      <c r="G24" s="41">
        <v>0</v>
      </c>
      <c r="H24" s="41"/>
      <c r="I24" s="41">
        <v>0.02</v>
      </c>
      <c r="J24" s="41">
        <v>0.013</v>
      </c>
      <c r="K24" s="28"/>
      <c r="L24" s="28" t="s">
        <v>227</v>
      </c>
      <c r="M24" s="42" t="str">
        <f>IF(tblChars[[#This Row],[FAI no.]]="","",IFERROR(INDEX(tblFAIs[Part number],MATCH(tblChars[[#This Row],[FAI no.]],tblFAIs[FAI no.],0)),""))</f>
        <v>MB-2210</v>
      </c>
      <c r="N24" s="36">
        <f>IF(tblChars[[#This Row],[FAI no.]]="","",IFERROR(INDEX(tblFAIs[Open],MATCH(tblChars[[#This Row],[FAI no.]],tblFAIs[FAI no.],0)),""))</f>
        <v>0</v>
      </c>
      <c r="O24" s="43">
        <f>IF(tblChars[[#This Row],[FAI no.]]="","",IF(OR(tblChars[[#This Row],[Nominal]]="",tblChars[[#This Row],[Lower tol]]=""),"",tblChars[[#This Row],[Nominal]]+tblChars[[#This Row],[Lower tol]]))</f>
        <v/>
      </c>
      <c r="P24" s="43">
        <f>IF(tblChars[[#This Row],[FAI no.]]="","",IF(OR(tblChars[[#This Row],[Nominal]]="",tblChars[[#This Row],[Upper tol]]=""),"",tblChars[[#This Row],[Nominal]]+tblChars[[#This Row],[Upper tol]]))</f>
        <v>0.02</v>
      </c>
      <c r="Q24" s="43">
        <f>IF(tblChars[[#This Row],[FAI no.]]="","",IF(OR(tblChars[[#This Row],[Measured]]="",tblChars[[#This Row],[Nominal]]=""),"",tblChars[[#This Row],[Measured]]-tblChars[[#This Row],[Nominal]]))</f>
        <v>0.013</v>
      </c>
      <c r="R2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0.65</v>
      </c>
      <c r="S2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4" s="36">
        <f>IF(tblChars[[#This Row],[FAI no.]]="","",IF(AND(tblChars[[#This Row],[Result]]="PASS",ISNUMBER(tblChars[[#This Row],[Tolerance used]])),IF(tblChars[[#This Row],[Tolerance used]]&gt;=NearLimit,1,0),0))</f>
        <v>0</v>
      </c>
      <c r="U2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4" s="28" t="s">
        <v>145</v>
      </c>
    </row>
    <row r="25" spans="2:22">
      <c r="B25" s="28" t="s">
        <v>146</v>
      </c>
      <c r="C25" s="30">
        <v>6</v>
      </c>
      <c r="D25" s="28" t="s">
        <v>228</v>
      </c>
      <c r="E25" s="28" t="s">
        <v>105</v>
      </c>
      <c r="F25" s="28" t="s">
        <v>219</v>
      </c>
      <c r="G25" s="41">
        <v>8</v>
      </c>
      <c r="H25" s="41">
        <v>0</v>
      </c>
      <c r="I25" s="41">
        <v>0.05</v>
      </c>
      <c r="J25" s="41">
        <v>8.018000000000001</v>
      </c>
      <c r="K25" s="28"/>
      <c r="L25" s="28" t="s">
        <v>221</v>
      </c>
      <c r="M25" s="42" t="str">
        <f>IF(tblChars[[#This Row],[FAI no.]]="","",IFERROR(INDEX(tblFAIs[Part number],MATCH(tblChars[[#This Row],[FAI no.]],tblFAIs[FAI no.],0)),""))</f>
        <v>MB-2210</v>
      </c>
      <c r="N25" s="36">
        <f>IF(tblChars[[#This Row],[FAI no.]]="","",IFERROR(INDEX(tblFAIs[Open],MATCH(tblChars[[#This Row],[FAI no.]],tblFAIs[FAI no.],0)),""))</f>
        <v>0</v>
      </c>
      <c r="O25" s="43">
        <f>IF(tblChars[[#This Row],[FAI no.]]="","",IF(OR(tblChars[[#This Row],[Nominal]]="",tblChars[[#This Row],[Lower tol]]=""),"",tblChars[[#This Row],[Nominal]]+tblChars[[#This Row],[Lower tol]]))</f>
        <v>8</v>
      </c>
      <c r="P25" s="43">
        <f>IF(tblChars[[#This Row],[FAI no.]]="","",IF(OR(tblChars[[#This Row],[Nominal]]="",tblChars[[#This Row],[Upper tol]]=""),"",tblChars[[#This Row],[Nominal]]+tblChars[[#This Row],[Upper tol]]))</f>
        <v>8.05</v>
      </c>
      <c r="Q25" s="43">
        <f>IF(tblChars[[#This Row],[FAI no.]]="","",IF(OR(tblChars[[#This Row],[Measured]]="",tblChars[[#This Row],[Nominal]]=""),"",tblChars[[#This Row],[Measured]]-tblChars[[#This Row],[Nominal]]))</f>
        <v>0.0180000000000007</v>
      </c>
      <c r="R2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0.279999999999983</v>
      </c>
      <c r="S2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5" s="36">
        <f>IF(tblChars[[#This Row],[FAI no.]]="","",IF(AND(tblChars[[#This Row],[Result]]="PASS",ISNUMBER(tblChars[[#This Row],[Tolerance used]])),IF(tblChars[[#This Row],[Tolerance used]]&gt;=NearLimit,1,0),0))</f>
        <v>0</v>
      </c>
      <c r="U2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5" s="28" t="s">
        <v>145</v>
      </c>
    </row>
    <row r="26" spans="2:22">
      <c r="B26" s="28" t="s">
        <v>146</v>
      </c>
      <c r="C26" s="30">
        <v>7</v>
      </c>
      <c r="D26" s="28" t="s">
        <v>229</v>
      </c>
      <c r="E26" s="28" t="s">
        <v>105</v>
      </c>
      <c r="F26" s="28" t="s">
        <v>219</v>
      </c>
      <c r="G26" s="41">
        <v>6.5</v>
      </c>
      <c r="H26" s="41">
        <v>-0.1</v>
      </c>
      <c r="I26" s="41">
        <v>0.1</v>
      </c>
      <c r="J26" s="41">
        <v>6.511</v>
      </c>
      <c r="K26" s="28"/>
      <c r="L26" s="28" t="s">
        <v>227</v>
      </c>
      <c r="M26" s="42" t="str">
        <f>IF(tblChars[[#This Row],[FAI no.]]="","",IFERROR(INDEX(tblFAIs[Part number],MATCH(tblChars[[#This Row],[FAI no.]],tblFAIs[FAI no.],0)),""))</f>
        <v>MB-2210</v>
      </c>
      <c r="N26" s="36">
        <f>IF(tblChars[[#This Row],[FAI no.]]="","",IFERROR(INDEX(tblFAIs[Open],MATCH(tblChars[[#This Row],[FAI no.]],tblFAIs[FAI no.],0)),""))</f>
        <v>0</v>
      </c>
      <c r="O26" s="43">
        <f>IF(tblChars[[#This Row],[FAI no.]]="","",IF(OR(tblChars[[#This Row],[Nominal]]="",tblChars[[#This Row],[Lower tol]]=""),"",tblChars[[#This Row],[Nominal]]+tblChars[[#This Row],[Lower tol]]))</f>
        <v>6.4</v>
      </c>
      <c r="P26" s="43">
        <f>IF(tblChars[[#This Row],[FAI no.]]="","",IF(OR(tblChars[[#This Row],[Nominal]]="",tblChars[[#This Row],[Upper tol]]=""),"",tblChars[[#This Row],[Nominal]]+tblChars[[#This Row],[Upper tol]]))</f>
        <v>6.6</v>
      </c>
      <c r="Q26" s="43">
        <f>IF(tblChars[[#This Row],[FAI no.]]="","",IF(OR(tblChars[[#This Row],[Measured]]="",tblChars[[#This Row],[Nominal]]=""),"",tblChars[[#This Row],[Measured]]-tblChars[[#This Row],[Nominal]]))</f>
        <v>0.0110000000000001</v>
      </c>
      <c r="R2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0.110000000000002</v>
      </c>
      <c r="S2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6" s="36">
        <f>IF(tblChars[[#This Row],[FAI no.]]="","",IF(AND(tblChars[[#This Row],[Result]]="PASS",ISNUMBER(tblChars[[#This Row],[Tolerance used]])),IF(tblChars[[#This Row],[Tolerance used]]&gt;=NearLimit,1,0),0))</f>
        <v>0</v>
      </c>
      <c r="U2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6" s="28" t="s">
        <v>145</v>
      </c>
    </row>
    <row r="27" spans="2:22">
      <c r="B27" s="28" t="s">
        <v>146</v>
      </c>
      <c r="C27" s="30">
        <v>8</v>
      </c>
      <c r="D27" s="28" t="s">
        <v>230</v>
      </c>
      <c r="E27" s="28" t="s">
        <v>109</v>
      </c>
      <c r="F27" s="28" t="s">
        <v>208</v>
      </c>
      <c r="G27" s="41"/>
      <c r="H27" s="41"/>
      <c r="I27" s="41"/>
      <c r="J27" s="41"/>
      <c r="K27" s="28" t="s">
        <v>209</v>
      </c>
      <c r="L27" s="28" t="s">
        <v>210</v>
      </c>
      <c r="M27" s="42" t="str">
        <f>IF(tblChars[[#This Row],[FAI no.]]="","",IFERROR(INDEX(tblFAIs[Part number],MATCH(tblChars[[#This Row],[FAI no.]],tblFAIs[FAI no.],0)),""))</f>
        <v>MB-2210</v>
      </c>
      <c r="N27" s="36">
        <f>IF(tblChars[[#This Row],[FAI no.]]="","",IFERROR(INDEX(tblFAIs[Open],MATCH(tblChars[[#This Row],[FAI no.]],tblFAIs[FAI no.],0)),""))</f>
        <v>0</v>
      </c>
      <c r="O27" s="43">
        <f>IF(tblChars[[#This Row],[FAI no.]]="","",IF(OR(tblChars[[#This Row],[Nominal]]="",tblChars[[#This Row],[Lower tol]]=""),"",tblChars[[#This Row],[Nominal]]+tblChars[[#This Row],[Lower tol]]))</f>
        <v/>
      </c>
      <c r="P27" s="43">
        <f>IF(tblChars[[#This Row],[FAI no.]]="","",IF(OR(tblChars[[#This Row],[Nominal]]="",tblChars[[#This Row],[Upper tol]]=""),"",tblChars[[#This Row],[Nominal]]+tblChars[[#This Row],[Upper tol]]))</f>
        <v/>
      </c>
      <c r="Q27" s="43">
        <f>IF(tblChars[[#This Row],[FAI no.]]="","",IF(OR(tblChars[[#This Row],[Measured]]="",tblChars[[#This Row],[Nominal]]=""),"",tblChars[[#This Row],[Measured]]-tblChars[[#This Row],[Nominal]]))</f>
        <v/>
      </c>
      <c r="R2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2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7" s="36">
        <f>IF(tblChars[[#This Row],[FAI no.]]="","",IF(AND(tblChars[[#This Row],[Result]]="PASS",ISNUMBER(tblChars[[#This Row],[Tolerance used]])),IF(tblChars[[#This Row],[Tolerance used]]&gt;=NearLimit,1,0),0))</f>
        <v>0</v>
      </c>
      <c r="U2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7" s="28" t="s">
        <v>145</v>
      </c>
    </row>
    <row r="28" spans="2:22">
      <c r="B28" s="28" t="s">
        <v>146</v>
      </c>
      <c r="C28" s="30">
        <v>9</v>
      </c>
      <c r="D28" s="28" t="s">
        <v>231</v>
      </c>
      <c r="E28" s="28" t="s">
        <v>111</v>
      </c>
      <c r="F28" s="28" t="s">
        <v>232</v>
      </c>
      <c r="G28" s="41">
        <v>0</v>
      </c>
      <c r="H28" s="41"/>
      <c r="I28" s="41">
        <v>0.8</v>
      </c>
      <c r="J28" s="41">
        <v>0.22</v>
      </c>
      <c r="K28" s="28"/>
      <c r="L28" s="28" t="s">
        <v>213</v>
      </c>
      <c r="M28" s="42" t="str">
        <f>IF(tblChars[[#This Row],[FAI no.]]="","",IFERROR(INDEX(tblFAIs[Part number],MATCH(tblChars[[#This Row],[FAI no.]],tblFAIs[FAI no.],0)),""))</f>
        <v>MB-2210</v>
      </c>
      <c r="N28" s="36">
        <f>IF(tblChars[[#This Row],[FAI no.]]="","",IFERROR(INDEX(tblFAIs[Open],MATCH(tblChars[[#This Row],[FAI no.]],tblFAIs[FAI no.],0)),""))</f>
        <v>0</v>
      </c>
      <c r="O28" s="43">
        <f>IF(tblChars[[#This Row],[FAI no.]]="","",IF(OR(tblChars[[#This Row],[Nominal]]="",tblChars[[#This Row],[Lower tol]]=""),"",tblChars[[#This Row],[Nominal]]+tblChars[[#This Row],[Lower tol]]))</f>
        <v/>
      </c>
      <c r="P28" s="43">
        <f>IF(tblChars[[#This Row],[FAI no.]]="","",IF(OR(tblChars[[#This Row],[Nominal]]="",tblChars[[#This Row],[Upper tol]]=""),"",tblChars[[#This Row],[Nominal]]+tblChars[[#This Row],[Upper tol]]))</f>
        <v>0.8</v>
      </c>
      <c r="Q28" s="43">
        <f>IF(tblChars[[#This Row],[FAI no.]]="","",IF(OR(tblChars[[#This Row],[Measured]]="",tblChars[[#This Row],[Nominal]]=""),"",tblChars[[#This Row],[Measured]]-tblChars[[#This Row],[Nominal]]))</f>
        <v>0.22</v>
      </c>
      <c r="R2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0.275</v>
      </c>
      <c r="S2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8" s="36">
        <f>IF(tblChars[[#This Row],[FAI no.]]="","",IF(AND(tblChars[[#This Row],[Result]]="PASS",ISNUMBER(tblChars[[#This Row],[Tolerance used]])),IF(tblChars[[#This Row],[Tolerance used]]&gt;=NearLimit,1,0),0))</f>
        <v>0</v>
      </c>
      <c r="U2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8" s="28" t="s">
        <v>145</v>
      </c>
    </row>
    <row r="29" spans="2:22">
      <c r="B29" s="28" t="s">
        <v>146</v>
      </c>
      <c r="C29" s="30">
        <v>10</v>
      </c>
      <c r="D29" s="28" t="s">
        <v>233</v>
      </c>
      <c r="E29" s="28" t="s">
        <v>105</v>
      </c>
      <c r="F29" s="28" t="s">
        <v>234</v>
      </c>
      <c r="G29" s="41">
        <v>45</v>
      </c>
      <c r="H29" s="41">
        <v>-1</v>
      </c>
      <c r="I29" s="41">
        <v>1</v>
      </c>
      <c r="J29" s="41">
        <v>45.2</v>
      </c>
      <c r="K29" s="28"/>
      <c r="L29" s="28" t="s">
        <v>196</v>
      </c>
      <c r="M29" s="42" t="str">
        <f>IF(tblChars[[#This Row],[FAI no.]]="","",IFERROR(INDEX(tblFAIs[Part number],MATCH(tblChars[[#This Row],[FAI no.]],tblFAIs[FAI no.],0)),""))</f>
        <v>MB-2210</v>
      </c>
      <c r="N29" s="36">
        <f>IF(tblChars[[#This Row],[FAI no.]]="","",IFERROR(INDEX(tblFAIs[Open],MATCH(tblChars[[#This Row],[FAI no.]],tblFAIs[FAI no.],0)),""))</f>
        <v>0</v>
      </c>
      <c r="O29" s="43">
        <f>IF(tblChars[[#This Row],[FAI no.]]="","",IF(OR(tblChars[[#This Row],[Nominal]]="",tblChars[[#This Row],[Lower tol]]=""),"",tblChars[[#This Row],[Nominal]]+tblChars[[#This Row],[Lower tol]]))</f>
        <v>44</v>
      </c>
      <c r="P29" s="43">
        <f>IF(tblChars[[#This Row],[FAI no.]]="","",IF(OR(tblChars[[#This Row],[Nominal]]="",tblChars[[#This Row],[Upper tol]]=""),"",tblChars[[#This Row],[Nominal]]+tblChars[[#This Row],[Upper tol]]))</f>
        <v>46</v>
      </c>
      <c r="Q29" s="43">
        <f>IF(tblChars[[#This Row],[FAI no.]]="","",IF(OR(tblChars[[#This Row],[Measured]]="",tblChars[[#This Row],[Nominal]]=""),"",tblChars[[#This Row],[Measured]]-tblChars[[#This Row],[Nominal]]))</f>
        <v>0.200000000000003</v>
      </c>
      <c r="R2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0.200000000000003</v>
      </c>
      <c r="S2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29" s="36">
        <f>IF(tblChars[[#This Row],[FAI no.]]="","",IF(AND(tblChars[[#This Row],[Result]]="PASS",ISNUMBER(tblChars[[#This Row],[Tolerance used]])),IF(tblChars[[#This Row],[Tolerance used]]&gt;=NearLimit,1,0),0))</f>
        <v>0</v>
      </c>
      <c r="U2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29" s="28" t="s">
        <v>145</v>
      </c>
    </row>
    <row r="30" spans="2:22">
      <c r="B30" s="28" t="s">
        <v>146</v>
      </c>
      <c r="C30" s="30">
        <v>11</v>
      </c>
      <c r="D30" s="28" t="s">
        <v>235</v>
      </c>
      <c r="E30" s="28" t="s">
        <v>115</v>
      </c>
      <c r="F30" s="28" t="s">
        <v>208</v>
      </c>
      <c r="G30" s="41"/>
      <c r="H30" s="41"/>
      <c r="I30" s="41"/>
      <c r="J30" s="41"/>
      <c r="K30" s="28" t="s">
        <v>209</v>
      </c>
      <c r="L30" s="28" t="s">
        <v>217</v>
      </c>
      <c r="M30" s="42" t="str">
        <f>IF(tblChars[[#This Row],[FAI no.]]="","",IFERROR(INDEX(tblFAIs[Part number],MATCH(tblChars[[#This Row],[FAI no.]],tblFAIs[FAI no.],0)),""))</f>
        <v>MB-2210</v>
      </c>
      <c r="N30" s="36">
        <f>IF(tblChars[[#This Row],[FAI no.]]="","",IFERROR(INDEX(tblFAIs[Open],MATCH(tblChars[[#This Row],[FAI no.]],tblFAIs[FAI no.],0)),""))</f>
        <v>0</v>
      </c>
      <c r="O30" s="43">
        <f>IF(tblChars[[#This Row],[FAI no.]]="","",IF(OR(tblChars[[#This Row],[Nominal]]="",tblChars[[#This Row],[Lower tol]]=""),"",tblChars[[#This Row],[Nominal]]+tblChars[[#This Row],[Lower tol]]))</f>
        <v/>
      </c>
      <c r="P30" s="43">
        <f>IF(tblChars[[#This Row],[FAI no.]]="","",IF(OR(tblChars[[#This Row],[Nominal]]="",tblChars[[#This Row],[Upper tol]]=""),"",tblChars[[#This Row],[Nominal]]+tblChars[[#This Row],[Upper tol]]))</f>
        <v/>
      </c>
      <c r="Q30" s="43">
        <f>IF(tblChars[[#This Row],[FAI no.]]="","",IF(OR(tblChars[[#This Row],[Measured]]="",tblChars[[#This Row],[Nominal]]=""),"",tblChars[[#This Row],[Measured]]-tblChars[[#This Row],[Nominal]]))</f>
        <v/>
      </c>
      <c r="R3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3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0" s="36">
        <f>IF(tblChars[[#This Row],[FAI no.]]="","",IF(AND(tblChars[[#This Row],[Result]]="PASS",ISNUMBER(tblChars[[#This Row],[Tolerance used]])),IF(tblChars[[#This Row],[Tolerance used]]&gt;=NearLimit,1,0),0))</f>
        <v>0</v>
      </c>
      <c r="U3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0" s="28" t="s">
        <v>145</v>
      </c>
    </row>
    <row r="31" spans="2:22">
      <c r="B31" s="28" t="s">
        <v>146</v>
      </c>
      <c r="C31" s="30">
        <v>12</v>
      </c>
      <c r="D31" s="28" t="s">
        <v>236</v>
      </c>
      <c r="E31" s="28" t="s">
        <v>113</v>
      </c>
      <c r="F31" s="28" t="s">
        <v>208</v>
      </c>
      <c r="G31" s="41"/>
      <c r="H31" s="41"/>
      <c r="I31" s="41"/>
      <c r="J31" s="41"/>
      <c r="K31" s="28" t="s">
        <v>209</v>
      </c>
      <c r="L31" s="28" t="s">
        <v>217</v>
      </c>
      <c r="M31" s="42" t="str">
        <f>IF(tblChars[[#This Row],[FAI no.]]="","",IFERROR(INDEX(tblFAIs[Part number],MATCH(tblChars[[#This Row],[FAI no.]],tblFAIs[FAI no.],0)),""))</f>
        <v>MB-2210</v>
      </c>
      <c r="N31" s="36">
        <f>IF(tblChars[[#This Row],[FAI no.]]="","",IFERROR(INDEX(tblFAIs[Open],MATCH(tblChars[[#This Row],[FAI no.]],tblFAIs[FAI no.],0)),""))</f>
        <v>0</v>
      </c>
      <c r="O31" s="43">
        <f>IF(tblChars[[#This Row],[FAI no.]]="","",IF(OR(tblChars[[#This Row],[Nominal]]="",tblChars[[#This Row],[Lower tol]]=""),"",tblChars[[#This Row],[Nominal]]+tblChars[[#This Row],[Lower tol]]))</f>
        <v/>
      </c>
      <c r="P31" s="43">
        <f>IF(tblChars[[#This Row],[FAI no.]]="","",IF(OR(tblChars[[#This Row],[Nominal]]="",tblChars[[#This Row],[Upper tol]]=""),"",tblChars[[#This Row],[Nominal]]+tblChars[[#This Row],[Upper tol]]))</f>
        <v/>
      </c>
      <c r="Q31" s="43">
        <f>IF(tblChars[[#This Row],[FAI no.]]="","",IF(OR(tblChars[[#This Row],[Measured]]="",tblChars[[#This Row],[Nominal]]=""),"",tblChars[[#This Row],[Measured]]-tblChars[[#This Row],[Nominal]]))</f>
        <v/>
      </c>
      <c r="R3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3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1" s="36">
        <f>IF(tblChars[[#This Row],[FAI no.]]="","",IF(AND(tblChars[[#This Row],[Result]]="PASS",ISNUMBER(tblChars[[#This Row],[Tolerance used]])),IF(tblChars[[#This Row],[Tolerance used]]&gt;=NearLimit,1,0),0))</f>
        <v>0</v>
      </c>
      <c r="U3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1" s="28" t="s">
        <v>145</v>
      </c>
    </row>
    <row r="32" spans="2:22">
      <c r="B32" s="28" t="s">
        <v>151</v>
      </c>
      <c r="C32" s="30">
        <v>1</v>
      </c>
      <c r="D32" s="28" t="s">
        <v>237</v>
      </c>
      <c r="E32" s="28" t="s">
        <v>105</v>
      </c>
      <c r="F32" s="28" t="s">
        <v>219</v>
      </c>
      <c r="G32" s="41">
        <v>32</v>
      </c>
      <c r="H32" s="41">
        <v>-0.05</v>
      </c>
      <c r="I32" s="41">
        <v>0.05</v>
      </c>
      <c r="J32" s="41">
        <v>31.999</v>
      </c>
      <c r="K32" s="28"/>
      <c r="L32" s="28" t="s">
        <v>227</v>
      </c>
      <c r="M32" s="42" t="str">
        <f>IF(tblChars[[#This Row],[FAI no.]]="","",IFERROR(INDEX(tblFAIs[Part number],MATCH(tblChars[[#This Row],[FAI no.]],tblFAIs[FAI no.],0)),""))</f>
        <v>SC-0412</v>
      </c>
      <c r="N32" s="36">
        <f>IF(tblChars[[#This Row],[FAI no.]]="","",IFERROR(INDEX(tblFAIs[Open],MATCH(tblChars[[#This Row],[FAI no.]],tblFAIs[FAI no.],0)),""))</f>
        <v>0</v>
      </c>
      <c r="O32" s="43">
        <f>IF(tblChars[[#This Row],[FAI no.]]="","",IF(OR(tblChars[[#This Row],[Nominal]]="",tblChars[[#This Row],[Lower tol]]=""),"",tblChars[[#This Row],[Nominal]]+tblChars[[#This Row],[Lower tol]]))</f>
        <v>31.95</v>
      </c>
      <c r="P32" s="43">
        <f>IF(tblChars[[#This Row],[FAI no.]]="","",IF(OR(tblChars[[#This Row],[Nominal]]="",tblChars[[#This Row],[Upper tol]]=""),"",tblChars[[#This Row],[Nominal]]+tblChars[[#This Row],[Upper tol]]))</f>
        <v>32.05</v>
      </c>
      <c r="Q32" s="43">
        <f>IF(tblChars[[#This Row],[FAI no.]]="","",IF(OR(tblChars[[#This Row],[Measured]]="",tblChars[[#This Row],[Nominal]]=""),"",tblChars[[#This Row],[Measured]]-tblChars[[#This Row],[Nominal]]))</f>
        <v>-0.00100000000000122</v>
      </c>
      <c r="R3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0.0200000000000249</v>
      </c>
      <c r="S3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2" s="36">
        <f>IF(tblChars[[#This Row],[FAI no.]]="","",IF(AND(tblChars[[#This Row],[Result]]="PASS",ISNUMBER(tblChars[[#This Row],[Tolerance used]])),IF(tblChars[[#This Row],[Tolerance used]]&gt;=NearLimit,1,0),0))</f>
        <v>0</v>
      </c>
      <c r="U3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2" s="28" t="s">
        <v>145</v>
      </c>
    </row>
    <row r="33" spans="2:22">
      <c r="B33" s="28" t="s">
        <v>151</v>
      </c>
      <c r="C33" s="30">
        <v>2</v>
      </c>
      <c r="D33" s="28" t="s">
        <v>238</v>
      </c>
      <c r="E33" s="28" t="s">
        <v>105</v>
      </c>
      <c r="F33" s="28" t="s">
        <v>219</v>
      </c>
      <c r="G33" s="41">
        <v>4.2</v>
      </c>
      <c r="H33" s="41">
        <v>-0.02</v>
      </c>
      <c r="I33" s="41">
        <v>0.02</v>
      </c>
      <c r="J33" s="41">
        <v>4.201</v>
      </c>
      <c r="K33" s="28"/>
      <c r="L33" s="28" t="s">
        <v>227</v>
      </c>
      <c r="M33" s="42" t="str">
        <f>IF(tblChars[[#This Row],[FAI no.]]="","",IFERROR(INDEX(tblFAIs[Part number],MATCH(tblChars[[#This Row],[FAI no.]],tblFAIs[FAI no.],0)),""))</f>
        <v>SC-0412</v>
      </c>
      <c r="N33" s="36">
        <f>IF(tblChars[[#This Row],[FAI no.]]="","",IFERROR(INDEX(tblFAIs[Open],MATCH(tblChars[[#This Row],[FAI no.]],tblFAIs[FAI no.],0)),""))</f>
        <v>0</v>
      </c>
      <c r="O33" s="43">
        <f>IF(tblChars[[#This Row],[FAI no.]]="","",IF(OR(tblChars[[#This Row],[Nominal]]="",tblChars[[#This Row],[Lower tol]]=""),"",tblChars[[#This Row],[Nominal]]+tblChars[[#This Row],[Lower tol]]))</f>
        <v>4.18</v>
      </c>
      <c r="P33" s="43">
        <f>IF(tblChars[[#This Row],[FAI no.]]="","",IF(OR(tblChars[[#This Row],[Nominal]]="",tblChars[[#This Row],[Upper tol]]=""),"",tblChars[[#This Row],[Nominal]]+tblChars[[#This Row],[Upper tol]]))</f>
        <v>4.22</v>
      </c>
      <c r="Q33" s="43">
        <f>IF(tblChars[[#This Row],[FAI no.]]="","",IF(OR(tblChars[[#This Row],[Measured]]="",tblChars[[#This Row],[Nominal]]=""),"",tblChars[[#This Row],[Measured]]-tblChars[[#This Row],[Nominal]]))</f>
        <v>0.000999999999999446</v>
      </c>
      <c r="R3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0.0499999999999734</v>
      </c>
      <c r="S3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3" s="36">
        <f>IF(tblChars[[#This Row],[FAI no.]]="","",IF(AND(tblChars[[#This Row],[Result]]="PASS",ISNUMBER(tblChars[[#This Row],[Tolerance used]])),IF(tblChars[[#This Row],[Tolerance used]]&gt;=NearLimit,1,0),0))</f>
        <v>0</v>
      </c>
      <c r="U3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3" s="28" t="s">
        <v>145</v>
      </c>
    </row>
    <row r="34" spans="2:22">
      <c r="B34" s="28" t="s">
        <v>151</v>
      </c>
      <c r="C34" s="30">
        <v>3</v>
      </c>
      <c r="D34" s="28" t="s">
        <v>239</v>
      </c>
      <c r="E34" s="28" t="s">
        <v>105</v>
      </c>
      <c r="F34" s="28" t="s">
        <v>219</v>
      </c>
      <c r="G34" s="41">
        <v>0.6</v>
      </c>
      <c r="H34" s="41">
        <v>-0.01</v>
      </c>
      <c r="I34" s="41">
        <v>0.01</v>
      </c>
      <c r="J34" s="41">
        <v>0.605</v>
      </c>
      <c r="K34" s="28"/>
      <c r="L34" s="28" t="s">
        <v>223</v>
      </c>
      <c r="M34" s="42" t="str">
        <f>IF(tblChars[[#This Row],[FAI no.]]="","",IFERROR(INDEX(tblFAIs[Part number],MATCH(tblChars[[#This Row],[FAI no.]],tblFAIs[FAI no.],0)),""))</f>
        <v>SC-0412</v>
      </c>
      <c r="N34" s="36">
        <f>IF(tblChars[[#This Row],[FAI no.]]="","",IFERROR(INDEX(tblFAIs[Open],MATCH(tblChars[[#This Row],[FAI no.]],tblFAIs[FAI no.],0)),""))</f>
        <v>0</v>
      </c>
      <c r="O34" s="43">
        <f>IF(tblChars[[#This Row],[FAI no.]]="","",IF(OR(tblChars[[#This Row],[Nominal]]="",tblChars[[#This Row],[Lower tol]]=""),"",tblChars[[#This Row],[Nominal]]+tblChars[[#This Row],[Lower tol]]))</f>
        <v>0.59</v>
      </c>
      <c r="P34" s="43">
        <f>IF(tblChars[[#This Row],[FAI no.]]="","",IF(OR(tblChars[[#This Row],[Nominal]]="",tblChars[[#This Row],[Upper tol]]=""),"",tblChars[[#This Row],[Nominal]]+tblChars[[#This Row],[Upper tol]]))</f>
        <v>0.61</v>
      </c>
      <c r="Q34" s="43">
        <f>IF(tblChars[[#This Row],[FAI no.]]="","",IF(OR(tblChars[[#This Row],[Measured]]="",tblChars[[#This Row],[Nominal]]=""),"",tblChars[[#This Row],[Measured]]-tblChars[[#This Row],[Nominal]]))</f>
        <v>0.005</v>
      </c>
      <c r="R3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0.5</v>
      </c>
      <c r="S3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4" s="36">
        <f>IF(tblChars[[#This Row],[FAI no.]]="","",IF(AND(tblChars[[#This Row],[Result]]="PASS",ISNUMBER(tblChars[[#This Row],[Tolerance used]])),IF(tblChars[[#This Row],[Tolerance used]]&gt;=NearLimit,1,0),0))</f>
        <v>0</v>
      </c>
      <c r="U3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4" s="28" t="s">
        <v>145</v>
      </c>
    </row>
    <row r="35" spans="2:22">
      <c r="B35" s="28" t="s">
        <v>151</v>
      </c>
      <c r="C35" s="30">
        <v>6</v>
      </c>
      <c r="D35" s="28" t="s">
        <v>240</v>
      </c>
      <c r="E35" s="28" t="s">
        <v>115</v>
      </c>
      <c r="F35" s="28" t="s">
        <v>208</v>
      </c>
      <c r="G35" s="41"/>
      <c r="H35" s="41"/>
      <c r="I35" s="41"/>
      <c r="J35" s="41"/>
      <c r="K35" s="28" t="s">
        <v>209</v>
      </c>
      <c r="L35" s="28" t="s">
        <v>217</v>
      </c>
      <c r="M35" s="42" t="str">
        <f>IF(tblChars[[#This Row],[FAI no.]]="","",IFERROR(INDEX(tblFAIs[Part number],MATCH(tblChars[[#This Row],[FAI no.]],tblFAIs[FAI no.],0)),""))</f>
        <v>SC-0412</v>
      </c>
      <c r="N35" s="36">
        <f>IF(tblChars[[#This Row],[FAI no.]]="","",IFERROR(INDEX(tblFAIs[Open],MATCH(tblChars[[#This Row],[FAI no.]],tblFAIs[FAI no.],0)),""))</f>
        <v>0</v>
      </c>
      <c r="O35" s="43">
        <f>IF(tblChars[[#This Row],[FAI no.]]="","",IF(OR(tblChars[[#This Row],[Nominal]]="",tblChars[[#This Row],[Lower tol]]=""),"",tblChars[[#This Row],[Nominal]]+tblChars[[#This Row],[Lower tol]]))</f>
        <v/>
      </c>
      <c r="P35" s="43">
        <f>IF(tblChars[[#This Row],[FAI no.]]="","",IF(OR(tblChars[[#This Row],[Nominal]]="",tblChars[[#This Row],[Upper tol]]=""),"",tblChars[[#This Row],[Nominal]]+tblChars[[#This Row],[Upper tol]]))</f>
        <v/>
      </c>
      <c r="Q35" s="43">
        <f>IF(tblChars[[#This Row],[FAI no.]]="","",IF(OR(tblChars[[#This Row],[Measured]]="",tblChars[[#This Row],[Nominal]]=""),"",tblChars[[#This Row],[Measured]]-tblChars[[#This Row],[Nominal]]))</f>
        <v/>
      </c>
      <c r="R3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3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5" s="36">
        <f>IF(tblChars[[#This Row],[FAI no.]]="","",IF(AND(tblChars[[#This Row],[Result]]="PASS",ISNUMBER(tblChars[[#This Row],[Tolerance used]])),IF(tblChars[[#This Row],[Tolerance used]]&gt;=NearLimit,1,0),0))</f>
        <v>0</v>
      </c>
      <c r="U3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5" s="28" t="s">
        <v>145</v>
      </c>
    </row>
    <row r="36" spans="2:22">
      <c r="B36" s="28" t="s">
        <v>156</v>
      </c>
      <c r="C36" s="30">
        <v>1</v>
      </c>
      <c r="D36" s="28" t="s">
        <v>241</v>
      </c>
      <c r="E36" s="28" t="s">
        <v>105</v>
      </c>
      <c r="F36" s="28" t="s">
        <v>219</v>
      </c>
      <c r="G36" s="41">
        <v>180</v>
      </c>
      <c r="H36" s="41">
        <v>-0.2</v>
      </c>
      <c r="I36" s="41">
        <v>0.2</v>
      </c>
      <c r="J36" s="41">
        <v>179.967</v>
      </c>
      <c r="K36" s="28"/>
      <c r="L36" s="28" t="s">
        <v>221</v>
      </c>
      <c r="M36" s="42" t="str">
        <f>IF(tblChars[[#This Row],[FAI no.]]="","",IFERROR(INDEX(tblFAIs[Part number],MATCH(tblChars[[#This Row],[FAI no.]],tblFAIs[FAI no.],0)),""))</f>
        <v>PH-7701</v>
      </c>
      <c r="N36" s="36">
        <f>IF(tblChars[[#This Row],[FAI no.]]="","",IFERROR(INDEX(tblFAIs[Open],MATCH(tblChars[[#This Row],[FAI no.]],tblFAIs[FAI no.],0)),""))</f>
        <v>0</v>
      </c>
      <c r="O36" s="43">
        <f>IF(tblChars[[#This Row],[FAI no.]]="","",IF(OR(tblChars[[#This Row],[Nominal]]="",tblChars[[#This Row],[Lower tol]]=""),"",tblChars[[#This Row],[Nominal]]+tblChars[[#This Row],[Lower tol]]))</f>
        <v>179.8</v>
      </c>
      <c r="P36" s="43">
        <f>IF(tblChars[[#This Row],[FAI no.]]="","",IF(OR(tblChars[[#This Row],[Nominal]]="",tblChars[[#This Row],[Upper tol]]=""),"",tblChars[[#This Row],[Nominal]]+tblChars[[#This Row],[Upper tol]]))</f>
        <v>180.2</v>
      </c>
      <c r="Q36" s="43">
        <f>IF(tblChars[[#This Row],[FAI no.]]="","",IF(OR(tblChars[[#This Row],[Measured]]="",tblChars[[#This Row],[Nominal]]=""),"",tblChars[[#This Row],[Measured]]-tblChars[[#This Row],[Nominal]]))</f>
        <v>-0.032999999999987</v>
      </c>
      <c r="R3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0.164999999999945</v>
      </c>
      <c r="S3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6" s="36">
        <f>IF(tblChars[[#This Row],[FAI no.]]="","",IF(AND(tblChars[[#This Row],[Result]]="PASS",ISNUMBER(tblChars[[#This Row],[Tolerance used]])),IF(tblChars[[#This Row],[Tolerance used]]&gt;=NearLimit,1,0),0))</f>
        <v>0</v>
      </c>
      <c r="U3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6" s="28" t="s">
        <v>145</v>
      </c>
    </row>
    <row r="37" spans="2:22">
      <c r="B37" s="28" t="s">
        <v>156</v>
      </c>
      <c r="C37" s="30">
        <v>2</v>
      </c>
      <c r="D37" s="28" t="s">
        <v>242</v>
      </c>
      <c r="E37" s="28" t="s">
        <v>105</v>
      </c>
      <c r="F37" s="28" t="s">
        <v>219</v>
      </c>
      <c r="G37" s="41">
        <v>62</v>
      </c>
      <c r="H37" s="41">
        <v>0</v>
      </c>
      <c r="I37" s="41">
        <v>0.03</v>
      </c>
      <c r="J37" s="41">
        <v>62.028</v>
      </c>
      <c r="K37" s="28"/>
      <c r="L37" s="28" t="s">
        <v>196</v>
      </c>
      <c r="M37" s="42" t="str">
        <f>IF(tblChars[[#This Row],[FAI no.]]="","",IFERROR(INDEX(tblFAIs[Part number],MATCH(tblChars[[#This Row],[FAI no.]],tblFAIs[FAI no.],0)),""))</f>
        <v>PH-7701</v>
      </c>
      <c r="N37" s="36">
        <f>IF(tblChars[[#This Row],[FAI no.]]="","",IFERROR(INDEX(tblFAIs[Open],MATCH(tblChars[[#This Row],[FAI no.]],tblFAIs[FAI no.],0)),""))</f>
        <v>0</v>
      </c>
      <c r="O37" s="43">
        <f>IF(tblChars[[#This Row],[FAI no.]]="","",IF(OR(tblChars[[#This Row],[Nominal]]="",tblChars[[#This Row],[Lower tol]]=""),"",tblChars[[#This Row],[Nominal]]+tblChars[[#This Row],[Lower tol]]))</f>
        <v>62</v>
      </c>
      <c r="P37" s="43">
        <f>IF(tblChars[[#This Row],[FAI no.]]="","",IF(OR(tblChars[[#This Row],[Nominal]]="",tblChars[[#This Row],[Upper tol]]=""),"",tblChars[[#This Row],[Nominal]]+tblChars[[#This Row],[Upper tol]]))</f>
        <v>62.03</v>
      </c>
      <c r="Q37" s="43">
        <f>IF(tblChars[[#This Row],[FAI no.]]="","",IF(OR(tblChars[[#This Row],[Measured]]="",tblChars[[#This Row],[Nominal]]=""),"",tblChars[[#This Row],[Measured]]-tblChars[[#This Row],[Nominal]]))</f>
        <v>0.0279999999999987</v>
      </c>
      <c r="R3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0.866666666666509</v>
      </c>
      <c r="S3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7" s="36">
        <f>IF(tblChars[[#This Row],[FAI no.]]="","",IF(AND(tblChars[[#This Row],[Result]]="PASS",ISNUMBER(tblChars[[#This Row],[Tolerance used]])),IF(tblChars[[#This Row],[Tolerance used]]&gt;=NearLimit,1,0),0))</f>
        <v>1</v>
      </c>
      <c r="U3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7" s="28" t="s">
        <v>145</v>
      </c>
    </row>
    <row r="38" spans="2:22">
      <c r="B38" s="28" t="s">
        <v>156</v>
      </c>
      <c r="C38" s="30">
        <v>3</v>
      </c>
      <c r="D38" s="28" t="s">
        <v>243</v>
      </c>
      <c r="E38" s="28" t="s">
        <v>107</v>
      </c>
      <c r="F38" s="28" t="s">
        <v>219</v>
      </c>
      <c r="G38" s="41">
        <v>0</v>
      </c>
      <c r="H38" s="41"/>
      <c r="I38" s="41">
        <v>0.03</v>
      </c>
      <c r="J38" s="41">
        <v>0.027</v>
      </c>
      <c r="K38" s="28"/>
      <c r="L38" s="28" t="s">
        <v>196</v>
      </c>
      <c r="M38" s="42" t="str">
        <f>IF(tblChars[[#This Row],[FAI no.]]="","",IFERROR(INDEX(tblFAIs[Part number],MATCH(tblChars[[#This Row],[FAI no.]],tblFAIs[FAI no.],0)),""))</f>
        <v>PH-7701</v>
      </c>
      <c r="N38" s="36">
        <f>IF(tblChars[[#This Row],[FAI no.]]="","",IFERROR(INDEX(tblFAIs[Open],MATCH(tblChars[[#This Row],[FAI no.]],tblFAIs[FAI no.],0)),""))</f>
        <v>0</v>
      </c>
      <c r="O38" s="43">
        <f>IF(tblChars[[#This Row],[FAI no.]]="","",IF(OR(tblChars[[#This Row],[Nominal]]="",tblChars[[#This Row],[Lower tol]]=""),"",tblChars[[#This Row],[Nominal]]+tblChars[[#This Row],[Lower tol]]))</f>
        <v/>
      </c>
      <c r="P38" s="43">
        <f>IF(tblChars[[#This Row],[FAI no.]]="","",IF(OR(tblChars[[#This Row],[Nominal]]="",tblChars[[#This Row],[Upper tol]]=""),"",tblChars[[#This Row],[Nominal]]+tblChars[[#This Row],[Upper tol]]))</f>
        <v>0.03</v>
      </c>
      <c r="Q38" s="43">
        <f>IF(tblChars[[#This Row],[FAI no.]]="","",IF(OR(tblChars[[#This Row],[Measured]]="",tblChars[[#This Row],[Nominal]]=""),"",tblChars[[#This Row],[Measured]]-tblChars[[#This Row],[Nominal]]))</f>
        <v>0.027</v>
      </c>
      <c r="R3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0.9</v>
      </c>
      <c r="S3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8" s="36">
        <f>IF(tblChars[[#This Row],[FAI no.]]="","",IF(AND(tblChars[[#This Row],[Result]]="PASS",ISNUMBER(tblChars[[#This Row],[Tolerance used]])),IF(tblChars[[#This Row],[Tolerance used]]&gt;=NearLimit,1,0),0))</f>
        <v>1</v>
      </c>
      <c r="U3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8" s="28" t="s">
        <v>145</v>
      </c>
    </row>
    <row r="39" spans="2:22">
      <c r="B39" s="28" t="s">
        <v>156</v>
      </c>
      <c r="C39" s="30">
        <v>4</v>
      </c>
      <c r="D39" s="28" t="s">
        <v>244</v>
      </c>
      <c r="E39" s="28" t="s">
        <v>107</v>
      </c>
      <c r="F39" s="28" t="s">
        <v>219</v>
      </c>
      <c r="G39" s="41">
        <v>0</v>
      </c>
      <c r="H39" s="41"/>
      <c r="I39" s="41">
        <v>0.05</v>
      </c>
      <c r="J39" s="41">
        <v>0.013</v>
      </c>
      <c r="K39" s="28"/>
      <c r="L39" s="28" t="s">
        <v>221</v>
      </c>
      <c r="M39" s="42" t="str">
        <f>IF(tblChars[[#This Row],[FAI no.]]="","",IFERROR(INDEX(tblFAIs[Part number],MATCH(tblChars[[#This Row],[FAI no.]],tblFAIs[FAI no.],0)),""))</f>
        <v>PH-7701</v>
      </c>
      <c r="N39" s="36">
        <f>IF(tblChars[[#This Row],[FAI no.]]="","",IFERROR(INDEX(tblFAIs[Open],MATCH(tblChars[[#This Row],[FAI no.]],tblFAIs[FAI no.],0)),""))</f>
        <v>0</v>
      </c>
      <c r="O39" s="43">
        <f>IF(tblChars[[#This Row],[FAI no.]]="","",IF(OR(tblChars[[#This Row],[Nominal]]="",tblChars[[#This Row],[Lower tol]]=""),"",tblChars[[#This Row],[Nominal]]+tblChars[[#This Row],[Lower tol]]))</f>
        <v/>
      </c>
      <c r="P39" s="43">
        <f>IF(tblChars[[#This Row],[FAI no.]]="","",IF(OR(tblChars[[#This Row],[Nominal]]="",tblChars[[#This Row],[Upper tol]]=""),"",tblChars[[#This Row],[Nominal]]+tblChars[[#This Row],[Upper tol]]))</f>
        <v>0.05</v>
      </c>
      <c r="Q39" s="43">
        <f>IF(tblChars[[#This Row],[FAI no.]]="","",IF(OR(tblChars[[#This Row],[Measured]]="",tblChars[[#This Row],[Nominal]]=""),"",tblChars[[#This Row],[Measured]]-tblChars[[#This Row],[Nominal]]))</f>
        <v>0.013</v>
      </c>
      <c r="R3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0.26</v>
      </c>
      <c r="S3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39" s="36">
        <f>IF(tblChars[[#This Row],[FAI no.]]="","",IF(AND(tblChars[[#This Row],[Result]]="PASS",ISNUMBER(tblChars[[#This Row],[Tolerance used]])),IF(tblChars[[#This Row],[Tolerance used]]&gt;=NearLimit,1,0),0))</f>
        <v>0</v>
      </c>
      <c r="U3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39" s="28" t="s">
        <v>145</v>
      </c>
    </row>
    <row r="40" spans="2:22">
      <c r="B40" s="28" t="s">
        <v>156</v>
      </c>
      <c r="C40" s="30">
        <v>5</v>
      </c>
      <c r="D40" s="28" t="s">
        <v>245</v>
      </c>
      <c r="E40" s="28" t="s">
        <v>107</v>
      </c>
      <c r="F40" s="28" t="s">
        <v>219</v>
      </c>
      <c r="G40" s="41">
        <v>0</v>
      </c>
      <c r="H40" s="41"/>
      <c r="I40" s="41">
        <v>0.1</v>
      </c>
      <c r="J40" s="41">
        <v>0.037</v>
      </c>
      <c r="K40" s="28"/>
      <c r="L40" s="28" t="s">
        <v>223</v>
      </c>
      <c r="M40" s="42" t="str">
        <f>IF(tblChars[[#This Row],[FAI no.]]="","",IFERROR(INDEX(tblFAIs[Part number],MATCH(tblChars[[#This Row],[FAI no.]],tblFAIs[FAI no.],0)),""))</f>
        <v>PH-7701</v>
      </c>
      <c r="N40" s="36">
        <f>IF(tblChars[[#This Row],[FAI no.]]="","",IFERROR(INDEX(tblFAIs[Open],MATCH(tblChars[[#This Row],[FAI no.]],tblFAIs[FAI no.],0)),""))</f>
        <v>0</v>
      </c>
      <c r="O40" s="43">
        <f>IF(tblChars[[#This Row],[FAI no.]]="","",IF(OR(tblChars[[#This Row],[Nominal]]="",tblChars[[#This Row],[Lower tol]]=""),"",tblChars[[#This Row],[Nominal]]+tblChars[[#This Row],[Lower tol]]))</f>
        <v/>
      </c>
      <c r="P40" s="43">
        <f>IF(tblChars[[#This Row],[FAI no.]]="","",IF(OR(tblChars[[#This Row],[Nominal]]="",tblChars[[#This Row],[Upper tol]]=""),"",tblChars[[#This Row],[Nominal]]+tblChars[[#This Row],[Upper tol]]))</f>
        <v>0.1</v>
      </c>
      <c r="Q40" s="43">
        <f>IF(tblChars[[#This Row],[FAI no.]]="","",IF(OR(tblChars[[#This Row],[Measured]]="",tblChars[[#This Row],[Nominal]]=""),"",tblChars[[#This Row],[Measured]]-tblChars[[#This Row],[Nominal]]))</f>
        <v>0.037</v>
      </c>
      <c r="R4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0.37</v>
      </c>
      <c r="S4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0" s="36">
        <f>IF(tblChars[[#This Row],[FAI no.]]="","",IF(AND(tblChars[[#This Row],[Result]]="PASS",ISNUMBER(tblChars[[#This Row],[Tolerance used]])),IF(tblChars[[#This Row],[Tolerance used]]&gt;=NearLimit,1,0),0))</f>
        <v>0</v>
      </c>
      <c r="U4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0" s="28" t="s">
        <v>145</v>
      </c>
    </row>
    <row r="41" spans="2:22">
      <c r="B41" s="28" t="s">
        <v>156</v>
      </c>
      <c r="C41" s="30">
        <v>6</v>
      </c>
      <c r="D41" s="28" t="s">
        <v>246</v>
      </c>
      <c r="E41" s="28" t="s">
        <v>105</v>
      </c>
      <c r="F41" s="28" t="s">
        <v>219</v>
      </c>
      <c r="G41" s="41">
        <v>70</v>
      </c>
      <c r="H41" s="41">
        <v>-0.05</v>
      </c>
      <c r="I41" s="41">
        <v>0.05</v>
      </c>
      <c r="J41" s="41">
        <v>69.996</v>
      </c>
      <c r="K41" s="28"/>
      <c r="L41" s="28" t="s">
        <v>227</v>
      </c>
      <c r="M41" s="42" t="str">
        <f>IF(tblChars[[#This Row],[FAI no.]]="","",IFERROR(INDEX(tblFAIs[Part number],MATCH(tblChars[[#This Row],[FAI no.]],tblFAIs[FAI no.],0)),""))</f>
        <v>PH-7701</v>
      </c>
      <c r="N41" s="36">
        <f>IF(tblChars[[#This Row],[FAI no.]]="","",IFERROR(INDEX(tblFAIs[Open],MATCH(tblChars[[#This Row],[FAI no.]],tblFAIs[FAI no.],0)),""))</f>
        <v>0</v>
      </c>
      <c r="O41" s="43">
        <f>IF(tblChars[[#This Row],[FAI no.]]="","",IF(OR(tblChars[[#This Row],[Nominal]]="",tblChars[[#This Row],[Lower tol]]=""),"",tblChars[[#This Row],[Nominal]]+tblChars[[#This Row],[Lower tol]]))</f>
        <v>69.95</v>
      </c>
      <c r="P41" s="43">
        <f>IF(tblChars[[#This Row],[FAI no.]]="","",IF(OR(tblChars[[#This Row],[Nominal]]="",tblChars[[#This Row],[Upper tol]]=""),"",tblChars[[#This Row],[Nominal]]+tblChars[[#This Row],[Upper tol]]))</f>
        <v>70.05</v>
      </c>
      <c r="Q41" s="43">
        <f>IF(tblChars[[#This Row],[FAI no.]]="","",IF(OR(tblChars[[#This Row],[Measured]]="",tblChars[[#This Row],[Nominal]]=""),"",tblChars[[#This Row],[Measured]]-tblChars[[#This Row],[Nominal]]))</f>
        <v>-0.00400000000000489</v>
      </c>
      <c r="R4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0.0800000000001023</v>
      </c>
      <c r="S4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1" s="36">
        <f>IF(tblChars[[#This Row],[FAI no.]]="","",IF(AND(tblChars[[#This Row],[Result]]="PASS",ISNUMBER(tblChars[[#This Row],[Tolerance used]])),IF(tblChars[[#This Row],[Tolerance used]]&gt;=NearLimit,1,0),0))</f>
        <v>0</v>
      </c>
      <c r="U4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1" s="28" t="s">
        <v>145</v>
      </c>
    </row>
    <row r="42" spans="2:22">
      <c r="B42" s="28" t="s">
        <v>156</v>
      </c>
      <c r="C42" s="30">
        <v>7</v>
      </c>
      <c r="D42" s="28" t="s">
        <v>247</v>
      </c>
      <c r="E42" s="28" t="s">
        <v>105</v>
      </c>
      <c r="F42" s="28" t="s">
        <v>219</v>
      </c>
      <c r="G42" s="41">
        <v>3.6</v>
      </c>
      <c r="H42" s="41">
        <v>0</v>
      </c>
      <c r="I42" s="41">
        <v>0.1</v>
      </c>
      <c r="J42" s="41">
        <v>3.646</v>
      </c>
      <c r="K42" s="28"/>
      <c r="L42" s="28" t="s">
        <v>196</v>
      </c>
      <c r="M42" s="42" t="str">
        <f>IF(tblChars[[#This Row],[FAI no.]]="","",IFERROR(INDEX(tblFAIs[Part number],MATCH(tblChars[[#This Row],[FAI no.]],tblFAIs[FAI no.],0)),""))</f>
        <v>PH-7701</v>
      </c>
      <c r="N42" s="36">
        <f>IF(tblChars[[#This Row],[FAI no.]]="","",IFERROR(INDEX(tblFAIs[Open],MATCH(tblChars[[#This Row],[FAI no.]],tblFAIs[FAI no.],0)),""))</f>
        <v>0</v>
      </c>
      <c r="O42" s="43">
        <f>IF(tblChars[[#This Row],[FAI no.]]="","",IF(OR(tblChars[[#This Row],[Nominal]]="",tblChars[[#This Row],[Lower tol]]=""),"",tblChars[[#This Row],[Nominal]]+tblChars[[#This Row],[Lower tol]]))</f>
        <v>3.6</v>
      </c>
      <c r="P42" s="43">
        <f>IF(tblChars[[#This Row],[FAI no.]]="","",IF(OR(tblChars[[#This Row],[Nominal]]="",tblChars[[#This Row],[Upper tol]]=""),"",tblChars[[#This Row],[Nominal]]+tblChars[[#This Row],[Upper tol]]))</f>
        <v>3.7</v>
      </c>
      <c r="Q42" s="43">
        <f>IF(tblChars[[#This Row],[FAI no.]]="","",IF(OR(tblChars[[#This Row],[Measured]]="",tblChars[[#This Row],[Nominal]]=""),"",tblChars[[#This Row],[Measured]]-tblChars[[#This Row],[Nominal]]))</f>
        <v>0.0459999999999998</v>
      </c>
      <c r="R4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0.0800000000000089</v>
      </c>
      <c r="S4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2" s="36">
        <f>IF(tblChars[[#This Row],[FAI no.]]="","",IF(AND(tblChars[[#This Row],[Result]]="PASS",ISNUMBER(tblChars[[#This Row],[Tolerance used]])),IF(tblChars[[#This Row],[Tolerance used]]&gt;=NearLimit,1,0),0))</f>
        <v>0</v>
      </c>
      <c r="U4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2" s="28" t="s">
        <v>145</v>
      </c>
    </row>
    <row r="43" spans="2:22">
      <c r="B43" s="28" t="s">
        <v>156</v>
      </c>
      <c r="C43" s="30">
        <v>8</v>
      </c>
      <c r="D43" s="28" t="s">
        <v>248</v>
      </c>
      <c r="E43" s="28" t="s">
        <v>111</v>
      </c>
      <c r="F43" s="28" t="s">
        <v>232</v>
      </c>
      <c r="G43" s="41">
        <v>0</v>
      </c>
      <c r="H43" s="41"/>
      <c r="I43" s="41">
        <v>1.6</v>
      </c>
      <c r="J43" s="41">
        <v>1</v>
      </c>
      <c r="K43" s="28"/>
      <c r="L43" s="28" t="s">
        <v>213</v>
      </c>
      <c r="M43" s="42" t="str">
        <f>IF(tblChars[[#This Row],[FAI no.]]="","",IFERROR(INDEX(tblFAIs[Part number],MATCH(tblChars[[#This Row],[FAI no.]],tblFAIs[FAI no.],0)),""))</f>
        <v>PH-7701</v>
      </c>
      <c r="N43" s="36">
        <f>IF(tblChars[[#This Row],[FAI no.]]="","",IFERROR(INDEX(tblFAIs[Open],MATCH(tblChars[[#This Row],[FAI no.]],tblFAIs[FAI no.],0)),""))</f>
        <v>0</v>
      </c>
      <c r="O43" s="43">
        <f>IF(tblChars[[#This Row],[FAI no.]]="","",IF(OR(tblChars[[#This Row],[Nominal]]="",tblChars[[#This Row],[Lower tol]]=""),"",tblChars[[#This Row],[Nominal]]+tblChars[[#This Row],[Lower tol]]))</f>
        <v/>
      </c>
      <c r="P43" s="43">
        <f>IF(tblChars[[#This Row],[FAI no.]]="","",IF(OR(tblChars[[#This Row],[Nominal]]="",tblChars[[#This Row],[Upper tol]]=""),"",tblChars[[#This Row],[Nominal]]+tblChars[[#This Row],[Upper tol]]))</f>
        <v>1.6</v>
      </c>
      <c r="Q43" s="43">
        <f>IF(tblChars[[#This Row],[FAI no.]]="","",IF(OR(tblChars[[#This Row],[Measured]]="",tblChars[[#This Row],[Nominal]]=""),"",tblChars[[#This Row],[Measured]]-tblChars[[#This Row],[Nominal]]))</f>
        <v>1</v>
      </c>
      <c r="R4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0.625</v>
      </c>
      <c r="S4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3" s="36">
        <f>IF(tblChars[[#This Row],[FAI no.]]="","",IF(AND(tblChars[[#This Row],[Result]]="PASS",ISNUMBER(tblChars[[#This Row],[Tolerance used]])),IF(tblChars[[#This Row],[Tolerance used]]&gt;=NearLimit,1,0),0))</f>
        <v>0</v>
      </c>
      <c r="U4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3" s="28" t="s">
        <v>145</v>
      </c>
    </row>
    <row r="44" spans="2:22">
      <c r="B44" s="28" t="s">
        <v>156</v>
      </c>
      <c r="C44" s="30">
        <v>9</v>
      </c>
      <c r="D44" s="28" t="s">
        <v>249</v>
      </c>
      <c r="E44" s="28" t="s">
        <v>109</v>
      </c>
      <c r="F44" s="28" t="s">
        <v>208</v>
      </c>
      <c r="G44" s="41"/>
      <c r="H44" s="41"/>
      <c r="I44" s="41"/>
      <c r="J44" s="41"/>
      <c r="K44" s="28" t="s">
        <v>209</v>
      </c>
      <c r="L44" s="28" t="s">
        <v>210</v>
      </c>
      <c r="M44" s="42" t="str">
        <f>IF(tblChars[[#This Row],[FAI no.]]="","",IFERROR(INDEX(tblFAIs[Part number],MATCH(tblChars[[#This Row],[FAI no.]],tblFAIs[FAI no.],0)),""))</f>
        <v>PH-7701</v>
      </c>
      <c r="N44" s="36">
        <f>IF(tblChars[[#This Row],[FAI no.]]="","",IFERROR(INDEX(tblFAIs[Open],MATCH(tblChars[[#This Row],[FAI no.]],tblFAIs[FAI no.],0)),""))</f>
        <v>0</v>
      </c>
      <c r="O44" s="43">
        <f>IF(tblChars[[#This Row],[FAI no.]]="","",IF(OR(tblChars[[#This Row],[Nominal]]="",tblChars[[#This Row],[Lower tol]]=""),"",tblChars[[#This Row],[Nominal]]+tblChars[[#This Row],[Lower tol]]))</f>
        <v/>
      </c>
      <c r="P44" s="43">
        <f>IF(tblChars[[#This Row],[FAI no.]]="","",IF(OR(tblChars[[#This Row],[Nominal]]="",tblChars[[#This Row],[Upper tol]]=""),"",tblChars[[#This Row],[Nominal]]+tblChars[[#This Row],[Upper tol]]))</f>
        <v/>
      </c>
      <c r="Q44" s="43">
        <f>IF(tblChars[[#This Row],[FAI no.]]="","",IF(OR(tblChars[[#This Row],[Measured]]="",tblChars[[#This Row],[Nominal]]=""),"",tblChars[[#This Row],[Measured]]-tblChars[[#This Row],[Nominal]]))</f>
        <v/>
      </c>
      <c r="R4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4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4" s="36">
        <f>IF(tblChars[[#This Row],[FAI no.]]="","",IF(AND(tblChars[[#This Row],[Result]]="PASS",ISNUMBER(tblChars[[#This Row],[Tolerance used]])),IF(tblChars[[#This Row],[Tolerance used]]&gt;=NearLimit,1,0),0))</f>
        <v>0</v>
      </c>
      <c r="U4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4" s="28" t="s">
        <v>145</v>
      </c>
    </row>
    <row r="45" spans="2:22">
      <c r="B45" s="28" t="s">
        <v>156</v>
      </c>
      <c r="C45" s="30">
        <v>10</v>
      </c>
      <c r="D45" s="28" t="s">
        <v>250</v>
      </c>
      <c r="E45" s="28" t="s">
        <v>105</v>
      </c>
      <c r="F45" s="28" t="s">
        <v>219</v>
      </c>
      <c r="G45" s="41">
        <v>95</v>
      </c>
      <c r="H45" s="41">
        <v>-0.1</v>
      </c>
      <c r="I45" s="41">
        <v>0.1</v>
      </c>
      <c r="J45" s="41">
        <v>94.98999999999999</v>
      </c>
      <c r="K45" s="28"/>
      <c r="L45" s="28" t="s">
        <v>221</v>
      </c>
      <c r="M45" s="42" t="str">
        <f>IF(tblChars[[#This Row],[FAI no.]]="","",IFERROR(INDEX(tblFAIs[Part number],MATCH(tblChars[[#This Row],[FAI no.]],tblFAIs[FAI no.],0)),""))</f>
        <v>PH-7701</v>
      </c>
      <c r="N45" s="36">
        <f>IF(tblChars[[#This Row],[FAI no.]]="","",IFERROR(INDEX(tblFAIs[Open],MATCH(tblChars[[#This Row],[FAI no.]],tblFAIs[FAI no.],0)),""))</f>
        <v>0</v>
      </c>
      <c r="O45" s="43">
        <f>IF(tblChars[[#This Row],[FAI no.]]="","",IF(OR(tblChars[[#This Row],[Nominal]]="",tblChars[[#This Row],[Lower tol]]=""),"",tblChars[[#This Row],[Nominal]]+tblChars[[#This Row],[Lower tol]]))</f>
        <v>94.9</v>
      </c>
      <c r="P45" s="43">
        <f>IF(tblChars[[#This Row],[FAI no.]]="","",IF(OR(tblChars[[#This Row],[Nominal]]="",tblChars[[#This Row],[Upper tol]]=""),"",tblChars[[#This Row],[Nominal]]+tblChars[[#This Row],[Upper tol]]))</f>
        <v>95.1</v>
      </c>
      <c r="Q45" s="43">
        <f>IF(tblChars[[#This Row],[FAI no.]]="","",IF(OR(tblChars[[#This Row],[Measured]]="",tblChars[[#This Row],[Nominal]]=""),"",tblChars[[#This Row],[Measured]]-tblChars[[#This Row],[Nominal]]))</f>
        <v>-0.0100000000000051</v>
      </c>
      <c r="R4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0.100000000000057</v>
      </c>
      <c r="S4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5" s="36">
        <f>IF(tblChars[[#This Row],[FAI no.]]="","",IF(AND(tblChars[[#This Row],[Result]]="PASS",ISNUMBER(tblChars[[#This Row],[Tolerance used]])),IF(tblChars[[#This Row],[Tolerance used]]&gt;=NearLimit,1,0),0))</f>
        <v>0</v>
      </c>
      <c r="U4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5" s="28" t="s">
        <v>145</v>
      </c>
    </row>
    <row r="46" spans="2:22">
      <c r="B46" s="28" t="s">
        <v>156</v>
      </c>
      <c r="C46" s="30">
        <v>11</v>
      </c>
      <c r="D46" s="28" t="s">
        <v>251</v>
      </c>
      <c r="E46" s="28" t="s">
        <v>115</v>
      </c>
      <c r="F46" s="28" t="s">
        <v>208</v>
      </c>
      <c r="G46" s="41"/>
      <c r="H46" s="41"/>
      <c r="I46" s="41"/>
      <c r="J46" s="41"/>
      <c r="K46" s="28" t="s">
        <v>209</v>
      </c>
      <c r="L46" s="28" t="s">
        <v>217</v>
      </c>
      <c r="M46" s="42" t="str">
        <f>IF(tblChars[[#This Row],[FAI no.]]="","",IFERROR(INDEX(tblFAIs[Part number],MATCH(tblChars[[#This Row],[FAI no.]],tblFAIs[FAI no.],0)),""))</f>
        <v>PH-7701</v>
      </c>
      <c r="N46" s="36">
        <f>IF(tblChars[[#This Row],[FAI no.]]="","",IFERROR(INDEX(tblFAIs[Open],MATCH(tblChars[[#This Row],[FAI no.]],tblFAIs[FAI no.],0)),""))</f>
        <v>0</v>
      </c>
      <c r="O46" s="43">
        <f>IF(tblChars[[#This Row],[FAI no.]]="","",IF(OR(tblChars[[#This Row],[Nominal]]="",tblChars[[#This Row],[Lower tol]]=""),"",tblChars[[#This Row],[Nominal]]+tblChars[[#This Row],[Lower tol]]))</f>
        <v/>
      </c>
      <c r="P46" s="43">
        <f>IF(tblChars[[#This Row],[FAI no.]]="","",IF(OR(tblChars[[#This Row],[Nominal]]="",tblChars[[#This Row],[Upper tol]]=""),"",tblChars[[#This Row],[Nominal]]+tblChars[[#This Row],[Upper tol]]))</f>
        <v/>
      </c>
      <c r="Q46" s="43">
        <f>IF(tblChars[[#This Row],[FAI no.]]="","",IF(OR(tblChars[[#This Row],[Measured]]="",tblChars[[#This Row],[Nominal]]=""),"",tblChars[[#This Row],[Measured]]-tblChars[[#This Row],[Nominal]]))</f>
        <v/>
      </c>
      <c r="R4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4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6" s="36">
        <f>IF(tblChars[[#This Row],[FAI no.]]="","",IF(AND(tblChars[[#This Row],[Result]]="PASS",ISNUMBER(tblChars[[#This Row],[Tolerance used]])),IF(tblChars[[#This Row],[Tolerance used]]&gt;=NearLimit,1,0),0))</f>
        <v>0</v>
      </c>
      <c r="U4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6" s="28" t="s">
        <v>145</v>
      </c>
    </row>
    <row r="47" spans="2:22">
      <c r="B47" s="28" t="s">
        <v>156</v>
      </c>
      <c r="C47" s="30">
        <v>12</v>
      </c>
      <c r="D47" s="28" t="s">
        <v>252</v>
      </c>
      <c r="E47" s="28" t="s">
        <v>113</v>
      </c>
      <c r="F47" s="28" t="s">
        <v>208</v>
      </c>
      <c r="G47" s="41"/>
      <c r="H47" s="41"/>
      <c r="I47" s="41"/>
      <c r="J47" s="41"/>
      <c r="K47" s="28" t="s">
        <v>209</v>
      </c>
      <c r="L47" s="28" t="s">
        <v>253</v>
      </c>
      <c r="M47" s="42" t="str">
        <f>IF(tblChars[[#This Row],[FAI no.]]="","",IFERROR(INDEX(tblFAIs[Part number],MATCH(tblChars[[#This Row],[FAI no.]],tblFAIs[FAI no.],0)),""))</f>
        <v>PH-7701</v>
      </c>
      <c r="N47" s="36">
        <f>IF(tblChars[[#This Row],[FAI no.]]="","",IFERROR(INDEX(tblFAIs[Open],MATCH(tblChars[[#This Row],[FAI no.]],tblFAIs[FAI no.],0)),""))</f>
        <v>0</v>
      </c>
      <c r="O47" s="43">
        <f>IF(tblChars[[#This Row],[FAI no.]]="","",IF(OR(tblChars[[#This Row],[Nominal]]="",tblChars[[#This Row],[Lower tol]]=""),"",tblChars[[#This Row],[Nominal]]+tblChars[[#This Row],[Lower tol]]))</f>
        <v/>
      </c>
      <c r="P47" s="43">
        <f>IF(tblChars[[#This Row],[FAI no.]]="","",IF(OR(tblChars[[#This Row],[Nominal]]="",tblChars[[#This Row],[Upper tol]]=""),"",tblChars[[#This Row],[Nominal]]+tblChars[[#This Row],[Upper tol]]))</f>
        <v/>
      </c>
      <c r="Q47" s="43">
        <f>IF(tblChars[[#This Row],[FAI no.]]="","",IF(OR(tblChars[[#This Row],[Measured]]="",tblChars[[#This Row],[Nominal]]=""),"",tblChars[[#This Row],[Measured]]-tblChars[[#This Row],[Nominal]]))</f>
        <v/>
      </c>
      <c r="R4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4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7" s="36">
        <f>IF(tblChars[[#This Row],[FAI no.]]="","",IF(AND(tblChars[[#This Row],[Result]]="PASS",ISNUMBER(tblChars[[#This Row],[Tolerance used]])),IF(tblChars[[#This Row],[Tolerance used]]&gt;=NearLimit,1,0),0))</f>
        <v>0</v>
      </c>
      <c r="U4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7" s="28" t="s">
        <v>145</v>
      </c>
    </row>
    <row r="48" spans="2:22">
      <c r="B48" s="28" t="s">
        <v>160</v>
      </c>
      <c r="C48" s="30">
        <v>1</v>
      </c>
      <c r="D48" s="28" t="s">
        <v>254</v>
      </c>
      <c r="E48" s="28" t="s">
        <v>105</v>
      </c>
      <c r="F48" s="28" t="s">
        <v>219</v>
      </c>
      <c r="G48" s="41">
        <v>25</v>
      </c>
      <c r="H48" s="41">
        <v>-0.013</v>
      </c>
      <c r="I48" s="41">
        <v>0</v>
      </c>
      <c r="J48" s="41">
        <v>24.995</v>
      </c>
      <c r="K48" s="28"/>
      <c r="L48" s="28" t="s">
        <v>221</v>
      </c>
      <c r="M48" s="42" t="str">
        <f>IF(tblChars[[#This Row],[FAI no.]]="","",IFERROR(INDEX(tblFAIs[Part number],MATCH(tblChars[[#This Row],[FAI no.]],tblFAIs[FAI no.],0)),""))</f>
        <v>SP-3300</v>
      </c>
      <c r="N48" s="36">
        <f>IF(tblChars[[#This Row],[FAI no.]]="","",IFERROR(INDEX(tblFAIs[Open],MATCH(tblChars[[#This Row],[FAI no.]],tblFAIs[FAI no.],0)),""))</f>
        <v>0</v>
      </c>
      <c r="O48" s="43">
        <f>IF(tblChars[[#This Row],[FAI no.]]="","",IF(OR(tblChars[[#This Row],[Nominal]]="",tblChars[[#This Row],[Lower tol]]=""),"",tblChars[[#This Row],[Nominal]]+tblChars[[#This Row],[Lower tol]]))</f>
        <v>24.987</v>
      </c>
      <c r="P48" s="43">
        <f>IF(tblChars[[#This Row],[FAI no.]]="","",IF(OR(tblChars[[#This Row],[Nominal]]="",tblChars[[#This Row],[Upper tol]]=""),"",tblChars[[#This Row],[Nominal]]+tblChars[[#This Row],[Upper tol]]))</f>
        <v>25</v>
      </c>
      <c r="Q48" s="43">
        <f>IF(tblChars[[#This Row],[FAI no.]]="","",IF(OR(tblChars[[#This Row],[Measured]]="",tblChars[[#This Row],[Nominal]]=""),"",tblChars[[#This Row],[Measured]]-tblChars[[#This Row],[Nominal]]))</f>
        <v>-0.00499999999999901</v>
      </c>
      <c r="R4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0.230769230769756</v>
      </c>
      <c r="S4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8" s="36">
        <f>IF(tblChars[[#This Row],[FAI no.]]="","",IF(AND(tblChars[[#This Row],[Result]]="PASS",ISNUMBER(tblChars[[#This Row],[Tolerance used]])),IF(tblChars[[#This Row],[Tolerance used]]&gt;=NearLimit,1,0),0))</f>
        <v>0</v>
      </c>
      <c r="U4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8" s="28" t="s">
        <v>145</v>
      </c>
    </row>
    <row r="49" spans="2:22">
      <c r="B49" s="28" t="s">
        <v>160</v>
      </c>
      <c r="C49" s="30">
        <v>2</v>
      </c>
      <c r="D49" s="28" t="s">
        <v>255</v>
      </c>
      <c r="E49" s="28" t="s">
        <v>107</v>
      </c>
      <c r="F49" s="28" t="s">
        <v>219</v>
      </c>
      <c r="G49" s="41">
        <v>0</v>
      </c>
      <c r="H49" s="41"/>
      <c r="I49" s="41">
        <v>0.01</v>
      </c>
      <c r="J49" s="41">
        <v>0.002</v>
      </c>
      <c r="K49" s="28"/>
      <c r="L49" s="28" t="s">
        <v>227</v>
      </c>
      <c r="M49" s="42" t="str">
        <f>IF(tblChars[[#This Row],[FAI no.]]="","",IFERROR(INDEX(tblFAIs[Part number],MATCH(tblChars[[#This Row],[FAI no.]],tblFAIs[FAI no.],0)),""))</f>
        <v>SP-3300</v>
      </c>
      <c r="N49" s="36">
        <f>IF(tblChars[[#This Row],[FAI no.]]="","",IFERROR(INDEX(tblFAIs[Open],MATCH(tblChars[[#This Row],[FAI no.]],tblFAIs[FAI no.],0)),""))</f>
        <v>0</v>
      </c>
      <c r="O49" s="43">
        <f>IF(tblChars[[#This Row],[FAI no.]]="","",IF(OR(tblChars[[#This Row],[Nominal]]="",tblChars[[#This Row],[Lower tol]]=""),"",tblChars[[#This Row],[Nominal]]+tblChars[[#This Row],[Lower tol]]))</f>
        <v/>
      </c>
      <c r="P49" s="43">
        <f>IF(tblChars[[#This Row],[FAI no.]]="","",IF(OR(tblChars[[#This Row],[Nominal]]="",tblChars[[#This Row],[Upper tol]]=""),"",tblChars[[#This Row],[Nominal]]+tblChars[[#This Row],[Upper tol]]))</f>
        <v>0.01</v>
      </c>
      <c r="Q49" s="43">
        <f>IF(tblChars[[#This Row],[FAI no.]]="","",IF(OR(tblChars[[#This Row],[Measured]]="",tblChars[[#This Row],[Nominal]]=""),"",tblChars[[#This Row],[Measured]]-tblChars[[#This Row],[Nominal]]))</f>
        <v>0.002</v>
      </c>
      <c r="R4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v>
      </c>
      <c r="S4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49" s="36">
        <f>IF(tblChars[[#This Row],[FAI no.]]="","",IF(AND(tblChars[[#This Row],[Result]]="PASS",ISNUMBER(tblChars[[#This Row],[Tolerance used]])),IF(tblChars[[#This Row],[Tolerance used]]&gt;=NearLimit,1,0),0))</f>
        <v>0</v>
      </c>
      <c r="U4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49" s="28" t="s">
        <v>145</v>
      </c>
    </row>
    <row r="50" spans="2:22">
      <c r="B50" s="28" t="s">
        <v>160</v>
      </c>
      <c r="C50" s="30">
        <v>3</v>
      </c>
      <c r="D50" s="28" t="s">
        <v>256</v>
      </c>
      <c r="E50" s="28" t="s">
        <v>111</v>
      </c>
      <c r="F50" s="28" t="s">
        <v>232</v>
      </c>
      <c r="G50" s="41">
        <v>0</v>
      </c>
      <c r="H50" s="41"/>
      <c r="I50" s="41">
        <v>0.4</v>
      </c>
      <c r="J50" s="41">
        <v>0.54</v>
      </c>
      <c r="K50" s="28"/>
      <c r="L50" s="28" t="s">
        <v>213</v>
      </c>
      <c r="M50" s="42" t="str">
        <f>IF(tblChars[[#This Row],[FAI no.]]="","",IFERROR(INDEX(tblFAIs[Part number],MATCH(tblChars[[#This Row],[FAI no.]],tblFAIs[FAI no.],0)),""))</f>
        <v>SP-3300</v>
      </c>
      <c r="N50" s="36">
        <f>IF(tblChars[[#This Row],[FAI no.]]="","",IFERROR(INDEX(tblFAIs[Open],MATCH(tblChars[[#This Row],[FAI no.]],tblFAIs[FAI no.],0)),""))</f>
        <v>0</v>
      </c>
      <c r="O50" s="43">
        <f>IF(tblChars[[#This Row],[FAI no.]]="","",IF(OR(tblChars[[#This Row],[Nominal]]="",tblChars[[#This Row],[Lower tol]]=""),"",tblChars[[#This Row],[Nominal]]+tblChars[[#This Row],[Lower tol]]))</f>
        <v/>
      </c>
      <c r="P50" s="43">
        <f>IF(tblChars[[#This Row],[FAI no.]]="","",IF(OR(tblChars[[#This Row],[Nominal]]="",tblChars[[#This Row],[Upper tol]]=""),"",tblChars[[#This Row],[Nominal]]+tblChars[[#This Row],[Upper tol]]))</f>
        <v>0.4</v>
      </c>
      <c r="Q50" s="43">
        <f>IF(tblChars[[#This Row],[FAI no.]]="","",IF(OR(tblChars[[#This Row],[Measured]]="",tblChars[[#This Row],[Nominal]]=""),"",tblChars[[#This Row],[Measured]]-tblChars[[#This Row],[Nominal]]))</f>
        <v>0.54</v>
      </c>
      <c r="R5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1.35</v>
      </c>
      <c r="S5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FAIL</v>
      </c>
      <c r="T50" s="36">
        <f>IF(tblChars[[#This Row],[FAI no.]]="","",IF(AND(tblChars[[#This Row],[Result]]="PASS",ISNUMBER(tblChars[[#This Row],[Tolerance used]])),IF(tblChars[[#This Row],[Tolerance used]]&gt;=NearLimit,1,0),0))</f>
        <v>0</v>
      </c>
      <c r="U5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0" s="28" t="s">
        <v>225</v>
      </c>
    </row>
    <row r="51" spans="2:22">
      <c r="B51" s="28" t="s">
        <v>160</v>
      </c>
      <c r="C51" s="30">
        <v>4</v>
      </c>
      <c r="D51" s="28" t="s">
        <v>194</v>
      </c>
      <c r="E51" s="28" t="s">
        <v>105</v>
      </c>
      <c r="F51" s="28" t="s">
        <v>219</v>
      </c>
      <c r="G51" s="41">
        <v>210</v>
      </c>
      <c r="H51" s="41">
        <v>-0.1</v>
      </c>
      <c r="I51" s="41">
        <v>0.1</v>
      </c>
      <c r="J51" s="41">
        <v>209.989</v>
      </c>
      <c r="K51" s="28"/>
      <c r="L51" s="28" t="s">
        <v>223</v>
      </c>
      <c r="M51" s="42" t="str">
        <f>IF(tblChars[[#This Row],[FAI no.]]="","",IFERROR(INDEX(tblFAIs[Part number],MATCH(tblChars[[#This Row],[FAI no.]],tblFAIs[FAI no.],0)),""))</f>
        <v>SP-3300</v>
      </c>
      <c r="N51" s="36">
        <f>IF(tblChars[[#This Row],[FAI no.]]="","",IFERROR(INDEX(tblFAIs[Open],MATCH(tblChars[[#This Row],[FAI no.]],tblFAIs[FAI no.],0)),""))</f>
        <v>0</v>
      </c>
      <c r="O51" s="43">
        <f>IF(tblChars[[#This Row],[FAI no.]]="","",IF(OR(tblChars[[#This Row],[Nominal]]="",tblChars[[#This Row],[Lower tol]]=""),"",tblChars[[#This Row],[Nominal]]+tblChars[[#This Row],[Lower tol]]))</f>
        <v>209.9</v>
      </c>
      <c r="P51" s="43">
        <f>IF(tblChars[[#This Row],[FAI no.]]="","",IF(OR(tblChars[[#This Row],[Nominal]]="",tblChars[[#This Row],[Upper tol]]=""),"",tblChars[[#This Row],[Nominal]]+tblChars[[#This Row],[Upper tol]]))</f>
        <v>210.1</v>
      </c>
      <c r="Q51" s="43">
        <f>IF(tblChars[[#This Row],[FAI no.]]="","",IF(OR(tblChars[[#This Row],[Measured]]="",tblChars[[#This Row],[Nominal]]=""),"",tblChars[[#This Row],[Measured]]-tblChars[[#This Row],[Nominal]]))</f>
        <v>-0.0109999999999957</v>
      </c>
      <c r="R5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0.109999999999963</v>
      </c>
      <c r="S5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1" s="36">
        <f>IF(tblChars[[#This Row],[FAI no.]]="","",IF(AND(tblChars[[#This Row],[Result]]="PASS",ISNUMBER(tblChars[[#This Row],[Tolerance used]])),IF(tblChars[[#This Row],[Tolerance used]]&gt;=NearLimit,1,0),0))</f>
        <v>0</v>
      </c>
      <c r="U5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1" s="28" t="s">
        <v>145</v>
      </c>
    </row>
    <row r="52" spans="2:22">
      <c r="B52" s="28" t="s">
        <v>160</v>
      </c>
      <c r="C52" s="30">
        <v>5</v>
      </c>
      <c r="D52" s="28" t="s">
        <v>257</v>
      </c>
      <c r="E52" s="28" t="s">
        <v>105</v>
      </c>
      <c r="F52" s="28" t="s">
        <v>219</v>
      </c>
      <c r="G52" s="41">
        <v>8</v>
      </c>
      <c r="H52" s="41">
        <v>-0.036</v>
      </c>
      <c r="I52" s="41">
        <v>0</v>
      </c>
      <c r="J52" s="41">
        <v>7.989</v>
      </c>
      <c r="K52" s="28"/>
      <c r="L52" s="28" t="s">
        <v>196</v>
      </c>
      <c r="M52" s="42" t="str">
        <f>IF(tblChars[[#This Row],[FAI no.]]="","",IFERROR(INDEX(tblFAIs[Part number],MATCH(tblChars[[#This Row],[FAI no.]],tblFAIs[FAI no.],0)),""))</f>
        <v>SP-3300</v>
      </c>
      <c r="N52" s="36">
        <f>IF(tblChars[[#This Row],[FAI no.]]="","",IFERROR(INDEX(tblFAIs[Open],MATCH(tblChars[[#This Row],[FAI no.]],tblFAIs[FAI no.],0)),""))</f>
        <v>0</v>
      </c>
      <c r="O52" s="43">
        <f>IF(tblChars[[#This Row],[FAI no.]]="","",IF(OR(tblChars[[#This Row],[Nominal]]="",tblChars[[#This Row],[Lower tol]]=""),"",tblChars[[#This Row],[Nominal]]+tblChars[[#This Row],[Lower tol]]))</f>
        <v>7.964</v>
      </c>
      <c r="P52" s="43">
        <f>IF(tblChars[[#This Row],[FAI no.]]="","",IF(OR(tblChars[[#This Row],[Nominal]]="",tblChars[[#This Row],[Upper tol]]=""),"",tblChars[[#This Row],[Nominal]]+tblChars[[#This Row],[Upper tol]]))</f>
        <v>8</v>
      </c>
      <c r="Q52" s="43">
        <f>IF(tblChars[[#This Row],[FAI no.]]="","",IF(OR(tblChars[[#This Row],[Measured]]="",tblChars[[#This Row],[Nominal]]=""),"",tblChars[[#This Row],[Measured]]-tblChars[[#This Row],[Nominal]]))</f>
        <v>-0.0110000000000001</v>
      </c>
      <c r="R5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0.388888888888875</v>
      </c>
      <c r="S5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2" s="36">
        <f>IF(tblChars[[#This Row],[FAI no.]]="","",IF(AND(tblChars[[#This Row],[Result]]="PASS",ISNUMBER(tblChars[[#This Row],[Tolerance used]])),IF(tblChars[[#This Row],[Tolerance used]]&gt;=NearLimit,1,0),0))</f>
        <v>0</v>
      </c>
      <c r="U5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2" s="28" t="s">
        <v>145</v>
      </c>
    </row>
    <row r="53" spans="2:22">
      <c r="B53" s="28" t="s">
        <v>160</v>
      </c>
      <c r="C53" s="30">
        <v>6</v>
      </c>
      <c r="D53" s="28" t="s">
        <v>258</v>
      </c>
      <c r="E53" s="28" t="s">
        <v>105</v>
      </c>
      <c r="F53" s="28" t="s">
        <v>219</v>
      </c>
      <c r="G53" s="41">
        <v>42</v>
      </c>
      <c r="H53" s="41">
        <v>-0.05</v>
      </c>
      <c r="I53" s="41">
        <v>0.05</v>
      </c>
      <c r="J53" s="41">
        <v>42.002</v>
      </c>
      <c r="K53" s="28"/>
      <c r="L53" s="28" t="s">
        <v>223</v>
      </c>
      <c r="M53" s="42" t="str">
        <f>IF(tblChars[[#This Row],[FAI no.]]="","",IFERROR(INDEX(tblFAIs[Part number],MATCH(tblChars[[#This Row],[FAI no.]],tblFAIs[FAI no.],0)),""))</f>
        <v>SP-3300</v>
      </c>
      <c r="N53" s="36">
        <f>IF(tblChars[[#This Row],[FAI no.]]="","",IFERROR(INDEX(tblFAIs[Open],MATCH(tblChars[[#This Row],[FAI no.]],tblFAIs[FAI no.],0)),""))</f>
        <v>0</v>
      </c>
      <c r="O53" s="43">
        <f>IF(tblChars[[#This Row],[FAI no.]]="","",IF(OR(tblChars[[#This Row],[Nominal]]="",tblChars[[#This Row],[Lower tol]]=""),"",tblChars[[#This Row],[Nominal]]+tblChars[[#This Row],[Lower tol]]))</f>
        <v>41.95</v>
      </c>
      <c r="P53" s="43">
        <f>IF(tblChars[[#This Row],[FAI no.]]="","",IF(OR(tblChars[[#This Row],[Nominal]]="",tblChars[[#This Row],[Upper tol]]=""),"",tblChars[[#This Row],[Nominal]]+tblChars[[#This Row],[Upper tol]]))</f>
        <v>42.05</v>
      </c>
      <c r="Q53" s="43">
        <f>IF(tblChars[[#This Row],[FAI no.]]="","",IF(OR(tblChars[[#This Row],[Measured]]="",tblChars[[#This Row],[Nominal]]=""),"",tblChars[[#This Row],[Measured]]-tblChars[[#This Row],[Nominal]]))</f>
        <v>0.00200000000000244</v>
      </c>
      <c r="R5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0.0400000000000512</v>
      </c>
      <c r="S5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3" s="36">
        <f>IF(tblChars[[#This Row],[FAI no.]]="","",IF(AND(tblChars[[#This Row],[Result]]="PASS",ISNUMBER(tblChars[[#This Row],[Tolerance used]])),IF(tblChars[[#This Row],[Tolerance used]]&gt;=NearLimit,1,0),0))</f>
        <v>0</v>
      </c>
      <c r="U5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3" s="28" t="s">
        <v>145</v>
      </c>
    </row>
    <row r="54" spans="2:22">
      <c r="B54" s="28" t="s">
        <v>160</v>
      </c>
      <c r="C54" s="30">
        <v>7</v>
      </c>
      <c r="D54" s="28" t="s">
        <v>259</v>
      </c>
      <c r="E54" s="28" t="s">
        <v>109</v>
      </c>
      <c r="F54" s="28" t="s">
        <v>208</v>
      </c>
      <c r="G54" s="41"/>
      <c r="H54" s="41"/>
      <c r="I54" s="41"/>
      <c r="J54" s="41"/>
      <c r="K54" s="28" t="s">
        <v>209</v>
      </c>
      <c r="L54" s="28" t="s">
        <v>210</v>
      </c>
      <c r="M54" s="42" t="str">
        <f>IF(tblChars[[#This Row],[FAI no.]]="","",IFERROR(INDEX(tblFAIs[Part number],MATCH(tblChars[[#This Row],[FAI no.]],tblFAIs[FAI no.],0)),""))</f>
        <v>SP-3300</v>
      </c>
      <c r="N54" s="36">
        <f>IF(tblChars[[#This Row],[FAI no.]]="","",IFERROR(INDEX(tblFAIs[Open],MATCH(tblChars[[#This Row],[FAI no.]],tblFAIs[FAI no.],0)),""))</f>
        <v>0</v>
      </c>
      <c r="O54" s="43">
        <f>IF(tblChars[[#This Row],[FAI no.]]="","",IF(OR(tblChars[[#This Row],[Nominal]]="",tblChars[[#This Row],[Lower tol]]=""),"",tblChars[[#This Row],[Nominal]]+tblChars[[#This Row],[Lower tol]]))</f>
        <v/>
      </c>
      <c r="P54" s="43">
        <f>IF(tblChars[[#This Row],[FAI no.]]="","",IF(OR(tblChars[[#This Row],[Nominal]]="",tblChars[[#This Row],[Upper tol]]=""),"",tblChars[[#This Row],[Nominal]]+tblChars[[#This Row],[Upper tol]]))</f>
        <v/>
      </c>
      <c r="Q54" s="43">
        <f>IF(tblChars[[#This Row],[FAI no.]]="","",IF(OR(tblChars[[#This Row],[Measured]]="",tblChars[[#This Row],[Nominal]]=""),"",tblChars[[#This Row],[Measured]]-tblChars[[#This Row],[Nominal]]))</f>
        <v/>
      </c>
      <c r="R5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5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4" s="36">
        <f>IF(tblChars[[#This Row],[FAI no.]]="","",IF(AND(tblChars[[#This Row],[Result]]="PASS",ISNUMBER(tblChars[[#This Row],[Tolerance used]])),IF(tblChars[[#This Row],[Tolerance used]]&gt;=NearLimit,1,0),0))</f>
        <v>0</v>
      </c>
      <c r="U5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4" s="28" t="s">
        <v>145</v>
      </c>
    </row>
    <row r="55" spans="2:22">
      <c r="B55" s="28" t="s">
        <v>160</v>
      </c>
      <c r="C55" s="30">
        <v>8</v>
      </c>
      <c r="D55" s="28" t="s">
        <v>260</v>
      </c>
      <c r="E55" s="28" t="s">
        <v>115</v>
      </c>
      <c r="F55" s="28" t="s">
        <v>208</v>
      </c>
      <c r="G55" s="41"/>
      <c r="H55" s="41"/>
      <c r="I55" s="41"/>
      <c r="J55" s="41"/>
      <c r="K55" s="28" t="s">
        <v>209</v>
      </c>
      <c r="L55" s="28" t="s">
        <v>217</v>
      </c>
      <c r="M55" s="42" t="str">
        <f>IF(tblChars[[#This Row],[FAI no.]]="","",IFERROR(INDEX(tblFAIs[Part number],MATCH(tblChars[[#This Row],[FAI no.]],tblFAIs[FAI no.],0)),""))</f>
        <v>SP-3300</v>
      </c>
      <c r="N55" s="36">
        <f>IF(tblChars[[#This Row],[FAI no.]]="","",IFERROR(INDEX(tblFAIs[Open],MATCH(tblChars[[#This Row],[FAI no.]],tblFAIs[FAI no.],0)),""))</f>
        <v>0</v>
      </c>
      <c r="O55" s="43">
        <f>IF(tblChars[[#This Row],[FAI no.]]="","",IF(OR(tblChars[[#This Row],[Nominal]]="",tblChars[[#This Row],[Lower tol]]=""),"",tblChars[[#This Row],[Nominal]]+tblChars[[#This Row],[Lower tol]]))</f>
        <v/>
      </c>
      <c r="P55" s="43">
        <f>IF(tblChars[[#This Row],[FAI no.]]="","",IF(OR(tblChars[[#This Row],[Nominal]]="",tblChars[[#This Row],[Upper tol]]=""),"",tblChars[[#This Row],[Nominal]]+tblChars[[#This Row],[Upper tol]]))</f>
        <v/>
      </c>
      <c r="Q55" s="43">
        <f>IF(tblChars[[#This Row],[FAI no.]]="","",IF(OR(tblChars[[#This Row],[Measured]]="",tblChars[[#This Row],[Nominal]]=""),"",tblChars[[#This Row],[Measured]]-tblChars[[#This Row],[Nominal]]))</f>
        <v/>
      </c>
      <c r="R5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5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5" s="36">
        <f>IF(tblChars[[#This Row],[FAI no.]]="","",IF(AND(tblChars[[#This Row],[Result]]="PASS",ISNUMBER(tblChars[[#This Row],[Tolerance used]])),IF(tblChars[[#This Row],[Tolerance used]]&gt;=NearLimit,1,0),0))</f>
        <v>0</v>
      </c>
      <c r="U5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5" s="28" t="s">
        <v>145</v>
      </c>
    </row>
    <row r="56" spans="2:22">
      <c r="B56" s="28" t="s">
        <v>160</v>
      </c>
      <c r="C56" s="30">
        <v>9</v>
      </c>
      <c r="D56" s="28" t="s">
        <v>261</v>
      </c>
      <c r="E56" s="28" t="s">
        <v>113</v>
      </c>
      <c r="F56" s="28" t="s">
        <v>208</v>
      </c>
      <c r="G56" s="41"/>
      <c r="H56" s="41"/>
      <c r="I56" s="41"/>
      <c r="J56" s="41"/>
      <c r="K56" s="28" t="s">
        <v>209</v>
      </c>
      <c r="L56" s="28" t="s">
        <v>210</v>
      </c>
      <c r="M56" s="42" t="str">
        <f>IF(tblChars[[#This Row],[FAI no.]]="","",IFERROR(INDEX(tblFAIs[Part number],MATCH(tblChars[[#This Row],[FAI no.]],tblFAIs[FAI no.],0)),""))</f>
        <v>SP-3300</v>
      </c>
      <c r="N56" s="36">
        <f>IF(tblChars[[#This Row],[FAI no.]]="","",IFERROR(INDEX(tblFAIs[Open],MATCH(tblChars[[#This Row],[FAI no.]],tblFAIs[FAI no.],0)),""))</f>
        <v>0</v>
      </c>
      <c r="O56" s="43">
        <f>IF(tblChars[[#This Row],[FAI no.]]="","",IF(OR(tblChars[[#This Row],[Nominal]]="",tblChars[[#This Row],[Lower tol]]=""),"",tblChars[[#This Row],[Nominal]]+tblChars[[#This Row],[Lower tol]]))</f>
        <v/>
      </c>
      <c r="P56" s="43">
        <f>IF(tblChars[[#This Row],[FAI no.]]="","",IF(OR(tblChars[[#This Row],[Nominal]]="",tblChars[[#This Row],[Upper tol]]=""),"",tblChars[[#This Row],[Nominal]]+tblChars[[#This Row],[Upper tol]]))</f>
        <v/>
      </c>
      <c r="Q56" s="43">
        <f>IF(tblChars[[#This Row],[FAI no.]]="","",IF(OR(tblChars[[#This Row],[Measured]]="",tblChars[[#This Row],[Nominal]]=""),"",tblChars[[#This Row],[Measured]]-tblChars[[#This Row],[Nominal]]))</f>
        <v/>
      </c>
      <c r="R5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5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6" s="36">
        <f>IF(tblChars[[#This Row],[FAI no.]]="","",IF(AND(tblChars[[#This Row],[Result]]="PASS",ISNUMBER(tblChars[[#This Row],[Tolerance used]])),IF(tblChars[[#This Row],[Tolerance used]]&gt;=NearLimit,1,0),0))</f>
        <v>0</v>
      </c>
      <c r="U5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6" s="28" t="s">
        <v>145</v>
      </c>
    </row>
    <row r="57" spans="2:22">
      <c r="B57" s="28" t="s">
        <v>164</v>
      </c>
      <c r="C57" s="30">
        <v>3</v>
      </c>
      <c r="D57" s="28" t="s">
        <v>222</v>
      </c>
      <c r="E57" s="28" t="s">
        <v>105</v>
      </c>
      <c r="F57" s="28" t="s">
        <v>219</v>
      </c>
      <c r="G57" s="41">
        <v>20</v>
      </c>
      <c r="H57" s="41">
        <v>0</v>
      </c>
      <c r="I57" s="41">
        <v>0.021</v>
      </c>
      <c r="J57" s="41">
        <v>20.01</v>
      </c>
      <c r="K57" s="28"/>
      <c r="L57" s="28" t="s">
        <v>223</v>
      </c>
      <c r="M57" s="42" t="str">
        <f>IF(tblChars[[#This Row],[FAI no.]]="","",IFERROR(INDEX(tblFAIs[Part number],MATCH(tblChars[[#This Row],[FAI no.]],tblFAIs[FAI no.],0)),""))</f>
        <v>MB-2210</v>
      </c>
      <c r="N57" s="36">
        <f>IF(tblChars[[#This Row],[FAI no.]]="","",IFERROR(INDEX(tblFAIs[Open],MATCH(tblChars[[#This Row],[FAI no.]],tblFAIs[FAI no.],0)),""))</f>
        <v>0</v>
      </c>
      <c r="O57" s="43">
        <f>IF(tblChars[[#This Row],[FAI no.]]="","",IF(OR(tblChars[[#This Row],[Nominal]]="",tblChars[[#This Row],[Lower tol]]=""),"",tblChars[[#This Row],[Nominal]]+tblChars[[#This Row],[Lower tol]]))</f>
        <v>20</v>
      </c>
      <c r="P57" s="43">
        <f>IF(tblChars[[#This Row],[FAI no.]]="","",IF(OR(tblChars[[#This Row],[Nominal]]="",tblChars[[#This Row],[Upper tol]]=""),"",tblChars[[#This Row],[Nominal]]+tblChars[[#This Row],[Upper tol]]))</f>
        <v>20.021</v>
      </c>
      <c r="Q57" s="43">
        <f>IF(tblChars[[#This Row],[FAI no.]]="","",IF(OR(tblChars[[#This Row],[Measured]]="",tblChars[[#This Row],[Nominal]]=""),"",tblChars[[#This Row],[Measured]]-tblChars[[#This Row],[Nominal]]))</f>
        <v>0.0100000000000016</v>
      </c>
      <c r="R5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0.0476190476189348</v>
      </c>
      <c r="S5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7" s="36">
        <f>IF(tblChars[[#This Row],[FAI no.]]="","",IF(AND(tblChars[[#This Row],[Result]]="PASS",ISNUMBER(tblChars[[#This Row],[Tolerance used]])),IF(tblChars[[#This Row],[Tolerance used]]&gt;=NearLimit,1,0),0))</f>
        <v>0</v>
      </c>
      <c r="U5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7" s="28" t="s">
        <v>145</v>
      </c>
    </row>
    <row r="58" spans="2:22">
      <c r="B58" s="28" t="s">
        <v>164</v>
      </c>
      <c r="C58" s="30">
        <v>4</v>
      </c>
      <c r="D58" s="28" t="s">
        <v>224</v>
      </c>
      <c r="E58" s="28" t="s">
        <v>107</v>
      </c>
      <c r="F58" s="28" t="s">
        <v>219</v>
      </c>
      <c r="G58" s="41">
        <v>0</v>
      </c>
      <c r="H58" s="41"/>
      <c r="I58" s="41">
        <v>0.05</v>
      </c>
      <c r="J58" s="41">
        <v>0.024</v>
      </c>
      <c r="K58" s="28"/>
      <c r="L58" s="28" t="s">
        <v>227</v>
      </c>
      <c r="M58" s="42" t="str">
        <f>IF(tblChars[[#This Row],[FAI no.]]="","",IFERROR(INDEX(tblFAIs[Part number],MATCH(tblChars[[#This Row],[FAI no.]],tblFAIs[FAI no.],0)),""))</f>
        <v>MB-2210</v>
      </c>
      <c r="N58" s="36">
        <f>IF(tblChars[[#This Row],[FAI no.]]="","",IFERROR(INDEX(tblFAIs[Open],MATCH(tblChars[[#This Row],[FAI no.]],tblFAIs[FAI no.],0)),""))</f>
        <v>0</v>
      </c>
      <c r="O58" s="43">
        <f>IF(tblChars[[#This Row],[FAI no.]]="","",IF(OR(tblChars[[#This Row],[Nominal]]="",tblChars[[#This Row],[Lower tol]]=""),"",tblChars[[#This Row],[Nominal]]+tblChars[[#This Row],[Lower tol]]))</f>
        <v/>
      </c>
      <c r="P58" s="43">
        <f>IF(tblChars[[#This Row],[FAI no.]]="","",IF(OR(tblChars[[#This Row],[Nominal]]="",tblChars[[#This Row],[Upper tol]]=""),"",tblChars[[#This Row],[Nominal]]+tblChars[[#This Row],[Upper tol]]))</f>
        <v>0.05</v>
      </c>
      <c r="Q58" s="43">
        <f>IF(tblChars[[#This Row],[FAI no.]]="","",IF(OR(tblChars[[#This Row],[Measured]]="",tblChars[[#This Row],[Nominal]]=""),"",tblChars[[#This Row],[Measured]]-tblChars[[#This Row],[Nominal]]))</f>
        <v>0.024</v>
      </c>
      <c r="R5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0.48</v>
      </c>
      <c r="S5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8" s="36">
        <f>IF(tblChars[[#This Row],[FAI no.]]="","",IF(AND(tblChars[[#This Row],[Result]]="PASS",ISNUMBER(tblChars[[#This Row],[Tolerance used]])),IF(tblChars[[#This Row],[Tolerance used]]&gt;=NearLimit,1,0),0))</f>
        <v>0</v>
      </c>
      <c r="U5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8" s="28" t="s">
        <v>145</v>
      </c>
    </row>
    <row r="59" spans="2:22">
      <c r="B59" s="28" t="s">
        <v>164</v>
      </c>
      <c r="C59" s="30">
        <v>5</v>
      </c>
      <c r="D59" s="28" t="s">
        <v>226</v>
      </c>
      <c r="E59" s="28" t="s">
        <v>107</v>
      </c>
      <c r="F59" s="28" t="s">
        <v>219</v>
      </c>
      <c r="G59" s="41">
        <v>0</v>
      </c>
      <c r="H59" s="41"/>
      <c r="I59" s="41">
        <v>0.02</v>
      </c>
      <c r="J59" s="41">
        <v>0.011</v>
      </c>
      <c r="K59" s="28"/>
      <c r="L59" s="28" t="s">
        <v>227</v>
      </c>
      <c r="M59" s="42" t="str">
        <f>IF(tblChars[[#This Row],[FAI no.]]="","",IFERROR(INDEX(tblFAIs[Part number],MATCH(tblChars[[#This Row],[FAI no.]],tblFAIs[FAI no.],0)),""))</f>
        <v>MB-2210</v>
      </c>
      <c r="N59" s="36">
        <f>IF(tblChars[[#This Row],[FAI no.]]="","",IFERROR(INDEX(tblFAIs[Open],MATCH(tblChars[[#This Row],[FAI no.]],tblFAIs[FAI no.],0)),""))</f>
        <v>0</v>
      </c>
      <c r="O59" s="43">
        <f>IF(tblChars[[#This Row],[FAI no.]]="","",IF(OR(tblChars[[#This Row],[Nominal]]="",tblChars[[#This Row],[Lower tol]]=""),"",tblChars[[#This Row],[Nominal]]+tblChars[[#This Row],[Lower tol]]))</f>
        <v/>
      </c>
      <c r="P59" s="43">
        <f>IF(tblChars[[#This Row],[FAI no.]]="","",IF(OR(tblChars[[#This Row],[Nominal]]="",tblChars[[#This Row],[Upper tol]]=""),"",tblChars[[#This Row],[Nominal]]+tblChars[[#This Row],[Upper tol]]))</f>
        <v>0.02</v>
      </c>
      <c r="Q59" s="43">
        <f>IF(tblChars[[#This Row],[FAI no.]]="","",IF(OR(tblChars[[#This Row],[Measured]]="",tblChars[[#This Row],[Nominal]]=""),"",tblChars[[#This Row],[Measured]]-tblChars[[#This Row],[Nominal]]))</f>
        <v>0.011</v>
      </c>
      <c r="R5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0.55</v>
      </c>
      <c r="S5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59" s="36">
        <f>IF(tblChars[[#This Row],[FAI no.]]="","",IF(AND(tblChars[[#This Row],[Result]]="PASS",ISNUMBER(tblChars[[#This Row],[Tolerance used]])),IF(tblChars[[#This Row],[Tolerance used]]&gt;=NearLimit,1,0),0))</f>
        <v>0</v>
      </c>
      <c r="U5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59" s="28" t="s">
        <v>145</v>
      </c>
    </row>
    <row r="60" spans="2:22">
      <c r="B60" s="28" t="s">
        <v>165</v>
      </c>
      <c r="C60" s="30">
        <v>1</v>
      </c>
      <c r="D60" s="28" t="s">
        <v>254</v>
      </c>
      <c r="E60" s="28" t="s">
        <v>105</v>
      </c>
      <c r="F60" s="28" t="s">
        <v>219</v>
      </c>
      <c r="G60" s="41">
        <v>25</v>
      </c>
      <c r="H60" s="41">
        <v>-0.013</v>
      </c>
      <c r="I60" s="41">
        <v>0</v>
      </c>
      <c r="J60" s="41">
        <v>24.99</v>
      </c>
      <c r="K60" s="28"/>
      <c r="L60" s="28" t="s">
        <v>223</v>
      </c>
      <c r="M60" s="42" t="str">
        <f>IF(tblChars[[#This Row],[FAI no.]]="","",IFERROR(INDEX(tblFAIs[Part number],MATCH(tblChars[[#This Row],[FAI no.]],tblFAIs[FAI no.],0)),""))</f>
        <v>SP-3300</v>
      </c>
      <c r="N60" s="36">
        <f>IF(tblChars[[#This Row],[FAI no.]]="","",IFERROR(INDEX(tblFAIs[Open],MATCH(tblChars[[#This Row],[FAI no.]],tblFAIs[FAI no.],0)),""))</f>
        <v>0</v>
      </c>
      <c r="O60" s="43">
        <f>IF(tblChars[[#This Row],[FAI no.]]="","",IF(OR(tblChars[[#This Row],[Nominal]]="",tblChars[[#This Row],[Lower tol]]=""),"",tblChars[[#This Row],[Nominal]]+tblChars[[#This Row],[Lower tol]]))</f>
        <v>24.987</v>
      </c>
      <c r="P60" s="43">
        <f>IF(tblChars[[#This Row],[FAI no.]]="","",IF(OR(tblChars[[#This Row],[Nominal]]="",tblChars[[#This Row],[Upper tol]]=""),"",tblChars[[#This Row],[Nominal]]+tblChars[[#This Row],[Upper tol]]))</f>
        <v>25</v>
      </c>
      <c r="Q60" s="43">
        <f>IF(tblChars[[#This Row],[FAI no.]]="","",IF(OR(tblChars[[#This Row],[Measured]]="",tblChars[[#This Row],[Nominal]]=""),"",tblChars[[#This Row],[Measured]]-tblChars[[#This Row],[Nominal]]))</f>
        <v>-0.0100000000000016</v>
      </c>
      <c r="R6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0.538461538461307</v>
      </c>
      <c r="S6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0" s="36">
        <f>IF(tblChars[[#This Row],[FAI no.]]="","",IF(AND(tblChars[[#This Row],[Result]]="PASS",ISNUMBER(tblChars[[#This Row],[Tolerance used]])),IF(tblChars[[#This Row],[Tolerance used]]&gt;=NearLimit,1,0),0))</f>
        <v>0</v>
      </c>
      <c r="U6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0" s="28" t="s">
        <v>145</v>
      </c>
    </row>
    <row r="61" spans="2:22">
      <c r="B61" s="28" t="s">
        <v>165</v>
      </c>
      <c r="C61" s="30">
        <v>2</v>
      </c>
      <c r="D61" s="28" t="s">
        <v>255</v>
      </c>
      <c r="E61" s="28" t="s">
        <v>107</v>
      </c>
      <c r="F61" s="28" t="s">
        <v>219</v>
      </c>
      <c r="G61" s="41">
        <v>0</v>
      </c>
      <c r="H61" s="41"/>
      <c r="I61" s="41">
        <v>0.01</v>
      </c>
      <c r="J61" s="41">
        <v>0.003</v>
      </c>
      <c r="K61" s="28"/>
      <c r="L61" s="28" t="s">
        <v>196</v>
      </c>
      <c r="M61" s="42" t="str">
        <f>IF(tblChars[[#This Row],[FAI no.]]="","",IFERROR(INDEX(tblFAIs[Part number],MATCH(tblChars[[#This Row],[FAI no.]],tblFAIs[FAI no.],0)),""))</f>
        <v>SP-3300</v>
      </c>
      <c r="N61" s="36">
        <f>IF(tblChars[[#This Row],[FAI no.]]="","",IFERROR(INDEX(tblFAIs[Open],MATCH(tblChars[[#This Row],[FAI no.]],tblFAIs[FAI no.],0)),""))</f>
        <v>0</v>
      </c>
      <c r="O61" s="43">
        <f>IF(tblChars[[#This Row],[FAI no.]]="","",IF(OR(tblChars[[#This Row],[Nominal]]="",tblChars[[#This Row],[Lower tol]]=""),"",tblChars[[#This Row],[Nominal]]+tblChars[[#This Row],[Lower tol]]))</f>
        <v/>
      </c>
      <c r="P61" s="43">
        <f>IF(tblChars[[#This Row],[FAI no.]]="","",IF(OR(tblChars[[#This Row],[Nominal]]="",tblChars[[#This Row],[Upper tol]]=""),"",tblChars[[#This Row],[Nominal]]+tblChars[[#This Row],[Upper tol]]))</f>
        <v>0.01</v>
      </c>
      <c r="Q61" s="43">
        <f>IF(tblChars[[#This Row],[FAI no.]]="","",IF(OR(tblChars[[#This Row],[Measured]]="",tblChars[[#This Row],[Nominal]]=""),"",tblChars[[#This Row],[Measured]]-tblChars[[#This Row],[Nominal]]))</f>
        <v>0.003</v>
      </c>
      <c r="R6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0.3</v>
      </c>
      <c r="S6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1" s="36">
        <f>IF(tblChars[[#This Row],[FAI no.]]="","",IF(AND(tblChars[[#This Row],[Result]]="PASS",ISNUMBER(tblChars[[#This Row],[Tolerance used]])),IF(tblChars[[#This Row],[Tolerance used]]&gt;=NearLimit,1,0),0))</f>
        <v>0</v>
      </c>
      <c r="U6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1" s="28" t="s">
        <v>145</v>
      </c>
    </row>
    <row r="62" spans="2:22">
      <c r="B62" s="28" t="s">
        <v>165</v>
      </c>
      <c r="C62" s="30">
        <v>3</v>
      </c>
      <c r="D62" s="28" t="s">
        <v>256</v>
      </c>
      <c r="E62" s="28" t="s">
        <v>111</v>
      </c>
      <c r="F62" s="28" t="s">
        <v>232</v>
      </c>
      <c r="G62" s="41">
        <v>0</v>
      </c>
      <c r="H62" s="41"/>
      <c r="I62" s="41">
        <v>0.4</v>
      </c>
      <c r="J62" s="41">
        <v>0.11</v>
      </c>
      <c r="K62" s="28"/>
      <c r="L62" s="28" t="s">
        <v>213</v>
      </c>
      <c r="M62" s="42" t="str">
        <f>IF(tblChars[[#This Row],[FAI no.]]="","",IFERROR(INDEX(tblFAIs[Part number],MATCH(tblChars[[#This Row],[FAI no.]],tblFAIs[FAI no.],0)),""))</f>
        <v>SP-3300</v>
      </c>
      <c r="N62" s="36">
        <f>IF(tblChars[[#This Row],[FAI no.]]="","",IFERROR(INDEX(tblFAIs[Open],MATCH(tblChars[[#This Row],[FAI no.]],tblFAIs[FAI no.],0)),""))</f>
        <v>0</v>
      </c>
      <c r="O62" s="43">
        <f>IF(tblChars[[#This Row],[FAI no.]]="","",IF(OR(tblChars[[#This Row],[Nominal]]="",tblChars[[#This Row],[Lower tol]]=""),"",tblChars[[#This Row],[Nominal]]+tblChars[[#This Row],[Lower tol]]))</f>
        <v/>
      </c>
      <c r="P62" s="43">
        <f>IF(tblChars[[#This Row],[FAI no.]]="","",IF(OR(tblChars[[#This Row],[Nominal]]="",tblChars[[#This Row],[Upper tol]]=""),"",tblChars[[#This Row],[Nominal]]+tblChars[[#This Row],[Upper tol]]))</f>
        <v>0.4</v>
      </c>
      <c r="Q62" s="43">
        <f>IF(tblChars[[#This Row],[FAI no.]]="","",IF(OR(tblChars[[#This Row],[Measured]]="",tblChars[[#This Row],[Nominal]]=""),"",tblChars[[#This Row],[Measured]]-tblChars[[#This Row],[Nominal]]))</f>
        <v>0.11</v>
      </c>
      <c r="R6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0.275</v>
      </c>
      <c r="S6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2" s="36">
        <f>IF(tblChars[[#This Row],[FAI no.]]="","",IF(AND(tblChars[[#This Row],[Result]]="PASS",ISNUMBER(tblChars[[#This Row],[Tolerance used]])),IF(tblChars[[#This Row],[Tolerance used]]&gt;=NearLimit,1,0),0))</f>
        <v>0</v>
      </c>
      <c r="U6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2" s="28" t="s">
        <v>145</v>
      </c>
    </row>
    <row r="63" spans="2:22">
      <c r="B63" s="28" t="s">
        <v>166</v>
      </c>
      <c r="C63" s="30">
        <v>1</v>
      </c>
      <c r="D63" s="28" t="s">
        <v>262</v>
      </c>
      <c r="E63" s="28" t="s">
        <v>105</v>
      </c>
      <c r="F63" s="28" t="s">
        <v>219</v>
      </c>
      <c r="G63" s="41">
        <v>48</v>
      </c>
      <c r="H63" s="41">
        <v>-0.1</v>
      </c>
      <c r="I63" s="41">
        <v>0.1</v>
      </c>
      <c r="J63" s="41">
        <v>48.025</v>
      </c>
      <c r="K63" s="28"/>
      <c r="L63" s="28" t="s">
        <v>221</v>
      </c>
      <c r="M63" s="42" t="str">
        <f>IF(tblChars[[#This Row],[FAI no.]]="","",IFERROR(INDEX(tblFAIs[Part number],MATCH(tblChars[[#This Row],[FAI no.]],tblFAIs[FAI no.],0)),""))</f>
        <v>FT-5120</v>
      </c>
      <c r="N63" s="36">
        <f>IF(tblChars[[#This Row],[FAI no.]]="","",IFERROR(INDEX(tblFAIs[Open],MATCH(tblChars[[#This Row],[FAI no.]],tblFAIs[FAI no.],0)),""))</f>
        <v>0</v>
      </c>
      <c r="O63" s="43">
        <f>IF(tblChars[[#This Row],[FAI no.]]="","",IF(OR(tblChars[[#This Row],[Nominal]]="",tblChars[[#This Row],[Lower tol]]=""),"",tblChars[[#This Row],[Nominal]]+tblChars[[#This Row],[Lower tol]]))</f>
        <v>47.9</v>
      </c>
      <c r="P63" s="43">
        <f>IF(tblChars[[#This Row],[FAI no.]]="","",IF(OR(tblChars[[#This Row],[Nominal]]="",tblChars[[#This Row],[Upper tol]]=""),"",tblChars[[#This Row],[Nominal]]+tblChars[[#This Row],[Upper tol]]))</f>
        <v>48.1</v>
      </c>
      <c r="Q63" s="43">
        <f>IF(tblChars[[#This Row],[FAI no.]]="","",IF(OR(tblChars[[#This Row],[Measured]]="",tblChars[[#This Row],[Nominal]]=""),"",tblChars[[#This Row],[Measured]]-tblChars[[#This Row],[Nominal]]))</f>
        <v>0.0249999999999986</v>
      </c>
      <c r="R6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0.249999999999982</v>
      </c>
      <c r="S6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3" s="36">
        <f>IF(tblChars[[#This Row],[FAI no.]]="","",IF(AND(tblChars[[#This Row],[Result]]="PASS",ISNUMBER(tblChars[[#This Row],[Tolerance used]])),IF(tblChars[[#This Row],[Tolerance used]]&gt;=NearLimit,1,0),0))</f>
        <v>0</v>
      </c>
      <c r="U6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3" s="28" t="s">
        <v>145</v>
      </c>
    </row>
    <row r="64" spans="2:22">
      <c r="B64" s="28" t="s">
        <v>166</v>
      </c>
      <c r="C64" s="30">
        <v>2</v>
      </c>
      <c r="D64" s="28" t="s">
        <v>263</v>
      </c>
      <c r="E64" s="28" t="s">
        <v>105</v>
      </c>
      <c r="F64" s="28" t="s">
        <v>219</v>
      </c>
      <c r="G64" s="41">
        <v>27</v>
      </c>
      <c r="H64" s="41">
        <v>-0.2</v>
      </c>
      <c r="I64" s="41">
        <v>0</v>
      </c>
      <c r="J64" s="41">
        <v>26.982</v>
      </c>
      <c r="K64" s="28"/>
      <c r="L64" s="28" t="s">
        <v>223</v>
      </c>
      <c r="M64" s="42" t="str">
        <f>IF(tblChars[[#This Row],[FAI no.]]="","",IFERROR(INDEX(tblFAIs[Part number],MATCH(tblChars[[#This Row],[FAI no.]],tblFAIs[FAI no.],0)),""))</f>
        <v>FT-5120</v>
      </c>
      <c r="N64" s="36">
        <f>IF(tblChars[[#This Row],[FAI no.]]="","",IFERROR(INDEX(tblFAIs[Open],MATCH(tblChars[[#This Row],[FAI no.]],tblFAIs[FAI no.],0)),""))</f>
        <v>0</v>
      </c>
      <c r="O64" s="43">
        <f>IF(tblChars[[#This Row],[FAI no.]]="","",IF(OR(tblChars[[#This Row],[Nominal]]="",tblChars[[#This Row],[Lower tol]]=""),"",tblChars[[#This Row],[Nominal]]+tblChars[[#This Row],[Lower tol]]))</f>
        <v>26.8</v>
      </c>
      <c r="P64" s="43">
        <f>IF(tblChars[[#This Row],[FAI no.]]="","",IF(OR(tblChars[[#This Row],[Nominal]]="",tblChars[[#This Row],[Upper tol]]=""),"",tblChars[[#This Row],[Nominal]]+tblChars[[#This Row],[Upper tol]]))</f>
        <v>27</v>
      </c>
      <c r="Q64" s="43">
        <f>IF(tblChars[[#This Row],[FAI no.]]="","",IF(OR(tblChars[[#This Row],[Measured]]="",tblChars[[#This Row],[Nominal]]=""),"",tblChars[[#This Row],[Measured]]-tblChars[[#This Row],[Nominal]]))</f>
        <v>-0.0180000000000007</v>
      </c>
      <c r="R6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0.82000000000001</v>
      </c>
      <c r="S6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4" s="36">
        <f>IF(tblChars[[#This Row],[FAI no.]]="","",IF(AND(tblChars[[#This Row],[Result]]="PASS",ISNUMBER(tblChars[[#This Row],[Tolerance used]])),IF(tblChars[[#This Row],[Tolerance used]]&gt;=NearLimit,1,0),0))</f>
        <v>1</v>
      </c>
      <c r="U6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4" s="28" t="s">
        <v>145</v>
      </c>
    </row>
    <row r="65" spans="2:22">
      <c r="B65" s="28" t="s">
        <v>166</v>
      </c>
      <c r="C65" s="30">
        <v>3</v>
      </c>
      <c r="D65" s="28" t="s">
        <v>264</v>
      </c>
      <c r="E65" s="28" t="s">
        <v>105</v>
      </c>
      <c r="F65" s="28" t="s">
        <v>219</v>
      </c>
      <c r="G65" s="41">
        <v>12</v>
      </c>
      <c r="H65" s="41">
        <v>0</v>
      </c>
      <c r="I65" s="41">
        <v>0.05</v>
      </c>
      <c r="J65" s="41">
        <v>12.029</v>
      </c>
      <c r="K65" s="28"/>
      <c r="L65" s="28" t="s">
        <v>196</v>
      </c>
      <c r="M65" s="42" t="str">
        <f>IF(tblChars[[#This Row],[FAI no.]]="","",IFERROR(INDEX(tblFAIs[Part number],MATCH(tblChars[[#This Row],[FAI no.]],tblFAIs[FAI no.],0)),""))</f>
        <v>FT-5120</v>
      </c>
      <c r="N65" s="36">
        <f>IF(tblChars[[#This Row],[FAI no.]]="","",IFERROR(INDEX(tblFAIs[Open],MATCH(tblChars[[#This Row],[FAI no.]],tblFAIs[FAI no.],0)),""))</f>
        <v>0</v>
      </c>
      <c r="O65" s="43">
        <f>IF(tblChars[[#This Row],[FAI no.]]="","",IF(OR(tblChars[[#This Row],[Nominal]]="",tblChars[[#This Row],[Lower tol]]=""),"",tblChars[[#This Row],[Nominal]]+tblChars[[#This Row],[Lower tol]]))</f>
        <v>12</v>
      </c>
      <c r="P65" s="43">
        <f>IF(tblChars[[#This Row],[FAI no.]]="","",IF(OR(tblChars[[#This Row],[Nominal]]="",tblChars[[#This Row],[Upper tol]]=""),"",tblChars[[#This Row],[Nominal]]+tblChars[[#This Row],[Upper tol]]))</f>
        <v>12.05</v>
      </c>
      <c r="Q65" s="43">
        <f>IF(tblChars[[#This Row],[FAI no.]]="","",IF(OR(tblChars[[#This Row],[Measured]]="",tblChars[[#This Row],[Nominal]]=""),"",tblChars[[#This Row],[Measured]]-tblChars[[#This Row],[Nominal]]))</f>
        <v>0.0289999999999999</v>
      </c>
      <c r="R6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0.15999999999998</v>
      </c>
      <c r="S6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5" s="36">
        <f>IF(tblChars[[#This Row],[FAI no.]]="","",IF(AND(tblChars[[#This Row],[Result]]="PASS",ISNUMBER(tblChars[[#This Row],[Tolerance used]])),IF(tblChars[[#This Row],[Tolerance used]]&gt;=NearLimit,1,0),0))</f>
        <v>0</v>
      </c>
      <c r="U6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5" s="28" t="s">
        <v>145</v>
      </c>
    </row>
    <row r="66" spans="2:22">
      <c r="B66" s="28" t="s">
        <v>166</v>
      </c>
      <c r="C66" s="30">
        <v>4</v>
      </c>
      <c r="D66" s="28" t="s">
        <v>265</v>
      </c>
      <c r="E66" s="28" t="s">
        <v>105</v>
      </c>
      <c r="F66" s="28" t="s">
        <v>234</v>
      </c>
      <c r="G66" s="41">
        <v>24</v>
      </c>
      <c r="H66" s="41">
        <v>-0.5</v>
      </c>
      <c r="I66" s="41">
        <v>0.5</v>
      </c>
      <c r="J66" s="41">
        <v>23.9</v>
      </c>
      <c r="K66" s="28"/>
      <c r="L66" s="28" t="s">
        <v>196</v>
      </c>
      <c r="M66" s="42" t="str">
        <f>IF(tblChars[[#This Row],[FAI no.]]="","",IFERROR(INDEX(tblFAIs[Part number],MATCH(tblChars[[#This Row],[FAI no.]],tblFAIs[FAI no.],0)),""))</f>
        <v>FT-5120</v>
      </c>
      <c r="N66" s="36">
        <f>IF(tblChars[[#This Row],[FAI no.]]="","",IFERROR(INDEX(tblFAIs[Open],MATCH(tblChars[[#This Row],[FAI no.]],tblFAIs[FAI no.],0)),""))</f>
        <v>0</v>
      </c>
      <c r="O66" s="43">
        <f>IF(tblChars[[#This Row],[FAI no.]]="","",IF(OR(tblChars[[#This Row],[Nominal]]="",tblChars[[#This Row],[Lower tol]]=""),"",tblChars[[#This Row],[Nominal]]+tblChars[[#This Row],[Lower tol]]))</f>
        <v>23.5</v>
      </c>
      <c r="P66" s="43">
        <f>IF(tblChars[[#This Row],[FAI no.]]="","",IF(OR(tblChars[[#This Row],[Nominal]]="",tblChars[[#This Row],[Upper tol]]=""),"",tblChars[[#This Row],[Nominal]]+tblChars[[#This Row],[Upper tol]]))</f>
        <v>24.5</v>
      </c>
      <c r="Q66" s="43">
        <f>IF(tblChars[[#This Row],[FAI no.]]="","",IF(OR(tblChars[[#This Row],[Measured]]="",tblChars[[#This Row],[Nominal]]=""),"",tblChars[[#This Row],[Measured]]-tblChars[[#This Row],[Nominal]]))</f>
        <v>-0.100000000000001</v>
      </c>
      <c r="R6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0.200000000000003</v>
      </c>
      <c r="S6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6" s="36">
        <f>IF(tblChars[[#This Row],[FAI no.]]="","",IF(AND(tblChars[[#This Row],[Result]]="PASS",ISNUMBER(tblChars[[#This Row],[Tolerance used]])),IF(tblChars[[#This Row],[Tolerance used]]&gt;=NearLimit,1,0),0))</f>
        <v>0</v>
      </c>
      <c r="U6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6" s="28" t="s">
        <v>145</v>
      </c>
    </row>
    <row r="67" spans="2:22">
      <c r="B67" s="28" t="s">
        <v>166</v>
      </c>
      <c r="C67" s="30">
        <v>5</v>
      </c>
      <c r="D67" s="28" t="s">
        <v>266</v>
      </c>
      <c r="E67" s="28" t="s">
        <v>109</v>
      </c>
      <c r="F67" s="28" t="s">
        <v>208</v>
      </c>
      <c r="G67" s="41"/>
      <c r="H67" s="41"/>
      <c r="I67" s="41"/>
      <c r="J67" s="41"/>
      <c r="K67" s="28" t="s">
        <v>209</v>
      </c>
      <c r="L67" s="28" t="s">
        <v>210</v>
      </c>
      <c r="M67" s="42" t="str">
        <f>IF(tblChars[[#This Row],[FAI no.]]="","",IFERROR(INDEX(tblFAIs[Part number],MATCH(tblChars[[#This Row],[FAI no.]],tblFAIs[FAI no.],0)),""))</f>
        <v>FT-5120</v>
      </c>
      <c r="N67" s="36">
        <f>IF(tblChars[[#This Row],[FAI no.]]="","",IFERROR(INDEX(tblFAIs[Open],MATCH(tblChars[[#This Row],[FAI no.]],tblFAIs[FAI no.],0)),""))</f>
        <v>0</v>
      </c>
      <c r="O67" s="43">
        <f>IF(tblChars[[#This Row],[FAI no.]]="","",IF(OR(tblChars[[#This Row],[Nominal]]="",tblChars[[#This Row],[Lower tol]]=""),"",tblChars[[#This Row],[Nominal]]+tblChars[[#This Row],[Lower tol]]))</f>
        <v/>
      </c>
      <c r="P67" s="43">
        <f>IF(tblChars[[#This Row],[FAI no.]]="","",IF(OR(tblChars[[#This Row],[Nominal]]="",tblChars[[#This Row],[Upper tol]]=""),"",tblChars[[#This Row],[Nominal]]+tblChars[[#This Row],[Upper tol]]))</f>
        <v/>
      </c>
      <c r="Q67" s="43">
        <f>IF(tblChars[[#This Row],[FAI no.]]="","",IF(OR(tblChars[[#This Row],[Measured]]="",tblChars[[#This Row],[Nominal]]=""),"",tblChars[[#This Row],[Measured]]-tblChars[[#This Row],[Nominal]]))</f>
        <v/>
      </c>
      <c r="R6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6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7" s="36">
        <f>IF(tblChars[[#This Row],[FAI no.]]="","",IF(AND(tblChars[[#This Row],[Result]]="PASS",ISNUMBER(tblChars[[#This Row],[Tolerance used]])),IF(tblChars[[#This Row],[Tolerance used]]&gt;=NearLimit,1,0),0))</f>
        <v>0</v>
      </c>
      <c r="U6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7" s="28" t="s">
        <v>145</v>
      </c>
    </row>
    <row r="68" spans="2:22">
      <c r="B68" s="28" t="s">
        <v>166</v>
      </c>
      <c r="C68" s="30">
        <v>6</v>
      </c>
      <c r="D68" s="28" t="s">
        <v>267</v>
      </c>
      <c r="E68" s="28" t="s">
        <v>115</v>
      </c>
      <c r="F68" s="28" t="s">
        <v>208</v>
      </c>
      <c r="G68" s="41"/>
      <c r="H68" s="41"/>
      <c r="I68" s="41"/>
      <c r="J68" s="41"/>
      <c r="K68" s="28" t="s">
        <v>209</v>
      </c>
      <c r="L68" s="28" t="s">
        <v>217</v>
      </c>
      <c r="M68" s="42" t="str">
        <f>IF(tblChars[[#This Row],[FAI no.]]="","",IFERROR(INDEX(tblFAIs[Part number],MATCH(tblChars[[#This Row],[FAI no.]],tblFAIs[FAI no.],0)),""))</f>
        <v>FT-5120</v>
      </c>
      <c r="N68" s="36">
        <f>IF(tblChars[[#This Row],[FAI no.]]="","",IFERROR(INDEX(tblFAIs[Open],MATCH(tblChars[[#This Row],[FAI no.]],tblFAIs[FAI no.],0)),""))</f>
        <v>0</v>
      </c>
      <c r="O68" s="43">
        <f>IF(tblChars[[#This Row],[FAI no.]]="","",IF(OR(tblChars[[#This Row],[Nominal]]="",tblChars[[#This Row],[Lower tol]]=""),"",tblChars[[#This Row],[Nominal]]+tblChars[[#This Row],[Lower tol]]))</f>
        <v/>
      </c>
      <c r="P68" s="43">
        <f>IF(tblChars[[#This Row],[FAI no.]]="","",IF(OR(tblChars[[#This Row],[Nominal]]="",tblChars[[#This Row],[Upper tol]]=""),"",tblChars[[#This Row],[Nominal]]+tblChars[[#This Row],[Upper tol]]))</f>
        <v/>
      </c>
      <c r="Q68" s="43">
        <f>IF(tblChars[[#This Row],[FAI no.]]="","",IF(OR(tblChars[[#This Row],[Measured]]="",tblChars[[#This Row],[Nominal]]=""),"",tblChars[[#This Row],[Measured]]-tblChars[[#This Row],[Nominal]]))</f>
        <v/>
      </c>
      <c r="R6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6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8" s="36">
        <f>IF(tblChars[[#This Row],[FAI no.]]="","",IF(AND(tblChars[[#This Row],[Result]]="PASS",ISNUMBER(tblChars[[#This Row],[Tolerance used]])),IF(tblChars[[#This Row],[Tolerance used]]&gt;=NearLimit,1,0),0))</f>
        <v>0</v>
      </c>
      <c r="U6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8" s="28" t="s">
        <v>145</v>
      </c>
    </row>
    <row r="69" spans="2:22">
      <c r="B69" s="28" t="s">
        <v>169</v>
      </c>
      <c r="C69" s="30">
        <v>1</v>
      </c>
      <c r="D69" s="28" t="s">
        <v>194</v>
      </c>
      <c r="E69" s="28" t="s">
        <v>105</v>
      </c>
      <c r="F69" s="28" t="s">
        <v>195</v>
      </c>
      <c r="G69" s="41">
        <v>6.75</v>
      </c>
      <c r="H69" s="41">
        <v>-0.01</v>
      </c>
      <c r="I69" s="41">
        <v>0.01</v>
      </c>
      <c r="J69" s="41">
        <v>6.751</v>
      </c>
      <c r="K69" s="28"/>
      <c r="L69" s="28" t="s">
        <v>204</v>
      </c>
      <c r="M69" s="42" t="str">
        <f>IF(tblChars[[#This Row],[FAI no.]]="","",IFERROR(INDEX(tblFAIs[Part number],MATCH(tblChars[[#This Row],[FAI no.]],tblFAIs[FAI no.],0)),""))</f>
        <v>HB-1180</v>
      </c>
      <c r="N69" s="36">
        <f>IF(tblChars[[#This Row],[FAI no.]]="","",IFERROR(INDEX(tblFAIs[Open],MATCH(tblChars[[#This Row],[FAI no.]],tblFAIs[FAI no.],0)),""))</f>
        <v>1</v>
      </c>
      <c r="O69" s="43">
        <f>IF(tblChars[[#This Row],[FAI no.]]="","",IF(OR(tblChars[[#This Row],[Nominal]]="",tblChars[[#This Row],[Lower tol]]=""),"",tblChars[[#This Row],[Nominal]]+tblChars[[#This Row],[Lower tol]]))</f>
        <v>6.74</v>
      </c>
      <c r="P69" s="43">
        <f>IF(tblChars[[#This Row],[FAI no.]]="","",IF(OR(tblChars[[#This Row],[Nominal]]="",tblChars[[#This Row],[Upper tol]]=""),"",tblChars[[#This Row],[Nominal]]+tblChars[[#This Row],[Upper tol]]))</f>
        <v>6.76</v>
      </c>
      <c r="Q69" s="43">
        <f>IF(tblChars[[#This Row],[FAI no.]]="","",IF(OR(tblChars[[#This Row],[Measured]]="",tblChars[[#This Row],[Nominal]]=""),"",tblChars[[#This Row],[Measured]]-tblChars[[#This Row],[Nominal]]))</f>
        <v>0.00100000000000033</v>
      </c>
      <c r="R6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0.100000000000036</v>
      </c>
      <c r="S6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69" s="36">
        <f>IF(tblChars[[#This Row],[FAI no.]]="","",IF(AND(tblChars[[#This Row],[Result]]="PASS",ISNUMBER(tblChars[[#This Row],[Tolerance used]])),IF(tblChars[[#This Row],[Tolerance used]]&gt;=NearLimit,1,0),0))</f>
        <v>0</v>
      </c>
      <c r="U6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69" s="28" t="s">
        <v>145</v>
      </c>
    </row>
    <row r="70" spans="2:22">
      <c r="B70" s="28" t="s">
        <v>169</v>
      </c>
      <c r="C70" s="30">
        <v>2</v>
      </c>
      <c r="D70" s="28" t="s">
        <v>197</v>
      </c>
      <c r="E70" s="28" t="s">
        <v>105</v>
      </c>
      <c r="F70" s="28" t="s">
        <v>195</v>
      </c>
      <c r="G70" s="41">
        <v>1.5</v>
      </c>
      <c r="H70" s="41">
        <v>-0.005</v>
      </c>
      <c r="I70" s="41">
        <v>0.005</v>
      </c>
      <c r="J70" s="41">
        <v>1.5008</v>
      </c>
      <c r="K70" s="28"/>
      <c r="L70" s="28" t="s">
        <v>198</v>
      </c>
      <c r="M70" s="42" t="str">
        <f>IF(tblChars[[#This Row],[FAI no.]]="","",IFERROR(INDEX(tblFAIs[Part number],MATCH(tblChars[[#This Row],[FAI no.]],tblFAIs[FAI no.],0)),""))</f>
        <v>HB-1180</v>
      </c>
      <c r="N70" s="36">
        <f>IF(tblChars[[#This Row],[FAI no.]]="","",IFERROR(INDEX(tblFAIs[Open],MATCH(tblChars[[#This Row],[FAI no.]],tblFAIs[FAI no.],0)),""))</f>
        <v>1</v>
      </c>
      <c r="O70" s="43">
        <f>IF(tblChars[[#This Row],[FAI no.]]="","",IF(OR(tblChars[[#This Row],[Nominal]]="",tblChars[[#This Row],[Lower tol]]=""),"",tblChars[[#This Row],[Nominal]]+tblChars[[#This Row],[Lower tol]]))</f>
        <v>1.495</v>
      </c>
      <c r="P70" s="43">
        <f>IF(tblChars[[#This Row],[FAI no.]]="","",IF(OR(tblChars[[#This Row],[Nominal]]="",tblChars[[#This Row],[Upper tol]]=""),"",tblChars[[#This Row],[Nominal]]+tblChars[[#This Row],[Upper tol]]))</f>
        <v>1.505</v>
      </c>
      <c r="Q70" s="43">
        <f>IF(tblChars[[#This Row],[FAI no.]]="","",IF(OR(tblChars[[#This Row],[Measured]]="",tblChars[[#This Row],[Nominal]]=""),"",tblChars[[#This Row],[Measured]]-tblChars[[#This Row],[Nominal]]))</f>
        <v>0.000799999999999912</v>
      </c>
      <c r="R7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0.159999999999986</v>
      </c>
      <c r="S7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0" s="36">
        <f>IF(tblChars[[#This Row],[FAI no.]]="","",IF(AND(tblChars[[#This Row],[Result]]="PASS",ISNUMBER(tblChars[[#This Row],[Tolerance used]])),IF(tblChars[[#This Row],[Tolerance used]]&gt;=NearLimit,1,0),0))</f>
        <v>0</v>
      </c>
      <c r="U7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0" s="28" t="s">
        <v>145</v>
      </c>
    </row>
    <row r="71" spans="2:22">
      <c r="B71" s="28" t="s">
        <v>169</v>
      </c>
      <c r="C71" s="30">
        <v>3</v>
      </c>
      <c r="D71" s="28" t="s">
        <v>199</v>
      </c>
      <c r="E71" s="28" t="s">
        <v>105</v>
      </c>
      <c r="F71" s="28" t="s">
        <v>195</v>
      </c>
      <c r="G71" s="41">
        <v>0.375</v>
      </c>
      <c r="H71" s="41">
        <v>-0.005</v>
      </c>
      <c r="I71" s="41">
        <v>0.005</v>
      </c>
      <c r="J71" s="41">
        <v>0.374</v>
      </c>
      <c r="K71" s="28"/>
      <c r="L71" s="28" t="s">
        <v>204</v>
      </c>
      <c r="M71" s="42" t="str">
        <f>IF(tblChars[[#This Row],[FAI no.]]="","",IFERROR(INDEX(tblFAIs[Part number],MATCH(tblChars[[#This Row],[FAI no.]],tblFAIs[FAI no.],0)),""))</f>
        <v>HB-1180</v>
      </c>
      <c r="N71" s="36">
        <f>IF(tblChars[[#This Row],[FAI no.]]="","",IFERROR(INDEX(tblFAIs[Open],MATCH(tblChars[[#This Row],[FAI no.]],tblFAIs[FAI no.],0)),""))</f>
        <v>1</v>
      </c>
      <c r="O71" s="43">
        <f>IF(tblChars[[#This Row],[FAI no.]]="","",IF(OR(tblChars[[#This Row],[Nominal]]="",tblChars[[#This Row],[Lower tol]]=""),"",tblChars[[#This Row],[Nominal]]+tblChars[[#This Row],[Lower tol]]))</f>
        <v>0.37</v>
      </c>
      <c r="P71" s="43">
        <f>IF(tblChars[[#This Row],[FAI no.]]="","",IF(OR(tblChars[[#This Row],[Nominal]]="",tblChars[[#This Row],[Upper tol]]=""),"",tblChars[[#This Row],[Nominal]]+tblChars[[#This Row],[Upper tol]]))</f>
        <v>0.38</v>
      </c>
      <c r="Q71" s="43">
        <f>IF(tblChars[[#This Row],[FAI no.]]="","",IF(OR(tblChars[[#This Row],[Measured]]="",tblChars[[#This Row],[Nominal]]=""),"",tblChars[[#This Row],[Measured]]-tblChars[[#This Row],[Nominal]]))</f>
        <v>-0.001</v>
      </c>
      <c r="R7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v>
      </c>
      <c r="S7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1" s="36">
        <f>IF(tblChars[[#This Row],[FAI no.]]="","",IF(AND(tblChars[[#This Row],[Result]]="PASS",ISNUMBER(tblChars[[#This Row],[Tolerance used]])),IF(tblChars[[#This Row],[Tolerance used]]&gt;=NearLimit,1,0),0))</f>
        <v>0</v>
      </c>
      <c r="U7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1" s="28" t="s">
        <v>145</v>
      </c>
    </row>
    <row r="72" spans="2:22">
      <c r="B72" s="28" t="s">
        <v>169</v>
      </c>
      <c r="C72" s="30">
        <v>4</v>
      </c>
      <c r="D72" s="28" t="s">
        <v>201</v>
      </c>
      <c r="E72" s="28" t="s">
        <v>105</v>
      </c>
      <c r="F72" s="28" t="s">
        <v>195</v>
      </c>
      <c r="G72" s="41">
        <v>0.3125</v>
      </c>
      <c r="H72" s="41">
        <v>0</v>
      </c>
      <c r="I72" s="41">
        <v>0.001</v>
      </c>
      <c r="J72" s="41">
        <v>0.313</v>
      </c>
      <c r="K72" s="28"/>
      <c r="L72" s="28" t="s">
        <v>196</v>
      </c>
      <c r="M72" s="42" t="str">
        <f>IF(tblChars[[#This Row],[FAI no.]]="","",IFERROR(INDEX(tblFAIs[Part number],MATCH(tblChars[[#This Row],[FAI no.]],tblFAIs[FAI no.],0)),""))</f>
        <v>HB-1180</v>
      </c>
      <c r="N72" s="36">
        <f>IF(tblChars[[#This Row],[FAI no.]]="","",IFERROR(INDEX(tblFAIs[Open],MATCH(tblChars[[#This Row],[FAI no.]],tblFAIs[FAI no.],0)),""))</f>
        <v>1</v>
      </c>
      <c r="O72" s="43">
        <f>IF(tblChars[[#This Row],[FAI no.]]="","",IF(OR(tblChars[[#This Row],[Nominal]]="",tblChars[[#This Row],[Lower tol]]=""),"",tblChars[[#This Row],[Nominal]]+tblChars[[#This Row],[Lower tol]]))</f>
        <v>0.3125</v>
      </c>
      <c r="P72" s="43">
        <f>IF(tblChars[[#This Row],[FAI no.]]="","",IF(OR(tblChars[[#This Row],[Nominal]]="",tblChars[[#This Row],[Upper tol]]=""),"",tblChars[[#This Row],[Nominal]]+tblChars[[#This Row],[Upper tol]]))</f>
        <v>0.3135</v>
      </c>
      <c r="Q72" s="43">
        <f>IF(tblChars[[#This Row],[FAI no.]]="","",IF(OR(tblChars[[#This Row],[Measured]]="",tblChars[[#This Row],[Nominal]]=""),"",tblChars[[#This Row],[Measured]]-tblChars[[#This Row],[Nominal]]))</f>
        <v>0.0005</v>
      </c>
      <c r="R7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v>
      </c>
      <c r="S7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2" s="36">
        <f>IF(tblChars[[#This Row],[FAI no.]]="","",IF(AND(tblChars[[#This Row],[Result]]="PASS",ISNUMBER(tblChars[[#This Row],[Tolerance used]])),IF(tblChars[[#This Row],[Tolerance used]]&gt;=NearLimit,1,0),0))</f>
        <v>0</v>
      </c>
      <c r="U7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2" s="28" t="s">
        <v>145</v>
      </c>
    </row>
    <row r="73" spans="2:22">
      <c r="B73" s="28" t="s">
        <v>169</v>
      </c>
      <c r="C73" s="30">
        <v>5</v>
      </c>
      <c r="D73" s="28" t="s">
        <v>202</v>
      </c>
      <c r="E73" s="28" t="s">
        <v>107</v>
      </c>
      <c r="F73" s="28" t="s">
        <v>195</v>
      </c>
      <c r="G73" s="41">
        <v>0</v>
      </c>
      <c r="H73" s="41"/>
      <c r="I73" s="41">
        <v>0.005</v>
      </c>
      <c r="J73" s="41">
        <v>0.0044</v>
      </c>
      <c r="K73" s="28"/>
      <c r="L73" s="28" t="s">
        <v>196</v>
      </c>
      <c r="M73" s="42" t="str">
        <f>IF(tblChars[[#This Row],[FAI no.]]="","",IFERROR(INDEX(tblFAIs[Part number],MATCH(tblChars[[#This Row],[FAI no.]],tblFAIs[FAI no.],0)),""))</f>
        <v>HB-1180</v>
      </c>
      <c r="N73" s="36">
        <f>IF(tblChars[[#This Row],[FAI no.]]="","",IFERROR(INDEX(tblFAIs[Open],MATCH(tblChars[[#This Row],[FAI no.]],tblFAIs[FAI no.],0)),""))</f>
        <v>1</v>
      </c>
      <c r="O73" s="43">
        <f>IF(tblChars[[#This Row],[FAI no.]]="","",IF(OR(tblChars[[#This Row],[Nominal]]="",tblChars[[#This Row],[Lower tol]]=""),"",tblChars[[#This Row],[Nominal]]+tblChars[[#This Row],[Lower tol]]))</f>
        <v/>
      </c>
      <c r="P73" s="43">
        <f>IF(tblChars[[#This Row],[FAI no.]]="","",IF(OR(tblChars[[#This Row],[Nominal]]="",tblChars[[#This Row],[Upper tol]]=""),"",tblChars[[#This Row],[Nominal]]+tblChars[[#This Row],[Upper tol]]))</f>
        <v>0.005</v>
      </c>
      <c r="Q73" s="43">
        <f>IF(tblChars[[#This Row],[FAI no.]]="","",IF(OR(tblChars[[#This Row],[Measured]]="",tblChars[[#This Row],[Nominal]]=""),"",tblChars[[#This Row],[Measured]]-tblChars[[#This Row],[Nominal]]))</f>
        <v>0.0044</v>
      </c>
      <c r="R7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0.88</v>
      </c>
      <c r="S7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3" s="36">
        <f>IF(tblChars[[#This Row],[FAI no.]]="","",IF(AND(tblChars[[#This Row],[Result]]="PASS",ISNUMBER(tblChars[[#This Row],[Tolerance used]])),IF(tblChars[[#This Row],[Tolerance used]]&gt;=NearLimit,1,0),0))</f>
        <v>1</v>
      </c>
      <c r="U7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3" s="28" t="s">
        <v>145</v>
      </c>
    </row>
    <row r="74" spans="2:22">
      <c r="B74" s="28" t="s">
        <v>169</v>
      </c>
      <c r="C74" s="30">
        <v>6</v>
      </c>
      <c r="D74" s="28" t="s">
        <v>203</v>
      </c>
      <c r="E74" s="28" t="s">
        <v>107</v>
      </c>
      <c r="F74" s="28" t="s">
        <v>195</v>
      </c>
      <c r="G74" s="41">
        <v>0</v>
      </c>
      <c r="H74" s="41"/>
      <c r="I74" s="41">
        <v>0.002</v>
      </c>
      <c r="J74" s="41">
        <v>0.0005</v>
      </c>
      <c r="K74" s="28"/>
      <c r="L74" s="28" t="s">
        <v>200</v>
      </c>
      <c r="M74" s="42" t="str">
        <f>IF(tblChars[[#This Row],[FAI no.]]="","",IFERROR(INDEX(tblFAIs[Part number],MATCH(tblChars[[#This Row],[FAI no.]],tblFAIs[FAI no.],0)),""))</f>
        <v>HB-1180</v>
      </c>
      <c r="N74" s="36">
        <f>IF(tblChars[[#This Row],[FAI no.]]="","",IFERROR(INDEX(tblFAIs[Open],MATCH(tblChars[[#This Row],[FAI no.]],tblFAIs[FAI no.],0)),""))</f>
        <v>1</v>
      </c>
      <c r="O74" s="43">
        <f>IF(tblChars[[#This Row],[FAI no.]]="","",IF(OR(tblChars[[#This Row],[Nominal]]="",tblChars[[#This Row],[Lower tol]]=""),"",tblChars[[#This Row],[Nominal]]+tblChars[[#This Row],[Lower tol]]))</f>
        <v/>
      </c>
      <c r="P74" s="43">
        <f>IF(tblChars[[#This Row],[FAI no.]]="","",IF(OR(tblChars[[#This Row],[Nominal]]="",tblChars[[#This Row],[Upper tol]]=""),"",tblChars[[#This Row],[Nominal]]+tblChars[[#This Row],[Upper tol]]))</f>
        <v>0.002</v>
      </c>
      <c r="Q74" s="43">
        <f>IF(tblChars[[#This Row],[FAI no.]]="","",IF(OR(tblChars[[#This Row],[Measured]]="",tblChars[[#This Row],[Nominal]]=""),"",tblChars[[#This Row],[Measured]]-tblChars[[#This Row],[Nominal]]))</f>
        <v>0.0005</v>
      </c>
      <c r="R7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0.25</v>
      </c>
      <c r="S7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4" s="36">
        <f>IF(tblChars[[#This Row],[FAI no.]]="","",IF(AND(tblChars[[#This Row],[Result]]="PASS",ISNUMBER(tblChars[[#This Row],[Tolerance used]])),IF(tblChars[[#This Row],[Tolerance used]]&gt;=NearLimit,1,0),0))</f>
        <v>0</v>
      </c>
      <c r="U7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4" s="28" t="s">
        <v>145</v>
      </c>
    </row>
    <row r="75" spans="2:22">
      <c r="B75" s="28" t="s">
        <v>169</v>
      </c>
      <c r="C75" s="30">
        <v>7</v>
      </c>
      <c r="D75" s="28" t="s">
        <v>268</v>
      </c>
      <c r="E75" s="28" t="s">
        <v>105</v>
      </c>
      <c r="F75" s="28" t="s">
        <v>195</v>
      </c>
      <c r="G75" s="41">
        <v>0.201</v>
      </c>
      <c r="H75" s="41">
        <v>-0.002</v>
      </c>
      <c r="I75" s="41">
        <v>0.003</v>
      </c>
      <c r="J75" s="41">
        <v>0.2015</v>
      </c>
      <c r="K75" s="28"/>
      <c r="L75" s="28" t="s">
        <v>204</v>
      </c>
      <c r="M75" s="42" t="str">
        <f>IF(tblChars[[#This Row],[FAI no.]]="","",IFERROR(INDEX(tblFAIs[Part number],MATCH(tblChars[[#This Row],[FAI no.]],tblFAIs[FAI no.],0)),""))</f>
        <v>HB-1180</v>
      </c>
      <c r="N75" s="36">
        <f>IF(tblChars[[#This Row],[FAI no.]]="","",IFERROR(INDEX(tblFAIs[Open],MATCH(tblChars[[#This Row],[FAI no.]],tblFAIs[FAI no.],0)),""))</f>
        <v>1</v>
      </c>
      <c r="O75" s="43">
        <f>IF(tblChars[[#This Row],[FAI no.]]="","",IF(OR(tblChars[[#This Row],[Nominal]]="",tblChars[[#This Row],[Lower tol]]=""),"",tblChars[[#This Row],[Nominal]]+tblChars[[#This Row],[Lower tol]]))</f>
        <v>0.199</v>
      </c>
      <c r="P75" s="43">
        <f>IF(tblChars[[#This Row],[FAI no.]]="","",IF(OR(tblChars[[#This Row],[Nominal]]="",tblChars[[#This Row],[Upper tol]]=""),"",tblChars[[#This Row],[Nominal]]+tblChars[[#This Row],[Upper tol]]))</f>
        <v>0.204</v>
      </c>
      <c r="Q75" s="43">
        <f>IF(tblChars[[#This Row],[FAI no.]]="","",IF(OR(tblChars[[#This Row],[Measured]]="",tblChars[[#This Row],[Nominal]]=""),"",tblChars[[#This Row],[Measured]]-tblChars[[#This Row],[Nominal]]))</f>
        <v>0.0005</v>
      </c>
      <c r="R7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v>
      </c>
      <c r="S7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5" s="36">
        <f>IF(tblChars[[#This Row],[FAI no.]]="","",IF(AND(tblChars[[#This Row],[Result]]="PASS",ISNUMBER(tblChars[[#This Row],[Tolerance used]])),IF(tblChars[[#This Row],[Tolerance used]]&gt;=NearLimit,1,0),0))</f>
        <v>0</v>
      </c>
      <c r="U7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5" s="28" t="s">
        <v>145</v>
      </c>
    </row>
    <row r="76" spans="2:22">
      <c r="B76" s="28" t="s">
        <v>169</v>
      </c>
      <c r="C76" s="30">
        <v>8</v>
      </c>
      <c r="D76" s="28" t="s">
        <v>206</v>
      </c>
      <c r="E76" s="28" t="s">
        <v>107</v>
      </c>
      <c r="F76" s="28" t="s">
        <v>195</v>
      </c>
      <c r="G76" s="41">
        <v>0</v>
      </c>
      <c r="H76" s="41"/>
      <c r="I76" s="41">
        <v>0.007</v>
      </c>
      <c r="J76" s="41">
        <v>0.0031</v>
      </c>
      <c r="K76" s="28"/>
      <c r="L76" s="28" t="s">
        <v>204</v>
      </c>
      <c r="M76" s="42" t="str">
        <f>IF(tblChars[[#This Row],[FAI no.]]="","",IFERROR(INDEX(tblFAIs[Part number],MATCH(tblChars[[#This Row],[FAI no.]],tblFAIs[FAI no.],0)),""))</f>
        <v>HB-1180</v>
      </c>
      <c r="N76" s="36">
        <f>IF(tblChars[[#This Row],[FAI no.]]="","",IFERROR(INDEX(tblFAIs[Open],MATCH(tblChars[[#This Row],[FAI no.]],tblFAIs[FAI no.],0)),""))</f>
        <v>1</v>
      </c>
      <c r="O76" s="43">
        <f>IF(tblChars[[#This Row],[FAI no.]]="","",IF(OR(tblChars[[#This Row],[Nominal]]="",tblChars[[#This Row],[Lower tol]]=""),"",tblChars[[#This Row],[Nominal]]+tblChars[[#This Row],[Lower tol]]))</f>
        <v/>
      </c>
      <c r="P76" s="43">
        <f>IF(tblChars[[#This Row],[FAI no.]]="","",IF(OR(tblChars[[#This Row],[Nominal]]="",tblChars[[#This Row],[Upper tol]]=""),"",tblChars[[#This Row],[Nominal]]+tblChars[[#This Row],[Upper tol]]))</f>
        <v>0.007</v>
      </c>
      <c r="Q76" s="43">
        <f>IF(tblChars[[#This Row],[FAI no.]]="","",IF(OR(tblChars[[#This Row],[Measured]]="",tblChars[[#This Row],[Nominal]]=""),"",tblChars[[#This Row],[Measured]]-tblChars[[#This Row],[Nominal]]))</f>
        <v>0.0031</v>
      </c>
      <c r="R7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0.442857142857143</v>
      </c>
      <c r="S7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6" s="36">
        <f>IF(tblChars[[#This Row],[FAI no.]]="","",IF(AND(tblChars[[#This Row],[Result]]="PASS",ISNUMBER(tblChars[[#This Row],[Tolerance used]])),IF(tblChars[[#This Row],[Tolerance used]]&gt;=NearLimit,1,0),0))</f>
        <v>0</v>
      </c>
      <c r="U7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6" s="28" t="s">
        <v>145</v>
      </c>
    </row>
    <row r="77" spans="2:22">
      <c r="B77" s="28" t="s">
        <v>169</v>
      </c>
      <c r="C77" s="30">
        <v>9</v>
      </c>
      <c r="D77" s="28" t="s">
        <v>269</v>
      </c>
      <c r="E77" s="28" t="s">
        <v>105</v>
      </c>
      <c r="F77" s="28" t="s">
        <v>195</v>
      </c>
      <c r="G77" s="41">
        <v>0.25</v>
      </c>
      <c r="H77" s="41">
        <v>-0.005</v>
      </c>
      <c r="I77" s="41">
        <v>0.005</v>
      </c>
      <c r="J77" s="41">
        <v>0.2502</v>
      </c>
      <c r="K77" s="28"/>
      <c r="L77" s="28" t="s">
        <v>198</v>
      </c>
      <c r="M77" s="42" t="str">
        <f>IF(tblChars[[#This Row],[FAI no.]]="","",IFERROR(INDEX(tblFAIs[Part number],MATCH(tblChars[[#This Row],[FAI no.]],tblFAIs[FAI no.],0)),""))</f>
        <v>HB-1180</v>
      </c>
      <c r="N77" s="36">
        <f>IF(tblChars[[#This Row],[FAI no.]]="","",IFERROR(INDEX(tblFAIs[Open],MATCH(tblChars[[#This Row],[FAI no.]],tblFAIs[FAI no.],0)),""))</f>
        <v>1</v>
      </c>
      <c r="O77" s="43">
        <f>IF(tblChars[[#This Row],[FAI no.]]="","",IF(OR(tblChars[[#This Row],[Nominal]]="",tblChars[[#This Row],[Lower tol]]=""),"",tblChars[[#This Row],[Nominal]]+tblChars[[#This Row],[Lower tol]]))</f>
        <v>0.245</v>
      </c>
      <c r="P77" s="43">
        <f>IF(tblChars[[#This Row],[FAI no.]]="","",IF(OR(tblChars[[#This Row],[Nominal]]="",tblChars[[#This Row],[Upper tol]]=""),"",tblChars[[#This Row],[Nominal]]+tblChars[[#This Row],[Upper tol]]))</f>
        <v>0.255</v>
      </c>
      <c r="Q77" s="43">
        <f>IF(tblChars[[#This Row],[FAI no.]]="","",IF(OR(tblChars[[#This Row],[Measured]]="",tblChars[[#This Row],[Nominal]]=""),"",tblChars[[#This Row],[Measured]]-tblChars[[#This Row],[Nominal]]))</f>
        <v>0.000199999999999978</v>
      </c>
      <c r="R7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0.0399999999999956</v>
      </c>
      <c r="S7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7" s="36">
        <f>IF(tblChars[[#This Row],[FAI no.]]="","",IF(AND(tblChars[[#This Row],[Result]]="PASS",ISNUMBER(tblChars[[#This Row],[Tolerance used]])),IF(tblChars[[#This Row],[Tolerance used]]&gt;=NearLimit,1,0),0))</f>
        <v>0</v>
      </c>
      <c r="U7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7" s="28" t="s">
        <v>145</v>
      </c>
    </row>
    <row r="78" spans="2:22">
      <c r="B78" s="28" t="s">
        <v>169</v>
      </c>
      <c r="C78" s="30">
        <v>10</v>
      </c>
      <c r="D78" s="28" t="s">
        <v>270</v>
      </c>
      <c r="E78" s="28" t="s">
        <v>105</v>
      </c>
      <c r="F78" s="28" t="s">
        <v>195</v>
      </c>
      <c r="G78" s="41">
        <v>0.125</v>
      </c>
      <c r="H78" s="41">
        <v>-0.01</v>
      </c>
      <c r="I78" s="41">
        <v>0.01</v>
      </c>
      <c r="J78" s="41">
        <v>0.1225</v>
      </c>
      <c r="K78" s="28"/>
      <c r="L78" s="28" t="s">
        <v>204</v>
      </c>
      <c r="M78" s="42" t="str">
        <f>IF(tblChars[[#This Row],[FAI no.]]="","",IFERROR(INDEX(tblFAIs[Part number],MATCH(tblChars[[#This Row],[FAI no.]],tblFAIs[FAI no.],0)),""))</f>
        <v>HB-1180</v>
      </c>
      <c r="N78" s="36">
        <f>IF(tblChars[[#This Row],[FAI no.]]="","",IFERROR(INDEX(tblFAIs[Open],MATCH(tblChars[[#This Row],[FAI no.]],tblFAIs[FAI no.],0)),""))</f>
        <v>1</v>
      </c>
      <c r="O78" s="43">
        <f>IF(tblChars[[#This Row],[FAI no.]]="","",IF(OR(tblChars[[#This Row],[Nominal]]="",tblChars[[#This Row],[Lower tol]]=""),"",tblChars[[#This Row],[Nominal]]+tblChars[[#This Row],[Lower tol]]))</f>
        <v>0.115</v>
      </c>
      <c r="P78" s="43">
        <f>IF(tblChars[[#This Row],[FAI no.]]="","",IF(OR(tblChars[[#This Row],[Nominal]]="",tblChars[[#This Row],[Upper tol]]=""),"",tblChars[[#This Row],[Nominal]]+tblChars[[#This Row],[Upper tol]]))</f>
        <v>0.135</v>
      </c>
      <c r="Q78" s="43">
        <f>IF(tblChars[[#This Row],[FAI no.]]="","",IF(OR(tblChars[[#This Row],[Measured]]="",tblChars[[#This Row],[Nominal]]=""),"",tblChars[[#This Row],[Measured]]-tblChars[[#This Row],[Nominal]]))</f>
        <v>-0.0025</v>
      </c>
      <c r="R7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0.25</v>
      </c>
      <c r="S7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PASS</v>
      </c>
      <c r="T78" s="36">
        <f>IF(tblChars[[#This Row],[FAI no.]]="","",IF(AND(tblChars[[#This Row],[Result]]="PASS",ISNUMBER(tblChars[[#This Row],[Tolerance used]])),IF(tblChars[[#This Row],[Tolerance used]]&gt;=NearLimit,1,0),0))</f>
        <v>0</v>
      </c>
      <c r="U7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8" s="28" t="s">
        <v>145</v>
      </c>
    </row>
    <row r="79" spans="2:22">
      <c r="B79" s="28" t="s">
        <v>169</v>
      </c>
      <c r="C79" s="30">
        <v>11</v>
      </c>
      <c r="D79" s="28" t="s">
        <v>271</v>
      </c>
      <c r="E79" s="28" t="s">
        <v>109</v>
      </c>
      <c r="F79" s="28" t="s">
        <v>208</v>
      </c>
      <c r="G79" s="41"/>
      <c r="H79" s="41"/>
      <c r="I79" s="41"/>
      <c r="J79" s="41"/>
      <c r="K79" s="28"/>
      <c r="L79" s="28"/>
      <c r="M79" s="42" t="str">
        <f>IF(tblChars[[#This Row],[FAI no.]]="","",IFERROR(INDEX(tblFAIs[Part number],MATCH(tblChars[[#This Row],[FAI no.]],tblFAIs[FAI no.],0)),""))</f>
        <v>HB-1180</v>
      </c>
      <c r="N79" s="36">
        <f>IF(tblChars[[#This Row],[FAI no.]]="","",IFERROR(INDEX(tblFAIs[Open],MATCH(tblChars[[#This Row],[FAI no.]],tblFAIs[FAI no.],0)),""))</f>
        <v>1</v>
      </c>
      <c r="O79" s="43">
        <f>IF(tblChars[[#This Row],[FAI no.]]="","",IF(OR(tblChars[[#This Row],[Nominal]]="",tblChars[[#This Row],[Lower tol]]=""),"",tblChars[[#This Row],[Nominal]]+tblChars[[#This Row],[Lower tol]]))</f>
        <v/>
      </c>
      <c r="P79" s="43">
        <f>IF(tblChars[[#This Row],[FAI no.]]="","",IF(OR(tblChars[[#This Row],[Nominal]]="",tblChars[[#This Row],[Upper tol]]=""),"",tblChars[[#This Row],[Nominal]]+tblChars[[#This Row],[Upper tol]]))</f>
        <v/>
      </c>
      <c r="Q79" s="43">
        <f>IF(tblChars[[#This Row],[FAI no.]]="","",IF(OR(tblChars[[#This Row],[Measured]]="",tblChars[[#This Row],[Nominal]]=""),"",tblChars[[#This Row],[Measured]]-tblChars[[#This Row],[Nominal]]))</f>
        <v/>
      </c>
      <c r="R7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7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79" s="36">
        <f>IF(tblChars[[#This Row],[FAI no.]]="","",IF(AND(tblChars[[#This Row],[Result]]="PASS",ISNUMBER(tblChars[[#This Row],[Tolerance used]])),IF(tblChars[[#This Row],[Tolerance used]]&gt;=NearLimit,1,0),0))</f>
        <v>0</v>
      </c>
      <c r="U7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79" s="28" t="s">
        <v>145</v>
      </c>
    </row>
    <row r="80" spans="2:22">
      <c r="B80" s="28" t="s">
        <v>169</v>
      </c>
      <c r="C80" s="30">
        <v>12</v>
      </c>
      <c r="D80" s="28" t="s">
        <v>211</v>
      </c>
      <c r="E80" s="28" t="s">
        <v>111</v>
      </c>
      <c r="F80" s="28" t="s">
        <v>212</v>
      </c>
      <c r="G80" s="41">
        <v>0</v>
      </c>
      <c r="H80" s="41"/>
      <c r="I80" s="41">
        <v>63</v>
      </c>
      <c r="J80" s="41"/>
      <c r="K80" s="28"/>
      <c r="L80" s="28"/>
      <c r="M80" s="42" t="str">
        <f>IF(tblChars[[#This Row],[FAI no.]]="","",IFERROR(INDEX(tblFAIs[Part number],MATCH(tblChars[[#This Row],[FAI no.]],tblFAIs[FAI no.],0)),""))</f>
        <v>HB-1180</v>
      </c>
      <c r="N80" s="36">
        <f>IF(tblChars[[#This Row],[FAI no.]]="","",IFERROR(INDEX(tblFAIs[Open],MATCH(tblChars[[#This Row],[FAI no.]],tblFAIs[FAI no.],0)),""))</f>
        <v>1</v>
      </c>
      <c r="O80" s="43">
        <f>IF(tblChars[[#This Row],[FAI no.]]="","",IF(OR(tblChars[[#This Row],[Nominal]]="",tblChars[[#This Row],[Lower tol]]=""),"",tblChars[[#This Row],[Nominal]]+tblChars[[#This Row],[Lower tol]]))</f>
        <v/>
      </c>
      <c r="P80" s="43">
        <f>IF(tblChars[[#This Row],[FAI no.]]="","",IF(OR(tblChars[[#This Row],[Nominal]]="",tblChars[[#This Row],[Upper tol]]=""),"",tblChars[[#This Row],[Nominal]]+tblChars[[#This Row],[Upper tol]]))</f>
        <v>63</v>
      </c>
      <c r="Q80" s="43">
        <f>IF(tblChars[[#This Row],[FAI no.]]="","",IF(OR(tblChars[[#This Row],[Measured]]="",tblChars[[#This Row],[Nominal]]=""),"",tblChars[[#This Row],[Measured]]-tblChars[[#This Row],[Nominal]]))</f>
        <v/>
      </c>
      <c r="R8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0" s="36">
        <f>IF(tblChars[[#This Row],[FAI no.]]="","",IF(AND(tblChars[[#This Row],[Result]]="PASS",ISNUMBER(tblChars[[#This Row],[Tolerance used]])),IF(tblChars[[#This Row],[Tolerance used]]&gt;=NearLimit,1,0),0))</f>
        <v>0</v>
      </c>
      <c r="U8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0" s="28" t="s">
        <v>145</v>
      </c>
    </row>
    <row r="81" spans="2:22">
      <c r="B81" s="28" t="s">
        <v>169</v>
      </c>
      <c r="C81" s="30">
        <v>13</v>
      </c>
      <c r="D81" s="28" t="s">
        <v>214</v>
      </c>
      <c r="E81" s="28" t="s">
        <v>105</v>
      </c>
      <c r="F81" s="28" t="s">
        <v>195</v>
      </c>
      <c r="G81" s="41">
        <v>0.01</v>
      </c>
      <c r="H81" s="41">
        <v>-0.005</v>
      </c>
      <c r="I81" s="41">
        <v>0.005</v>
      </c>
      <c r="J81" s="41"/>
      <c r="K81" s="28"/>
      <c r="L81" s="28"/>
      <c r="M81" s="42" t="str">
        <f>IF(tblChars[[#This Row],[FAI no.]]="","",IFERROR(INDEX(tblFAIs[Part number],MATCH(tblChars[[#This Row],[FAI no.]],tblFAIs[FAI no.],0)),""))</f>
        <v>HB-1180</v>
      </c>
      <c r="N81" s="36">
        <f>IF(tblChars[[#This Row],[FAI no.]]="","",IFERROR(INDEX(tblFAIs[Open],MATCH(tblChars[[#This Row],[FAI no.]],tblFAIs[FAI no.],0)),""))</f>
        <v>1</v>
      </c>
      <c r="O81" s="43">
        <f>IF(tblChars[[#This Row],[FAI no.]]="","",IF(OR(tblChars[[#This Row],[Nominal]]="",tblChars[[#This Row],[Lower tol]]=""),"",tblChars[[#This Row],[Nominal]]+tblChars[[#This Row],[Lower tol]]))</f>
        <v>0.005</v>
      </c>
      <c r="P81" s="43">
        <f>IF(tblChars[[#This Row],[FAI no.]]="","",IF(OR(tblChars[[#This Row],[Nominal]]="",tblChars[[#This Row],[Upper tol]]=""),"",tblChars[[#This Row],[Nominal]]+tblChars[[#This Row],[Upper tol]]))</f>
        <v>0.015</v>
      </c>
      <c r="Q81" s="43">
        <f>IF(tblChars[[#This Row],[FAI no.]]="","",IF(OR(tblChars[[#This Row],[Measured]]="",tblChars[[#This Row],[Nominal]]=""),"",tblChars[[#This Row],[Measured]]-tblChars[[#This Row],[Nominal]]))</f>
        <v/>
      </c>
      <c r="R8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1" s="36">
        <f>IF(tblChars[[#This Row],[FAI no.]]="","",IF(AND(tblChars[[#This Row],[Result]]="PASS",ISNUMBER(tblChars[[#This Row],[Tolerance used]])),IF(tblChars[[#This Row],[Tolerance used]]&gt;=NearLimit,1,0),0))</f>
        <v>0</v>
      </c>
      <c r="U8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1" s="28" t="s">
        <v>145</v>
      </c>
    </row>
    <row r="82" spans="2:22">
      <c r="B82" s="28" t="s">
        <v>169</v>
      </c>
      <c r="C82" s="30">
        <v>14</v>
      </c>
      <c r="D82" s="28" t="s">
        <v>215</v>
      </c>
      <c r="E82" s="28" t="s">
        <v>113</v>
      </c>
      <c r="F82" s="28" t="s">
        <v>208</v>
      </c>
      <c r="G82" s="41"/>
      <c r="H82" s="41"/>
      <c r="I82" s="41"/>
      <c r="J82" s="41"/>
      <c r="K82" s="28"/>
      <c r="L82" s="28"/>
      <c r="M82" s="42" t="str">
        <f>IF(tblChars[[#This Row],[FAI no.]]="","",IFERROR(INDEX(tblFAIs[Part number],MATCH(tblChars[[#This Row],[FAI no.]],tblFAIs[FAI no.],0)),""))</f>
        <v>HB-1180</v>
      </c>
      <c r="N82" s="36">
        <f>IF(tblChars[[#This Row],[FAI no.]]="","",IFERROR(INDEX(tblFAIs[Open],MATCH(tblChars[[#This Row],[FAI no.]],tblFAIs[FAI no.],0)),""))</f>
        <v>1</v>
      </c>
      <c r="O82" s="43">
        <f>IF(tblChars[[#This Row],[FAI no.]]="","",IF(OR(tblChars[[#This Row],[Nominal]]="",tblChars[[#This Row],[Lower tol]]=""),"",tblChars[[#This Row],[Nominal]]+tblChars[[#This Row],[Lower tol]]))</f>
        <v/>
      </c>
      <c r="P82" s="43">
        <f>IF(tblChars[[#This Row],[FAI no.]]="","",IF(OR(tblChars[[#This Row],[Nominal]]="",tblChars[[#This Row],[Upper tol]]=""),"",tblChars[[#This Row],[Nominal]]+tblChars[[#This Row],[Upper tol]]))</f>
        <v/>
      </c>
      <c r="Q82" s="43">
        <f>IF(tblChars[[#This Row],[FAI no.]]="","",IF(OR(tblChars[[#This Row],[Measured]]="",tblChars[[#This Row],[Nominal]]=""),"",tblChars[[#This Row],[Measured]]-tblChars[[#This Row],[Nominal]]))</f>
        <v/>
      </c>
      <c r="R8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2" s="36">
        <f>IF(tblChars[[#This Row],[FAI no.]]="","",IF(AND(tblChars[[#This Row],[Result]]="PASS",ISNUMBER(tblChars[[#This Row],[Tolerance used]])),IF(tblChars[[#This Row],[Tolerance used]]&gt;=NearLimit,1,0),0))</f>
        <v>0</v>
      </c>
      <c r="U8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2" s="28" t="s">
        <v>145</v>
      </c>
    </row>
    <row r="83" spans="2:22">
      <c r="B83" s="28" t="s">
        <v>169</v>
      </c>
      <c r="C83" s="30">
        <v>15</v>
      </c>
      <c r="D83" s="28" t="s">
        <v>216</v>
      </c>
      <c r="E83" s="28" t="s">
        <v>113</v>
      </c>
      <c r="F83" s="28" t="s">
        <v>208</v>
      </c>
      <c r="G83" s="41"/>
      <c r="H83" s="41"/>
      <c r="I83" s="41"/>
      <c r="J83" s="41"/>
      <c r="K83" s="28"/>
      <c r="L83" s="28"/>
      <c r="M83" s="42" t="str">
        <f>IF(tblChars[[#This Row],[FAI no.]]="","",IFERROR(INDEX(tblFAIs[Part number],MATCH(tblChars[[#This Row],[FAI no.]],tblFAIs[FAI no.],0)),""))</f>
        <v>HB-1180</v>
      </c>
      <c r="N83" s="36">
        <f>IF(tblChars[[#This Row],[FAI no.]]="","",IFERROR(INDEX(tblFAIs[Open],MATCH(tblChars[[#This Row],[FAI no.]],tblFAIs[FAI no.],0)),""))</f>
        <v>1</v>
      </c>
      <c r="O83" s="43">
        <f>IF(tblChars[[#This Row],[FAI no.]]="","",IF(OR(tblChars[[#This Row],[Nominal]]="",tblChars[[#This Row],[Lower tol]]=""),"",tblChars[[#This Row],[Nominal]]+tblChars[[#This Row],[Lower tol]]))</f>
        <v/>
      </c>
      <c r="P83" s="43">
        <f>IF(tblChars[[#This Row],[FAI no.]]="","",IF(OR(tblChars[[#This Row],[Nominal]]="",tblChars[[#This Row],[Upper tol]]=""),"",tblChars[[#This Row],[Nominal]]+tblChars[[#This Row],[Upper tol]]))</f>
        <v/>
      </c>
      <c r="Q83" s="43">
        <f>IF(tblChars[[#This Row],[FAI no.]]="","",IF(OR(tblChars[[#This Row],[Measured]]="",tblChars[[#This Row],[Nominal]]=""),"",tblChars[[#This Row],[Measured]]-tblChars[[#This Row],[Nominal]]))</f>
        <v/>
      </c>
      <c r="R8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3" s="36">
        <f>IF(tblChars[[#This Row],[FAI no.]]="","",IF(AND(tblChars[[#This Row],[Result]]="PASS",ISNUMBER(tblChars[[#This Row],[Tolerance used]])),IF(tblChars[[#This Row],[Tolerance used]]&gt;=NearLimit,1,0),0))</f>
        <v>0</v>
      </c>
      <c r="U8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3" s="28" t="s">
        <v>145</v>
      </c>
    </row>
    <row r="84" spans="2:22">
      <c r="B84" s="28" t="s">
        <v>169</v>
      </c>
      <c r="C84" s="30">
        <v>16</v>
      </c>
      <c r="D84" s="28" t="s">
        <v>218</v>
      </c>
      <c r="E84" s="28" t="s">
        <v>115</v>
      </c>
      <c r="F84" s="28" t="s">
        <v>208</v>
      </c>
      <c r="G84" s="41"/>
      <c r="H84" s="41"/>
      <c r="I84" s="41"/>
      <c r="J84" s="41"/>
      <c r="K84" s="28"/>
      <c r="L84" s="28"/>
      <c r="M84" s="42" t="str">
        <f>IF(tblChars[[#This Row],[FAI no.]]="","",IFERROR(INDEX(tblFAIs[Part number],MATCH(tblChars[[#This Row],[FAI no.]],tblFAIs[FAI no.],0)),""))</f>
        <v>HB-1180</v>
      </c>
      <c r="N84" s="36">
        <f>IF(tblChars[[#This Row],[FAI no.]]="","",IFERROR(INDEX(tblFAIs[Open],MATCH(tblChars[[#This Row],[FAI no.]],tblFAIs[FAI no.],0)),""))</f>
        <v>1</v>
      </c>
      <c r="O84" s="43">
        <f>IF(tblChars[[#This Row],[FAI no.]]="","",IF(OR(tblChars[[#This Row],[Nominal]]="",tblChars[[#This Row],[Lower tol]]=""),"",tblChars[[#This Row],[Nominal]]+tblChars[[#This Row],[Lower tol]]))</f>
        <v/>
      </c>
      <c r="P84" s="43">
        <f>IF(tblChars[[#This Row],[FAI no.]]="","",IF(OR(tblChars[[#This Row],[Nominal]]="",tblChars[[#This Row],[Upper tol]]=""),"",tblChars[[#This Row],[Nominal]]+tblChars[[#This Row],[Upper tol]]))</f>
        <v/>
      </c>
      <c r="Q84" s="43">
        <f>IF(tblChars[[#This Row],[FAI no.]]="","",IF(OR(tblChars[[#This Row],[Measured]]="",tblChars[[#This Row],[Nominal]]=""),"",tblChars[[#This Row],[Measured]]-tblChars[[#This Row],[Nominal]]))</f>
        <v/>
      </c>
      <c r="R8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4" s="36">
        <f>IF(tblChars[[#This Row],[FAI no.]]="","",IF(AND(tblChars[[#This Row],[Result]]="PASS",ISNUMBER(tblChars[[#This Row],[Tolerance used]])),IF(tblChars[[#This Row],[Tolerance used]]&gt;=NearLimit,1,0),0))</f>
        <v>0</v>
      </c>
      <c r="U8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4" s="28" t="s">
        <v>145</v>
      </c>
    </row>
    <row r="85" spans="2:22">
      <c r="B85" s="28" t="s">
        <v>173</v>
      </c>
      <c r="C85" s="30">
        <v>1</v>
      </c>
      <c r="D85" s="28" t="s">
        <v>272</v>
      </c>
      <c r="E85" s="28" t="s">
        <v>105</v>
      </c>
      <c r="F85" s="28" t="s">
        <v>219</v>
      </c>
      <c r="G85" s="41">
        <v>38</v>
      </c>
      <c r="H85" s="41">
        <v>-0.05</v>
      </c>
      <c r="I85" s="41">
        <v>0.05</v>
      </c>
      <c r="J85" s="41"/>
      <c r="K85" s="28"/>
      <c r="L85" s="28"/>
      <c r="M85" s="42" t="str">
        <f>IF(tblChars[[#This Row],[FAI no.]]="","",IFERROR(INDEX(tblFAIs[Part number],MATCH(tblChars[[#This Row],[FAI no.]],tblFAIs[FAI no.],0)),""))</f>
        <v>VC-0090</v>
      </c>
      <c r="N85" s="36">
        <f>IF(tblChars[[#This Row],[FAI no.]]="","",IFERROR(INDEX(tblFAIs[Open],MATCH(tblChars[[#This Row],[FAI no.]],tblFAIs[FAI no.],0)),""))</f>
        <v>1</v>
      </c>
      <c r="O85" s="43">
        <f>IF(tblChars[[#This Row],[FAI no.]]="","",IF(OR(tblChars[[#This Row],[Nominal]]="",tblChars[[#This Row],[Lower tol]]=""),"",tblChars[[#This Row],[Nominal]]+tblChars[[#This Row],[Lower tol]]))</f>
        <v>37.95</v>
      </c>
      <c r="P85" s="43">
        <f>IF(tblChars[[#This Row],[FAI no.]]="","",IF(OR(tblChars[[#This Row],[Nominal]]="",tblChars[[#This Row],[Upper tol]]=""),"",tblChars[[#This Row],[Nominal]]+tblChars[[#This Row],[Upper tol]]))</f>
        <v>38.05</v>
      </c>
      <c r="Q85" s="43">
        <f>IF(tblChars[[#This Row],[FAI no.]]="","",IF(OR(tblChars[[#This Row],[Measured]]="",tblChars[[#This Row],[Nominal]]=""),"",tblChars[[#This Row],[Measured]]-tblChars[[#This Row],[Nominal]]))</f>
        <v/>
      </c>
      <c r="R8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5" s="36">
        <f>IF(tblChars[[#This Row],[FAI no.]]="","",IF(AND(tblChars[[#This Row],[Result]]="PASS",ISNUMBER(tblChars[[#This Row],[Tolerance used]])),IF(tblChars[[#This Row],[Tolerance used]]&gt;=NearLimit,1,0),0))</f>
        <v>0</v>
      </c>
      <c r="U8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5" s="28" t="s">
        <v>145</v>
      </c>
    </row>
    <row r="86" spans="2:22">
      <c r="B86" s="28" t="s">
        <v>173</v>
      </c>
      <c r="C86" s="30">
        <v>2</v>
      </c>
      <c r="D86" s="28" t="s">
        <v>273</v>
      </c>
      <c r="E86" s="28" t="s">
        <v>105</v>
      </c>
      <c r="F86" s="28" t="s">
        <v>219</v>
      </c>
      <c r="G86" s="41">
        <v>14</v>
      </c>
      <c r="H86" s="41">
        <v>-0.1</v>
      </c>
      <c r="I86" s="41">
        <v>0.1</v>
      </c>
      <c r="J86" s="41"/>
      <c r="K86" s="28"/>
      <c r="L86" s="28"/>
      <c r="M86" s="42" t="str">
        <f>IF(tblChars[[#This Row],[FAI no.]]="","",IFERROR(INDEX(tblFAIs[Part number],MATCH(tblChars[[#This Row],[FAI no.]],tblFAIs[FAI no.],0)),""))</f>
        <v>VC-0090</v>
      </c>
      <c r="N86" s="36">
        <f>IF(tblChars[[#This Row],[FAI no.]]="","",IFERROR(INDEX(tblFAIs[Open],MATCH(tblChars[[#This Row],[FAI no.]],tblFAIs[FAI no.],0)),""))</f>
        <v>1</v>
      </c>
      <c r="O86" s="43">
        <f>IF(tblChars[[#This Row],[FAI no.]]="","",IF(OR(tblChars[[#This Row],[Nominal]]="",tblChars[[#This Row],[Lower tol]]=""),"",tblChars[[#This Row],[Nominal]]+tblChars[[#This Row],[Lower tol]]))</f>
        <v>13.9</v>
      </c>
      <c r="P86" s="43">
        <f>IF(tblChars[[#This Row],[FAI no.]]="","",IF(OR(tblChars[[#This Row],[Nominal]]="",tblChars[[#This Row],[Upper tol]]=""),"",tblChars[[#This Row],[Nominal]]+tblChars[[#This Row],[Upper tol]]))</f>
        <v>14.1</v>
      </c>
      <c r="Q86" s="43">
        <f>IF(tblChars[[#This Row],[FAI no.]]="","",IF(OR(tblChars[[#This Row],[Measured]]="",tblChars[[#This Row],[Nominal]]=""),"",tblChars[[#This Row],[Measured]]-tblChars[[#This Row],[Nominal]]))</f>
        <v/>
      </c>
      <c r="R8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6" s="36">
        <f>IF(tblChars[[#This Row],[FAI no.]]="","",IF(AND(tblChars[[#This Row],[Result]]="PASS",ISNUMBER(tblChars[[#This Row],[Tolerance used]])),IF(tblChars[[#This Row],[Tolerance used]]&gt;=NearLimit,1,0),0))</f>
        <v>0</v>
      </c>
      <c r="U8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6" s="28" t="s">
        <v>145</v>
      </c>
    </row>
    <row r="87" spans="2:22">
      <c r="B87" s="28" t="s">
        <v>173</v>
      </c>
      <c r="C87" s="30">
        <v>3</v>
      </c>
      <c r="D87" s="28" t="s">
        <v>274</v>
      </c>
      <c r="E87" s="28" t="s">
        <v>105</v>
      </c>
      <c r="F87" s="28" t="s">
        <v>219</v>
      </c>
      <c r="G87" s="41">
        <v>18</v>
      </c>
      <c r="H87" s="41">
        <v>0</v>
      </c>
      <c r="I87" s="41">
        <v>0.02</v>
      </c>
      <c r="J87" s="41"/>
      <c r="K87" s="28"/>
      <c r="L87" s="28"/>
      <c r="M87" s="42" t="str">
        <f>IF(tblChars[[#This Row],[FAI no.]]="","",IFERROR(INDEX(tblFAIs[Part number],MATCH(tblChars[[#This Row],[FAI no.]],tblFAIs[FAI no.],0)),""))</f>
        <v>VC-0090</v>
      </c>
      <c r="N87" s="36">
        <f>IF(tblChars[[#This Row],[FAI no.]]="","",IFERROR(INDEX(tblFAIs[Open],MATCH(tblChars[[#This Row],[FAI no.]],tblFAIs[FAI no.],0)),""))</f>
        <v>1</v>
      </c>
      <c r="O87" s="43">
        <f>IF(tblChars[[#This Row],[FAI no.]]="","",IF(OR(tblChars[[#This Row],[Nominal]]="",tblChars[[#This Row],[Lower tol]]=""),"",tblChars[[#This Row],[Nominal]]+tblChars[[#This Row],[Lower tol]]))</f>
        <v>18</v>
      </c>
      <c r="P87" s="43">
        <f>IF(tblChars[[#This Row],[FAI no.]]="","",IF(OR(tblChars[[#This Row],[Nominal]]="",tblChars[[#This Row],[Upper tol]]=""),"",tblChars[[#This Row],[Nominal]]+tblChars[[#This Row],[Upper tol]]))</f>
        <v>18.02</v>
      </c>
      <c r="Q87" s="43">
        <f>IF(tblChars[[#This Row],[FAI no.]]="","",IF(OR(tblChars[[#This Row],[Measured]]="",tblChars[[#This Row],[Nominal]]=""),"",tblChars[[#This Row],[Measured]]-tblChars[[#This Row],[Nominal]]))</f>
        <v/>
      </c>
      <c r="R8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7" s="36">
        <f>IF(tblChars[[#This Row],[FAI no.]]="","",IF(AND(tblChars[[#This Row],[Result]]="PASS",ISNUMBER(tblChars[[#This Row],[Tolerance used]])),IF(tblChars[[#This Row],[Tolerance used]]&gt;=NearLimit,1,0),0))</f>
        <v>0</v>
      </c>
      <c r="U8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7" s="28" t="s">
        <v>145</v>
      </c>
    </row>
    <row r="88" spans="2:22">
      <c r="B88" s="28" t="s">
        <v>173</v>
      </c>
      <c r="C88" s="30">
        <v>4</v>
      </c>
      <c r="D88" s="28" t="s">
        <v>275</v>
      </c>
      <c r="E88" s="28" t="s">
        <v>107</v>
      </c>
      <c r="F88" s="28" t="s">
        <v>219</v>
      </c>
      <c r="G88" s="41">
        <v>0</v>
      </c>
      <c r="H88" s="41"/>
      <c r="I88" s="41">
        <v>0.02</v>
      </c>
      <c r="J88" s="41"/>
      <c r="K88" s="28"/>
      <c r="L88" s="28"/>
      <c r="M88" s="42" t="str">
        <f>IF(tblChars[[#This Row],[FAI no.]]="","",IFERROR(INDEX(tblFAIs[Part number],MATCH(tblChars[[#This Row],[FAI no.]],tblFAIs[FAI no.],0)),""))</f>
        <v>VC-0090</v>
      </c>
      <c r="N88" s="36">
        <f>IF(tblChars[[#This Row],[FAI no.]]="","",IFERROR(INDEX(tblFAIs[Open],MATCH(tblChars[[#This Row],[FAI no.]],tblFAIs[FAI no.],0)),""))</f>
        <v>1</v>
      </c>
      <c r="O88" s="43">
        <f>IF(tblChars[[#This Row],[FAI no.]]="","",IF(OR(tblChars[[#This Row],[Nominal]]="",tblChars[[#This Row],[Lower tol]]=""),"",tblChars[[#This Row],[Nominal]]+tblChars[[#This Row],[Lower tol]]))</f>
        <v/>
      </c>
      <c r="P88" s="43">
        <f>IF(tblChars[[#This Row],[FAI no.]]="","",IF(OR(tblChars[[#This Row],[Nominal]]="",tblChars[[#This Row],[Upper tol]]=""),"",tblChars[[#This Row],[Nominal]]+tblChars[[#This Row],[Upper tol]]))</f>
        <v>0.02</v>
      </c>
      <c r="Q88" s="43">
        <f>IF(tblChars[[#This Row],[FAI no.]]="","",IF(OR(tblChars[[#This Row],[Measured]]="",tblChars[[#This Row],[Nominal]]=""),"",tblChars[[#This Row],[Measured]]-tblChars[[#This Row],[Nominal]]))</f>
        <v/>
      </c>
      <c r="R8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8" s="36">
        <f>IF(tblChars[[#This Row],[FAI no.]]="","",IF(AND(tblChars[[#This Row],[Result]]="PASS",ISNUMBER(tblChars[[#This Row],[Tolerance used]])),IF(tblChars[[#This Row],[Tolerance used]]&gt;=NearLimit,1,0),0))</f>
        <v>0</v>
      </c>
      <c r="U8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8" s="28" t="s">
        <v>145</v>
      </c>
    </row>
    <row r="89" spans="2:22">
      <c r="B89" s="28" t="s">
        <v>173</v>
      </c>
      <c r="C89" s="30">
        <v>5</v>
      </c>
      <c r="D89" s="28" t="s">
        <v>276</v>
      </c>
      <c r="E89" s="28" t="s">
        <v>111</v>
      </c>
      <c r="F89" s="28" t="s">
        <v>232</v>
      </c>
      <c r="G89" s="41">
        <v>0</v>
      </c>
      <c r="H89" s="41"/>
      <c r="I89" s="41">
        <v>0.8</v>
      </c>
      <c r="J89" s="41"/>
      <c r="K89" s="28"/>
      <c r="L89" s="28"/>
      <c r="M89" s="42" t="str">
        <f>IF(tblChars[[#This Row],[FAI no.]]="","",IFERROR(INDEX(tblFAIs[Part number],MATCH(tblChars[[#This Row],[FAI no.]],tblFAIs[FAI no.],0)),""))</f>
        <v>VC-0090</v>
      </c>
      <c r="N89" s="36">
        <f>IF(tblChars[[#This Row],[FAI no.]]="","",IFERROR(INDEX(tblFAIs[Open],MATCH(tblChars[[#This Row],[FAI no.]],tblFAIs[FAI no.],0)),""))</f>
        <v>1</v>
      </c>
      <c r="O89" s="43">
        <f>IF(tblChars[[#This Row],[FAI no.]]="","",IF(OR(tblChars[[#This Row],[Nominal]]="",tblChars[[#This Row],[Lower tol]]=""),"",tblChars[[#This Row],[Nominal]]+tblChars[[#This Row],[Lower tol]]))</f>
        <v/>
      </c>
      <c r="P89" s="43">
        <f>IF(tblChars[[#This Row],[FAI no.]]="","",IF(OR(tblChars[[#This Row],[Nominal]]="",tblChars[[#This Row],[Upper tol]]=""),"",tblChars[[#This Row],[Nominal]]+tblChars[[#This Row],[Upper tol]]))</f>
        <v>0.8</v>
      </c>
      <c r="Q89" s="43">
        <f>IF(tblChars[[#This Row],[FAI no.]]="","",IF(OR(tblChars[[#This Row],[Measured]]="",tblChars[[#This Row],[Nominal]]=""),"",tblChars[[#This Row],[Measured]]-tblChars[[#This Row],[Nominal]]))</f>
        <v/>
      </c>
      <c r="R89"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89"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89" s="36">
        <f>IF(tblChars[[#This Row],[FAI no.]]="","",IF(AND(tblChars[[#This Row],[Result]]="PASS",ISNUMBER(tblChars[[#This Row],[Tolerance used]])),IF(tblChars[[#This Row],[Tolerance used]]&gt;=NearLimit,1,0),0))</f>
        <v>0</v>
      </c>
      <c r="U89"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89" s="28" t="s">
        <v>145</v>
      </c>
    </row>
    <row r="90" spans="2:22">
      <c r="B90" s="28" t="s">
        <v>173</v>
      </c>
      <c r="C90" s="30">
        <v>6</v>
      </c>
      <c r="D90" s="28" t="s">
        <v>277</v>
      </c>
      <c r="E90" s="28" t="s">
        <v>109</v>
      </c>
      <c r="F90" s="28" t="s">
        <v>208</v>
      </c>
      <c r="G90" s="41"/>
      <c r="H90" s="41"/>
      <c r="I90" s="41"/>
      <c r="J90" s="41"/>
      <c r="K90" s="28"/>
      <c r="L90" s="28"/>
      <c r="M90" s="42" t="str">
        <f>IF(tblChars[[#This Row],[FAI no.]]="","",IFERROR(INDEX(tblFAIs[Part number],MATCH(tblChars[[#This Row],[FAI no.]],tblFAIs[FAI no.],0)),""))</f>
        <v>VC-0090</v>
      </c>
      <c r="N90" s="36">
        <f>IF(tblChars[[#This Row],[FAI no.]]="","",IFERROR(INDEX(tblFAIs[Open],MATCH(tblChars[[#This Row],[FAI no.]],tblFAIs[FAI no.],0)),""))</f>
        <v>1</v>
      </c>
      <c r="O90" s="43">
        <f>IF(tblChars[[#This Row],[FAI no.]]="","",IF(OR(tblChars[[#This Row],[Nominal]]="",tblChars[[#This Row],[Lower tol]]=""),"",tblChars[[#This Row],[Nominal]]+tblChars[[#This Row],[Lower tol]]))</f>
        <v/>
      </c>
      <c r="P90" s="43">
        <f>IF(tblChars[[#This Row],[FAI no.]]="","",IF(OR(tblChars[[#This Row],[Nominal]]="",tblChars[[#This Row],[Upper tol]]=""),"",tblChars[[#This Row],[Nominal]]+tblChars[[#This Row],[Upper tol]]))</f>
        <v/>
      </c>
      <c r="Q90" s="43">
        <f>IF(tblChars[[#This Row],[FAI no.]]="","",IF(OR(tblChars[[#This Row],[Measured]]="",tblChars[[#This Row],[Nominal]]=""),"",tblChars[[#This Row],[Measured]]-tblChars[[#This Row],[Nominal]]))</f>
        <v/>
      </c>
      <c r="R90"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0"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0" s="36">
        <f>IF(tblChars[[#This Row],[FAI no.]]="","",IF(AND(tblChars[[#This Row],[Result]]="PASS",ISNUMBER(tblChars[[#This Row],[Tolerance used]])),IF(tblChars[[#This Row],[Tolerance used]]&gt;=NearLimit,1,0),0))</f>
        <v>0</v>
      </c>
      <c r="U90"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0" s="28" t="s">
        <v>145</v>
      </c>
    </row>
    <row r="91" spans="2:22">
      <c r="B91" s="28" t="s">
        <v>173</v>
      </c>
      <c r="C91" s="30">
        <v>7</v>
      </c>
      <c r="D91" s="28" t="s">
        <v>278</v>
      </c>
      <c r="E91" s="28" t="s">
        <v>115</v>
      </c>
      <c r="F91" s="28" t="s">
        <v>208</v>
      </c>
      <c r="G91" s="41"/>
      <c r="H91" s="41"/>
      <c r="I91" s="41"/>
      <c r="J91" s="41"/>
      <c r="K91" s="28"/>
      <c r="L91" s="28"/>
      <c r="M91" s="42" t="str">
        <f>IF(tblChars[[#This Row],[FAI no.]]="","",IFERROR(INDEX(tblFAIs[Part number],MATCH(tblChars[[#This Row],[FAI no.]],tblFAIs[FAI no.],0)),""))</f>
        <v>VC-0090</v>
      </c>
      <c r="N91" s="36">
        <f>IF(tblChars[[#This Row],[FAI no.]]="","",IFERROR(INDEX(tblFAIs[Open],MATCH(tblChars[[#This Row],[FAI no.]],tblFAIs[FAI no.],0)),""))</f>
        <v>1</v>
      </c>
      <c r="O91" s="43">
        <f>IF(tblChars[[#This Row],[FAI no.]]="","",IF(OR(tblChars[[#This Row],[Nominal]]="",tblChars[[#This Row],[Lower tol]]=""),"",tblChars[[#This Row],[Nominal]]+tblChars[[#This Row],[Lower tol]]))</f>
        <v/>
      </c>
      <c r="P91" s="43">
        <f>IF(tblChars[[#This Row],[FAI no.]]="","",IF(OR(tblChars[[#This Row],[Nominal]]="",tblChars[[#This Row],[Upper tol]]=""),"",tblChars[[#This Row],[Nominal]]+tblChars[[#This Row],[Upper tol]]))</f>
        <v/>
      </c>
      <c r="Q91" s="43">
        <f>IF(tblChars[[#This Row],[FAI no.]]="","",IF(OR(tblChars[[#This Row],[Measured]]="",tblChars[[#This Row],[Nominal]]=""),"",tblChars[[#This Row],[Measured]]-tblChars[[#This Row],[Nominal]]))</f>
        <v/>
      </c>
      <c r="R91"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1"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1" s="36">
        <f>IF(tblChars[[#This Row],[FAI no.]]="","",IF(AND(tblChars[[#This Row],[Result]]="PASS",ISNUMBER(tblChars[[#This Row],[Tolerance used]])),IF(tblChars[[#This Row],[Tolerance used]]&gt;=NearLimit,1,0),0))</f>
        <v>0</v>
      </c>
      <c r="U91"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1" s="28" t="s">
        <v>145</v>
      </c>
    </row>
    <row r="92" spans="2:22">
      <c r="B92" s="28" t="s">
        <v>176</v>
      </c>
      <c r="C92" s="30">
        <v>1</v>
      </c>
      <c r="D92" s="28" t="s">
        <v>237</v>
      </c>
      <c r="E92" s="28" t="s">
        <v>105</v>
      </c>
      <c r="F92" s="28" t="s">
        <v>219</v>
      </c>
      <c r="G92" s="41">
        <v>36</v>
      </c>
      <c r="H92" s="41">
        <v>-0.05</v>
      </c>
      <c r="I92" s="41">
        <v>0.05</v>
      </c>
      <c r="J92" s="41"/>
      <c r="K92" s="28"/>
      <c r="L92" s="28"/>
      <c r="M92" s="42" t="str">
        <f>IF(tblChars[[#This Row],[FAI no.]]="","",IFERROR(INDEX(tblFAIs[Part number],MATCH(tblChars[[#This Row],[FAI no.]],tblFAIs[FAI no.],0)),""))</f>
        <v>SC-0415</v>
      </c>
      <c r="N92" s="36">
        <f>IF(tblChars[[#This Row],[FAI no.]]="","",IFERROR(INDEX(tblFAIs[Open],MATCH(tblChars[[#This Row],[FAI no.]],tblFAIs[FAI no.],0)),""))</f>
        <v>1</v>
      </c>
      <c r="O92" s="43">
        <f>IF(tblChars[[#This Row],[FAI no.]]="","",IF(OR(tblChars[[#This Row],[Nominal]]="",tblChars[[#This Row],[Lower tol]]=""),"",tblChars[[#This Row],[Nominal]]+tblChars[[#This Row],[Lower tol]]))</f>
        <v>35.95</v>
      </c>
      <c r="P92" s="43">
        <f>IF(tblChars[[#This Row],[FAI no.]]="","",IF(OR(tblChars[[#This Row],[Nominal]]="",tblChars[[#This Row],[Upper tol]]=""),"",tblChars[[#This Row],[Nominal]]+tblChars[[#This Row],[Upper tol]]))</f>
        <v>36.05</v>
      </c>
      <c r="Q92" s="43">
        <f>IF(tblChars[[#This Row],[FAI no.]]="","",IF(OR(tblChars[[#This Row],[Measured]]="",tblChars[[#This Row],[Nominal]]=""),"",tblChars[[#This Row],[Measured]]-tblChars[[#This Row],[Nominal]]))</f>
        <v/>
      </c>
      <c r="R92"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2"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2" s="36">
        <f>IF(tblChars[[#This Row],[FAI no.]]="","",IF(AND(tblChars[[#This Row],[Result]]="PASS",ISNUMBER(tblChars[[#This Row],[Tolerance used]])),IF(tblChars[[#This Row],[Tolerance used]]&gt;=NearLimit,1,0),0))</f>
        <v>0</v>
      </c>
      <c r="U92"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2" s="28" t="s">
        <v>145</v>
      </c>
    </row>
    <row r="93" spans="2:22">
      <c r="B93" s="28" t="s">
        <v>176</v>
      </c>
      <c r="C93" s="30">
        <v>2</v>
      </c>
      <c r="D93" s="28" t="s">
        <v>238</v>
      </c>
      <c r="E93" s="28" t="s">
        <v>105</v>
      </c>
      <c r="F93" s="28" t="s">
        <v>219</v>
      </c>
      <c r="G93" s="41">
        <v>6</v>
      </c>
      <c r="H93" s="41">
        <v>-0.02</v>
      </c>
      <c r="I93" s="41">
        <v>0.02</v>
      </c>
      <c r="J93" s="41"/>
      <c r="K93" s="28"/>
      <c r="L93" s="28"/>
      <c r="M93" s="42" t="str">
        <f>IF(tblChars[[#This Row],[FAI no.]]="","",IFERROR(INDEX(tblFAIs[Part number],MATCH(tblChars[[#This Row],[FAI no.]],tblFAIs[FAI no.],0)),""))</f>
        <v>SC-0415</v>
      </c>
      <c r="N93" s="36">
        <f>IF(tblChars[[#This Row],[FAI no.]]="","",IFERROR(INDEX(tblFAIs[Open],MATCH(tblChars[[#This Row],[FAI no.]],tblFAIs[FAI no.],0)),""))</f>
        <v>1</v>
      </c>
      <c r="O93" s="43">
        <f>IF(tblChars[[#This Row],[FAI no.]]="","",IF(OR(tblChars[[#This Row],[Nominal]]="",tblChars[[#This Row],[Lower tol]]=""),"",tblChars[[#This Row],[Nominal]]+tblChars[[#This Row],[Lower tol]]))</f>
        <v>5.98</v>
      </c>
      <c r="P93" s="43">
        <f>IF(tblChars[[#This Row],[FAI no.]]="","",IF(OR(tblChars[[#This Row],[Nominal]]="",tblChars[[#This Row],[Upper tol]]=""),"",tblChars[[#This Row],[Nominal]]+tblChars[[#This Row],[Upper tol]]))</f>
        <v>6.02</v>
      </c>
      <c r="Q93" s="43">
        <f>IF(tblChars[[#This Row],[FAI no.]]="","",IF(OR(tblChars[[#This Row],[Measured]]="",tblChars[[#This Row],[Nominal]]=""),"",tblChars[[#This Row],[Measured]]-tblChars[[#This Row],[Nominal]]))</f>
        <v/>
      </c>
      <c r="R93"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3"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3" s="36">
        <f>IF(tblChars[[#This Row],[FAI no.]]="","",IF(AND(tblChars[[#This Row],[Result]]="PASS",ISNUMBER(tblChars[[#This Row],[Tolerance used]])),IF(tblChars[[#This Row],[Tolerance used]]&gt;=NearLimit,1,0),0))</f>
        <v>0</v>
      </c>
      <c r="U93"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3" s="28" t="s">
        <v>145</v>
      </c>
    </row>
    <row r="94" spans="2:22">
      <c r="B94" s="28" t="s">
        <v>176</v>
      </c>
      <c r="C94" s="30">
        <v>3</v>
      </c>
      <c r="D94" s="28" t="s">
        <v>239</v>
      </c>
      <c r="E94" s="28" t="s">
        <v>105</v>
      </c>
      <c r="F94" s="28" t="s">
        <v>219</v>
      </c>
      <c r="G94" s="41">
        <v>0.6</v>
      </c>
      <c r="H94" s="41">
        <v>-0.01</v>
      </c>
      <c r="I94" s="41">
        <v>0.01</v>
      </c>
      <c r="J94" s="41"/>
      <c r="K94" s="28"/>
      <c r="L94" s="28"/>
      <c r="M94" s="42" t="str">
        <f>IF(tblChars[[#This Row],[FAI no.]]="","",IFERROR(INDEX(tblFAIs[Part number],MATCH(tblChars[[#This Row],[FAI no.]],tblFAIs[FAI no.],0)),""))</f>
        <v>SC-0415</v>
      </c>
      <c r="N94" s="36">
        <f>IF(tblChars[[#This Row],[FAI no.]]="","",IFERROR(INDEX(tblFAIs[Open],MATCH(tblChars[[#This Row],[FAI no.]],tblFAIs[FAI no.],0)),""))</f>
        <v>1</v>
      </c>
      <c r="O94" s="43">
        <f>IF(tblChars[[#This Row],[FAI no.]]="","",IF(OR(tblChars[[#This Row],[Nominal]]="",tblChars[[#This Row],[Lower tol]]=""),"",tblChars[[#This Row],[Nominal]]+tblChars[[#This Row],[Lower tol]]))</f>
        <v>0.59</v>
      </c>
      <c r="P94" s="43">
        <f>IF(tblChars[[#This Row],[FAI no.]]="","",IF(OR(tblChars[[#This Row],[Nominal]]="",tblChars[[#This Row],[Upper tol]]=""),"",tblChars[[#This Row],[Nominal]]+tblChars[[#This Row],[Upper tol]]))</f>
        <v>0.61</v>
      </c>
      <c r="Q94" s="43">
        <f>IF(tblChars[[#This Row],[FAI no.]]="","",IF(OR(tblChars[[#This Row],[Measured]]="",tblChars[[#This Row],[Nominal]]=""),"",tblChars[[#This Row],[Measured]]-tblChars[[#This Row],[Nominal]]))</f>
        <v/>
      </c>
      <c r="R94"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4"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4" s="36">
        <f>IF(tblChars[[#This Row],[FAI no.]]="","",IF(AND(tblChars[[#This Row],[Result]]="PASS",ISNUMBER(tblChars[[#This Row],[Tolerance used]])),IF(tblChars[[#This Row],[Tolerance used]]&gt;=NearLimit,1,0),0))</f>
        <v>0</v>
      </c>
      <c r="U94"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4" s="28" t="s">
        <v>145</v>
      </c>
    </row>
    <row r="95" spans="2:22">
      <c r="B95" s="28" t="s">
        <v>176</v>
      </c>
      <c r="C95" s="30">
        <v>4</v>
      </c>
      <c r="D95" s="28" t="s">
        <v>279</v>
      </c>
      <c r="E95" s="28" t="s">
        <v>105</v>
      </c>
      <c r="F95" s="28" t="s">
        <v>219</v>
      </c>
      <c r="G95" s="41">
        <v>2</v>
      </c>
      <c r="H95" s="41">
        <v>0</v>
      </c>
      <c r="I95" s="41">
        <v>0.012</v>
      </c>
      <c r="J95" s="41"/>
      <c r="K95" s="28"/>
      <c r="L95" s="28"/>
      <c r="M95" s="42" t="str">
        <f>IF(tblChars[[#This Row],[FAI no.]]="","",IFERROR(INDEX(tblFAIs[Part number],MATCH(tblChars[[#This Row],[FAI no.]],tblFAIs[FAI no.],0)),""))</f>
        <v>SC-0415</v>
      </c>
      <c r="N95" s="36">
        <f>IF(tblChars[[#This Row],[FAI no.]]="","",IFERROR(INDEX(tblFAIs[Open],MATCH(tblChars[[#This Row],[FAI no.]],tblFAIs[FAI no.],0)),""))</f>
        <v>1</v>
      </c>
      <c r="O95" s="43">
        <f>IF(tblChars[[#This Row],[FAI no.]]="","",IF(OR(tblChars[[#This Row],[Nominal]]="",tblChars[[#This Row],[Lower tol]]=""),"",tblChars[[#This Row],[Nominal]]+tblChars[[#This Row],[Lower tol]]))</f>
        <v>2</v>
      </c>
      <c r="P95" s="43">
        <f>IF(tblChars[[#This Row],[FAI no.]]="","",IF(OR(tblChars[[#This Row],[Nominal]]="",tblChars[[#This Row],[Upper tol]]=""),"",tblChars[[#This Row],[Nominal]]+tblChars[[#This Row],[Upper tol]]))</f>
        <v>2.012</v>
      </c>
      <c r="Q95" s="43">
        <f>IF(tblChars[[#This Row],[FAI no.]]="","",IF(OR(tblChars[[#This Row],[Measured]]="",tblChars[[#This Row],[Nominal]]=""),"",tblChars[[#This Row],[Measured]]-tblChars[[#This Row],[Nominal]]))</f>
        <v/>
      </c>
      <c r="R95"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5"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5" s="36">
        <f>IF(tblChars[[#This Row],[FAI no.]]="","",IF(AND(tblChars[[#This Row],[Result]]="PASS",ISNUMBER(tblChars[[#This Row],[Tolerance used]])),IF(tblChars[[#This Row],[Tolerance used]]&gt;=NearLimit,1,0),0))</f>
        <v>0</v>
      </c>
      <c r="U95"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5" s="28" t="s">
        <v>145</v>
      </c>
    </row>
    <row r="96" spans="2:22">
      <c r="B96" s="28" t="s">
        <v>176</v>
      </c>
      <c r="C96" s="30">
        <v>5</v>
      </c>
      <c r="D96" s="28" t="s">
        <v>280</v>
      </c>
      <c r="E96" s="28" t="s">
        <v>107</v>
      </c>
      <c r="F96" s="28" t="s">
        <v>219</v>
      </c>
      <c r="G96" s="41">
        <v>0</v>
      </c>
      <c r="H96" s="41"/>
      <c r="I96" s="41">
        <v>0.02</v>
      </c>
      <c r="J96" s="41"/>
      <c r="K96" s="28"/>
      <c r="L96" s="28"/>
      <c r="M96" s="42" t="str">
        <f>IF(tblChars[[#This Row],[FAI no.]]="","",IFERROR(INDEX(tblFAIs[Part number],MATCH(tblChars[[#This Row],[FAI no.]],tblFAIs[FAI no.],0)),""))</f>
        <v>SC-0415</v>
      </c>
      <c r="N96" s="36">
        <f>IF(tblChars[[#This Row],[FAI no.]]="","",IFERROR(INDEX(tblFAIs[Open],MATCH(tblChars[[#This Row],[FAI no.]],tblFAIs[FAI no.],0)),""))</f>
        <v>1</v>
      </c>
      <c r="O96" s="43">
        <f>IF(tblChars[[#This Row],[FAI no.]]="","",IF(OR(tblChars[[#This Row],[Nominal]]="",tblChars[[#This Row],[Lower tol]]=""),"",tblChars[[#This Row],[Nominal]]+tblChars[[#This Row],[Lower tol]]))</f>
        <v/>
      </c>
      <c r="P96" s="43">
        <f>IF(tblChars[[#This Row],[FAI no.]]="","",IF(OR(tblChars[[#This Row],[Nominal]]="",tblChars[[#This Row],[Upper tol]]=""),"",tblChars[[#This Row],[Nominal]]+tblChars[[#This Row],[Upper tol]]))</f>
        <v>0.02</v>
      </c>
      <c r="Q96" s="43">
        <f>IF(tblChars[[#This Row],[FAI no.]]="","",IF(OR(tblChars[[#This Row],[Measured]]="",tblChars[[#This Row],[Nominal]]=""),"",tblChars[[#This Row],[Measured]]-tblChars[[#This Row],[Nominal]]))</f>
        <v/>
      </c>
      <c r="R96"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6"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6" s="36">
        <f>IF(tblChars[[#This Row],[FAI no.]]="","",IF(AND(tblChars[[#This Row],[Result]]="PASS",ISNUMBER(tblChars[[#This Row],[Tolerance used]])),IF(tblChars[[#This Row],[Tolerance used]]&gt;=NearLimit,1,0),0))</f>
        <v>0</v>
      </c>
      <c r="U96"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6" s="28" t="s">
        <v>145</v>
      </c>
    </row>
    <row r="97" spans="2:22">
      <c r="B97" s="28" t="s">
        <v>176</v>
      </c>
      <c r="C97" s="30">
        <v>6</v>
      </c>
      <c r="D97" s="28" t="s">
        <v>240</v>
      </c>
      <c r="E97" s="28" t="s">
        <v>115</v>
      </c>
      <c r="F97" s="28" t="s">
        <v>208</v>
      </c>
      <c r="G97" s="41"/>
      <c r="H97" s="41"/>
      <c r="I97" s="41"/>
      <c r="J97" s="41"/>
      <c r="K97" s="28"/>
      <c r="L97" s="28"/>
      <c r="M97" s="42" t="str">
        <f>IF(tblChars[[#This Row],[FAI no.]]="","",IFERROR(INDEX(tblFAIs[Part number],MATCH(tblChars[[#This Row],[FAI no.]],tblFAIs[FAI no.],0)),""))</f>
        <v>SC-0415</v>
      </c>
      <c r="N97" s="36">
        <f>IF(tblChars[[#This Row],[FAI no.]]="","",IFERROR(INDEX(tblFAIs[Open],MATCH(tblChars[[#This Row],[FAI no.]],tblFAIs[FAI no.],0)),""))</f>
        <v>1</v>
      </c>
      <c r="O97" s="43">
        <f>IF(tblChars[[#This Row],[FAI no.]]="","",IF(OR(tblChars[[#This Row],[Nominal]]="",tblChars[[#This Row],[Lower tol]]=""),"",tblChars[[#This Row],[Nominal]]+tblChars[[#This Row],[Lower tol]]))</f>
        <v/>
      </c>
      <c r="P97" s="43">
        <f>IF(tblChars[[#This Row],[FAI no.]]="","",IF(OR(tblChars[[#This Row],[Nominal]]="",tblChars[[#This Row],[Upper tol]]=""),"",tblChars[[#This Row],[Nominal]]+tblChars[[#This Row],[Upper tol]]))</f>
        <v/>
      </c>
      <c r="Q97" s="43">
        <f>IF(tblChars[[#This Row],[FAI no.]]="","",IF(OR(tblChars[[#This Row],[Measured]]="",tblChars[[#This Row],[Nominal]]=""),"",tblChars[[#This Row],[Measured]]-tblChars[[#This Row],[Nominal]]))</f>
        <v/>
      </c>
      <c r="R97"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7"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7" s="36">
        <f>IF(tblChars[[#This Row],[FAI no.]]="","",IF(AND(tblChars[[#This Row],[Result]]="PASS",ISNUMBER(tblChars[[#This Row],[Tolerance used]])),IF(tblChars[[#This Row],[Tolerance used]]&gt;=NearLimit,1,0),0))</f>
        <v>0</v>
      </c>
      <c r="U97"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7" s="28" t="s">
        <v>145</v>
      </c>
    </row>
    <row r="98" spans="2:22">
      <c r="B98" s="28" t="s">
        <v>176</v>
      </c>
      <c r="C98" s="30">
        <v>7</v>
      </c>
      <c r="D98" s="28" t="s">
        <v>281</v>
      </c>
      <c r="E98" s="28" t="s">
        <v>113</v>
      </c>
      <c r="F98" s="28" t="s">
        <v>208</v>
      </c>
      <c r="G98" s="41"/>
      <c r="H98" s="41"/>
      <c r="I98" s="41"/>
      <c r="J98" s="41"/>
      <c r="K98" s="28"/>
      <c r="L98" s="28"/>
      <c r="M98" s="42" t="str">
        <f>IF(tblChars[[#This Row],[FAI no.]]="","",IFERROR(INDEX(tblFAIs[Part number],MATCH(tblChars[[#This Row],[FAI no.]],tblFAIs[FAI no.],0)),""))</f>
        <v>SC-0415</v>
      </c>
      <c r="N98" s="36">
        <f>IF(tblChars[[#This Row],[FAI no.]]="","",IFERROR(INDEX(tblFAIs[Open],MATCH(tblChars[[#This Row],[FAI no.]],tblFAIs[FAI no.],0)),""))</f>
        <v>1</v>
      </c>
      <c r="O98" s="43">
        <f>IF(tblChars[[#This Row],[FAI no.]]="","",IF(OR(tblChars[[#This Row],[Nominal]]="",tblChars[[#This Row],[Lower tol]]=""),"",tblChars[[#This Row],[Nominal]]+tblChars[[#This Row],[Lower tol]]))</f>
        <v/>
      </c>
      <c r="P98" s="43">
        <f>IF(tblChars[[#This Row],[FAI no.]]="","",IF(OR(tblChars[[#This Row],[Nominal]]="",tblChars[[#This Row],[Upper tol]]=""),"",tblChars[[#This Row],[Nominal]]+tblChars[[#This Row],[Upper tol]]))</f>
        <v/>
      </c>
      <c r="Q98" s="43">
        <f>IF(tblChars[[#This Row],[FAI no.]]="","",IF(OR(tblChars[[#This Row],[Measured]]="",tblChars[[#This Row],[Nominal]]=""),"",tblChars[[#This Row],[Measured]]-tblChars[[#This Row],[Nominal]]))</f>
        <v/>
      </c>
      <c r="R98" s="37">
        <f>IF(tblChars[[#This Row],[FAI no.]]="","",IF(tblChars[[#This Row],[Measured]]="","",IF(AND(ISNUMBER(tblChars[[#This Row],[LSL]]),ISNUMBER(tblChars[[#This Row],[USL]])),IF(tblChars[[#This Row],[USL]]&gt;tblChars[[#This Row],[LSL]],ABS(tblChars[[#This Row],[Measured]]-(tblChars[[#This Row],[LSL]]+tblChars[[#This Row],[USL]])/2)/((tblChars[[#This Row],[USL]]-tblChars[[#This Row],[LSL]])/2),""),IF(AND(ISNUMBER(tblChars[[#This Row],[USL]]),tblChars[[#This Row],[USL]]&gt;0),tblChars[[#This Row],[Measured]]/tblChars[[#This Row],[USL]],""))))</f>
        <v/>
      </c>
      <c r="S98" s="38" t="str">
        <f>IF(tblChars[[#This Row],[FAI no.]]="","",IF(tblChars[[#This Row],[Attribute result]]&lt;&gt;"",IF(tblChars[[#This Row],[Attribute result]]="Conforms","PASS","FAIL"),IF(tblChars[[#This Row],[Measured]]="","Not measured",IF(OR(AND(ISNUMBER(tblChars[[#This Row],[LSL]]),tblChars[[#This Row],[Measured]]&lt;tblChars[[#This Row],[LSL]]),AND(ISNUMBER(tblChars[[#This Row],[USL]]),tblChars[[#This Row],[Measured]]&gt;tblChars[[#This Row],[USL]])),"FAIL","PASS"))))</f>
        <v>Not measured</v>
      </c>
      <c r="T98" s="36">
        <f>IF(tblChars[[#This Row],[FAI no.]]="","",IF(AND(tblChars[[#This Row],[Result]]="PASS",ISNUMBER(tblChars[[#This Row],[Tolerance used]])),IF(tblChars[[#This Row],[Tolerance used]]&gt;=NearLimit,1,0),0))</f>
        <v>0</v>
      </c>
      <c r="U98" s="39" t="str">
        <f>IF(tblChars[[#This Row],[FAI no.]]="","",IF(tblChars[[#This Row],[Char no.]]="","Missing char no.",IF(tblChars[[#This Row],[Characteristic]]="","Missing characteristic",IF(tblChars[[#This Row],[Category]]="","Missing category",IF(tblChars[[#This Row],[Unit]]="","Missing unit",IF(tblChars[[#This Row],[Part number]]="","FAI no. not on the register",IF(COUNTIFS(tblChars[FAI no.],tblChars[[#This Row],[FAI no.]],tblChars[Char no.],tblChars[[#This Row],[Char no.]])&gt;1,"Duplicate char no.",IF(AND(tblChars[[#This Row],[Measured]]&lt;&gt;"",tblChars[[#This Row],[Attribute result]]&lt;&gt;""),"Both reading and attribute",IF(AND(tblChars[[#This Row],[Nominal]]&lt;&gt;"",tblChars[[#This Row],[Upper tol]]=""),"Upper tolerance missing",IF(AND(tblChars[[#This Row],[Measured]]&lt;&gt;"",tblChars[[#This Row],[Nominal]]=""),"Reading without a nominal",IF(AND(OR(tblChars[[#This Row],[Measured]]&lt;&gt;"",tblChars[[#This Row],[Attribute result]]&lt;&gt;""),tblChars[[#This Row],[Gauge]]=""),"Gauge missing","OK")))))))))))</f>
        <v>OK</v>
      </c>
      <c r="V98" s="28" t="s">
        <v>145</v>
      </c>
    </row>
  </sheetData>
  <mergeCells count="3">
    <mergeCell ref="A1:V1"/>
    <mergeCell ref="B2:U2"/>
    <mergeCell ref="B4:V4"/>
  </mergeCells>
  <conditionalFormatting sqref="R6:R598">
    <cfRule type="expression" dxfId="3" priority="1" stopIfTrue="1">
      <formula>AND(ISNUMBER(R6),R6&lt;=(NearLimit))</formula>
    </cfRule>
    <cfRule type="expression" dxfId="4" priority="2" stopIfTrue="1">
      <formula>AND(ISNUMBER(R6),R6&lt;=(NearLimit)*(1+0.05))</formula>
    </cfRule>
    <cfRule type="expression" dxfId="5" priority="3">
      <formula>ISNUMBER(R6)</formula>
    </cfRule>
  </conditionalFormatting>
  <conditionalFormatting sqref="S6:S59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U6:U598">
    <cfRule type="expression" dxfId="3" priority="24">
      <formula>$U6="OK"</formula>
    </cfRule>
    <cfRule type="expression" dxfId="1" priority="25">
      <formula>AND($U6&lt;&gt;"",$U6&lt;&gt;"OK")</formula>
    </cfRule>
  </conditionalFormatting>
  <dataValidations count="12">
    <dataValidation type="list" allowBlank="1" showInputMessage="1" showErrorMessage="1" errorTitle="Check this entry" error="Pick from the list (edit the list on Setup: FAIIDs)." promptTitle="FAI no." prompt="Pick from the list (edit the list on Setup: FAIIDs)." sqref="B6:B598">
      <formula1>FAIIDs</formula1>
    </dataValidation>
    <dataValidation type="whole" allowBlank="1" showInputMessage="1" showErrorMessage="1" errorTitle="Check this entry" error="Enter a whole number from 1 to 9,999." promptTitle="Char no." prompt="Balloon number on the drawing. Enter a whole number from 1 to 9,999." sqref="C6:C598">
      <formula1>1</formula1>
      <formula2>9999</formula2>
    </dataValidation>
    <dataValidation type="textLength" allowBlank="1" showInputMessage="1" showErrorMessage="1" errorTitle="Check this entry" error="Text up to 80 characters." promptTitle="Characteristic" prompt="What the drawing requires, in a few words. Text up to 80 characters." sqref="D6:D598">
      <formula1>0</formula1>
      <formula2>80</formula2>
    </dataValidation>
    <dataValidation type="list" allowBlank="1" showInputMessage="1" showErrorMessage="1" errorTitle="Check this entry" error="Pick from the list (edit the list on Setup: Categories)." promptTitle="Category" prompt="Pick from the list (edit the list on Setup: Categories)." sqref="E6:E598">
      <formula1>Categories</formula1>
    </dataValidation>
    <dataValidation type="list" allowBlank="1" showInputMessage="1" showErrorMessage="1" errorTitle="Check this entry" error="Pick one of: mm, in, deg, um Ra, uin Ra, n/a." promptTitle="Unit" prompt="The characteristic's own unit: mm, in, deg, um Ra, uin Ra, or - for attributes. Readings and tolerances are in this unit; nothing is converted. Pick one of: mm, in, deg, um Ra, uin Ra, n/a." sqref="F6:F598">
      <formula1>"mm,in,deg,um Ra,uin Ra,n/a"</formula1>
    </dataValidation>
    <dataValidation type="decimal" allowBlank="1" showInputMessage="1" showErrorMessage="1" errorTitle="Check this entry" error="Enter a number of at least -1,000,000,000." promptTitle="Nominal" prompt="Drawing nominal. For an upper-limit-only characteristic (position, flatness, runout, Ra) type 0. Leave blank for an attribute. Enter a number of at least -1,000,000,000." sqref="G6:G598">
      <formula1>-1000000000.0</formula1>
      <formula2>1000000000.0</formula2>
    </dataValidation>
    <dataValidation type="decimal" allowBlank="1" showInputMessage="1" showErrorMessage="1" errorTitle="Check this entry" error="Enter a number from -1,000,000,000 to 0." promptTitle="Lower tol" prompt="Signed lower tolerance, 0 or negative (-0.005). Leave blank for an upper limit only. Enter a number from -1,000,000,000 to 0." sqref="H6:H598">
      <formula1>-1000000000.0</formula1>
      <formula2>0</formula2>
    </dataValidation>
    <dataValidation type="decimal" allowBlank="1" showInputMessage="1" showErrorMessage="1" errorTitle="Check this entry" error="Enter a number of at least 0." promptTitle="Upper tol" prompt="Signed upper tolerance, 0 or positive (+0.010). Enter a number of at least 0." sqref="I6:I598">
      <formula1>0</formula1>
      <formula2>1000000000.0</formula2>
    </dataValidation>
    <dataValidation type="decimal" allowBlank="1" showInputMessage="1" showErrorMessage="1" errorTitle="Check this entry" error="Enter a number of at least -1,000,000,000." promptTitle="Measured" prompt="The reading, in the characteristic's unit, at the gauge's resolution. Enter a number of at least -1,000,000,000." sqref="J6:J598">
      <formula1>-1000000000.0</formula1>
      <formula2>1000000000.0</formula2>
    </dataValidation>
    <dataValidation type="list" allowBlank="1" showInputMessage="1" showErrorMessage="1" errorTitle="Check this entry" error="Pick one of: Conforms, Does not conform." promptTitle="Attribute result" prompt="For notes, threads, certificates and other attributes: Conforms or Does not conform. Pick one of: Conforms, Does not conform." sqref="K6:K598">
      <formula1>"Conforms,Does not conform"</formula1>
    </dataValidation>
    <dataValidation type="textLength" allowBlank="1" showInputMessage="1" showErrorMessage="1" errorTitle="Check this entry" error="Text up to 30 characters." promptTitle="Gauge" prompt="Gauge or instrument ID used (link to your calibration log). Text up to 30 characters." sqref="L6:L598">
      <formula1>0</formula1>
      <formula2>30</formula2>
    </dataValidation>
    <dataValidation type="textLength" allowBlank="1" showInputMessage="1" showErrorMessage="1" errorTitle="Check this entry" error="Text up to 255 characters." promptTitle="Notes" prompt="Text up to 255 characters." sqref="V6:V598">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First Article Inspection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62"/>
  <sheetViews>
    <sheetView showGridLines="0" zoomScale="90" zoomScaleNormal="90" workbookViewId="0"/>
  </sheetViews>
  <sheetFormatPr defaultRowHeight="15"/>
  <cols>
    <col min="1" max="1" width="2.7109375" customWidth="1"/>
    <col min="2" max="2" width="24.7109375" customWidth="1"/>
    <col min="3" max="12" width="10.2851562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3" t="s">
        <v>2</v>
      </c>
      <c r="L2" s="3"/>
    </row>
    <row r="3" spans="1:12" ht="6" customHeight="1"/>
    <row r="4" spans="1:12">
      <c r="B4" s="44" t="str">
        <f>"Status date "&amp;TEXT(AsOf,"d mmm yyyy")&amp;": "&amp;COUNTA(tblFAIs[FAI no.])&amp;" FAIs and "&amp;COUNTA(tblChars[Characteristic])&amp;" characteristics on the logs."</f>
        <v>Status date 9 Oct 2026: 11 FAIs and 93 characteristics on the logs.</v>
      </c>
      <c r="C4" s="44"/>
      <c r="D4" s="44"/>
      <c r="E4" s="44"/>
      <c r="F4" s="44"/>
      <c r="G4" s="44"/>
      <c r="H4" s="44"/>
      <c r="I4" s="44"/>
      <c r="J4" s="44"/>
      <c r="K4" s="44"/>
      <c r="L4" s="44"/>
    </row>
    <row r="6" spans="1:12" ht="18" customHeight="1">
      <c r="B6" s="45" t="s">
        <v>282</v>
      </c>
      <c r="C6" s="45"/>
      <c r="D6" s="45" t="s">
        <v>283</v>
      </c>
      <c r="E6" s="45"/>
      <c r="F6" s="45"/>
      <c r="G6" s="45" t="s">
        <v>284</v>
      </c>
      <c r="H6" s="45"/>
      <c r="I6" s="45"/>
      <c r="J6" s="45" t="s">
        <v>285</v>
      </c>
      <c r="K6" s="45"/>
      <c r="L6" s="45"/>
    </row>
    <row r="7" spans="1:12" ht="21" customHeight="1">
      <c r="B7" s="46">
        <f>SUM(tblFAIs[Open])</f>
        <v>3</v>
      </c>
      <c r="C7" s="46"/>
      <c r="D7" s="46">
        <f>COUNTIFS(tblFAIs[Due status],"Overdue")</f>
        <v>1</v>
      </c>
      <c r="E7" s="46"/>
      <c r="F7" s="46"/>
      <c r="G7" s="47">
        <f>IF((COUNTIFS(tblChars[Open FAI],1))=0,"",(COUNTIFS(tblChars[Open FAI],1,tblChars[Result],"PASS")+COUNTIFS(tblChars[Open FAI],1,tblChars[Result],"FAIL"))/(COUNTIFS(tblChars[Open FAI],1)))</f>
        <v>0.333333333333333</v>
      </c>
      <c r="H7" s="47"/>
      <c r="I7" s="47"/>
      <c r="J7" s="47">
        <f>IF((COUNTIFS(tblFAIs[Open],0,tblFAIs[Characteristics],"&gt;0"))=0,"",(COUNTIFS(tblFAIs[Open],0,tblFAIs[Result],"PASS"))/(COUNTIFS(tblFAIs[Open],0,tblFAIs[Characteristics],"&gt;0")))</f>
        <v>0.75</v>
      </c>
      <c r="K7" s="47"/>
      <c r="L7" s="47"/>
    </row>
    <row r="8" spans="1:12" ht="21" customHeight="1">
      <c r="B8" s="46"/>
      <c r="C8" s="46"/>
      <c r="D8" s="46"/>
      <c r="E8" s="46"/>
      <c r="F8" s="46"/>
      <c r="G8" s="47"/>
      <c r="H8" s="47"/>
      <c r="I8" s="47"/>
      <c r="J8" s="47"/>
      <c r="K8" s="47"/>
      <c r="L8" s="47"/>
    </row>
    <row r="9" spans="1:12">
      <c r="B9" s="48" t="s">
        <v>286</v>
      </c>
      <c r="C9" s="48"/>
      <c r="D9" s="49">
        <f>0</f>
        <v>0</v>
      </c>
      <c r="E9" s="49"/>
      <c r="F9" s="49"/>
      <c r="G9" s="48" t="s">
        <v>287</v>
      </c>
      <c r="H9" s="48"/>
      <c r="I9" s="48"/>
      <c r="J9" s="50">
        <f>TargetPass</f>
        <v>0.9</v>
      </c>
      <c r="K9" s="50"/>
      <c r="L9" s="50"/>
    </row>
    <row r="10" spans="1:12" ht="18" customHeight="1">
      <c r="B10" s="51"/>
      <c r="C10" s="51"/>
      <c r="D10" s="51" t="str">
        <f>IF(NOT(ISNUMBER(KpiOverdue)),"No data",IF(KpiOverdue&lt;=(0),"On target",IF(KpiOverdue&lt;=(0)*(1+0.05),"Near target","Above target")))</f>
        <v>Above target</v>
      </c>
      <c r="E10" s="51"/>
      <c r="F10" s="51"/>
      <c r="G10" s="51"/>
      <c r="H10" s="51"/>
      <c r="I10" s="51"/>
      <c r="J10" s="51" t="str">
        <f>IF(NOT(ISNUMBER(KpiPassed)),"No data",IF(KpiPassed&gt;=(TargetPass),"On target",IF(KpiPassed&gt;=(TargetPass)*(1-0.05),"Near target","Below target")))</f>
        <v>Below target</v>
      </c>
      <c r="K10" s="51"/>
      <c r="L10" s="51"/>
    </row>
    <row r="30" spans="2:12" ht="18" customHeight="1">
      <c r="B30" s="45" t="s">
        <v>288</v>
      </c>
      <c r="C30" s="45"/>
      <c r="D30" s="45" t="s">
        <v>289</v>
      </c>
      <c r="E30" s="45"/>
      <c r="F30" s="45"/>
      <c r="G30" s="45" t="s">
        <v>290</v>
      </c>
      <c r="H30" s="45"/>
      <c r="I30" s="45"/>
      <c r="J30" s="45" t="s">
        <v>291</v>
      </c>
      <c r="K30" s="45"/>
      <c r="L30" s="45"/>
    </row>
    <row r="31" spans="2:12" ht="21" customHeight="1">
      <c r="B31" s="46">
        <f>COUNTIFS(tblChars[Result],"FAIL")</f>
        <v>2</v>
      </c>
      <c r="C31" s="46"/>
      <c r="D31" s="46">
        <f>SUM(tblChars[Near limit])</f>
        <v>5</v>
      </c>
      <c r="E31" s="46"/>
      <c r="F31" s="46"/>
      <c r="G31" s="52">
        <f>SUMIFS(tblFAIs[Est. time (min)],tblFAIs[Open],1)/60</f>
        <v>5.55</v>
      </c>
      <c r="H31" s="52"/>
      <c r="I31" s="52"/>
      <c r="J31" s="46">
        <f>COUNTA(tblChars[Characteristic])</f>
        <v>93</v>
      </c>
      <c r="K31" s="46"/>
      <c r="L31" s="46"/>
    </row>
    <row r="32" spans="2:12" ht="21" customHeight="1">
      <c r="B32" s="46"/>
      <c r="C32" s="46"/>
      <c r="D32" s="46"/>
      <c r="E32" s="46"/>
      <c r="F32" s="46"/>
      <c r="G32" s="52"/>
      <c r="H32" s="52"/>
      <c r="I32" s="52"/>
      <c r="J32" s="46"/>
      <c r="K32" s="46"/>
      <c r="L32" s="46"/>
    </row>
    <row r="33" spans="2:12">
      <c r="B33" s="48" t="s">
        <v>292</v>
      </c>
      <c r="C33" s="48"/>
      <c r="D33" s="48" t="s">
        <v>293</v>
      </c>
      <c r="E33" s="48"/>
      <c r="F33" s="48"/>
      <c r="G33" s="48" t="s">
        <v>294</v>
      </c>
      <c r="H33" s="48"/>
      <c r="I33" s="48"/>
      <c r="J33" s="48" t="s">
        <v>295</v>
      </c>
      <c r="K33" s="48"/>
      <c r="L33" s="48"/>
    </row>
    <row r="34" spans="2:12" ht="18" customHeight="1">
      <c r="B34" s="51"/>
      <c r="C34" s="51"/>
      <c r="D34" s="51"/>
      <c r="E34" s="51"/>
      <c r="F34" s="51"/>
      <c r="G34" s="51"/>
      <c r="H34" s="51"/>
      <c r="I34" s="51"/>
      <c r="J34" s="51"/>
      <c r="K34" s="51"/>
      <c r="L34" s="51"/>
    </row>
    <row r="36" spans="2:12">
      <c r="B36" s="33" t="s">
        <v>296</v>
      </c>
      <c r="C36" s="33"/>
      <c r="D36" s="33"/>
      <c r="E36" s="33"/>
      <c r="F36" s="33"/>
      <c r="G36" s="33"/>
      <c r="H36" s="33"/>
      <c r="I36" s="33"/>
      <c r="J36" s="33"/>
      <c r="K36" s="33"/>
      <c r="L36" s="33"/>
    </row>
    <row r="37" spans="2:12" ht="32" customHeight="1">
      <c r="B37" s="53" t="s">
        <v>123</v>
      </c>
      <c r="C37" s="34" t="s">
        <v>297</v>
      </c>
      <c r="D37" s="34"/>
      <c r="E37" s="34" t="s">
        <v>298</v>
      </c>
      <c r="F37" s="34" t="s">
        <v>299</v>
      </c>
      <c r="G37" s="34" t="s">
        <v>300</v>
      </c>
      <c r="H37" s="34" t="s">
        <v>192</v>
      </c>
      <c r="I37" s="34" t="s">
        <v>301</v>
      </c>
      <c r="J37" s="34" t="s">
        <v>134</v>
      </c>
      <c r="K37" s="34" t="s">
        <v>135</v>
      </c>
      <c r="L37" s="34"/>
    </row>
    <row r="38" spans="2:12">
      <c r="B38" s="54" t="str">
        <f>IFERROR(INDEX(tblFAIs[FAI no.],1)&amp;"","")</f>
        <v>F26-031</v>
      </c>
      <c r="C38" s="42" t="str">
        <f>IF($B$38="","",$B$38&amp;" "&amp;INDEX(tblFAIs[Part number],MATCH($B$38,tblFAIs[FAI no.],0)))</f>
        <v>F26-031 HB-1104</v>
      </c>
      <c r="D38" s="42"/>
      <c r="E38" s="36">
        <f>IF($B$38="","",COUNTIFS(tblChars[FAI no.],$B$38,tblChars[Result],"PASS"))</f>
        <v>14</v>
      </c>
      <c r="F38" s="36">
        <f>IF($B$38="","",COUNTIFS(tblChars[FAI no.],$B$38,tblChars[Result],"FAIL"))</f>
        <v>0</v>
      </c>
      <c r="G38" s="36">
        <f>IF($B$38="","",COUNTIFS(tblChars[FAI no.],$B$38,tblChars[Result],"Not measured"))</f>
        <v>0</v>
      </c>
      <c r="H38" s="36">
        <f>IF($B$38="","",SUMIFS(tblChars[Near limit],tblChars[FAI no.],$B$38))</f>
        <v>0</v>
      </c>
      <c r="I38" s="55">
        <f>IF($B$38="","",INDEX(tblFAIs[Planned date],MATCH($B$38,tblFAIs[FAI no.],0)))</f>
        <v>46185</v>
      </c>
      <c r="J38" s="42" t="str">
        <f>IF($B$38="","",INDEX(tblFAIs[Result],MATCH($B$38,tblFAIs[FAI no.],0)))</f>
        <v>PASS</v>
      </c>
      <c r="K38" s="42" t="str">
        <f>IF($B$38="","",INDEX(tblFAIs[Due status],MATCH($B$38,tblFAIs[FAI no.],0)))</f>
        <v>Complete</v>
      </c>
      <c r="L38" s="42"/>
    </row>
    <row r="39" spans="2:12">
      <c r="B39" s="54" t="str">
        <f>IFERROR(INDEX(tblFAIs[FAI no.],2)&amp;"","")</f>
        <v>F26-032</v>
      </c>
      <c r="C39" s="42" t="str">
        <f>IF($B$39="","",$B$39&amp;" "&amp;INDEX(tblFAIs[Part number],MATCH($B$39,tblFAIs[FAI no.],0)))</f>
        <v>F26-032 MB-2210</v>
      </c>
      <c r="D39" s="42"/>
      <c r="E39" s="36">
        <f>IF($B$39="","",COUNTIFS(tblChars[FAI no.],$B$39,tblChars[Result],"PASS"))</f>
        <v>11</v>
      </c>
      <c r="F39" s="36">
        <f>IF($B$39="","",COUNTIFS(tblChars[FAI no.],$B$39,tblChars[Result],"FAIL"))</f>
        <v>1</v>
      </c>
      <c r="G39" s="36">
        <f>IF($B$39="","",COUNTIFS(tblChars[FAI no.],$B$39,tblChars[Result],"Not measured"))</f>
        <v>0</v>
      </c>
      <c r="H39" s="36">
        <f>IF($B$39="","",SUMIFS(tblChars[Near limit],tblChars[FAI no.],$B$39))</f>
        <v>1</v>
      </c>
      <c r="I39" s="55">
        <f>IF($B$39="","",INDEX(tblFAIs[Planned date],MATCH($B$39,tblFAIs[FAI no.],0)))</f>
        <v>46199</v>
      </c>
      <c r="J39" s="42" t="str">
        <f>IF($B$39="","",INDEX(tblFAIs[Result],MATCH($B$39,tblFAIs[FAI no.],0)))</f>
        <v>FAIL</v>
      </c>
      <c r="K39" s="42" t="str">
        <f>IF($B$39="","",INDEX(tblFAIs[Due status],MATCH($B$39,tblFAIs[FAI no.],0)))</f>
        <v>Complete</v>
      </c>
      <c r="L39" s="42"/>
    </row>
    <row r="40" spans="2:12">
      <c r="B40" s="54" t="str">
        <f>IFERROR(INDEX(tblFAIs[FAI no.],3)&amp;"","")</f>
        <v>F26-033</v>
      </c>
      <c r="C40" s="42" t="str">
        <f>IF($B$40="","",$B$40&amp;" "&amp;INDEX(tblFAIs[Part number],MATCH($B$40,tblFAIs[FAI no.],0)))</f>
        <v>F26-033 SC-0412</v>
      </c>
      <c r="D40" s="42"/>
      <c r="E40" s="36">
        <f>IF($B$40="","",COUNTIFS(tblChars[FAI no.],$B$40,tblChars[Result],"PASS"))</f>
        <v>4</v>
      </c>
      <c r="F40" s="36">
        <f>IF($B$40="","",COUNTIFS(tblChars[FAI no.],$B$40,tblChars[Result],"FAIL"))</f>
        <v>0</v>
      </c>
      <c r="G40" s="36">
        <f>IF($B$40="","",COUNTIFS(tblChars[FAI no.],$B$40,tblChars[Result],"Not measured"))</f>
        <v>0</v>
      </c>
      <c r="H40" s="36">
        <f>IF($B$40="","",SUMIFS(tblChars[Near limit],tblChars[FAI no.],$B$40))</f>
        <v>0</v>
      </c>
      <c r="I40" s="55">
        <f>IF($B$40="","",INDEX(tblFAIs[Planned date],MATCH($B$40,tblFAIs[FAI no.],0)))</f>
        <v>46213</v>
      </c>
      <c r="J40" s="42" t="str">
        <f>IF($B$40="","",INDEX(tblFAIs[Result],MATCH($B$40,tblFAIs[FAI no.],0)))</f>
        <v>PASS</v>
      </c>
      <c r="K40" s="42" t="str">
        <f>IF($B$40="","",INDEX(tblFAIs[Due status],MATCH($B$40,tblFAIs[FAI no.],0)))</f>
        <v>Complete</v>
      </c>
      <c r="L40" s="42"/>
    </row>
    <row r="41" spans="2:12">
      <c r="B41" s="54" t="str">
        <f>IFERROR(INDEX(tblFAIs[FAI no.],4)&amp;"","")</f>
        <v>F26-034</v>
      </c>
      <c r="C41" s="42" t="str">
        <f>IF($B$41="","",$B$41&amp;" "&amp;INDEX(tblFAIs[Part number],MATCH($B$41,tblFAIs[FAI no.],0)))</f>
        <v>F26-034 PH-7701</v>
      </c>
      <c r="D41" s="42"/>
      <c r="E41" s="36">
        <f>IF($B$41="","",COUNTIFS(tblChars[FAI no.],$B$41,tblChars[Result],"PASS"))</f>
        <v>12</v>
      </c>
      <c r="F41" s="36">
        <f>IF($B$41="","",COUNTIFS(tblChars[FAI no.],$B$41,tblChars[Result],"FAIL"))</f>
        <v>0</v>
      </c>
      <c r="G41" s="36">
        <f>IF($B$41="","",COUNTIFS(tblChars[FAI no.],$B$41,tblChars[Result],"Not measured"))</f>
        <v>0</v>
      </c>
      <c r="H41" s="36">
        <f>IF($B$41="","",SUMIFS(tblChars[Near limit],tblChars[FAI no.],$B$41))</f>
        <v>2</v>
      </c>
      <c r="I41" s="55">
        <f>IF($B$41="","",INDEX(tblFAIs[Planned date],MATCH($B$41,tblFAIs[FAI no.],0)))</f>
        <v>46227</v>
      </c>
      <c r="J41" s="42" t="str">
        <f>IF($B$41="","",INDEX(tblFAIs[Result],MATCH($B$41,tblFAIs[FAI no.],0)))</f>
        <v>PASS</v>
      </c>
      <c r="K41" s="42" t="str">
        <f>IF($B$41="","",INDEX(tblFAIs[Due status],MATCH($B$41,tblFAIs[FAI no.],0)))</f>
        <v>Complete</v>
      </c>
      <c r="L41" s="42"/>
    </row>
    <row r="42" spans="2:12">
      <c r="B42" s="54" t="str">
        <f>IFERROR(INDEX(tblFAIs[FAI no.],5)&amp;"","")</f>
        <v>F26-035</v>
      </c>
      <c r="C42" s="42" t="str">
        <f>IF($B$42="","",$B$42&amp;" "&amp;INDEX(tblFAIs[Part number],MATCH($B$42,tblFAIs[FAI no.],0)))</f>
        <v>F26-035 SP-3300</v>
      </c>
      <c r="D42" s="42"/>
      <c r="E42" s="36">
        <f>IF($B$42="","",COUNTIFS(tblChars[FAI no.],$B$42,tblChars[Result],"PASS"))</f>
        <v>8</v>
      </c>
      <c r="F42" s="36">
        <f>IF($B$42="","",COUNTIFS(tblChars[FAI no.],$B$42,tblChars[Result],"FAIL"))</f>
        <v>1</v>
      </c>
      <c r="G42" s="36">
        <f>IF($B$42="","",COUNTIFS(tblChars[FAI no.],$B$42,tblChars[Result],"Not measured"))</f>
        <v>0</v>
      </c>
      <c r="H42" s="36">
        <f>IF($B$42="","",SUMIFS(tblChars[Near limit],tblChars[FAI no.],$B$42))</f>
        <v>0</v>
      </c>
      <c r="I42" s="55">
        <f>IF($B$42="","",INDEX(tblFAIs[Planned date],MATCH($B$42,tblFAIs[FAI no.],0)))</f>
        <v>46241</v>
      </c>
      <c r="J42" s="42" t="str">
        <f>IF($B$42="","",INDEX(tblFAIs[Result],MATCH($B$42,tblFAIs[FAI no.],0)))</f>
        <v>FAIL</v>
      </c>
      <c r="K42" s="42" t="str">
        <f>IF($B$42="","",INDEX(tblFAIs[Due status],MATCH($B$42,tblFAIs[FAI no.],0)))</f>
        <v>Complete</v>
      </c>
      <c r="L42" s="42"/>
    </row>
    <row r="43" spans="2:12">
      <c r="B43" s="54" t="str">
        <f>IFERROR(INDEX(tblFAIs[FAI no.],6)&amp;"","")</f>
        <v>F26-036</v>
      </c>
      <c r="C43" s="42" t="str">
        <f>IF($B$43="","",$B$43&amp;" "&amp;INDEX(tblFAIs[Part number],MATCH($B$43,tblFAIs[FAI no.],0)))</f>
        <v>F26-036 MB-2210</v>
      </c>
      <c r="D43" s="42"/>
      <c r="E43" s="36">
        <f>IF($B$43="","",COUNTIFS(tblChars[FAI no.],$B$43,tblChars[Result],"PASS"))</f>
        <v>3</v>
      </c>
      <c r="F43" s="36">
        <f>IF($B$43="","",COUNTIFS(tblChars[FAI no.],$B$43,tblChars[Result],"FAIL"))</f>
        <v>0</v>
      </c>
      <c r="G43" s="36">
        <f>IF($B$43="","",COUNTIFS(tblChars[FAI no.],$B$43,tblChars[Result],"Not measured"))</f>
        <v>0</v>
      </c>
      <c r="H43" s="36">
        <f>IF($B$43="","",SUMIFS(tblChars[Near limit],tblChars[FAI no.],$B$43))</f>
        <v>0</v>
      </c>
      <c r="I43" s="55">
        <f>IF($B$43="","",INDEX(tblFAIs[Planned date],MATCH($B$43,tblFAIs[FAI no.],0)))</f>
        <v>46248</v>
      </c>
      <c r="J43" s="42" t="str">
        <f>IF($B$43="","",INDEX(tblFAIs[Result],MATCH($B$43,tblFAIs[FAI no.],0)))</f>
        <v>PASS</v>
      </c>
      <c r="K43" s="42" t="str">
        <f>IF($B$43="","",INDEX(tblFAIs[Due status],MATCH($B$43,tblFAIs[FAI no.],0)))</f>
        <v>Complete</v>
      </c>
      <c r="L43" s="42"/>
    </row>
    <row r="44" spans="2:12">
      <c r="B44" s="54" t="str">
        <f>IFERROR(INDEX(tblFAIs[FAI no.],7)&amp;"","")</f>
        <v>F26-037</v>
      </c>
      <c r="C44" s="42" t="str">
        <f>IF($B$44="","",$B$44&amp;" "&amp;INDEX(tblFAIs[Part number],MATCH($B$44,tblFAIs[FAI no.],0)))</f>
        <v>F26-037 SP-3300</v>
      </c>
      <c r="D44" s="42"/>
      <c r="E44" s="36">
        <f>IF($B$44="","",COUNTIFS(tblChars[FAI no.],$B$44,tblChars[Result],"PASS"))</f>
        <v>3</v>
      </c>
      <c r="F44" s="36">
        <f>IF($B$44="","",COUNTIFS(tblChars[FAI no.],$B$44,tblChars[Result],"FAIL"))</f>
        <v>0</v>
      </c>
      <c r="G44" s="36">
        <f>IF($B$44="","",COUNTIFS(tblChars[FAI no.],$B$44,tblChars[Result],"Not measured"))</f>
        <v>0</v>
      </c>
      <c r="H44" s="36">
        <f>IF($B$44="","",SUMIFS(tblChars[Near limit],tblChars[FAI no.],$B$44))</f>
        <v>0</v>
      </c>
      <c r="I44" s="55">
        <f>IF($B$44="","",INDEX(tblFAIs[Planned date],MATCH($B$44,tblFAIs[FAI no.],0)))</f>
        <v>46269</v>
      </c>
      <c r="J44" s="42" t="str">
        <f>IF($B$44="","",INDEX(tblFAIs[Result],MATCH($B$44,tblFAIs[FAI no.],0)))</f>
        <v>PASS</v>
      </c>
      <c r="K44" s="42" t="str">
        <f>IF($B$44="","",INDEX(tblFAIs[Due status],MATCH($B$44,tblFAIs[FAI no.],0)))</f>
        <v>Complete</v>
      </c>
      <c r="L44" s="42"/>
    </row>
    <row r="45" spans="2:12">
      <c r="B45" s="54" t="str">
        <f>IFERROR(INDEX(tblFAIs[FAI no.],8)&amp;"","")</f>
        <v>F26-038</v>
      </c>
      <c r="C45" s="42" t="str">
        <f>IF($B$45="","",$B$45&amp;" "&amp;INDEX(tblFAIs[Part number],MATCH($B$45,tblFAIs[FAI no.],0)))</f>
        <v>F26-038 FT-5120</v>
      </c>
      <c r="D45" s="42"/>
      <c r="E45" s="36">
        <f>IF($B$45="","",COUNTIFS(tblChars[FAI no.],$B$45,tblChars[Result],"PASS"))</f>
        <v>6</v>
      </c>
      <c r="F45" s="36">
        <f>IF($B$45="","",COUNTIFS(tblChars[FAI no.],$B$45,tblChars[Result],"FAIL"))</f>
        <v>0</v>
      </c>
      <c r="G45" s="36">
        <f>IF($B$45="","",COUNTIFS(tblChars[FAI no.],$B$45,tblChars[Result],"Not measured"))</f>
        <v>0</v>
      </c>
      <c r="H45" s="36">
        <f>IF($B$45="","",SUMIFS(tblChars[Near limit],tblChars[FAI no.],$B$45))</f>
        <v>1</v>
      </c>
      <c r="I45" s="55">
        <f>IF($B$45="","",INDEX(tblFAIs[Planned date],MATCH($B$45,tblFAIs[FAI no.],0)))</f>
        <v>46290</v>
      </c>
      <c r="J45" s="42" t="str">
        <f>IF($B$45="","",INDEX(tblFAIs[Result],MATCH($B$45,tblFAIs[FAI no.],0)))</f>
        <v>PASS</v>
      </c>
      <c r="K45" s="42" t="str">
        <f>IF($B$45="","",INDEX(tblFAIs[Due status],MATCH($B$45,tblFAIs[FAI no.],0)))</f>
        <v>Complete</v>
      </c>
      <c r="L45" s="42"/>
    </row>
    <row r="46" spans="2:12">
      <c r="B46" s="54" t="str">
        <f>IFERROR(INDEX(tblFAIs[FAI no.],9)&amp;"","")</f>
        <v>F26-039</v>
      </c>
      <c r="C46" s="42" t="str">
        <f>IF($B$46="","",$B$46&amp;" "&amp;INDEX(tblFAIs[Part number],MATCH($B$46,tblFAIs[FAI no.],0)))</f>
        <v>F26-039 HB-1180</v>
      </c>
      <c r="D46" s="42"/>
      <c r="E46" s="36">
        <f>IF($B$46="","",COUNTIFS(tblChars[FAI no.],$B$46,tblChars[Result],"PASS"))</f>
        <v>10</v>
      </c>
      <c r="F46" s="36">
        <f>IF($B$46="","",COUNTIFS(tblChars[FAI no.],$B$46,tblChars[Result],"FAIL"))</f>
        <v>0</v>
      </c>
      <c r="G46" s="36">
        <f>IF($B$46="","",COUNTIFS(tblChars[FAI no.],$B$46,tblChars[Result],"Not measured"))</f>
        <v>6</v>
      </c>
      <c r="H46" s="36">
        <f>IF($B$46="","",SUMIFS(tblChars[Near limit],tblChars[FAI no.],$B$46))</f>
        <v>1</v>
      </c>
      <c r="I46" s="55">
        <f>IF($B$46="","",INDEX(tblFAIs[Planned date],MATCH($B$46,tblFAIs[FAI no.],0)))</f>
        <v>46302</v>
      </c>
      <c r="J46" s="42" t="str">
        <f>IF($B$46="","",INDEX(tblFAIs[Result],MATCH($B$46,tblFAIs[FAI no.],0)))</f>
        <v>In progress</v>
      </c>
      <c r="K46" s="42" t="str">
        <f>IF($B$46="","",INDEX(tblFAIs[Due status],MATCH($B$46,tblFAIs[FAI no.],0)))</f>
        <v>Overdue</v>
      </c>
      <c r="L46" s="42"/>
    </row>
    <row r="47" spans="2:12">
      <c r="B47" s="54" t="str">
        <f>IFERROR(INDEX(tblFAIs[FAI no.],10)&amp;"","")</f>
        <v>F26-040</v>
      </c>
      <c r="C47" s="42" t="str">
        <f>IF($B$47="","",$B$47&amp;" "&amp;INDEX(tblFAIs[Part number],MATCH($B$47,tblFAIs[FAI no.],0)))</f>
        <v>F26-040 VC-0090</v>
      </c>
      <c r="D47" s="42"/>
      <c r="E47" s="36">
        <f>IF($B$47="","",COUNTIFS(tblChars[FAI no.],$B$47,tblChars[Result],"PASS"))</f>
        <v>0</v>
      </c>
      <c r="F47" s="36">
        <f>IF($B$47="","",COUNTIFS(tblChars[FAI no.],$B$47,tblChars[Result],"FAIL"))</f>
        <v>0</v>
      </c>
      <c r="G47" s="36">
        <f>IF($B$47="","",COUNTIFS(tblChars[FAI no.],$B$47,tblChars[Result],"Not measured"))</f>
        <v>7</v>
      </c>
      <c r="H47" s="36">
        <f>IF($B$47="","",SUMIFS(tblChars[Near limit],tblChars[FAI no.],$B$47))</f>
        <v>0</v>
      </c>
      <c r="I47" s="55">
        <f>IF($B$47="","",INDEX(tblFAIs[Planned date],MATCH($B$47,tblFAIs[FAI no.],0)))</f>
        <v>46309</v>
      </c>
      <c r="J47" s="42" t="str">
        <f>IF($B$47="","",INDEX(tblFAIs[Result],MATCH($B$47,tblFAIs[FAI no.],0)))</f>
        <v>In progress</v>
      </c>
      <c r="K47" s="42" t="str">
        <f>IF($B$47="","",INDEX(tblFAIs[Due status],MATCH($B$47,tblFAIs[FAI no.],0)))</f>
        <v>Due soon</v>
      </c>
      <c r="L47" s="42"/>
    </row>
    <row r="48" spans="2:12">
      <c r="B48" s="54" t="str">
        <f>IFERROR(INDEX(tblFAIs[FAI no.],11)&amp;"","")</f>
        <v>F26-041</v>
      </c>
      <c r="C48" s="42" t="str">
        <f>IF($B$48="","",$B$48&amp;" "&amp;INDEX(tblFAIs[Part number],MATCH($B$48,tblFAIs[FAI no.],0)))</f>
        <v>F26-041 SC-0415</v>
      </c>
      <c r="D48" s="42"/>
      <c r="E48" s="36">
        <f>IF($B$48="","",COUNTIFS(tblChars[FAI no.],$B$48,tblChars[Result],"PASS"))</f>
        <v>0</v>
      </c>
      <c r="F48" s="36">
        <f>IF($B$48="","",COUNTIFS(tblChars[FAI no.],$B$48,tblChars[Result],"FAIL"))</f>
        <v>0</v>
      </c>
      <c r="G48" s="36">
        <f>IF($B$48="","",COUNTIFS(tblChars[FAI no.],$B$48,tblChars[Result],"Not measured"))</f>
        <v>7</v>
      </c>
      <c r="H48" s="36">
        <f>IF($B$48="","",SUMIFS(tblChars[Near limit],tblChars[FAI no.],$B$48))</f>
        <v>0</v>
      </c>
      <c r="I48" s="55">
        <f>IF($B$48="","",INDEX(tblFAIs[Planned date],MATCH($B$48,tblFAIs[FAI no.],0)))</f>
        <v>46325</v>
      </c>
      <c r="J48" s="42" t="str">
        <f>IF($B$48="","",INDEX(tblFAIs[Result],MATCH($B$48,tblFAIs[FAI no.],0)))</f>
        <v>In progress</v>
      </c>
      <c r="K48" s="42" t="str">
        <f>IF($B$48="","",INDEX(tblFAIs[Due status],MATCH($B$48,tblFAIs[FAI no.],0)))</f>
        <v>OK</v>
      </c>
      <c r="L48" s="42"/>
    </row>
    <row r="49" spans="2:12">
      <c r="B49" s="54">
        <f>IFERROR(INDEX(tblFAIs[FAI no.],12)&amp;"","")</f>
        <v/>
      </c>
      <c r="C49" s="42">
        <f>IF($B$49="","",$B$49&amp;" "&amp;INDEX(tblFAIs[Part number],MATCH($B$49,tblFAIs[FAI no.],0)))</f>
        <v/>
      </c>
      <c r="D49" s="42"/>
      <c r="E49" s="36">
        <f>IF($B$49="","",COUNTIFS(tblChars[FAI no.],$B$49,tblChars[Result],"PASS"))</f>
        <v/>
      </c>
      <c r="F49" s="36">
        <f>IF($B$49="","",COUNTIFS(tblChars[FAI no.],$B$49,tblChars[Result],"FAIL"))</f>
        <v/>
      </c>
      <c r="G49" s="36">
        <f>IF($B$49="","",COUNTIFS(tblChars[FAI no.],$B$49,tblChars[Result],"Not measured"))</f>
        <v/>
      </c>
      <c r="H49" s="36">
        <f>IF($B$49="","",SUMIFS(tblChars[Near limit],tblChars[FAI no.],$B$49))</f>
        <v/>
      </c>
      <c r="I49" s="55">
        <f>IF($B$49="","",INDEX(tblFAIs[Planned date],MATCH($B$49,tblFAIs[FAI no.],0)))</f>
        <v/>
      </c>
      <c r="J49" s="42">
        <f>IF($B$49="","",INDEX(tblFAIs[Result],MATCH($B$49,tblFAIs[FAI no.],0)))</f>
        <v/>
      </c>
      <c r="K49" s="42">
        <f>IF($B$49="","",INDEX(tblFAIs[Due status],MATCH($B$49,tblFAIs[FAI no.],0)))</f>
        <v/>
      </c>
      <c r="L49" s="42"/>
    </row>
    <row r="51" spans="2:12">
      <c r="B51" s="33" t="s">
        <v>302</v>
      </c>
      <c r="C51" s="33"/>
      <c r="D51" s="33"/>
      <c r="E51" s="33"/>
      <c r="F51" s="33"/>
      <c r="G51" s="33"/>
    </row>
    <row r="52" spans="2:12" ht="32" customHeight="1">
      <c r="B52" s="53" t="s">
        <v>67</v>
      </c>
      <c r="C52" s="34" t="s">
        <v>130</v>
      </c>
      <c r="D52" s="34" t="s">
        <v>131</v>
      </c>
      <c r="E52" s="34" t="s">
        <v>132</v>
      </c>
      <c r="F52" s="34" t="s">
        <v>192</v>
      </c>
      <c r="G52" s="34" t="s">
        <v>303</v>
      </c>
    </row>
    <row r="53" spans="2:12">
      <c r="B53" s="54" t="str">
        <f>IFERROR(INDEX(tblCategories[Category],1)&amp;"","")</f>
        <v>Dimension</v>
      </c>
      <c r="C53" s="36">
        <f>IF($B$53="","",COUNTIFS(tblChars[Category],$B$53))</f>
        <v>45</v>
      </c>
      <c r="D53" s="36">
        <f>IF($B$53="","",COUNTIFS(tblChars[Category],$B$53,tblChars[Result],"PASS")+COUNTIFS(tblChars[Category],$B$53,tblChars[Result],"FAIL"))</f>
        <v>37</v>
      </c>
      <c r="E53" s="36">
        <f>IF($B$53="","",COUNTIFS(tblChars[Category],$B$53,tblChars[Result],"FAIL"))</f>
        <v>0</v>
      </c>
      <c r="F53" s="36">
        <f>IF($B$53="","",SUMIFS(tblChars[Near limit],tblChars[Category],$B$53))</f>
        <v>3</v>
      </c>
      <c r="G53" s="56">
        <f>IF($B$53="","",IF(($D$53)=0,"",($E$53)/($D$53)))</f>
        <v>0</v>
      </c>
    </row>
    <row r="54" spans="2:12">
      <c r="B54" s="54" t="str">
        <f>IFERROR(INDEX(tblCategories[Category],2)&amp;"","")</f>
        <v>Geometric tolerance</v>
      </c>
      <c r="C54" s="36">
        <f>IF($B$54="","",COUNTIFS(tblChars[Category],$B$54))</f>
        <v>17</v>
      </c>
      <c r="D54" s="36">
        <f>IF($B$54="","",COUNTIFS(tblChars[Category],$B$54,tblChars[Result],"PASS")+COUNTIFS(tblChars[Category],$B$54,tblChars[Result],"FAIL"))</f>
        <v>15</v>
      </c>
      <c r="E54" s="36">
        <f>IF($B$54="","",COUNTIFS(tblChars[Category],$B$54,tblChars[Result],"FAIL"))</f>
        <v>1</v>
      </c>
      <c r="F54" s="36">
        <f>IF($B$54="","",SUMIFS(tblChars[Near limit],tblChars[Category],$B$54))</f>
        <v>2</v>
      </c>
      <c r="G54" s="56">
        <f>IF($B$54="","",IF(($D$54)=0,"",($E$54)/($D$54)))</f>
        <v>0.0666666666666667</v>
      </c>
    </row>
    <row r="55" spans="2:12">
      <c r="B55" s="54" t="str">
        <f>IFERROR(INDEX(tblCategories[Category],3)&amp;"","")</f>
        <v>Thread</v>
      </c>
      <c r="C55" s="36">
        <f>IF($B$55="","",COUNTIFS(tblChars[Category],$B$55))</f>
        <v>7</v>
      </c>
      <c r="D55" s="36">
        <f>IF($B$55="","",COUNTIFS(tblChars[Category],$B$55,tblChars[Result],"PASS")+COUNTIFS(tblChars[Category],$B$55,tblChars[Result],"FAIL"))</f>
        <v>5</v>
      </c>
      <c r="E55" s="36">
        <f>IF($B$55="","",COUNTIFS(tblChars[Category],$B$55,tblChars[Result],"FAIL"))</f>
        <v>0</v>
      </c>
      <c r="F55" s="36">
        <f>IF($B$55="","",SUMIFS(tblChars[Near limit],tblChars[Category],$B$55))</f>
        <v>0</v>
      </c>
      <c r="G55" s="56">
        <f>IF($B$55="","",IF(($D$55)=0,"",($E$55)/($D$55)))</f>
        <v>0</v>
      </c>
    </row>
    <row r="56" spans="2:12">
      <c r="B56" s="54" t="str">
        <f>IFERROR(INDEX(tblCategories[Category],4)&amp;"","")</f>
        <v>Surface finish</v>
      </c>
      <c r="C56" s="36">
        <f>IF($B$56="","",COUNTIFS(tblChars[Category],$B$56))</f>
        <v>7</v>
      </c>
      <c r="D56" s="36">
        <f>IF($B$56="","",COUNTIFS(tblChars[Category],$B$56,tblChars[Result],"PASS")+COUNTIFS(tblChars[Category],$B$56,tblChars[Result],"FAIL"))</f>
        <v>5</v>
      </c>
      <c r="E56" s="36">
        <f>IF($B$56="","",COUNTIFS(tblChars[Category],$B$56,tblChars[Result],"FAIL"))</f>
        <v>1</v>
      </c>
      <c r="F56" s="36">
        <f>IF($B$56="","",SUMIFS(tblChars[Near limit],tblChars[Category],$B$56))</f>
        <v>0</v>
      </c>
      <c r="G56" s="56">
        <f>IF($B$56="","",IF(($D$56)=0,"",($E$56)/($D$56)))</f>
        <v>0.2</v>
      </c>
    </row>
    <row r="57" spans="2:12">
      <c r="B57" s="54" t="str">
        <f>IFERROR(INDEX(tblCategories[Category],5)&amp;"","")</f>
        <v>Note or specification</v>
      </c>
      <c r="C57" s="36">
        <f>IF($B$57="","",COUNTIFS(tblChars[Category],$B$57))</f>
        <v>8</v>
      </c>
      <c r="D57" s="36">
        <f>IF($B$57="","",COUNTIFS(tblChars[Category],$B$57,tblChars[Result],"PASS")+COUNTIFS(tblChars[Category],$B$57,tblChars[Result],"FAIL"))</f>
        <v>5</v>
      </c>
      <c r="E57" s="36">
        <f>IF($B$57="","",COUNTIFS(tblChars[Category],$B$57,tblChars[Result],"FAIL"))</f>
        <v>0</v>
      </c>
      <c r="F57" s="36">
        <f>IF($B$57="","",SUMIFS(tblChars[Near limit],tblChars[Category],$B$57))</f>
        <v>0</v>
      </c>
      <c r="G57" s="56">
        <f>IF($B$57="","",IF(($D$57)=0,"",($E$57)/($D$57)))</f>
        <v>0</v>
      </c>
    </row>
    <row r="58" spans="2:12">
      <c r="B58" s="54" t="str">
        <f>IFERROR(INDEX(tblCategories[Category],6)&amp;"","")</f>
        <v>Material or process cert</v>
      </c>
      <c r="C58" s="36">
        <f>IF($B$58="","",COUNTIFS(tblChars[Category],$B$58))</f>
        <v>9</v>
      </c>
      <c r="D58" s="36">
        <f>IF($B$58="","",COUNTIFS(tblChars[Category],$B$58,tblChars[Result],"PASS")+COUNTIFS(tblChars[Category],$B$58,tblChars[Result],"FAIL"))</f>
        <v>6</v>
      </c>
      <c r="E58" s="36">
        <f>IF($B$58="","",COUNTIFS(tblChars[Category],$B$58,tblChars[Result],"FAIL"))</f>
        <v>0</v>
      </c>
      <c r="F58" s="36">
        <f>IF($B$58="","",SUMIFS(tblChars[Near limit],tblChars[Category],$B$58))</f>
        <v>0</v>
      </c>
      <c r="G58" s="56">
        <f>IF($B$58="","",IF(($D$58)=0,"",($E$58)/($D$58)))</f>
        <v>0</v>
      </c>
    </row>
    <row r="60" spans="2:12" ht="8" customHeight="1"/>
    <row r="61" spans="2:12" ht="26.76" customHeight="1">
      <c r="B61" s="21" t="s">
        <v>304</v>
      </c>
      <c r="C61" s="21"/>
      <c r="D61" s="21"/>
      <c r="E61" s="21"/>
      <c r="F61" s="21"/>
      <c r="G61" s="21"/>
      <c r="H61" s="21"/>
      <c r="I61" s="21"/>
      <c r="J61" s="21"/>
      <c r="K61" s="21"/>
      <c r="L61" s="21"/>
    </row>
    <row r="62" spans="2:12">
      <c r="B62" s="57">
        <f>IF(OR(COUNTA(tblFAIs[FAI no.])&gt;12,COUNTA(tblCategories[Category])&gt;6),"More FAIs or categories than the Dashboard blocks: some are not shown here.","")</f>
        <v/>
      </c>
      <c r="C62" s="57"/>
      <c r="D62" s="57"/>
      <c r="E62" s="57"/>
      <c r="F62" s="57"/>
      <c r="G62" s="57"/>
      <c r="H62" s="57"/>
      <c r="I62" s="57"/>
      <c r="J62" s="57"/>
      <c r="K62" s="57"/>
      <c r="L62" s="57"/>
    </row>
  </sheetData>
  <sheetProtection sheet="1" formatColumns="0" formatRows="0"/>
  <mergeCells count="66">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36:L36"/>
    <mergeCell ref="C37:D37"/>
    <mergeCell ref="K37:L37"/>
    <mergeCell ref="C38:D38"/>
    <mergeCell ref="C39:D39"/>
    <mergeCell ref="C40:D40"/>
    <mergeCell ref="C41:D41"/>
    <mergeCell ref="C42:D42"/>
    <mergeCell ref="C43:D43"/>
    <mergeCell ref="C44:D44"/>
    <mergeCell ref="C45:D45"/>
    <mergeCell ref="C46:D46"/>
    <mergeCell ref="C47:D47"/>
    <mergeCell ref="C48:D48"/>
    <mergeCell ref="C49:D49"/>
    <mergeCell ref="K38:L38"/>
    <mergeCell ref="K39:L39"/>
    <mergeCell ref="K40:L40"/>
    <mergeCell ref="K41:L41"/>
    <mergeCell ref="K42:L42"/>
    <mergeCell ref="K43:L43"/>
    <mergeCell ref="K44:L44"/>
    <mergeCell ref="K45:L45"/>
    <mergeCell ref="K46:L46"/>
    <mergeCell ref="K47:L47"/>
    <mergeCell ref="K48:L48"/>
    <mergeCell ref="K49:L49"/>
    <mergeCell ref="B51:G51"/>
    <mergeCell ref="B61:L61"/>
    <mergeCell ref="B62:L62"/>
  </mergeCells>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J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J38:J49">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K38:K49">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First Article Inspection Tracker&amp;R&amp;8&amp;A</oddHeader>
    <oddFooter>&amp;L&amp;8mfgcalcs.com - free manufacturing templates&amp;R&amp;8Page &amp;P of &amp;N</oddFooter>
  </headerFooter>
  <rowBreaks count="2" manualBreakCount="2">
    <brk id="29" max="16383" man="1"/>
    <brk id="50"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305</v>
      </c>
      <c r="C4" s="8"/>
      <c r="D4" s="8"/>
    </row>
    <row r="5" spans="1:4" ht="5" customHeight="1"/>
    <row r="6" spans="1:4" ht="55.8" customHeight="1">
      <c r="B6" s="10" t="s">
        <v>306</v>
      </c>
      <c r="C6" s="10"/>
      <c r="D6" s="10"/>
    </row>
    <row r="8" spans="1:4" ht="21" customHeight="1">
      <c r="B8" s="8" t="s">
        <v>307</v>
      </c>
      <c r="C8" s="8"/>
      <c r="D8" s="8"/>
    </row>
    <row r="9" spans="1:4" ht="5" customHeight="1"/>
    <row r="10" spans="1:4" ht="20" customHeight="1">
      <c r="B10" s="53" t="s">
        <v>308</v>
      </c>
      <c r="C10" s="53" t="s">
        <v>309</v>
      </c>
      <c r="D10" s="34" t="s">
        <v>310</v>
      </c>
    </row>
    <row r="11" spans="1:4" ht="43.6" customHeight="1">
      <c r="B11" s="58" t="s">
        <v>311</v>
      </c>
      <c r="C11" s="59" t="s">
        <v>312</v>
      </c>
      <c r="D11" s="60" t="s">
        <v>313</v>
      </c>
    </row>
    <row r="12" spans="1:4" ht="17.2" customHeight="1">
      <c r="B12" s="58" t="s">
        <v>190</v>
      </c>
      <c r="C12" s="59" t="s">
        <v>314</v>
      </c>
      <c r="D12" s="60" t="s">
        <v>313</v>
      </c>
    </row>
    <row r="13" spans="1:4" ht="30.4" customHeight="1">
      <c r="B13" s="58" t="s">
        <v>191</v>
      </c>
      <c r="C13" s="59" t="s">
        <v>315</v>
      </c>
      <c r="D13" s="60" t="s">
        <v>316</v>
      </c>
    </row>
    <row r="14" spans="1:4" ht="30.4" customHeight="1">
      <c r="B14" s="58" t="s">
        <v>317</v>
      </c>
      <c r="C14" s="59" t="s">
        <v>318</v>
      </c>
      <c r="D14" s="60" t="s">
        <v>319</v>
      </c>
    </row>
    <row r="15" spans="1:4" ht="17.2" customHeight="1">
      <c r="B15" s="58" t="s">
        <v>192</v>
      </c>
      <c r="C15" s="59" t="s">
        <v>320</v>
      </c>
      <c r="D15" s="60" t="s">
        <v>321</v>
      </c>
    </row>
    <row r="16" spans="1:4" ht="30.4" customHeight="1">
      <c r="B16" s="58" t="s">
        <v>322</v>
      </c>
      <c r="C16" s="59" t="s">
        <v>323</v>
      </c>
      <c r="D16" s="60" t="s">
        <v>321</v>
      </c>
    </row>
    <row r="17" spans="2:4" ht="30.4" customHeight="1">
      <c r="B17" s="58" t="s">
        <v>324</v>
      </c>
      <c r="C17" s="59" t="s">
        <v>325</v>
      </c>
      <c r="D17" s="60" t="s">
        <v>319</v>
      </c>
    </row>
    <row r="18" spans="2:4" ht="30.4" customHeight="1">
      <c r="B18" s="58" t="s">
        <v>135</v>
      </c>
      <c r="C18" s="59" t="s">
        <v>326</v>
      </c>
      <c r="D18" s="60" t="s">
        <v>319</v>
      </c>
    </row>
    <row r="19" spans="2:4" ht="30.4" customHeight="1">
      <c r="B19" s="58" t="s">
        <v>327</v>
      </c>
      <c r="C19" s="59" t="s">
        <v>328</v>
      </c>
      <c r="D19" s="60" t="s">
        <v>81</v>
      </c>
    </row>
    <row r="20" spans="2:4" ht="17.2" customHeight="1">
      <c r="B20" s="58" t="s">
        <v>329</v>
      </c>
      <c r="C20" s="59" t="s">
        <v>330</v>
      </c>
      <c r="D20" s="60" t="s">
        <v>316</v>
      </c>
    </row>
    <row r="21" spans="2:4" ht="30.4" customHeight="1">
      <c r="B21" s="58" t="s">
        <v>331</v>
      </c>
      <c r="C21" s="59" t="s">
        <v>332</v>
      </c>
      <c r="D21" s="60" t="s">
        <v>316</v>
      </c>
    </row>
    <row r="23" spans="2:4" ht="21" customHeight="1">
      <c r="B23" s="8" t="s">
        <v>333</v>
      </c>
      <c r="C23" s="8"/>
      <c r="D23" s="8"/>
    </row>
    <row r="24" spans="2:4" ht="5" customHeight="1"/>
    <row r="25" spans="2:4" ht="29.4" customHeight="1">
      <c r="B25" s="26" t="s">
        <v>57</v>
      </c>
      <c r="C25" s="10" t="s">
        <v>334</v>
      </c>
      <c r="D25" s="10"/>
    </row>
    <row r="26" spans="2:4" ht="29.4" customHeight="1">
      <c r="B26" s="26" t="s">
        <v>57</v>
      </c>
      <c r="C26" s="10" t="s">
        <v>335</v>
      </c>
      <c r="D26" s="10"/>
    </row>
    <row r="27" spans="2:4" ht="29.4" customHeight="1">
      <c r="B27" s="26" t="s">
        <v>57</v>
      </c>
      <c r="C27" s="10" t="s">
        <v>336</v>
      </c>
      <c r="D27" s="10"/>
    </row>
    <row r="28" spans="2:4" ht="29.4" customHeight="1">
      <c r="B28" s="26" t="s">
        <v>57</v>
      </c>
      <c r="C28" s="10" t="s">
        <v>337</v>
      </c>
      <c r="D28" s="10"/>
    </row>
    <row r="30" spans="2:4" ht="21" customHeight="1">
      <c r="B30" s="8" t="s">
        <v>338</v>
      </c>
      <c r="C30" s="8"/>
      <c r="D30" s="8"/>
    </row>
    <row r="31" spans="2:4" ht="5" customHeight="1"/>
    <row r="32" spans="2:4" ht="29.4" customHeight="1">
      <c r="B32" s="26" t="s">
        <v>57</v>
      </c>
      <c r="C32" s="10" t="s">
        <v>339</v>
      </c>
      <c r="D32" s="10"/>
    </row>
    <row r="33" spans="2:4" ht="16.2" customHeight="1">
      <c r="B33" s="26" t="s">
        <v>57</v>
      </c>
      <c r="C33" s="10" t="s">
        <v>340</v>
      </c>
      <c r="D33" s="10"/>
    </row>
    <row r="34" spans="2:4" ht="29.4" customHeight="1">
      <c r="B34" s="26" t="s">
        <v>57</v>
      </c>
      <c r="C34" s="10" t="s">
        <v>341</v>
      </c>
      <c r="D34" s="10"/>
    </row>
    <row r="35" spans="2:4" ht="16.2" customHeight="1">
      <c r="B35" s="26" t="s">
        <v>57</v>
      </c>
      <c r="C35" s="10" t="s">
        <v>342</v>
      </c>
      <c r="D35" s="10"/>
    </row>
    <row r="37" spans="2:4" ht="21" customHeight="1">
      <c r="B37" s="8" t="s">
        <v>343</v>
      </c>
      <c r="C37" s="8"/>
      <c r="D37" s="8"/>
    </row>
    <row r="38" spans="2:4" ht="5" customHeight="1"/>
    <row r="39" spans="2:4" ht="55.8" customHeight="1">
      <c r="B39" s="10" t="s">
        <v>344</v>
      </c>
      <c r="C39" s="10"/>
      <c r="D39" s="10"/>
    </row>
    <row r="40" spans="2:4">
      <c r="B40" s="24" t="s">
        <v>345</v>
      </c>
      <c r="C40" s="24"/>
      <c r="D40" s="24"/>
    </row>
    <row r="42" spans="2:4" ht="21" customHeight="1">
      <c r="B42" s="8" t="s">
        <v>44</v>
      </c>
      <c r="C42" s="8"/>
      <c r="D42" s="8"/>
    </row>
    <row r="43" spans="2:4" ht="5" customHeight="1"/>
    <row r="44" spans="2:4" ht="42.6" customHeight="1">
      <c r="B44" s="10" t="s">
        <v>346</v>
      </c>
      <c r="C44" s="10"/>
      <c r="D44" s="10"/>
    </row>
    <row r="46" spans="2:4" ht="21" customHeight="1">
      <c r="B46" s="8" t="s">
        <v>347</v>
      </c>
      <c r="C46" s="8"/>
      <c r="D46" s="8"/>
    </row>
    <row r="47" spans="2:4" ht="5" customHeight="1"/>
    <row r="48" spans="2:4" ht="16.2" customHeight="1">
      <c r="B48" s="26" t="s">
        <v>57</v>
      </c>
      <c r="C48" s="10" t="s">
        <v>348</v>
      </c>
      <c r="D48" s="10"/>
    </row>
    <row r="49" spans="2:4" ht="16.2" customHeight="1">
      <c r="B49" s="26" t="s">
        <v>57</v>
      </c>
      <c r="C49" s="10" t="s">
        <v>349</v>
      </c>
      <c r="D49" s="10"/>
    </row>
    <row r="50" spans="2:4" ht="16.2" customHeight="1">
      <c r="B50" s="26" t="s">
        <v>57</v>
      </c>
      <c r="C50" s="10" t="s">
        <v>350</v>
      </c>
      <c r="D50" s="10"/>
    </row>
    <row r="51" spans="2:4" ht="29.4" customHeight="1">
      <c r="B51" s="26" t="s">
        <v>57</v>
      </c>
      <c r="C51" s="10" t="s">
        <v>351</v>
      </c>
      <c r="D51" s="10"/>
    </row>
    <row r="52" spans="2:4">
      <c r="B52" s="21" t="s">
        <v>352</v>
      </c>
      <c r="C52" s="21"/>
      <c r="D52" s="21"/>
    </row>
    <row r="54" spans="2:4" ht="21" customHeight="1">
      <c r="B54" s="8" t="s">
        <v>353</v>
      </c>
      <c r="C54" s="8"/>
      <c r="D54" s="8"/>
    </row>
    <row r="55" spans="2:4" ht="5" customHeight="1"/>
    <row r="56" spans="2:4">
      <c r="B56" s="53" t="s">
        <v>52</v>
      </c>
      <c r="C56" s="53" t="s">
        <v>354</v>
      </c>
      <c r="D56" s="34" t="s">
        <v>355</v>
      </c>
    </row>
    <row r="57" spans="2:4" ht="16.2" customHeight="1">
      <c r="B57" s="61" t="s">
        <v>356</v>
      </c>
      <c r="C57" s="62" t="s">
        <v>357</v>
      </c>
      <c r="D57" s="63" t="s">
        <v>358</v>
      </c>
    </row>
    <row r="59" spans="2:4">
      <c r="B59" s="21" t="s">
        <v>63</v>
      </c>
      <c r="C59" s="21"/>
      <c r="D59" s="21"/>
    </row>
  </sheetData>
  <sheetProtection sheet="1" formatColumns="0" formatRows="0"/>
  <mergeCells count="28">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C51:D51"/>
    <mergeCell ref="B52:D52"/>
    <mergeCell ref="B54:D54"/>
    <mergeCell ref="B59:D59"/>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First Article Inspection Tracker&amp;R&amp;8&amp;A</oddHeader>
    <oddFooter>&amp;L&amp;8mfgcalcs.com - free manufacturing templates&amp;R&amp;8Page &amp;P of &amp;N</oddFooter>
  </headerFooter>
  <rowBreaks count="2" manualBreakCount="2">
    <brk id="22" max="16383" man="1"/>
    <brk id="53"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V64"/>
  <sheetViews>
    <sheetView showGridLines="0" workbookViewId="0"/>
  </sheetViews>
  <sheetFormatPr defaultRowHeight="15"/>
  <cols>
    <col min="1" max="1" width="2.7109375" customWidth="1"/>
    <col min="2" max="19" width="12.7109375" customWidth="1"/>
    <col min="20" max="20" width="27.7109375" customWidth="1"/>
    <col min="21" max="21" width="40.7109375" customWidth="1"/>
    <col min="22" max="22" width="28.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30</v>
      </c>
      <c r="C2" s="2"/>
      <c r="D2" s="2"/>
      <c r="E2" s="2"/>
      <c r="F2" s="2"/>
      <c r="G2" s="2"/>
      <c r="H2" s="2"/>
      <c r="I2" s="2"/>
      <c r="J2" s="2"/>
      <c r="K2" s="2"/>
      <c r="L2" s="2"/>
      <c r="M2" s="2"/>
      <c r="N2" s="2"/>
      <c r="O2" s="2"/>
      <c r="P2" s="2"/>
      <c r="Q2" s="2"/>
      <c r="R2" s="2"/>
      <c r="S2" s="2"/>
      <c r="T2" s="2"/>
      <c r="U2" s="2"/>
      <c r="V2" s="3" t="s">
        <v>2</v>
      </c>
    </row>
    <row r="3" spans="1:22" ht="6" customHeight="1"/>
    <row r="4" spans="1:22" ht="30" customHeight="1">
      <c r="B4" s="64" t="s">
        <v>359</v>
      </c>
      <c r="C4" s="64"/>
      <c r="D4" s="22" t="str">
        <f>IF(COUNTIF($K$11:$K$31,"PASS")=21,"PASS","FAIL")</f>
        <v>PASS</v>
      </c>
      <c r="E4" s="22"/>
      <c r="F4" s="23" t="str">
        <f>COUNTIF($K$11:$K$31,"PASS")&amp;" of 21 checks pass"</f>
        <v>21 of 21 checks pass</v>
      </c>
      <c r="G4" s="23"/>
      <c r="H4" s="23"/>
      <c r="I4" s="23"/>
      <c r="J4" s="23"/>
    </row>
    <row r="6" spans="1:22" ht="29.4" customHeight="1">
      <c r="B6" s="10" t="s">
        <v>360</v>
      </c>
      <c r="C6" s="10"/>
      <c r="D6" s="10"/>
      <c r="E6" s="10"/>
      <c r="F6" s="10"/>
      <c r="G6" s="10"/>
      <c r="H6" s="10"/>
      <c r="I6" s="10"/>
      <c r="J6" s="10"/>
      <c r="K6" s="10"/>
      <c r="L6" s="10"/>
    </row>
    <row r="8" spans="1:22" ht="21" customHeight="1">
      <c r="B8" s="8" t="s">
        <v>361</v>
      </c>
      <c r="C8" s="8"/>
      <c r="D8" s="8"/>
      <c r="E8" s="8"/>
      <c r="F8" s="8"/>
      <c r="G8" s="8"/>
      <c r="H8" s="8"/>
      <c r="I8" s="8"/>
      <c r="J8" s="8"/>
      <c r="K8" s="8"/>
      <c r="L8" s="8"/>
    </row>
    <row r="9" spans="1:22" ht="5" customHeight="1"/>
    <row r="10" spans="1:22" ht="30" customHeight="1">
      <c r="B10" s="34" t="s">
        <v>362</v>
      </c>
      <c r="C10" s="53" t="s">
        <v>138</v>
      </c>
      <c r="D10" s="53"/>
      <c r="E10" s="53"/>
      <c r="F10" s="53"/>
      <c r="G10" s="34" t="s">
        <v>363</v>
      </c>
      <c r="H10" s="34" t="s">
        <v>364</v>
      </c>
      <c r="I10" s="34" t="s">
        <v>365</v>
      </c>
      <c r="J10" s="34" t="s">
        <v>366</v>
      </c>
      <c r="K10" s="34" t="s">
        <v>134</v>
      </c>
    </row>
    <row r="11" spans="1:22" ht="16.2" customHeight="1">
      <c r="B11" s="65">
        <v>1</v>
      </c>
      <c r="C11" s="62" t="s">
        <v>367</v>
      </c>
      <c r="D11" s="62"/>
      <c r="E11" s="62"/>
      <c r="F11" s="62"/>
      <c r="G11" s="66">
        <v>20.021</v>
      </c>
      <c r="H11" s="43">
        <f>$P$57</f>
        <v>20.021</v>
      </c>
      <c r="I11" s="67">
        <f>IF(AND(ISNUMBER($G$11),ISNUMBER($H$11)),ABS($H$11-$G$11),"")</f>
        <v>0</v>
      </c>
      <c r="J11" s="68">
        <v>1E-09</v>
      </c>
      <c r="K11" s="38" t="str">
        <f>IF(AND(ISNUMBER($G$11),ISNUMBER($H$11)),IF(ABS($H$11-$G$11)&lt;=$J$11,"PASS","FAIL"),"FAIL")</f>
        <v>PASS</v>
      </c>
    </row>
    <row r="12" spans="1:22" ht="16.2" customHeight="1">
      <c r="B12" s="65">
        <v>2</v>
      </c>
      <c r="C12" s="62" t="s">
        <v>368</v>
      </c>
      <c r="D12" s="62"/>
      <c r="E12" s="62"/>
      <c r="F12" s="62"/>
      <c r="G12" s="69">
        <v>0.7142857142857143</v>
      </c>
      <c r="H12" s="37">
        <f>$R$57</f>
        <v>0.714285714285714</v>
      </c>
      <c r="I12" s="67">
        <f>IF(AND(ISNUMBER($G$12),ISNUMBER($H$12)),ABS($H$12-$G$12),"")</f>
        <v>0</v>
      </c>
      <c r="J12" s="68">
        <v>1E-09</v>
      </c>
      <c r="K12" s="38" t="str">
        <f>IF(AND(ISNUMBER($G$12),ISNUMBER($H$12)),IF(ABS($H$12-$G$12)&lt;=$J$12,"PASS","FAIL"),"FAIL")</f>
        <v>PASS</v>
      </c>
    </row>
    <row r="13" spans="1:22" ht="16.2" customHeight="1">
      <c r="B13" s="65">
        <v>3</v>
      </c>
      <c r="C13" s="62" t="s">
        <v>369</v>
      </c>
      <c r="D13" s="62"/>
      <c r="E13" s="62"/>
      <c r="F13" s="62"/>
      <c r="G13" s="69">
        <v>0.8399999999999955</v>
      </c>
      <c r="H13" s="37">
        <f>$R$58</f>
        <v>0.839999999999996</v>
      </c>
      <c r="I13" s="67">
        <f>IF(AND(ISNUMBER($G$13),ISNUMBER($H$13)),ABS($H$13-$G$13),"")</f>
        <v>0</v>
      </c>
      <c r="J13" s="68">
        <v>1E-09</v>
      </c>
      <c r="K13" s="38" t="str">
        <f>IF(AND(ISNUMBER($G$13),ISNUMBER($H$13)),IF(ABS($H$13-$G$13)&lt;=$J$13,"PASS","FAIL"),"FAIL")</f>
        <v>PASS</v>
      </c>
    </row>
    <row r="14" spans="1:22" ht="16.2" customHeight="1">
      <c r="B14" s="65">
        <v>4</v>
      </c>
      <c r="C14" s="62" t="s">
        <v>370</v>
      </c>
      <c r="D14" s="62"/>
      <c r="E14" s="62"/>
      <c r="F14" s="62"/>
      <c r="G14" s="70">
        <v>1</v>
      </c>
      <c r="H14" s="36">
        <f>$T$58</f>
        <v>1</v>
      </c>
      <c r="I14" s="67">
        <f>IF(AND(ISNUMBER($G$14),ISNUMBER($H$14)),ABS($H$14-$G$14),"")</f>
        <v>0</v>
      </c>
      <c r="J14" s="68">
        <v>1E-09</v>
      </c>
      <c r="K14" s="38" t="str">
        <f>IF(AND(ISNUMBER($G$14),ISNUMBER($H$14)),IF(ABS($H$14-$G$14)&lt;=$J$14,"PASS","FAIL"),"FAIL")</f>
        <v>PASS</v>
      </c>
    </row>
    <row r="15" spans="1:22" ht="16.2" customHeight="1">
      <c r="B15" s="65">
        <v>5</v>
      </c>
      <c r="C15" s="62" t="s">
        <v>371</v>
      </c>
      <c r="D15" s="62"/>
      <c r="E15" s="62"/>
      <c r="F15" s="62"/>
      <c r="G15" s="66">
        <v>0.062</v>
      </c>
      <c r="H15" s="43">
        <f>$Q$59</f>
        <v>0.062</v>
      </c>
      <c r="I15" s="67">
        <f>IF(AND(ISNUMBER($G$15),ISNUMBER($H$15)),ABS($H$15-$G$15),"")</f>
        <v>0</v>
      </c>
      <c r="J15" s="68">
        <v>1E-09</v>
      </c>
      <c r="K15" s="38" t="str">
        <f>IF(AND(ISNUMBER($G$15),ISNUMBER($H$15)),IF(ABS($H$15-$G$15)&lt;=$J$15,"PASS","FAIL"),"FAIL")</f>
        <v>PASS</v>
      </c>
    </row>
    <row r="16" spans="1:22" ht="16.2" customHeight="1">
      <c r="B16" s="65">
        <v>6</v>
      </c>
      <c r="C16" s="62" t="s">
        <v>372</v>
      </c>
      <c r="D16" s="62"/>
      <c r="E16" s="62"/>
      <c r="F16" s="62"/>
      <c r="G16" s="61" t="s">
        <v>299</v>
      </c>
      <c r="H16" s="42" t="str">
        <f>$S$59</f>
        <v>FAIL</v>
      </c>
      <c r="I16" s="42"/>
      <c r="J16" s="63" t="s">
        <v>373</v>
      </c>
      <c r="K16" s="38" t="str">
        <f>IF($H$16&amp;""=$G$16&amp;"","PASS","FAIL")</f>
        <v>PASS</v>
      </c>
    </row>
    <row r="17" spans="2:11" ht="16.2" customHeight="1">
      <c r="B17" s="65">
        <v>7</v>
      </c>
      <c r="C17" s="62" t="s">
        <v>374</v>
      </c>
      <c r="D17" s="62"/>
      <c r="E17" s="62"/>
      <c r="F17" s="62"/>
      <c r="G17" s="61" t="s">
        <v>298</v>
      </c>
      <c r="H17" s="42" t="str">
        <f>$S$60</f>
        <v>PASS</v>
      </c>
      <c r="I17" s="42"/>
      <c r="J17" s="63" t="s">
        <v>373</v>
      </c>
      <c r="K17" s="38" t="str">
        <f>IF($H$17&amp;""=$G$17&amp;"","PASS","FAIL")</f>
        <v>PASS</v>
      </c>
    </row>
    <row r="18" spans="2:11" ht="16.2" customHeight="1">
      <c r="B18" s="65">
        <v>8</v>
      </c>
      <c r="C18" s="62" t="s">
        <v>375</v>
      </c>
      <c r="D18" s="62"/>
      <c r="E18" s="62"/>
      <c r="F18" s="62"/>
      <c r="G18" s="61" t="s">
        <v>300</v>
      </c>
      <c r="H18" s="42" t="str">
        <f>$S$62</f>
        <v>Not measured</v>
      </c>
      <c r="I18" s="42"/>
      <c r="J18" s="63" t="s">
        <v>373</v>
      </c>
      <c r="K18" s="38" t="str">
        <f>IF($H$18&amp;""=$G$18&amp;"","PASS","FAIL")</f>
        <v>PASS</v>
      </c>
    </row>
    <row r="19" spans="2:11" ht="16.2" customHeight="1">
      <c r="B19" s="65">
        <v>9</v>
      </c>
      <c r="C19" s="62" t="s">
        <v>376</v>
      </c>
      <c r="D19" s="62"/>
      <c r="E19" s="62"/>
      <c r="F19" s="62"/>
      <c r="G19" s="61" t="s">
        <v>299</v>
      </c>
      <c r="H19" s="42" t="str">
        <f>$S$63</f>
        <v>FAIL</v>
      </c>
      <c r="I19" s="42"/>
      <c r="J19" s="63" t="s">
        <v>373</v>
      </c>
      <c r="K19" s="38" t="str">
        <f>IF($H$19&amp;""=$G$19&amp;"","PASS","FAIL")</f>
        <v>PASS</v>
      </c>
    </row>
    <row r="20" spans="2:11" ht="16.2" customHeight="1">
      <c r="B20" s="65">
        <v>10</v>
      </c>
      <c r="C20" s="62" t="s">
        <v>377</v>
      </c>
      <c r="D20" s="62"/>
      <c r="E20" s="62"/>
      <c r="F20" s="62"/>
      <c r="G20" s="61" t="s">
        <v>378</v>
      </c>
      <c r="H20" s="42" t="str">
        <f>$U$64</f>
        <v>Duplicate char no.</v>
      </c>
      <c r="I20" s="42"/>
      <c r="J20" s="63" t="s">
        <v>373</v>
      </c>
      <c r="K20" s="38" t="str">
        <f>IF($H$20&amp;""=$G$20&amp;"","PASS","FAIL")</f>
        <v>PASS</v>
      </c>
    </row>
    <row r="21" spans="2:11" ht="16.2" customHeight="1">
      <c r="B21" s="65">
        <v>11</v>
      </c>
      <c r="C21" s="62" t="s">
        <v>379</v>
      </c>
      <c r="D21" s="62"/>
      <c r="E21" s="62"/>
      <c r="F21" s="62"/>
      <c r="G21" s="70">
        <v>4</v>
      </c>
      <c r="H21" s="36">
        <f>$L$50</f>
        <v>4</v>
      </c>
      <c r="I21" s="67">
        <f>IF(AND(ISNUMBER($G$21),ISNUMBER($H$21)),ABS($H$21-$G$21),"")</f>
        <v>0</v>
      </c>
      <c r="J21" s="68">
        <v>1E-09</v>
      </c>
      <c r="K21" s="38" t="str">
        <f>IF(AND(ISNUMBER($G$21),ISNUMBER($H$21)),IF(ABS($H$21-$G$21)&lt;=$J$21,"PASS","FAIL"),"FAIL")</f>
        <v>PASS</v>
      </c>
    </row>
    <row r="22" spans="2:11" ht="16.2" customHeight="1">
      <c r="B22" s="65">
        <v>12</v>
      </c>
      <c r="C22" s="62" t="s">
        <v>380</v>
      </c>
      <c r="D22" s="62"/>
      <c r="E22" s="62"/>
      <c r="F22" s="62"/>
      <c r="G22" s="61" t="s">
        <v>299</v>
      </c>
      <c r="H22" s="42" t="str">
        <f>$P$50</f>
        <v>FAIL</v>
      </c>
      <c r="I22" s="42"/>
      <c r="J22" s="63" t="s">
        <v>373</v>
      </c>
      <c r="K22" s="38" t="str">
        <f>IF($H$22&amp;""=$G$22&amp;"","PASS","FAIL")</f>
        <v>PASS</v>
      </c>
    </row>
    <row r="23" spans="2:11" ht="16.2" customHeight="1">
      <c r="B23" s="65">
        <v>13</v>
      </c>
      <c r="C23" s="62" t="s">
        <v>381</v>
      </c>
      <c r="D23" s="62"/>
      <c r="E23" s="62"/>
      <c r="F23" s="62"/>
      <c r="G23" s="70">
        <v>93</v>
      </c>
      <c r="H23" s="36">
        <f>$R$50</f>
        <v>93</v>
      </c>
      <c r="I23" s="67">
        <f>IF(AND(ISNUMBER($G$23),ISNUMBER($H$23)),ABS($H$23-$G$23),"")</f>
        <v>0</v>
      </c>
      <c r="J23" s="68">
        <v>1E-09</v>
      </c>
      <c r="K23" s="38" t="str">
        <f>IF(AND(ISNUMBER($G$23),ISNUMBER($H$23)),IF(ABS($H$23-$G$23)&lt;=$J$23,"PASS","FAIL"),"FAIL")</f>
        <v>PASS</v>
      </c>
    </row>
    <row r="24" spans="2:11" ht="16.2" customHeight="1">
      <c r="B24" s="65">
        <v>14</v>
      </c>
      <c r="C24" s="62" t="s">
        <v>382</v>
      </c>
      <c r="D24" s="62"/>
      <c r="E24" s="62"/>
      <c r="F24" s="62"/>
      <c r="G24" s="61" t="s">
        <v>383</v>
      </c>
      <c r="H24" s="42" t="str">
        <f>$P$51</f>
        <v>In progress</v>
      </c>
      <c r="I24" s="42"/>
      <c r="J24" s="63" t="s">
        <v>373</v>
      </c>
      <c r="K24" s="38" t="str">
        <f>IF($H$24&amp;""=$G$24&amp;"","PASS","FAIL")</f>
        <v>PASS</v>
      </c>
    </row>
    <row r="25" spans="2:11" ht="16.2" customHeight="1">
      <c r="B25" s="65">
        <v>15</v>
      </c>
      <c r="C25" s="62" t="s">
        <v>384</v>
      </c>
      <c r="D25" s="62"/>
      <c r="E25" s="62"/>
      <c r="F25" s="62"/>
      <c r="G25" s="61" t="s">
        <v>385</v>
      </c>
      <c r="H25" s="42" t="str">
        <f>$Q$51</f>
        <v>Overdue</v>
      </c>
      <c r="I25" s="42"/>
      <c r="J25" s="63" t="s">
        <v>373</v>
      </c>
      <c r="K25" s="38" t="str">
        <f>IF($H$25&amp;""=$G$25&amp;"","PASS","FAIL")</f>
        <v>PASS</v>
      </c>
    </row>
    <row r="26" spans="2:11" ht="16.2" customHeight="1">
      <c r="B26" s="65">
        <v>16</v>
      </c>
      <c r="C26" s="62" t="s">
        <v>386</v>
      </c>
      <c r="D26" s="62"/>
      <c r="E26" s="62"/>
      <c r="F26" s="62"/>
      <c r="G26" s="61" t="s">
        <v>387</v>
      </c>
      <c r="H26" s="42" t="str">
        <f>$Q$52</f>
        <v>Due soon</v>
      </c>
      <c r="I26" s="42"/>
      <c r="J26" s="63" t="s">
        <v>373</v>
      </c>
      <c r="K26" s="38" t="str">
        <f>IF($H$26&amp;""=$G$26&amp;"","PASS","FAIL")</f>
        <v>PASS</v>
      </c>
    </row>
    <row r="27" spans="2:11" ht="16.2" customHeight="1">
      <c r="B27" s="65">
        <v>17</v>
      </c>
      <c r="C27" s="62" t="s">
        <v>388</v>
      </c>
      <c r="D27" s="62"/>
      <c r="E27" s="62"/>
      <c r="F27" s="62"/>
      <c r="G27" s="61" t="s">
        <v>389</v>
      </c>
      <c r="H27" s="42" t="str">
        <f>$T$53</f>
        <v>No characteristics listed</v>
      </c>
      <c r="I27" s="42"/>
      <c r="J27" s="63" t="s">
        <v>373</v>
      </c>
      <c r="K27" s="38" t="str">
        <f>IF($H$27&amp;""=$G$27&amp;"","PASS","FAIL")</f>
        <v>PASS</v>
      </c>
    </row>
    <row r="28" spans="2:11" ht="16.2" customHeight="1">
      <c r="B28" s="65">
        <v>18</v>
      </c>
      <c r="C28" s="62" t="s">
        <v>390</v>
      </c>
      <c r="D28" s="62"/>
      <c r="E28" s="62"/>
      <c r="F28" s="62"/>
      <c r="G28" s="70">
        <v>1</v>
      </c>
      <c r="H28" s="36">
        <f>COUNTIFS(tblVerifyFAIs[Due status],"Overdue")</f>
        <v>1</v>
      </c>
      <c r="I28" s="67">
        <f>IF(AND(ISNUMBER($G$28),ISNUMBER($H$28)),ABS($H$28-$G$28),"")</f>
        <v>0</v>
      </c>
      <c r="J28" s="68">
        <v>1E-09</v>
      </c>
      <c r="K28" s="38" t="str">
        <f>IF(AND(ISNUMBER($G$28),ISNUMBER($H$28)),IF(ABS($H$28-$G$28)&lt;=$J$28,"PASS","FAIL"),"FAIL")</f>
        <v>PASS</v>
      </c>
    </row>
    <row r="29" spans="2:11" ht="16.2" customHeight="1">
      <c r="B29" s="65">
        <v>19</v>
      </c>
      <c r="C29" s="62" t="s">
        <v>391</v>
      </c>
      <c r="D29" s="62"/>
      <c r="E29" s="62"/>
      <c r="F29" s="62"/>
      <c r="G29" s="70">
        <v>2</v>
      </c>
      <c r="H29" s="36">
        <f>COUNTIFS(tblVerifyChars[Result],"FAIL")</f>
        <v>2</v>
      </c>
      <c r="I29" s="67">
        <f>IF(AND(ISNUMBER($G$29),ISNUMBER($H$29)),ABS($H$29-$G$29),"")</f>
        <v>0</v>
      </c>
      <c r="J29" s="68">
        <v>1E-09</v>
      </c>
      <c r="K29" s="38" t="str">
        <f>IF(AND(ISNUMBER($G$29),ISNUMBER($H$29)),IF(ABS($H$29-$G$29)&lt;=$J$29,"PASS","FAIL"),"FAIL")</f>
        <v>PASS</v>
      </c>
    </row>
    <row r="30" spans="2:11" ht="16.2" customHeight="1">
      <c r="B30" s="65">
        <v>20</v>
      </c>
      <c r="C30" s="62" t="s">
        <v>392</v>
      </c>
      <c r="D30" s="62"/>
      <c r="E30" s="62"/>
      <c r="F30" s="62"/>
      <c r="G30" s="70">
        <v>1</v>
      </c>
      <c r="H30" s="36">
        <f>SUM(tblVerifyChars[Near limit])</f>
        <v>1</v>
      </c>
      <c r="I30" s="67">
        <f>IF(AND(ISNUMBER($G$30),ISNUMBER($H$30)),ABS($H$30-$G$30),"")</f>
        <v>0</v>
      </c>
      <c r="J30" s="68">
        <v>1E-09</v>
      </c>
      <c r="K30" s="38" t="str">
        <f>IF(AND(ISNUMBER($G$30),ISNUMBER($H$30)),IF(ABS($H$30-$G$30)&lt;=$J$30,"PASS","FAIL"),"FAIL")</f>
        <v>PASS</v>
      </c>
    </row>
    <row r="31" spans="2:11" ht="16.2" customHeight="1">
      <c r="B31" s="65">
        <v>21</v>
      </c>
      <c r="C31" s="62" t="s">
        <v>393</v>
      </c>
      <c r="D31" s="62"/>
      <c r="E31" s="62"/>
      <c r="F31" s="62"/>
      <c r="G31" s="70">
        <v>261</v>
      </c>
      <c r="H31" s="36">
        <f>60*$E$40+$E$41+$E$42</f>
        <v>261</v>
      </c>
      <c r="I31" s="67">
        <f>IF(AND(ISNUMBER($G$31),ISNUMBER($H$31)),ABS($H$31-$G$31),"")</f>
        <v>0</v>
      </c>
      <c r="J31" s="68">
        <v>1E-09</v>
      </c>
      <c r="K31" s="38" t="str">
        <f>IF(AND(ISNUMBER($G$31),ISNUMBER($H$31)),IF(ABS($H$31-$G$31)&lt;=$J$31,"PASS","FAIL"),"FAIL")</f>
        <v>PASS</v>
      </c>
    </row>
    <row r="33" spans="2:12" ht="21" customHeight="1">
      <c r="B33" s="8" t="s">
        <v>394</v>
      </c>
      <c r="C33" s="8"/>
      <c r="D33" s="8"/>
      <c r="E33" s="8"/>
      <c r="F33" s="8"/>
      <c r="G33" s="8"/>
      <c r="H33" s="8"/>
      <c r="I33" s="8"/>
      <c r="J33" s="8"/>
      <c r="K33" s="8"/>
      <c r="L33" s="8"/>
    </row>
    <row r="34" spans="2:12" ht="5" customHeight="1"/>
    <row r="35" spans="2:12">
      <c r="B35" s="21" t="s">
        <v>395</v>
      </c>
      <c r="C35" s="21"/>
      <c r="D35" s="21"/>
      <c r="E35" s="21"/>
      <c r="F35" s="21"/>
      <c r="G35" s="21"/>
      <c r="H35" s="21"/>
      <c r="I35" s="21"/>
      <c r="J35" s="21"/>
      <c r="K35" s="21"/>
      <c r="L35" s="21"/>
    </row>
    <row r="36" spans="2:12">
      <c r="B36" s="33" t="s">
        <v>396</v>
      </c>
      <c r="C36" s="33"/>
      <c r="D36" s="33"/>
      <c r="E36" s="33"/>
      <c r="F36" s="33"/>
    </row>
    <row r="37" spans="2:12">
      <c r="B37" s="27" t="s">
        <v>397</v>
      </c>
      <c r="C37" s="27"/>
      <c r="D37" s="27"/>
      <c r="E37" s="71">
        <v>46157</v>
      </c>
      <c r="F37" s="7"/>
    </row>
    <row r="38" spans="2:12">
      <c r="B38" s="27" t="s">
        <v>398</v>
      </c>
      <c r="C38" s="27"/>
      <c r="D38" s="27"/>
      <c r="E38" s="70">
        <v>7</v>
      </c>
      <c r="F38" s="7"/>
    </row>
    <row r="39" spans="2:12">
      <c r="B39" s="27" t="s">
        <v>399</v>
      </c>
      <c r="C39" s="27"/>
      <c r="D39" s="27"/>
      <c r="E39" s="69">
        <v>0.8</v>
      </c>
      <c r="F39" s="7"/>
    </row>
    <row r="40" spans="2:12">
      <c r="B40" s="27" t="s">
        <v>400</v>
      </c>
      <c r="C40" s="27"/>
      <c r="D40" s="27"/>
      <c r="E40" s="72">
        <v>3</v>
      </c>
      <c r="F40" s="7"/>
    </row>
    <row r="41" spans="2:12">
      <c r="B41" s="27" t="s">
        <v>401</v>
      </c>
      <c r="C41" s="27"/>
      <c r="D41" s="27"/>
      <c r="E41" s="72">
        <v>36</v>
      </c>
      <c r="F41" s="7"/>
    </row>
    <row r="42" spans="2:12">
      <c r="B42" s="27" t="s">
        <v>402</v>
      </c>
      <c r="C42" s="27"/>
      <c r="D42" s="27"/>
      <c r="E42" s="72">
        <v>45</v>
      </c>
      <c r="F42" s="7"/>
    </row>
    <row r="44" spans="2:12">
      <c r="B44" s="33" t="s">
        <v>403</v>
      </c>
      <c r="C44" s="33"/>
      <c r="D44" s="33"/>
      <c r="E44" s="33"/>
      <c r="F44" s="33"/>
      <c r="G44" s="33"/>
      <c r="H44" s="33"/>
      <c r="I44" s="33"/>
      <c r="J44" s="33"/>
      <c r="K44" s="33"/>
      <c r="L44" s="33"/>
    </row>
    <row r="45" spans="2:12" ht="20" customHeight="1">
      <c r="B45" s="34" t="s">
        <v>64</v>
      </c>
      <c r="C45" s="34" t="s">
        <v>65</v>
      </c>
    </row>
    <row r="46" spans="2:12">
      <c r="B46" s="61" t="s">
        <v>404</v>
      </c>
      <c r="C46" s="61" t="s">
        <v>145</v>
      </c>
    </row>
    <row r="48" spans="2:12">
      <c r="B48" s="33" t="s">
        <v>405</v>
      </c>
      <c r="C48" s="33"/>
      <c r="D48" s="33"/>
      <c r="E48" s="33"/>
      <c r="F48" s="33"/>
      <c r="G48" s="33"/>
      <c r="H48" s="33"/>
      <c r="I48" s="33"/>
      <c r="J48" s="33"/>
      <c r="K48" s="33"/>
      <c r="L48" s="33"/>
    </row>
    <row r="49" spans="2:22" ht="32" customHeight="1">
      <c r="B49" s="34" t="s">
        <v>123</v>
      </c>
      <c r="C49" s="34" t="s">
        <v>124</v>
      </c>
      <c r="D49" s="34" t="s">
        <v>125</v>
      </c>
      <c r="E49" s="34" t="s">
        <v>126</v>
      </c>
      <c r="F49" s="34" t="s">
        <v>64</v>
      </c>
      <c r="G49" s="34" t="s">
        <v>66</v>
      </c>
      <c r="H49" s="34" t="s">
        <v>127</v>
      </c>
      <c r="I49" s="34" t="s">
        <v>68</v>
      </c>
      <c r="J49" s="34" t="s">
        <v>128</v>
      </c>
      <c r="K49" s="34" t="s">
        <v>129</v>
      </c>
      <c r="L49" s="34" t="s">
        <v>130</v>
      </c>
      <c r="M49" s="34" t="s">
        <v>131</v>
      </c>
      <c r="N49" s="34" t="s">
        <v>132</v>
      </c>
      <c r="O49" s="34" t="s">
        <v>133</v>
      </c>
      <c r="P49" s="34" t="s">
        <v>134</v>
      </c>
      <c r="Q49" s="34" t="s">
        <v>135</v>
      </c>
      <c r="R49" s="34" t="s">
        <v>136</v>
      </c>
      <c r="S49" s="34" t="s">
        <v>137</v>
      </c>
      <c r="T49" s="34" t="s">
        <v>138</v>
      </c>
      <c r="U49" s="34" t="s">
        <v>65</v>
      </c>
    </row>
    <row r="50" spans="2:22">
      <c r="B50" s="61" t="s">
        <v>406</v>
      </c>
      <c r="C50" s="61" t="s">
        <v>407</v>
      </c>
      <c r="D50" s="61" t="s">
        <v>148</v>
      </c>
      <c r="E50" s="61" t="s">
        <v>297</v>
      </c>
      <c r="F50" s="61" t="s">
        <v>404</v>
      </c>
      <c r="G50" s="61" t="s">
        <v>94</v>
      </c>
      <c r="H50" s="61" t="s">
        <v>144</v>
      </c>
      <c r="I50" s="61" t="s">
        <v>408</v>
      </c>
      <c r="J50" s="71">
        <v>46143</v>
      </c>
      <c r="K50" s="71">
        <v>46142</v>
      </c>
      <c r="L50" s="36">
        <f>IF(tblVerifyFAIs[[#This Row],[FAI no.]]="","",COUNTIFS(tblVerifyChars[FAI no.],tblVerifyFAIs[[#This Row],[FAI no.]]))</f>
        <v>4</v>
      </c>
      <c r="M50" s="36">
        <f>IF(tblVerifyFAIs[[#This Row],[FAI no.]]="","",COUNTIFS(tblVerifyChars[FAI no.],tblVerifyFAIs[[#This Row],[FAI no.]],tblVerifyChars[Result],"PASS")+COUNTIFS(tblVerifyChars[FAI no.],tblVerifyFAIs[[#This Row],[FAI no.]],tblVerifyChars[Result],"FAIL"))</f>
        <v>4</v>
      </c>
      <c r="N50" s="36">
        <f>IF(tblVerifyFAIs[[#This Row],[FAI no.]]="","",COUNTIFS(tblVerifyChars[FAI no.],tblVerifyFAIs[[#This Row],[FAI no.]],tblVerifyChars[Result],"FAIL"))</f>
        <v>1</v>
      </c>
      <c r="O50" s="37">
        <f>IF(tblVerifyFAIs[[#This Row],[FAI no.]]="","",IF(tblVerifyFAIs[[#This Row],[Characteristics]]&gt;0,tblVerifyFAIs[[#This Row],[Measured]]/tblVerifyFAIs[[#This Row],[Characteristics]],""))</f>
        <v>1</v>
      </c>
      <c r="P50" s="38" t="str">
        <f>IF(tblVerifyFAIs[[#This Row],[FAI no.]]="","",IF(tblVerifyFAIs[[#This Row],[Characteristics]]=0,"",IF(tblVerifyFAIs[[#This Row],[Nonconforming]]&gt;0,"FAIL",IF(tblVerifyFAIs[[#This Row],[Measured]]&lt;tblVerifyFAIs[[#This Row],[Characteristics]],"In progress","PASS"))))</f>
        <v>FAIL</v>
      </c>
      <c r="Q50" s="38" t="str">
        <f>IF(tblVerifyFAIs[[#This Row],[FAI no.]]="","",IF(ISNUMBER(tblVerifyFAIs[[#This Row],[Completed]]),"Complete",IF($E$37&gt;tblVerifyFAIs[[#This Row],[Planned date]],"Overdue",IF(tblVerifyFAIs[[#This Row],[Planned date]]-$E$37&lt;=$E$38,"Due soon","OK"))))</f>
        <v>Complete</v>
      </c>
      <c r="R50" s="36">
        <f>IF(tblVerifyFAIs[[#This Row],[FAI no.]]="","",tblVerifyFAIs[[#This Row],[Characteristics]]*$E$40+$E$41+$E$42)</f>
        <v>93</v>
      </c>
      <c r="S50" s="36">
        <f>IF(tblVerifyFAIs[[#This Row],[FAI no.]]="","",IF(ISNUMBER(tblVerifyFAIs[[#This Row],[Completed]]),0,1))</f>
        <v>0</v>
      </c>
      <c r="T50" s="39" t="str">
        <f>IF(tblVerifyFAIs[[#This Row],[FAI no.]]="","",IF(tblVerifyFAIs[[#This Row],[Part number]]="","Missing part number",IF(tblVerifyFAIs[[#This Row],[Rev]]="","Missing rev",IF(tblVerifyFAIs[[#This Row],[Planned date]]="","Missing planned date",IF(COUNTIF(tblVerifyFAIs[FAI no.],tblVerifyFAIs[[#This Row],[FAI no.]])&gt;1,"Duplicate FAI no.",IF(COUNTIF(tblVerifyCustomers[Customer],tblVerifyFAIs[[#This Row],[Customer]])=0,"Customer not on Setup list",IF(tblVerifyFAIs[[#This Row],[Characteristics]]=0,"No characteristics listed",IF(AND(ISNUMBER(tblVerifyFAIs[[#This Row],[Completed]]),tblVerifyFAIs[[#This Row],[Measured]]&lt;tblVerifyFAIs[[#This Row],[Characteristics]]),"Completed with unmeasured items",IF(AND(ISNUMBER(tblVerifyFAIs[[#This Row],[Completed]]),tblVerifyFAIs[[#This Row],[Completed]]&gt;$E$37),"Completed after the status date","OK")))))))))</f>
        <v>OK</v>
      </c>
      <c r="U50" s="61" t="s">
        <v>145</v>
      </c>
    </row>
    <row r="51" spans="2:22">
      <c r="B51" s="61" t="s">
        <v>409</v>
      </c>
      <c r="C51" s="61" t="s">
        <v>410</v>
      </c>
      <c r="D51" s="61" t="s">
        <v>148</v>
      </c>
      <c r="E51" s="61" t="s">
        <v>297</v>
      </c>
      <c r="F51" s="61" t="s">
        <v>404</v>
      </c>
      <c r="G51" s="61" t="s">
        <v>94</v>
      </c>
      <c r="H51" s="61" t="s">
        <v>144</v>
      </c>
      <c r="I51" s="61" t="s">
        <v>408</v>
      </c>
      <c r="J51" s="71">
        <v>46152</v>
      </c>
      <c r="K51" s="71"/>
      <c r="L51" s="36">
        <f>IF(tblVerifyFAIs[[#This Row],[FAI no.]]="","",COUNTIFS(tblVerifyChars[FAI no.],tblVerifyFAIs[[#This Row],[FAI no.]]))</f>
        <v>3</v>
      </c>
      <c r="M51" s="36">
        <f>IF(tblVerifyFAIs[[#This Row],[FAI no.]]="","",COUNTIFS(tblVerifyChars[FAI no.],tblVerifyFAIs[[#This Row],[FAI no.]],tblVerifyChars[Result],"PASS")+COUNTIFS(tblVerifyChars[FAI no.],tblVerifyFAIs[[#This Row],[FAI no.]],tblVerifyChars[Result],"FAIL"))</f>
        <v>2</v>
      </c>
      <c r="N51" s="36">
        <f>IF(tblVerifyFAIs[[#This Row],[FAI no.]]="","",COUNTIFS(tblVerifyChars[FAI no.],tblVerifyFAIs[[#This Row],[FAI no.]],tblVerifyChars[Result],"FAIL"))</f>
        <v>0</v>
      </c>
      <c r="O51" s="37">
        <f>IF(tblVerifyFAIs[[#This Row],[FAI no.]]="","",IF(tblVerifyFAIs[[#This Row],[Characteristics]]&gt;0,tblVerifyFAIs[[#This Row],[Measured]]/tblVerifyFAIs[[#This Row],[Characteristics]],""))</f>
        <v>0.666666666666667</v>
      </c>
      <c r="P51" s="38" t="str">
        <f>IF(tblVerifyFAIs[[#This Row],[FAI no.]]="","",IF(tblVerifyFAIs[[#This Row],[Characteristics]]=0,"",IF(tblVerifyFAIs[[#This Row],[Nonconforming]]&gt;0,"FAIL",IF(tblVerifyFAIs[[#This Row],[Measured]]&lt;tblVerifyFAIs[[#This Row],[Characteristics]],"In progress","PASS"))))</f>
        <v>In progress</v>
      </c>
      <c r="Q51" s="38" t="str">
        <f>IF(tblVerifyFAIs[[#This Row],[FAI no.]]="","",IF(ISNUMBER(tblVerifyFAIs[[#This Row],[Completed]]),"Complete",IF($E$37&gt;tblVerifyFAIs[[#This Row],[Planned date]],"Overdue",IF(tblVerifyFAIs[[#This Row],[Planned date]]-$E$37&lt;=$E$38,"Due soon","OK"))))</f>
        <v>Overdue</v>
      </c>
      <c r="R51" s="36">
        <f>IF(tblVerifyFAIs[[#This Row],[FAI no.]]="","",tblVerifyFAIs[[#This Row],[Characteristics]]*$E$40+$E$41+$E$42)</f>
        <v>90</v>
      </c>
      <c r="S51" s="36">
        <f>IF(tblVerifyFAIs[[#This Row],[FAI no.]]="","",IF(ISNUMBER(tblVerifyFAIs[[#This Row],[Completed]]),0,1))</f>
        <v>1</v>
      </c>
      <c r="T51" s="39" t="str">
        <f>IF(tblVerifyFAIs[[#This Row],[FAI no.]]="","",IF(tblVerifyFAIs[[#This Row],[Part number]]="","Missing part number",IF(tblVerifyFAIs[[#This Row],[Rev]]="","Missing rev",IF(tblVerifyFAIs[[#This Row],[Planned date]]="","Missing planned date",IF(COUNTIF(tblVerifyFAIs[FAI no.],tblVerifyFAIs[[#This Row],[FAI no.]])&gt;1,"Duplicate FAI no.",IF(COUNTIF(tblVerifyCustomers[Customer],tblVerifyFAIs[[#This Row],[Customer]])=0,"Customer not on Setup list",IF(tblVerifyFAIs[[#This Row],[Characteristics]]=0,"No characteristics listed",IF(AND(ISNUMBER(tblVerifyFAIs[[#This Row],[Completed]]),tblVerifyFAIs[[#This Row],[Measured]]&lt;tblVerifyFAIs[[#This Row],[Characteristics]]),"Completed with unmeasured items",IF(AND(ISNUMBER(tblVerifyFAIs[[#This Row],[Completed]]),tblVerifyFAIs[[#This Row],[Completed]]&gt;$E$37),"Completed after the status date","OK")))))))))</f>
        <v>OK</v>
      </c>
      <c r="U51" s="61" t="s">
        <v>145</v>
      </c>
    </row>
    <row r="52" spans="2:22">
      <c r="B52" s="61" t="s">
        <v>411</v>
      </c>
      <c r="C52" s="61" t="s">
        <v>412</v>
      </c>
      <c r="D52" s="61" t="s">
        <v>148</v>
      </c>
      <c r="E52" s="61" t="s">
        <v>297</v>
      </c>
      <c r="F52" s="61" t="s">
        <v>404</v>
      </c>
      <c r="G52" s="61" t="s">
        <v>94</v>
      </c>
      <c r="H52" s="61" t="s">
        <v>144</v>
      </c>
      <c r="I52" s="61" t="s">
        <v>408</v>
      </c>
      <c r="J52" s="71">
        <v>46162</v>
      </c>
      <c r="K52" s="71"/>
      <c r="L52" s="36">
        <f>IF(tblVerifyFAIs[[#This Row],[FAI no.]]="","",COUNTIFS(tblVerifyChars[FAI no.],tblVerifyFAIs[[#This Row],[FAI no.]]))</f>
        <v>1</v>
      </c>
      <c r="M52" s="36">
        <f>IF(tblVerifyFAIs[[#This Row],[FAI no.]]="","",COUNTIFS(tblVerifyChars[FAI no.],tblVerifyFAIs[[#This Row],[FAI no.]],tblVerifyChars[Result],"PASS")+COUNTIFS(tblVerifyChars[FAI no.],tblVerifyFAIs[[#This Row],[FAI no.]],tblVerifyChars[Result],"FAIL"))</f>
        <v>1</v>
      </c>
      <c r="N52" s="36">
        <f>IF(tblVerifyFAIs[[#This Row],[FAI no.]]="","",COUNTIFS(tblVerifyChars[FAI no.],tblVerifyFAIs[[#This Row],[FAI no.]],tblVerifyChars[Result],"FAIL"))</f>
        <v>1</v>
      </c>
      <c r="O52" s="37">
        <f>IF(tblVerifyFAIs[[#This Row],[FAI no.]]="","",IF(tblVerifyFAIs[[#This Row],[Characteristics]]&gt;0,tblVerifyFAIs[[#This Row],[Measured]]/tblVerifyFAIs[[#This Row],[Characteristics]],""))</f>
        <v>1</v>
      </c>
      <c r="P52" s="38" t="str">
        <f>IF(tblVerifyFAIs[[#This Row],[FAI no.]]="","",IF(tblVerifyFAIs[[#This Row],[Characteristics]]=0,"",IF(tblVerifyFAIs[[#This Row],[Nonconforming]]&gt;0,"FAIL",IF(tblVerifyFAIs[[#This Row],[Measured]]&lt;tblVerifyFAIs[[#This Row],[Characteristics]],"In progress","PASS"))))</f>
        <v>FAIL</v>
      </c>
      <c r="Q52" s="38" t="str">
        <f>IF(tblVerifyFAIs[[#This Row],[FAI no.]]="","",IF(ISNUMBER(tblVerifyFAIs[[#This Row],[Completed]]),"Complete",IF($E$37&gt;tblVerifyFAIs[[#This Row],[Planned date]],"Overdue",IF(tblVerifyFAIs[[#This Row],[Planned date]]-$E$37&lt;=$E$38,"Due soon","OK"))))</f>
        <v>Due soon</v>
      </c>
      <c r="R52" s="36">
        <f>IF(tblVerifyFAIs[[#This Row],[FAI no.]]="","",tblVerifyFAIs[[#This Row],[Characteristics]]*$E$40+$E$41+$E$42)</f>
        <v>84</v>
      </c>
      <c r="S52" s="36">
        <f>IF(tblVerifyFAIs[[#This Row],[FAI no.]]="","",IF(ISNUMBER(tblVerifyFAIs[[#This Row],[Completed]]),0,1))</f>
        <v>1</v>
      </c>
      <c r="T52" s="39" t="str">
        <f>IF(tblVerifyFAIs[[#This Row],[FAI no.]]="","",IF(tblVerifyFAIs[[#This Row],[Part number]]="","Missing part number",IF(tblVerifyFAIs[[#This Row],[Rev]]="","Missing rev",IF(tblVerifyFAIs[[#This Row],[Planned date]]="","Missing planned date",IF(COUNTIF(tblVerifyFAIs[FAI no.],tblVerifyFAIs[[#This Row],[FAI no.]])&gt;1,"Duplicate FAI no.",IF(COUNTIF(tblVerifyCustomers[Customer],tblVerifyFAIs[[#This Row],[Customer]])=0,"Customer not on Setup list",IF(tblVerifyFAIs[[#This Row],[Characteristics]]=0,"No characteristics listed",IF(AND(ISNUMBER(tblVerifyFAIs[[#This Row],[Completed]]),tblVerifyFAIs[[#This Row],[Measured]]&lt;tblVerifyFAIs[[#This Row],[Characteristics]]),"Completed with unmeasured items",IF(AND(ISNUMBER(tblVerifyFAIs[[#This Row],[Completed]]),tblVerifyFAIs[[#This Row],[Completed]]&gt;$E$37),"Completed after the status date","OK")))))))))</f>
        <v>OK</v>
      </c>
      <c r="U52" s="61" t="s">
        <v>145</v>
      </c>
    </row>
    <row r="53" spans="2:22">
      <c r="B53" s="61" t="s">
        <v>413</v>
      </c>
      <c r="C53" s="61" t="s">
        <v>414</v>
      </c>
      <c r="D53" s="61" t="s">
        <v>148</v>
      </c>
      <c r="E53" s="61" t="s">
        <v>297</v>
      </c>
      <c r="F53" s="61" t="s">
        <v>404</v>
      </c>
      <c r="G53" s="61" t="s">
        <v>94</v>
      </c>
      <c r="H53" s="61" t="s">
        <v>144</v>
      </c>
      <c r="I53" s="61" t="s">
        <v>408</v>
      </c>
      <c r="J53" s="71">
        <v>46203</v>
      </c>
      <c r="K53" s="71"/>
      <c r="L53" s="36">
        <f>IF(tblVerifyFAIs[[#This Row],[FAI no.]]="","",COUNTIFS(tblVerifyChars[FAI no.],tblVerifyFAIs[[#This Row],[FAI no.]]))</f>
        <v>0</v>
      </c>
      <c r="M53" s="36">
        <f>IF(tblVerifyFAIs[[#This Row],[FAI no.]]="","",COUNTIFS(tblVerifyChars[FAI no.],tblVerifyFAIs[[#This Row],[FAI no.]],tblVerifyChars[Result],"PASS")+COUNTIFS(tblVerifyChars[FAI no.],tblVerifyFAIs[[#This Row],[FAI no.]],tblVerifyChars[Result],"FAIL"))</f>
        <v>0</v>
      </c>
      <c r="N53" s="36">
        <f>IF(tblVerifyFAIs[[#This Row],[FAI no.]]="","",COUNTIFS(tblVerifyChars[FAI no.],tblVerifyFAIs[[#This Row],[FAI no.]],tblVerifyChars[Result],"FAIL"))</f>
        <v>0</v>
      </c>
      <c r="O53" s="37">
        <f>IF(tblVerifyFAIs[[#This Row],[FAI no.]]="","",IF(tblVerifyFAIs[[#This Row],[Characteristics]]&gt;0,tblVerifyFAIs[[#This Row],[Measured]]/tblVerifyFAIs[[#This Row],[Characteristics]],""))</f>
        <v/>
      </c>
      <c r="P53" s="38">
        <f>IF(tblVerifyFAIs[[#This Row],[FAI no.]]="","",IF(tblVerifyFAIs[[#This Row],[Characteristics]]=0,"",IF(tblVerifyFAIs[[#This Row],[Nonconforming]]&gt;0,"FAIL",IF(tblVerifyFAIs[[#This Row],[Measured]]&lt;tblVerifyFAIs[[#This Row],[Characteristics]],"In progress","PASS"))))</f>
        <v/>
      </c>
      <c r="Q53" s="38" t="str">
        <f>IF(tblVerifyFAIs[[#This Row],[FAI no.]]="","",IF(ISNUMBER(tblVerifyFAIs[[#This Row],[Completed]]),"Complete",IF($E$37&gt;tblVerifyFAIs[[#This Row],[Planned date]],"Overdue",IF(tblVerifyFAIs[[#This Row],[Planned date]]-$E$37&lt;=$E$38,"Due soon","OK"))))</f>
        <v>OK</v>
      </c>
      <c r="R53" s="36">
        <f>IF(tblVerifyFAIs[[#This Row],[FAI no.]]="","",tblVerifyFAIs[[#This Row],[Characteristics]]*$E$40+$E$41+$E$42)</f>
        <v>81</v>
      </c>
      <c r="S53" s="36">
        <f>IF(tblVerifyFAIs[[#This Row],[FAI no.]]="","",IF(ISNUMBER(tblVerifyFAIs[[#This Row],[Completed]]),0,1))</f>
        <v>1</v>
      </c>
      <c r="T53" s="39" t="str">
        <f>IF(tblVerifyFAIs[[#This Row],[FAI no.]]="","",IF(tblVerifyFAIs[[#This Row],[Part number]]="","Missing part number",IF(tblVerifyFAIs[[#This Row],[Rev]]="","Missing rev",IF(tblVerifyFAIs[[#This Row],[Planned date]]="","Missing planned date",IF(COUNTIF(tblVerifyFAIs[FAI no.],tblVerifyFAIs[[#This Row],[FAI no.]])&gt;1,"Duplicate FAI no.",IF(COUNTIF(tblVerifyCustomers[Customer],tblVerifyFAIs[[#This Row],[Customer]])=0,"Customer not on Setup list",IF(tblVerifyFAIs[[#This Row],[Characteristics]]=0,"No characteristics listed",IF(AND(ISNUMBER(tblVerifyFAIs[[#This Row],[Completed]]),tblVerifyFAIs[[#This Row],[Measured]]&lt;tblVerifyFAIs[[#This Row],[Characteristics]]),"Completed with unmeasured items",IF(AND(ISNUMBER(tblVerifyFAIs[[#This Row],[Completed]]),tblVerifyFAIs[[#This Row],[Completed]]&gt;$E$37),"Completed after the status date","OK")))))))))</f>
        <v>No characteristics listed</v>
      </c>
      <c r="U53" s="61" t="s">
        <v>145</v>
      </c>
    </row>
    <row r="55" spans="2:22">
      <c r="B55" s="33" t="s">
        <v>415</v>
      </c>
      <c r="C55" s="33"/>
      <c r="D55" s="33"/>
      <c r="E55" s="33"/>
      <c r="F55" s="33"/>
      <c r="G55" s="33"/>
      <c r="H55" s="33"/>
      <c r="I55" s="33"/>
      <c r="J55" s="33"/>
      <c r="K55" s="33"/>
      <c r="L55" s="33"/>
    </row>
    <row r="56" spans="2:22" ht="32" customHeight="1">
      <c r="B56" s="34" t="s">
        <v>123</v>
      </c>
      <c r="C56" s="34" t="s">
        <v>179</v>
      </c>
      <c r="D56" s="34" t="s">
        <v>180</v>
      </c>
      <c r="E56" s="34" t="s">
        <v>67</v>
      </c>
      <c r="F56" s="34" t="s">
        <v>181</v>
      </c>
      <c r="G56" s="34" t="s">
        <v>182</v>
      </c>
      <c r="H56" s="34" t="s">
        <v>183</v>
      </c>
      <c r="I56" s="34" t="s">
        <v>184</v>
      </c>
      <c r="J56" s="34" t="s">
        <v>131</v>
      </c>
      <c r="K56" s="34" t="s">
        <v>185</v>
      </c>
      <c r="L56" s="34" t="s">
        <v>186</v>
      </c>
      <c r="M56" s="34" t="s">
        <v>124</v>
      </c>
      <c r="N56" s="34" t="s">
        <v>187</v>
      </c>
      <c r="O56" s="34" t="s">
        <v>188</v>
      </c>
      <c r="P56" s="34" t="s">
        <v>189</v>
      </c>
      <c r="Q56" s="34" t="s">
        <v>190</v>
      </c>
      <c r="R56" s="34" t="s">
        <v>191</v>
      </c>
      <c r="S56" s="34" t="s">
        <v>134</v>
      </c>
      <c r="T56" s="34" t="s">
        <v>192</v>
      </c>
      <c r="U56" s="34" t="s">
        <v>138</v>
      </c>
      <c r="V56" s="34" t="s">
        <v>65</v>
      </c>
    </row>
    <row r="57" spans="2:22">
      <c r="B57" s="61" t="s">
        <v>406</v>
      </c>
      <c r="C57" s="70">
        <v>1</v>
      </c>
      <c r="D57" s="61" t="s">
        <v>416</v>
      </c>
      <c r="E57" s="61" t="s">
        <v>105</v>
      </c>
      <c r="F57" s="61" t="s">
        <v>219</v>
      </c>
      <c r="G57" s="66">
        <v>20</v>
      </c>
      <c r="H57" s="66">
        <v>0</v>
      </c>
      <c r="I57" s="66">
        <v>0.021</v>
      </c>
      <c r="J57" s="66">
        <v>20.018</v>
      </c>
      <c r="K57" s="61"/>
      <c r="L57" s="61" t="s">
        <v>417</v>
      </c>
      <c r="M57" s="61" t="s">
        <v>407</v>
      </c>
      <c r="N57" s="70">
        <v>0</v>
      </c>
      <c r="O57" s="43">
        <f>IF(tblVerifyChars[[#This Row],[FAI no.]]="","",IF(OR(tblVerifyChars[[#This Row],[Nominal]]="",tblVerifyChars[[#This Row],[Lower tol]]=""),"",tblVerifyChars[[#This Row],[Nominal]]+tblVerifyChars[[#This Row],[Lower tol]]))</f>
        <v>20</v>
      </c>
      <c r="P57" s="43">
        <f>IF(tblVerifyChars[[#This Row],[FAI no.]]="","",IF(OR(tblVerifyChars[[#This Row],[Nominal]]="",tblVerifyChars[[#This Row],[Upper tol]]=""),"",tblVerifyChars[[#This Row],[Nominal]]+tblVerifyChars[[#This Row],[Upper tol]]))</f>
        <v>20.021</v>
      </c>
      <c r="Q57" s="43">
        <f>IF(tblVerifyChars[[#This Row],[FAI no.]]="","",IF(OR(tblVerifyChars[[#This Row],[Measured]]="",tblVerifyChars[[#This Row],[Nominal]]=""),"",tblVerifyChars[[#This Row],[Measured]]-tblVerifyChars[[#This Row],[Nominal]]))</f>
        <v>0.0180000000000007</v>
      </c>
      <c r="R57"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0.714285714285714</v>
      </c>
      <c r="S57"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PASS</v>
      </c>
      <c r="T57" s="36">
        <f>IF(tblVerifyChars[[#This Row],[FAI no.]]="","",IF(AND(tblVerifyChars[[#This Row],[Result]]="PASS",ISNUMBER(tblVerifyChars[[#This Row],[Tolerance used]])),IF(tblVerifyChars[[#This Row],[Tolerance used]]&gt;=$E$39,1,0),0))</f>
        <v>0</v>
      </c>
      <c r="U57"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OK</v>
      </c>
      <c r="V57" s="61" t="s">
        <v>145</v>
      </c>
    </row>
    <row r="58" spans="2:22">
      <c r="B58" s="61" t="s">
        <v>406</v>
      </c>
      <c r="C58" s="70">
        <v>2</v>
      </c>
      <c r="D58" s="61" t="s">
        <v>418</v>
      </c>
      <c r="E58" s="61" t="s">
        <v>105</v>
      </c>
      <c r="F58" s="61" t="s">
        <v>195</v>
      </c>
      <c r="G58" s="66">
        <v>0.25</v>
      </c>
      <c r="H58" s="66">
        <v>-0.005</v>
      </c>
      <c r="I58" s="66">
        <v>0.005</v>
      </c>
      <c r="J58" s="66">
        <v>0.2542</v>
      </c>
      <c r="K58" s="61"/>
      <c r="L58" s="61" t="s">
        <v>417</v>
      </c>
      <c r="M58" s="61" t="s">
        <v>407</v>
      </c>
      <c r="N58" s="70">
        <v>0</v>
      </c>
      <c r="O58" s="43">
        <f>IF(tblVerifyChars[[#This Row],[FAI no.]]="","",IF(OR(tblVerifyChars[[#This Row],[Nominal]]="",tblVerifyChars[[#This Row],[Lower tol]]=""),"",tblVerifyChars[[#This Row],[Nominal]]+tblVerifyChars[[#This Row],[Lower tol]]))</f>
        <v>0.245</v>
      </c>
      <c r="P58" s="43">
        <f>IF(tblVerifyChars[[#This Row],[FAI no.]]="","",IF(OR(tblVerifyChars[[#This Row],[Nominal]]="",tblVerifyChars[[#This Row],[Upper tol]]=""),"",tblVerifyChars[[#This Row],[Nominal]]+tblVerifyChars[[#This Row],[Upper tol]]))</f>
        <v>0.255</v>
      </c>
      <c r="Q58" s="43">
        <f>IF(tblVerifyChars[[#This Row],[FAI no.]]="","",IF(OR(tblVerifyChars[[#This Row],[Measured]]="",tblVerifyChars[[#This Row],[Nominal]]=""),"",tblVerifyChars[[#This Row],[Measured]]-tblVerifyChars[[#This Row],[Nominal]]))</f>
        <v>0.00419999999999998</v>
      </c>
      <c r="R58"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0.839999999999996</v>
      </c>
      <c r="S58"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PASS</v>
      </c>
      <c r="T58" s="36">
        <f>IF(tblVerifyChars[[#This Row],[FAI no.]]="","",IF(AND(tblVerifyChars[[#This Row],[Result]]="PASS",ISNUMBER(tblVerifyChars[[#This Row],[Tolerance used]])),IF(tblVerifyChars[[#This Row],[Tolerance used]]&gt;=$E$39,1,0),0))</f>
        <v>1</v>
      </c>
      <c r="U58"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OK</v>
      </c>
      <c r="V58" s="61" t="s">
        <v>145</v>
      </c>
    </row>
    <row r="59" spans="2:22">
      <c r="B59" s="61" t="s">
        <v>406</v>
      </c>
      <c r="C59" s="70">
        <v>3</v>
      </c>
      <c r="D59" s="61" t="s">
        <v>419</v>
      </c>
      <c r="E59" s="61" t="s">
        <v>107</v>
      </c>
      <c r="F59" s="61" t="s">
        <v>219</v>
      </c>
      <c r="G59" s="66">
        <v>0</v>
      </c>
      <c r="H59" s="66"/>
      <c r="I59" s="66">
        <v>0.05</v>
      </c>
      <c r="J59" s="66">
        <v>0.062</v>
      </c>
      <c r="K59" s="61"/>
      <c r="L59" s="61" t="s">
        <v>417</v>
      </c>
      <c r="M59" s="61" t="s">
        <v>407</v>
      </c>
      <c r="N59" s="70">
        <v>0</v>
      </c>
      <c r="O59" s="43">
        <f>IF(tblVerifyChars[[#This Row],[FAI no.]]="","",IF(OR(tblVerifyChars[[#This Row],[Nominal]]="",tblVerifyChars[[#This Row],[Lower tol]]=""),"",tblVerifyChars[[#This Row],[Nominal]]+tblVerifyChars[[#This Row],[Lower tol]]))</f>
        <v/>
      </c>
      <c r="P59" s="43">
        <f>IF(tblVerifyChars[[#This Row],[FAI no.]]="","",IF(OR(tblVerifyChars[[#This Row],[Nominal]]="",tblVerifyChars[[#This Row],[Upper tol]]=""),"",tblVerifyChars[[#This Row],[Nominal]]+tblVerifyChars[[#This Row],[Upper tol]]))</f>
        <v>0.05</v>
      </c>
      <c r="Q59" s="43">
        <f>IF(tblVerifyChars[[#This Row],[FAI no.]]="","",IF(OR(tblVerifyChars[[#This Row],[Measured]]="",tblVerifyChars[[#This Row],[Nominal]]=""),"",tblVerifyChars[[#This Row],[Measured]]-tblVerifyChars[[#This Row],[Nominal]]))</f>
        <v>0.062</v>
      </c>
      <c r="R59"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1.24</v>
      </c>
      <c r="S59"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FAIL</v>
      </c>
      <c r="T59" s="36">
        <f>IF(tblVerifyChars[[#This Row],[FAI no.]]="","",IF(AND(tblVerifyChars[[#This Row],[Result]]="PASS",ISNUMBER(tblVerifyChars[[#This Row],[Tolerance used]])),IF(tblVerifyChars[[#This Row],[Tolerance used]]&gt;=$E$39,1,0),0))</f>
        <v>0</v>
      </c>
      <c r="U59"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OK</v>
      </c>
      <c r="V59" s="61" t="s">
        <v>145</v>
      </c>
    </row>
    <row r="60" spans="2:22">
      <c r="B60" s="61" t="s">
        <v>406</v>
      </c>
      <c r="C60" s="70">
        <v>4</v>
      </c>
      <c r="D60" s="61" t="s">
        <v>420</v>
      </c>
      <c r="E60" s="61" t="s">
        <v>115</v>
      </c>
      <c r="F60" s="61" t="s">
        <v>208</v>
      </c>
      <c r="G60" s="66"/>
      <c r="H60" s="66"/>
      <c r="I60" s="66"/>
      <c r="J60" s="66"/>
      <c r="K60" s="61" t="s">
        <v>209</v>
      </c>
      <c r="L60" s="61" t="s">
        <v>417</v>
      </c>
      <c r="M60" s="61" t="s">
        <v>407</v>
      </c>
      <c r="N60" s="70">
        <v>0</v>
      </c>
      <c r="O60" s="43">
        <f>IF(tblVerifyChars[[#This Row],[FAI no.]]="","",IF(OR(tblVerifyChars[[#This Row],[Nominal]]="",tblVerifyChars[[#This Row],[Lower tol]]=""),"",tblVerifyChars[[#This Row],[Nominal]]+tblVerifyChars[[#This Row],[Lower tol]]))</f>
        <v/>
      </c>
      <c r="P60" s="43">
        <f>IF(tblVerifyChars[[#This Row],[FAI no.]]="","",IF(OR(tblVerifyChars[[#This Row],[Nominal]]="",tblVerifyChars[[#This Row],[Upper tol]]=""),"",tblVerifyChars[[#This Row],[Nominal]]+tblVerifyChars[[#This Row],[Upper tol]]))</f>
        <v/>
      </c>
      <c r="Q60" s="43">
        <f>IF(tblVerifyChars[[#This Row],[FAI no.]]="","",IF(OR(tblVerifyChars[[#This Row],[Measured]]="",tblVerifyChars[[#This Row],[Nominal]]=""),"",tblVerifyChars[[#This Row],[Measured]]-tblVerifyChars[[#This Row],[Nominal]]))</f>
        <v/>
      </c>
      <c r="R60"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
      </c>
      <c r="S60"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PASS</v>
      </c>
      <c r="T60" s="36">
        <f>IF(tblVerifyChars[[#This Row],[FAI no.]]="","",IF(AND(tblVerifyChars[[#This Row],[Result]]="PASS",ISNUMBER(tblVerifyChars[[#This Row],[Tolerance used]])),IF(tblVerifyChars[[#This Row],[Tolerance used]]&gt;=$E$39,1,0),0))</f>
        <v>0</v>
      </c>
      <c r="U60"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OK</v>
      </c>
      <c r="V60" s="61" t="s">
        <v>145</v>
      </c>
    </row>
    <row r="61" spans="2:22">
      <c r="B61" s="61" t="s">
        <v>409</v>
      </c>
      <c r="C61" s="70">
        <v>1</v>
      </c>
      <c r="D61" s="61" t="s">
        <v>416</v>
      </c>
      <c r="E61" s="61" t="s">
        <v>105</v>
      </c>
      <c r="F61" s="61" t="s">
        <v>219</v>
      </c>
      <c r="G61" s="66">
        <v>10</v>
      </c>
      <c r="H61" s="66">
        <v>-0.1</v>
      </c>
      <c r="I61" s="66">
        <v>0.1</v>
      </c>
      <c r="J61" s="66">
        <v>9.949999999999999</v>
      </c>
      <c r="K61" s="61"/>
      <c r="L61" s="61" t="s">
        <v>417</v>
      </c>
      <c r="M61" s="61" t="s">
        <v>410</v>
      </c>
      <c r="N61" s="70">
        <v>1</v>
      </c>
      <c r="O61" s="43">
        <f>IF(tblVerifyChars[[#This Row],[FAI no.]]="","",IF(OR(tblVerifyChars[[#This Row],[Nominal]]="",tblVerifyChars[[#This Row],[Lower tol]]=""),"",tblVerifyChars[[#This Row],[Nominal]]+tblVerifyChars[[#This Row],[Lower tol]]))</f>
        <v>9.9</v>
      </c>
      <c r="P61" s="43">
        <f>IF(tblVerifyChars[[#This Row],[FAI no.]]="","",IF(OR(tblVerifyChars[[#This Row],[Nominal]]="",tblVerifyChars[[#This Row],[Upper tol]]=""),"",tblVerifyChars[[#This Row],[Nominal]]+tblVerifyChars[[#This Row],[Upper tol]]))</f>
        <v>10.1</v>
      </c>
      <c r="Q61" s="43">
        <f>IF(tblVerifyChars[[#This Row],[FAI no.]]="","",IF(OR(tblVerifyChars[[#This Row],[Measured]]="",tblVerifyChars[[#This Row],[Nominal]]=""),"",tblVerifyChars[[#This Row],[Measured]]-tblVerifyChars[[#This Row],[Nominal]]))</f>
        <v>-0.0500000000000007</v>
      </c>
      <c r="R61"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0.500000000000009</v>
      </c>
      <c r="S61"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PASS</v>
      </c>
      <c r="T61" s="36">
        <f>IF(tblVerifyChars[[#This Row],[FAI no.]]="","",IF(AND(tblVerifyChars[[#This Row],[Result]]="PASS",ISNUMBER(tblVerifyChars[[#This Row],[Tolerance used]])),IF(tblVerifyChars[[#This Row],[Tolerance used]]&gt;=$E$39,1,0),0))</f>
        <v>0</v>
      </c>
      <c r="U61"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Duplicate char no.</v>
      </c>
      <c r="V61" s="61" t="s">
        <v>145</v>
      </c>
    </row>
    <row r="62" spans="2:22">
      <c r="B62" s="61" t="s">
        <v>409</v>
      </c>
      <c r="C62" s="70">
        <v>2</v>
      </c>
      <c r="D62" s="61" t="s">
        <v>418</v>
      </c>
      <c r="E62" s="61" t="s">
        <v>105</v>
      </c>
      <c r="F62" s="61" t="s">
        <v>219</v>
      </c>
      <c r="G62" s="66">
        <v>10</v>
      </c>
      <c r="H62" s="66">
        <v>-0.1</v>
      </c>
      <c r="I62" s="66">
        <v>0.1</v>
      </c>
      <c r="J62" s="66"/>
      <c r="K62" s="61"/>
      <c r="L62" s="61"/>
      <c r="M62" s="61" t="s">
        <v>410</v>
      </c>
      <c r="N62" s="70">
        <v>1</v>
      </c>
      <c r="O62" s="43">
        <f>IF(tblVerifyChars[[#This Row],[FAI no.]]="","",IF(OR(tblVerifyChars[[#This Row],[Nominal]]="",tblVerifyChars[[#This Row],[Lower tol]]=""),"",tblVerifyChars[[#This Row],[Nominal]]+tblVerifyChars[[#This Row],[Lower tol]]))</f>
        <v>9.9</v>
      </c>
      <c r="P62" s="43">
        <f>IF(tblVerifyChars[[#This Row],[FAI no.]]="","",IF(OR(tblVerifyChars[[#This Row],[Nominal]]="",tblVerifyChars[[#This Row],[Upper tol]]=""),"",tblVerifyChars[[#This Row],[Nominal]]+tblVerifyChars[[#This Row],[Upper tol]]))</f>
        <v>10.1</v>
      </c>
      <c r="Q62" s="43">
        <f>IF(tblVerifyChars[[#This Row],[FAI no.]]="","",IF(OR(tblVerifyChars[[#This Row],[Measured]]="",tblVerifyChars[[#This Row],[Nominal]]=""),"",tblVerifyChars[[#This Row],[Measured]]-tblVerifyChars[[#This Row],[Nominal]]))</f>
        <v/>
      </c>
      <c r="R62"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
      </c>
      <c r="S62"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Not measured</v>
      </c>
      <c r="T62" s="36">
        <f>IF(tblVerifyChars[[#This Row],[FAI no.]]="","",IF(AND(tblVerifyChars[[#This Row],[Result]]="PASS",ISNUMBER(tblVerifyChars[[#This Row],[Tolerance used]])),IF(tblVerifyChars[[#This Row],[Tolerance used]]&gt;=$E$39,1,0),0))</f>
        <v>0</v>
      </c>
      <c r="U62"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OK</v>
      </c>
      <c r="V62" s="61" t="s">
        <v>145</v>
      </c>
    </row>
    <row r="63" spans="2:22">
      <c r="B63" s="61" t="s">
        <v>411</v>
      </c>
      <c r="C63" s="70">
        <v>1</v>
      </c>
      <c r="D63" s="61" t="s">
        <v>416</v>
      </c>
      <c r="E63" s="61" t="s">
        <v>109</v>
      </c>
      <c r="F63" s="61" t="s">
        <v>208</v>
      </c>
      <c r="G63" s="66"/>
      <c r="H63" s="66"/>
      <c r="I63" s="66"/>
      <c r="J63" s="66"/>
      <c r="K63" s="61" t="s">
        <v>421</v>
      </c>
      <c r="L63" s="61" t="s">
        <v>417</v>
      </c>
      <c r="M63" s="61" t="s">
        <v>412</v>
      </c>
      <c r="N63" s="70">
        <v>1</v>
      </c>
      <c r="O63" s="43">
        <f>IF(tblVerifyChars[[#This Row],[FAI no.]]="","",IF(OR(tblVerifyChars[[#This Row],[Nominal]]="",tblVerifyChars[[#This Row],[Lower tol]]=""),"",tblVerifyChars[[#This Row],[Nominal]]+tblVerifyChars[[#This Row],[Lower tol]]))</f>
        <v/>
      </c>
      <c r="P63" s="43">
        <f>IF(tblVerifyChars[[#This Row],[FAI no.]]="","",IF(OR(tblVerifyChars[[#This Row],[Nominal]]="",tblVerifyChars[[#This Row],[Upper tol]]=""),"",tblVerifyChars[[#This Row],[Nominal]]+tblVerifyChars[[#This Row],[Upper tol]]))</f>
        <v/>
      </c>
      <c r="Q63" s="43">
        <f>IF(tblVerifyChars[[#This Row],[FAI no.]]="","",IF(OR(tblVerifyChars[[#This Row],[Measured]]="",tblVerifyChars[[#This Row],[Nominal]]=""),"",tblVerifyChars[[#This Row],[Measured]]-tblVerifyChars[[#This Row],[Nominal]]))</f>
        <v/>
      </c>
      <c r="R63"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
      </c>
      <c r="S63"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FAIL</v>
      </c>
      <c r="T63" s="36">
        <f>IF(tblVerifyChars[[#This Row],[FAI no.]]="","",IF(AND(tblVerifyChars[[#This Row],[Result]]="PASS",ISNUMBER(tblVerifyChars[[#This Row],[Tolerance used]])),IF(tblVerifyChars[[#This Row],[Tolerance used]]&gt;=$E$39,1,0),0))</f>
        <v>0</v>
      </c>
      <c r="U63"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OK</v>
      </c>
      <c r="V63" s="61" t="s">
        <v>145</v>
      </c>
    </row>
    <row r="64" spans="2:22">
      <c r="B64" s="61" t="s">
        <v>409</v>
      </c>
      <c r="C64" s="70">
        <v>1</v>
      </c>
      <c r="D64" s="61" t="s">
        <v>416</v>
      </c>
      <c r="E64" s="61" t="s">
        <v>105</v>
      </c>
      <c r="F64" s="61" t="s">
        <v>219</v>
      </c>
      <c r="G64" s="66">
        <v>5</v>
      </c>
      <c r="H64" s="66">
        <v>-0.1</v>
      </c>
      <c r="I64" s="66">
        <v>0.1</v>
      </c>
      <c r="J64" s="66">
        <v>5</v>
      </c>
      <c r="K64" s="61"/>
      <c r="L64" s="61"/>
      <c r="M64" s="61" t="s">
        <v>410</v>
      </c>
      <c r="N64" s="70">
        <v>1</v>
      </c>
      <c r="O64" s="43">
        <f>IF(tblVerifyChars[[#This Row],[FAI no.]]="","",IF(OR(tblVerifyChars[[#This Row],[Nominal]]="",tblVerifyChars[[#This Row],[Lower tol]]=""),"",tblVerifyChars[[#This Row],[Nominal]]+tblVerifyChars[[#This Row],[Lower tol]]))</f>
        <v>4.9</v>
      </c>
      <c r="P64" s="43">
        <f>IF(tblVerifyChars[[#This Row],[FAI no.]]="","",IF(OR(tblVerifyChars[[#This Row],[Nominal]]="",tblVerifyChars[[#This Row],[Upper tol]]=""),"",tblVerifyChars[[#This Row],[Nominal]]+tblVerifyChars[[#This Row],[Upper tol]]))</f>
        <v>5.1</v>
      </c>
      <c r="Q64" s="43">
        <f>IF(tblVerifyChars[[#This Row],[FAI no.]]="","",IF(OR(tblVerifyChars[[#This Row],[Measured]]="",tblVerifyChars[[#This Row],[Nominal]]=""),"",tblVerifyChars[[#This Row],[Measured]]-tblVerifyChars[[#This Row],[Nominal]]))</f>
        <v>0</v>
      </c>
      <c r="R64" s="37">
        <f>IF(tblVerifyChars[[#This Row],[FAI no.]]="","",IF(tblVerifyChars[[#This Row],[Measured]]="","",IF(AND(ISNUMBER(tblVerifyChars[[#This Row],[LSL]]),ISNUMBER(tblVerifyChars[[#This Row],[USL]])),IF(tblVerifyChars[[#This Row],[USL]]&gt;tblVerifyChars[[#This Row],[LSL]],ABS(tblVerifyChars[[#This Row],[Measured]]-(tblVerifyChars[[#This Row],[LSL]]+tblVerifyChars[[#This Row],[USL]])/2)/((tblVerifyChars[[#This Row],[USL]]-tblVerifyChars[[#This Row],[LSL]])/2),""),IF(AND(ISNUMBER(tblVerifyChars[[#This Row],[USL]]),tblVerifyChars[[#This Row],[USL]]&gt;0),tblVerifyChars[[#This Row],[Measured]]/tblVerifyChars[[#This Row],[USL]],""))))</f>
        <v>0</v>
      </c>
      <c r="S64" s="38" t="str">
        <f>IF(tblVerifyChars[[#This Row],[FAI no.]]="","",IF(tblVerifyChars[[#This Row],[Attribute result]]&lt;&gt;"",IF(tblVerifyChars[[#This Row],[Attribute result]]="Conforms","PASS","FAIL"),IF(tblVerifyChars[[#This Row],[Measured]]="","Not measured",IF(OR(AND(ISNUMBER(tblVerifyChars[[#This Row],[LSL]]),tblVerifyChars[[#This Row],[Measured]]&lt;tblVerifyChars[[#This Row],[LSL]]),AND(ISNUMBER(tblVerifyChars[[#This Row],[USL]]),tblVerifyChars[[#This Row],[Measured]]&gt;tblVerifyChars[[#This Row],[USL]])),"FAIL","PASS"))))</f>
        <v>PASS</v>
      </c>
      <c r="T64" s="36">
        <f>IF(tblVerifyChars[[#This Row],[FAI no.]]="","",IF(AND(tblVerifyChars[[#This Row],[Result]]="PASS",ISNUMBER(tblVerifyChars[[#This Row],[Tolerance used]])),IF(tblVerifyChars[[#This Row],[Tolerance used]]&gt;=$E$39,1,0),0))</f>
        <v>0</v>
      </c>
      <c r="U64" s="39" t="str">
        <f>IF(tblVerifyChars[[#This Row],[FAI no.]]="","",IF(tblVerifyChars[[#This Row],[Char no.]]="","Missing char no.",IF(tblVerifyChars[[#This Row],[Characteristic]]="","Missing characteristic",IF(tblVerifyChars[[#This Row],[Category]]="","Missing category",IF(tblVerifyChars[[#This Row],[Unit]]="","Missing unit",IF(tblVerifyChars[[#This Row],[Part number]]="","FAI no. not on the register",IF(COUNTIFS(tblVerifyChars[FAI no.],tblVerifyChars[[#This Row],[FAI no.]],tblVerifyChars[Char no.],tblVerifyChars[[#This Row],[Char no.]])&gt;1,"Duplicate char no.",IF(AND(tblVerifyChars[[#This Row],[Measured]]&lt;&gt;"",tblVerifyChars[[#This Row],[Attribute result]]&lt;&gt;""),"Both reading and attribute",IF(AND(tblVerifyChars[[#This Row],[Nominal]]&lt;&gt;"",tblVerifyChars[[#This Row],[Upper tol]]=""),"Upper tolerance missing",IF(AND(tblVerifyChars[[#This Row],[Measured]]&lt;&gt;"",tblVerifyChars[[#This Row],[Nominal]]=""),"Reading without a nominal",IF(AND(OR(tblVerifyChars[[#This Row],[Measured]]&lt;&gt;"",tblVerifyChars[[#This Row],[Attribute result]]&lt;&gt;""),tblVerifyChars[[#This Row],[Gauge]]=""),"Gauge missing","OK")))))))))))</f>
        <v>Duplicate char no.</v>
      </c>
      <c r="V64" s="61" t="s">
        <v>145</v>
      </c>
    </row>
  </sheetData>
  <sheetProtection sheet="1" formatColumns="0" formatRows="0"/>
  <mergeCells count="41">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B33:L33"/>
    <mergeCell ref="B35:L35"/>
    <mergeCell ref="B36:F36"/>
    <mergeCell ref="B37:D37"/>
    <mergeCell ref="B38:D38"/>
    <mergeCell ref="B39:D39"/>
    <mergeCell ref="B40:D40"/>
    <mergeCell ref="B41:D41"/>
    <mergeCell ref="B42:D42"/>
    <mergeCell ref="B44:L44"/>
    <mergeCell ref="B48:L48"/>
    <mergeCell ref="B55:L5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T50:T53">
    <cfRule type="expression" dxfId="3" priority="41">
      <formula>$T50="OK"</formula>
    </cfRule>
    <cfRule type="expression" dxfId="1" priority="42">
      <formula>AND($T50&lt;&gt;"",$T50&lt;&gt;"OK")</formula>
    </cfRule>
  </conditionalFormatting>
  <conditionalFormatting sqref="U57:U64">
    <cfRule type="expression" dxfId="3" priority="43">
      <formula>$U57="OK"</formula>
    </cfRule>
    <cfRule type="expression" dxfId="1" priority="44">
      <formula>AND($U57&lt;&gt;"",$U57&lt;&gt;"OK")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First Article Inspection Tracker&amp;R&amp;8&amp;A</oddHeader>
    <oddFooter>&amp;L&amp;8mfgcalcs.com - free manufacturing templates&amp;R&amp;8Page &amp;P of &amp;N</oddFooter>
  </headerFooter>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28</vt:i4>
      </vt:variant>
    </vt:vector>
  </HeadingPairs>
  <TitlesOfParts>
    <vt:vector size="35" baseType="lpstr">
      <vt:lpstr>Start Here</vt:lpstr>
      <vt:lpstr>Setup</vt:lpstr>
      <vt:lpstr>FAI Register</vt:lpstr>
      <vt:lpstr>Characteristic Results</vt:lpstr>
      <vt:lpstr>Dashboard</vt:lpstr>
      <vt:lpstr>Method</vt:lpstr>
      <vt:lpstr>Verify</vt:lpstr>
      <vt:lpstr>AsOf</vt:lpstr>
      <vt:lpstr>DueSoonDays</vt:lpstr>
      <vt:lpstr>KpiChars</vt:lpstr>
      <vt:lpstr>KpiHours</vt:lpstr>
      <vt:lpstr>KpiMeasured</vt:lpstr>
      <vt:lpstr>KpiNC</vt:lpstr>
      <vt:lpstr>KpiNear</vt:lpstr>
      <vt:lpstr>KpiOpen</vt:lpstr>
      <vt:lpstr>KpiOverdue</vt:lpstr>
      <vt:lpstr>KpiPassed</vt:lpstr>
      <vt:lpstr>MinPerChar</vt:lpstr>
      <vt:lpstr>NearLimit</vt:lpstr>
      <vt:lpstr>PlantName</vt:lpstr>
      <vt:lpstr>'Characteristic Results'!Print_Area</vt:lpstr>
      <vt:lpstr>Dashboard!Print_Area</vt:lpstr>
      <vt:lpstr>'FAI Register'!Print_Area</vt:lpstr>
      <vt:lpstr>Method!Print_Area</vt:lpstr>
      <vt:lpstr>Setup!Print_Area</vt:lpstr>
      <vt:lpstr>'Start Here'!Print_Area</vt:lpstr>
      <vt:lpstr>Verify!Print_Area</vt:lpstr>
      <vt:lpstr>'Characteristic Results'!Print_Titles</vt:lpstr>
      <vt:lpstr>'FAI Register'!Print_Titles</vt:lpstr>
      <vt:lpstr>Method!Print_Titles</vt:lpstr>
      <vt:lpstr>ReportMin</vt:lpstr>
      <vt:lpstr>SelfCheck</vt:lpstr>
      <vt:lpstr>SelfCheckSummary</vt:lpstr>
      <vt:lpstr>SetupMin</vt:lpstr>
      <vt:lpstr>TargetPass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Article Inspection Tracker - free Excel template from MFG Calcs</dc:title>
  <dc:subject>Record every first article and each ballooned characteristic, and see which FAIs are open or overdue, which failed, and which characteristics sit near their limits.</dc:subject>
  <dc:creator>MFG Calcs</dc:creator>
  <cp:keywords>first article inspection, FAI, FAIR, AS9102, ballooned drawing, characteristic accountability, inspection report, aerospace, medical device</cp:keywords>
  <dc:description>https://www.mfgcalcs.com/templates/first-article-inspection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first-article-inspection</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https://www.mfgcalcs.com/templates/first-article-inspection</vt:lpwstr>
  </property>
  <property fmtid="{D5CDD505-2E9C-101B-9397-08002B2CF9AE}" pid="7" name="Template sheet roles">
    <vt:lpwstr>Start Here=start;Setup=setup;FAI Register=work;Characteristic Results=work;Dashboard=dashboard;Method=method;Verify=verify</vt:lpwstr>
  </property>
</Properties>
</file>