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Yield Log" sheetId="3" r:id="rId3"/>
    <sheet name="Dashboard" sheetId="4" r:id="rId4"/>
    <sheet name="Method" sheetId="5" r:id="rId5"/>
    <sheet name="Verify" sheetId="6" r:id="rId6"/>
  </sheets>
  <definedNames>
    <definedName name="Currency">Setup!$D$7</definedName>
    <definedName name="DashFrom">Dashboard!$C$4</definedName>
    <definedName name="DashTo">Dashboard!$G$4</definedName>
    <definedName name="FFrom">IF(DashFrom="",0,DashFrom)</definedName>
    <definedName name="FTo">IF(DashTo="",2958465,DashTo)</definedName>
    <definedName name="KpiAfter">Dashboard!$D$8</definedName>
    <definedName name="KpiCost">Dashboard!$J$8</definedName>
    <definedName name="KpiCostly">Dashboard!$J$30</definedName>
    <definedName name="KpiLow">Dashboard!$G$8</definedName>
    <definedName name="KpiReworked">Dashboard!$D$30</definedName>
    <definedName name="KpiRTY">Dashboard!$B$8</definedName>
    <definedName name="KpiScrapped">Dashboard!$G$30</definedName>
    <definedName name="KpiStarted">Dashboard!$B$30</definedName>
    <definedName name="NearBand">Setup!$D$9</definedName>
    <definedName name="Operations">tblOperations[Operation]</definedName>
    <definedName name="PlantName">Setup!$D$6</definedName>
    <definedName name="_xlnm.Print_Area" localSheetId="3">Dashboard!$A$1:$L$91</definedName>
    <definedName name="_xlnm.Print_Area" localSheetId="4">Method!$A$1:$D$57</definedName>
    <definedName name="_xlnm.Print_Area" localSheetId="1">Setup!$A$1:$F$24</definedName>
    <definedName name="_xlnm.Print_Area" localSheetId="0">'Start Here'!$A$1:$F$55</definedName>
    <definedName name="_xlnm.Print_Area" localSheetId="5">Verify!$A$1:$S$71</definedName>
    <definedName name="_xlnm.Print_Area" localSheetId="2">'Yield Log'!$A$1:$S$186</definedName>
    <definedName name="_xlnm.Print_Titles" localSheetId="4">Method!$1:$2</definedName>
    <definedName name="_xlnm.Print_Titles" localSheetId="2">'Yield Log'!$1:$6</definedName>
    <definedName name="SelfCheck">Verify!$D$4</definedName>
    <definedName name="SelfCheckSummary">Verify!$F$4</definedName>
    <definedName name="TargetRTY">Setup!$D$8</definedName>
  </definedNames>
  <calcPr calcId="124519" fullCalcOnLoad="1"/>
</workbook>
</file>

<file path=xl/sharedStrings.xml><?xml version="1.0" encoding="utf-8"?>
<sst xmlns="http://schemas.openxmlformats.org/spreadsheetml/2006/main" count="791" uniqueCount="230">
  <si>
    <t>First Pass Yield Tracker</t>
  </si>
  <si>
    <t>Read this first: what the workbook does and how to use it.</t>
  </si>
  <si>
    <t>mfgcalcs.com</t>
  </si>
  <si>
    <t>Log each operation's first-pass results and see FPY, rolled throughput yield and the cost of rework and scrap as you type.</t>
  </si>
  <si>
    <t>For: Quality and process engineers, Six Sigma and continuous-improvement teams, and production managers.</t>
  </si>
  <si>
    <t>Version 1.0.0  ·  updated 15 October 2026</t>
  </si>
  <si>
    <t>Quick start</t>
  </si>
  <si>
    <t>1.</t>
  </si>
  <si>
    <t>On Setup, type your plant name, currency and RTY target, then list your operations in process order with each one's FPY target and its rework and scrap cost per unit.</t>
  </si>
  <si>
    <t>2.</t>
  </si>
  <si>
    <t>On Yield Log, add one row per operation per day: units in, units that passed first time (no rework) and units scrapped. Reworked units are calculated.</t>
  </si>
  <si>
    <t>3.</t>
  </si>
  <si>
    <t>Read the Check columns: anything other than OK names the problem in words.</t>
  </si>
  <si>
    <t>4.</t>
  </si>
  <si>
    <t>Open the Dashboard: RTY, FPY by operation against target, where yield is lost and what rework and scrap cost. Use the date filters for one week.</t>
  </si>
  <si>
    <t>What is in this workbook</t>
  </si>
  <si>
    <t>Start Here</t>
  </si>
  <si>
    <t>Setup</t>
  </si>
  <si>
    <t>Your plant, currency, RTY target, and the operations in process order with FPY targets and rework and scrap costs.</t>
  </si>
  <si>
    <t>Yield Log</t>
  </si>
  <si>
    <t>One row per operation per day: units in, passed first time and scrapped. Rework, yields and costs are calculated.</t>
  </si>
  <si>
    <t>Dashboard</t>
  </si>
  <si>
    <t>Rolled throughput yield, FPY by operation, the hidden factory and its cost, for the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</si>
  <si>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</si>
  <si>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</si>
  <si>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</si>
  <si>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</si>
  <si>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</si>
  <si>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</si>
  <si>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</si>
  <si>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</si>
  <si>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</si>
  <si>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</si>
  <si>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</si>
  <si>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</si>
  <si>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</si>
  <si>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</si>
  <si>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</si>
  <si>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</si>
  <si>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</si>
  <si>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</si>
  <si>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</si>
  <si>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</si>
  <si>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First Pass Yield Calculator on mfgcalcs.com</t>
  </si>
  <si>
    <t>Latest version</t>
  </si>
  <si>
    <t>mfgcalcs.com/templates/first-pass-yield</t>
  </si>
  <si>
    <t>More free templates</t>
  </si>
  <si>
    <t>mfgcalcs.com/templates</t>
  </si>
  <si>
    <t>Version</t>
  </si>
  <si>
    <t>1.0.0 (updated 15 October 2026)</t>
  </si>
  <si>
    <t>About the example data</t>
  </si>
  <si>
    <t>Every number already in this workbook is example data for Brightwater Electronics, a fictional business invented for this template, so the dashboard and charts show something meaningful on day one. It covers one controller-board line with six operations over six weeks (31 August to 9 October 2026), generated from a fixed seed; costs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</si>
  <si>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</si>
  <si>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</si>
  <si>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</si>
  <si>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</si>
  <si>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</si>
  <si>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</si>
  <si>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</si>
  <si>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</si>
  <si>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Operation</t>
  </si>
  <si>
    <t>Description</t>
  </si>
  <si>
    <t>FPY target</t>
  </si>
  <si>
    <t>Rework cost</t>
  </si>
  <si>
    <t>Scrap cost</t>
  </si>
  <si>
    <t>Plant and targets</t>
  </si>
  <si>
    <t>Plant or line name</t>
  </si>
  <si>
    <t>Brightwater Electronics (example)</t>
  </si>
  <si>
    <t>Currency label</t>
  </si>
  <si>
    <t>USD</t>
  </si>
  <si>
    <t>Rolled throughput yield target</t>
  </si>
  <si>
    <t>Near-target band</t>
  </si>
  <si>
    <t>Targets are yours to set; nothing in this workbook assumes an industry benchmark. With a 1.0% band, an operation with a 98.0% FPY target reads 'Near target' from 97.0% up to 98.0% and 'Below target' under 97.0%. The product of the example FPY targets (89.9%) is roughly the 90% RTY target: set them so they agree.</t>
  </si>
  <si>
    <t>Operations, in process order</t>
  </si>
  <si>
    <t>List every operation that has its own first-pass check, first to last; the order drives the RTY build-up. Rework cost is the labour and material to repair one failed unit; scrap cost is what one unit is worth when it is scrapped at that operation (material plus the work done so far). Costs are example values.</t>
  </si>
  <si>
    <t>Operations (example targets and costs)</t>
  </si>
  <si>
    <t>10 Paste print</t>
  </si>
  <si>
    <t>Solder paste print with SPI</t>
  </si>
  <si>
    <t>20 SMT and reflow</t>
  </si>
  <si>
    <t>Placement, reflow and AOI</t>
  </si>
  <si>
    <t>30 Wave solder</t>
  </si>
  <si>
    <t>Through-hole insertion, wave</t>
  </si>
  <si>
    <t>40 In-circuit test</t>
  </si>
  <si>
    <t>ICT on a bed-of-nails fixture</t>
  </si>
  <si>
    <t>50 Functional test</t>
  </si>
  <si>
    <t>Powered functional test</t>
  </si>
  <si>
    <t>60 Coat and inspect</t>
  </si>
  <si>
    <t>Conformal coat, final visual</t>
  </si>
  <si>
    <t>Date</t>
  </si>
  <si>
    <t>Units in</t>
  </si>
  <si>
    <t>Passed first time</t>
  </si>
  <si>
    <t>Scrapped</t>
  </si>
  <si>
    <t>Failed first time</t>
  </si>
  <si>
    <t>Reworked</t>
  </si>
  <si>
    <t>FPY</t>
  </si>
  <si>
    <t>FPY status</t>
  </si>
  <si>
    <t>Yield after rework</t>
  </si>
  <si>
    <t>Rework cost per unit</t>
  </si>
  <si>
    <t>Scrap cost per unit</t>
  </si>
  <si>
    <t>View date</t>
  </si>
  <si>
    <t>Check</t>
  </si>
  <si>
    <t>Notes</t>
  </si>
  <si>
    <t>Example data for Brightwater Electronics (fictional). Replace it with your own: select the example rows, right-click, Delete &gt; Table Rows. Yellow = you type; blue = calculated; Check names any problem.</t>
  </si>
  <si>
    <t>units</t>
  </si>
  <si>
    <t/>
  </si>
  <si>
    <t>Intermittent contact on fixture FT-2; boards pass on retest</t>
  </si>
  <si>
    <t>Pogo pins replaced on fixture FT-2</t>
  </si>
  <si>
    <t>From</t>
  </si>
  <si>
    <t>To</t>
  </si>
  <si>
    <t>ROLLED THROUGHPUT YIELD</t>
  </si>
  <si>
    <t>YIELD AFTER REWORK</t>
  </si>
  <si>
    <t>LOWEST FIRST-PASS YIELD</t>
  </si>
  <si>
    <t>Units not scrapped, all operations</t>
  </si>
  <si>
    <t>Operation with the lowest FPY</t>
  </si>
  <si>
    <t>Reworked x rework cost + scrapped x scrap cost</t>
  </si>
  <si>
    <t>UNITS STARTED</t>
  </si>
  <si>
    <t>UNITS REWORKED</t>
  </si>
  <si>
    <t>UNITS SCRAPPED</t>
  </si>
  <si>
    <t>COSTLIEST OPERATION</t>
  </si>
  <si>
    <t>Units in at the first operation</t>
  </si>
  <si>
    <t>The hidden factory, all operations</t>
  </si>
  <si>
    <t>All operations</t>
  </si>
  <si>
    <t>Highest rework + scrap cost</t>
  </si>
  <si>
    <t>By operation, in process order</t>
  </si>
  <si>
    <t>Cumulative RTY</t>
  </si>
  <si>
    <t>%</t>
  </si>
  <si>
    <t>Cost and chart data by operation</t>
  </si>
  <si>
    <t>Rework + scrap</t>
  </si>
  <si>
    <t>First-pass failure rate</t>
  </si>
  <si>
    <t>Allowed by target</t>
  </si>
  <si>
    <t>Cumulative target</t>
  </si>
  <si>
    <t>Weekly summary (last 6 weeks in view)</t>
  </si>
  <si>
    <t>Week starting (Mon)</t>
  </si>
  <si>
    <t>Units started</t>
  </si>
  <si>
    <t>Rework + scrap cost</t>
  </si>
  <si>
    <t>RTY</t>
  </si>
  <si>
    <t>RTY target</t>
  </si>
  <si>
    <t>FPY by week and operation (RTY = the product across the row)</t>
  </si>
  <si>
    <t>Week starting</t>
  </si>
  <si>
    <t>The Dashboard shows the 6 operations of the Setup list and the last 6 weeks in view. If you add operations, extend the 'By operation' blocks and the weekly matrix (see Method) or they will not appear here.</t>
  </si>
  <si>
    <t>What this workbook calculates</t>
  </si>
  <si>
    <t>First-pass yield (FPY) is the share of units that pass an operation's check the first time, with no repair, retest or rework. Units that fail first time are either repaired (reworked) or scrapped, so an operation's yield after rework can look healthy while its FPY shows the hidden factory. Rolled throughput yield (RTY) multiplies the FPYs of every operation: the chance that a unit passes the whole process untouched. Every figure is built from summed counts, never from averaged percentages.</t>
  </si>
  <si>
    <t>Calculations</t>
  </si>
  <si>
    <t>Quantity</t>
  </si>
  <si>
    <t>How it is calculated</t>
  </si>
  <si>
    <t>Units</t>
  </si>
  <si>
    <t>Units in - passed first time.</t>
  </si>
  <si>
    <t>Units in - passed first time - scrapped: failures that were repaired or retested.</t>
  </si>
  <si>
    <t>Passed first time / units in. Over several rows: sum of passed / sum of units in.</t>
  </si>
  <si>
    <t>(Units in - scrapped) / units in.</t>
  </si>
  <si>
    <t>On target at or above the operation's FPY target; Near target within the near-target band below it; Below target under that.</t>
  </si>
  <si>
    <t>-</t>
  </si>
  <si>
    <t>Rework and scrap cost</t>
  </si>
  <si>
    <t>Reworked x rework cost per unit, and scrapped x scrap cost per unit (Operations list).</t>
  </si>
  <si>
    <t>currency</t>
  </si>
  <si>
    <t>The product of the FPYs of the operations with data in view. Cumulative RTY multiplies them up to each operation in list order.
Excel: =PRODUCT(INDEX(fpy range,1):this operation's FPY)</t>
  </si>
  <si>
    <t>Process yield after rework</t>
  </si>
  <si>
    <t>The product of the operations' yields after rework.</t>
  </si>
  <si>
    <t>Weekly RTY</t>
  </si>
  <si>
    <t>FPY of every operation in each week (Monday to Sunday), multiplied across the week's row.</t>
  </si>
  <si>
    <t>Dashboard roll-ups</t>
  </si>
  <si>
    <t>SUMIFS over the Yield Log restricted to rows whose View date is filled in (inside the date filters).</t>
  </si>
  <si>
    <t>Assumptions</t>
  </si>
  <si>
    <t>Each row counts units once at its operation's check; a unit retested several times is one failed-first-time unit.</t>
  </si>
  <si>
    <t>Units flow through the operations in the Setup list order; RTY treats the operations' first-pass results as independent.</t>
  </si>
  <si>
    <t>Scrapped units include those scrapped after a failed repair; reworked units are all other first-time failures.</t>
  </si>
  <si>
    <t>Rework and scrap costs per unit are standard values from Setup, not actual repair times.</t>
  </si>
  <si>
    <t>Limitations</t>
  </si>
  <si>
    <t>Units still waiting for repair at the end of a day count as reworked; enter scrap on the day it is decided.</t>
  </si>
  <si>
    <t>An operation with no units in view is left out of the RTY product rather than counted as 100%.</t>
  </si>
  <si>
    <t>Defects per unit and DPMO are not tracked here; one failed unit may carry several defects.</t>
  </si>
  <si>
    <t>The Dashboard has fixed blocks for 6 operations and 6 weeks; a longer list needs the blocks extended (a warning appears on the Dashboard).</t>
  </si>
  <si>
    <t>Agreement with the live calculator</t>
  </si>
  <si>
    <t>For one operation, this workbook and the live First Pass Yield calculator use the same definitions: FPY = first-pass accepted units / units entering; units missing first pass = units entering - first-pass accepted (the 'Failed first time' column); target margin = FPY - target in percentage points. The calculator works on one operation; this workbook adds scrap and rework, costs, RTY across operations and the Dashboard. The reference implementation is checked against the calculator's engine for its default example (1,200 entering, 1,090 accepted, 92% target: FPY 90.83%, 1.17 points below target) on every build.</t>
  </si>
  <si>
    <t>Open the First Pass Yield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</si>
  <si>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</si>
  <si>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</si>
  <si>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ASQ Quality Glossary: first-pass yield and rolled throughput yield, by definition.</t>
  </si>
  <si>
    <t>Breyfogle, F. W., Implementing Six Sigma, Wiley: rolled throughput yield as the product of process step yields and the hidden factory.</t>
  </si>
  <si>
    <t>MFG Calcs First Pass Yield calculator (first-pass-yield): FPY for one operation against a target.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</si>
  <si>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</si>
  <si>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</si>
  <si>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</si>
  <si>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</si>
  <si>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</si>
  <si>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</si>
  <si>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</si>
  <si>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</si>
  <si>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</si>
  <si>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</si>
  <si>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</si>
  <si>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</si>
  <si>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</si>
  <si>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</si>
  <si>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</si>
  <si>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failed first time</t>
  </si>
  <si>
    <t>Row 1: reworked</t>
  </si>
  <si>
    <t>Row 1: FPY (calculator: 90.83%)</t>
  </si>
  <si>
    <t>Row 1: yield after rework</t>
  </si>
  <si>
    <t>Row 1: FPY status (1.17 points under a 92% target, band 1 point)</t>
  </si>
  <si>
    <t>Below target</t>
  </si>
  <si>
    <t>exact</t>
  </si>
  <si>
    <t>Row 1: rework cost</t>
  </si>
  <si>
    <t>Row 1: scrap cost</t>
  </si>
  <si>
    <t>Row 2: FPY status (97.4% against 97%)</t>
  </si>
  <si>
    <t>On target</t>
  </si>
  <si>
    <t>Row 4: Check reports an unknown operation</t>
  </si>
  <si>
    <t>Operation not on Setup list</t>
  </si>
  <si>
    <t>Row 5: Check reports counts that do not add up</t>
  </si>
  <si>
    <t>Passed + scrapped &gt; units in</t>
  </si>
  <si>
    <t>Op C: FPY over two rows (from sums)</t>
  </si>
  <si>
    <t>Op B: cumulative RTY after two operations</t>
  </si>
  <si>
    <t>All rows: RTY (Dashboard formula)</t>
  </si>
  <si>
    <t>All rows: process yield after rework (Dashboard formula)</t>
  </si>
  <si>
    <t>All rows: rework and scrap cost (Dashboard formula)</t>
  </si>
  <si>
    <t>All rows: units started at the first operation</t>
  </si>
  <si>
    <t>Fixed test inputs</t>
  </si>
  <si>
    <t>White cells are fixed test inputs; blue cells are the workbook's formulas evaluated on them.</t>
  </si>
  <si>
    <t>Parameters</t>
  </si>
  <si>
    <t>Filter: from (0 = no limit)</t>
  </si>
  <si>
    <t>Filter: to (2958465 = no limit)</t>
  </si>
  <si>
    <t>Test operations</t>
  </si>
  <si>
    <t>Op A</t>
  </si>
  <si>
    <t>Test</t>
  </si>
  <si>
    <t>Op B</t>
  </si>
  <si>
    <t>Op C</t>
  </si>
  <si>
    <t>Test table: Yield</t>
  </si>
  <si>
    <t>Op Z</t>
  </si>
  <si>
    <t>Test grid: by operation</t>
  </si>
  <si>
    <t>Test grid: cost and chart data</t>
  </si>
</sst>
</file>

<file path=xl/styles.xml><?xml version="1.0" encoding="utf-8"?>
<styleSheet xmlns="http://schemas.openxmlformats.org/spreadsheetml/2006/main">
  <numFmts count="7">
    <numFmt numFmtId="164" formatCode="0.0%"/>
    <numFmt numFmtId="165" formatCode="#,##0.00"/>
    <numFmt numFmtId="166" formatCode="d mmm yyyy"/>
    <numFmt numFmtId="167" formatCode="#,##0"/>
    <numFmt numFmtId="168" formatCode="&quot;Target &quot;0.0%"/>
    <numFmt numFmtId="169" formatCode="0.0E+00"/>
    <numFmt numFmtId="170"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67" fontId="4" fillId="9" borderId="7" xfId="0" applyNumberFormat="1" applyFont="1" applyFill="1" applyBorder="1" applyAlignment="1">
      <alignment horizontal="left" vertical="center"/>
    </xf>
    <xf numFmtId="168"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4" fontId="10" fillId="0" borderId="9" xfId="0" applyNumberFormat="1" applyFont="1" applyBorder="1" applyAlignment="1">
      <alignment vertical="center"/>
    </xf>
    <xf numFmtId="166" fontId="9" fillId="0" borderId="9" xfId="0" applyNumberFormat="1" applyFont="1" applyBorder="1" applyAlignment="1">
      <alignment vertical="center"/>
    </xf>
    <xf numFmtId="164" fontId="10" fillId="4" borderId="3" xfId="0" applyNumberFormat="1" applyFont="1" applyFill="1" applyBorder="1" applyAlignment="1">
      <alignment horizontal="center" vertical="center"/>
    </xf>
    <xf numFmtId="164" fontId="9"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70" fontId="10" fillId="0" borderId="9" xfId="0" applyNumberFormat="1" applyFont="1" applyBorder="1" applyAlignment="1">
      <alignment vertical="center"/>
    </xf>
    <xf numFmtId="170" fontId="10" fillId="4" borderId="3" xfId="0" applyNumberFormat="1" applyFont="1" applyFill="1" applyBorder="1" applyAlignment="1">
      <alignment vertical="center"/>
    </xf>
    <xf numFmtId="0" fontId="10" fillId="4" borderId="3" xfId="0" applyFont="1" applyFill="1" applyBorder="1" applyAlignment="1">
      <alignment vertical="center"/>
    </xf>
    <xf numFmtId="165"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Rolled throughput yield by week</a:t>
            </a:r>
          </a:p>
        </c:rich>
      </c:tx>
      <c:layout/>
    </c:title>
    <c:plotArea>
      <c:layout/>
      <c:barChart>
        <c:barDir val="col"/>
        <c:grouping val="clustered"/>
        <c:ser>
          <c:idx val="0"/>
          <c:order val="0"/>
          <c:tx>
            <c:v>RTY</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numRef>
              <c:f>Dashboard!$B$74:$B$79</c:f>
              <c:numCache>
                <c:formatCode>General</c:formatCode>
                <c:ptCount val="6"/>
                <c:pt idx="0">
                  <c:v>46265</c:v>
                </c:pt>
                <c:pt idx="1">
                  <c:v>46272</c:v>
                </c:pt>
                <c:pt idx="2">
                  <c:v>46279</c:v>
                </c:pt>
                <c:pt idx="3">
                  <c:v>46286</c:v>
                </c:pt>
                <c:pt idx="4">
                  <c:v>46293</c:v>
                </c:pt>
                <c:pt idx="5">
                  <c:v>46300</c:v>
                </c:pt>
              </c:numCache>
            </c:numRef>
          </c:cat>
          <c:val>
            <c:numRef>
              <c:f>Dashboard!$G$74:$G$79</c:f>
              <c:numCache>
                <c:formatCode>General</c:formatCode>
                <c:ptCount val="6"/>
                <c:pt idx="0">
                  <c:v>0.881170533713383</c:v>
                </c:pt>
                <c:pt idx="1">
                  <c:v>0.877491166734617</c:v>
                </c:pt>
                <c:pt idx="2">
                  <c:v>0.841684486843059</c:v>
                </c:pt>
                <c:pt idx="3">
                  <c:v>0.898107365509496</c:v>
                </c:pt>
                <c:pt idx="4">
                  <c:v>0.882595175302588</c:v>
                </c:pt>
                <c:pt idx="5">
                  <c:v>0.890485011524406</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Dashboard!$B$74:$B$79</c:f>
              <c:numCache>
                <c:formatCode>General</c:formatCode>
                <c:ptCount val="6"/>
                <c:pt idx="0">
                  <c:v>46265</c:v>
                </c:pt>
                <c:pt idx="1">
                  <c:v>46272</c:v>
                </c:pt>
                <c:pt idx="2">
                  <c:v>46279</c:v>
                </c:pt>
                <c:pt idx="3">
                  <c:v>46286</c:v>
                </c:pt>
                <c:pt idx="4">
                  <c:v>46293</c:v>
                </c:pt>
                <c:pt idx="5">
                  <c:v>46300</c:v>
                </c:pt>
              </c:numCache>
            </c:numRef>
          </c:cat>
          <c:val>
            <c:numRef>
              <c:f>Dashboard!$H$74:$H$79</c:f>
              <c:numCache>
                <c:formatCode>General</c:formatCode>
                <c:ptCount val="6"/>
                <c:pt idx="0">
                  <c:v>0.9</c:v>
                </c:pt>
                <c:pt idx="1">
                  <c:v>0.9</c:v>
                </c:pt>
                <c:pt idx="2">
                  <c:v>0.9</c:v>
                </c:pt>
                <c:pt idx="3">
                  <c:v>0.9</c:v>
                </c:pt>
                <c:pt idx="4">
                  <c:v>0.9</c:v>
                </c:pt>
                <c:pt idx="5">
                  <c:v>0.9</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First-pass failure rate by operation</a:t>
            </a:r>
          </a:p>
        </c:rich>
      </c:tx>
      <c:layout/>
    </c:title>
    <c:plotArea>
      <c:layout/>
      <c:barChart>
        <c:barDir val="col"/>
        <c:grouping val="clustered"/>
        <c:ser>
          <c:idx val="0"/>
          <c:order val="0"/>
          <c:tx>
            <c:v>Failure rate (1 - FPY)</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Dashboard!$F$64:$F$69</c:f>
              <c:numCache>
                <c:formatCode>General</c:formatCode>
                <c:ptCount val="6"/>
                <c:pt idx="0">
                  <c:v>0.00857614073666846</c:v>
                </c:pt>
                <c:pt idx="1">
                  <c:v>0.0231995601979109</c:v>
                </c:pt>
                <c:pt idx="2">
                  <c:v>0.0477422907488987</c:v>
                </c:pt>
                <c:pt idx="3">
                  <c:v>0.0187814174446225</c:v>
                </c:pt>
                <c:pt idx="4">
                  <c:v>0.0222480491449444</c:v>
                </c:pt>
                <c:pt idx="5">
                  <c:v>0.00688086121746856</c:v>
                </c:pt>
              </c:numCache>
            </c:numRef>
          </c:val>
        </c:ser>
        <c:gapWidth val="60"/>
        <c:overlap val="-10"/>
        <c:axId val="50020001"/>
        <c:axId val="50020002"/>
      </c:barChart>
      <c:lineChart>
        <c:grouping val="standard"/>
        <c:ser>
          <c:idx val="1"/>
          <c:order val="1"/>
          <c:tx>
            <c:v>Allowed by target</c:v>
          </c:tx>
          <c:spPr>
            <a:ln>
              <a:noFill/>
            </a:ln>
          </c:spPr>
          <c:marker>
            <c:symbol val="circle"/>
            <c:size val="6"/>
            <c:spPr>
              <a:solidFill>
                <a:srgbClr val="E8702A"/>
              </a:solidFill>
              <a:ln>
                <a:solidFill>
                  <a:srgbClr val="E8702A"/>
                </a:solidFill>
              </a:ln>
            </c:spPr>
          </c:marker>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Dashboard!$G$64:$G$69</c:f>
              <c:numCache>
                <c:formatCode>General</c:formatCode>
                <c:ptCount val="6"/>
                <c:pt idx="0">
                  <c:v>0.01</c:v>
                </c:pt>
                <c:pt idx="1">
                  <c:v>0.02</c:v>
                </c:pt>
                <c:pt idx="2">
                  <c:v>0.03</c:v>
                </c:pt>
                <c:pt idx="3">
                  <c:v>0.02</c:v>
                </c:pt>
                <c:pt idx="4">
                  <c:v>0.015</c:v>
                </c:pt>
                <c:pt idx="5">
                  <c:v>0.01</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RTY build-up through the process</a:t>
            </a:r>
          </a:p>
        </c:rich>
      </c:tx>
      <c:layout/>
    </c:title>
    <c:plotArea>
      <c:layout/>
      <c:barChart>
        <c:barDir val="col"/>
        <c:grouping val="clustered"/>
        <c:ser>
          <c:idx val="0"/>
          <c:order val="0"/>
          <c:tx>
            <c:v>Cumulative RTY</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Dashboard!$L$54:$L$59</c:f>
              <c:numCache>
                <c:formatCode>General</c:formatCode>
                <c:ptCount val="6"/>
                <c:pt idx="0">
                  <c:v>0.991423859263332</c:v>
                </c:pt>
                <c:pt idx="1">
                  <c:v>0.968423261758707</c:v>
                </c:pt>
                <c:pt idx="2">
                  <c:v>0.922188516827826</c:v>
                </c:pt>
                <c:pt idx="3">
                  <c:v>0.904868509330645</c:v>
                </c:pt>
                <c:pt idx="4">
                  <c:v>0.884736950265344</c:v>
                </c:pt>
                <c:pt idx="5">
                  <c:v>0.878649198096602</c:v>
                </c:pt>
              </c:numCache>
            </c:numRef>
          </c:val>
        </c:ser>
        <c:gapWidth val="60"/>
        <c:overlap val="-10"/>
        <c:axId val="50030001"/>
        <c:axId val="50030002"/>
      </c:barChart>
      <c:lineChart>
        <c:grouping val="standard"/>
        <c:ser>
          <c:idx val="1"/>
          <c:order val="1"/>
          <c:tx>
            <c:v>Cumulative target</c:v>
          </c:tx>
          <c:spPr>
            <a:ln w="19050">
              <a:solidFill>
                <a:srgbClr val="4A5361"/>
              </a:solidFill>
              <a:prstDash val="dash"/>
            </a:ln>
          </c:spPr>
          <c:marker>
            <c:symbol val="none"/>
          </c:marker>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Dashboard!$H$64:$H$69</c:f>
              <c:numCache>
                <c:formatCode>General</c:formatCode>
                <c:ptCount val="6"/>
                <c:pt idx="0">
                  <c:v>0.99</c:v>
                </c:pt>
                <c:pt idx="1">
                  <c:v>0.9702</c:v>
                </c:pt>
                <c:pt idx="2">
                  <c:v>0.941094</c:v>
                </c:pt>
                <c:pt idx="3">
                  <c:v>0.92227212</c:v>
                </c:pt>
                <c:pt idx="4">
                  <c:v>0.9084380382</c:v>
                </c:pt>
                <c:pt idx="5">
                  <c:v>0.899353657818</c:v>
                </c:pt>
              </c:numCache>
            </c:numRef>
          </c:val>
        </c:ser>
        <c:marker val="1"/>
        <c:axId val="50030001"/>
        <c:axId val="5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Rework and scrap cost by operation</a:t>
            </a:r>
          </a:p>
        </c:rich>
      </c:tx>
      <c:layout/>
    </c:title>
    <c:plotArea>
      <c:layout/>
      <c:barChart>
        <c:barDir val="col"/>
        <c:grouping val="stacked"/>
        <c:ser>
          <c:idx val="0"/>
          <c:order val="0"/>
          <c:tx>
            <c:v>Rework</c:v>
          </c:tx>
          <c:spPr>
            <a:solidFill>
              <a:srgbClr val="3B64D8"/>
            </a:solidFill>
            <a:ln w="9525">
              <a:solidFill>
                <a:srgbClr val="FFFFFF"/>
              </a:solidFill>
            </a:ln>
          </c:spPr>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Dashboard!$C$64:$C$69</c:f>
              <c:numCache>
                <c:formatCode>General</c:formatCode>
                <c:ptCount val="6"/>
                <c:pt idx="0">
                  <c:v>93.6</c:v>
                </c:pt>
                <c:pt idx="1">
                  <c:v>1489.6</c:v>
                </c:pt>
                <c:pt idx="2">
                  <c:v>2349</c:v>
                </c:pt>
                <c:pt idx="3">
                  <c:v>2601</c:v>
                </c:pt>
                <c:pt idx="4">
                  <c:v>4248</c:v>
                </c:pt>
                <c:pt idx="5">
                  <c:v>272.8</c:v>
                </c:pt>
              </c:numCache>
            </c:numRef>
          </c:val>
        </c:ser>
        <c:ser>
          <c:idx val="1"/>
          <c:order val="1"/>
          <c:tx>
            <c:v>Scrap</c:v>
          </c:tx>
          <c:spPr>
            <a:solidFill>
              <a:srgbClr val="E8702A"/>
            </a:solidFill>
            <a:ln w="9525">
              <a:solidFill>
                <a:srgbClr val="FFFFFF"/>
              </a:solidFill>
            </a:ln>
          </c:spPr>
          <c:cat>
            <c:strRef>
              <c:f>Dashboard!$B$64:$B$69</c:f>
              <c:strCache>
                <c:ptCount val="6"/>
                <c:pt idx="0">
                  <c:v>10 Paste print</c:v>
                </c:pt>
                <c:pt idx="1">
                  <c:v>20 SMT and reflow</c:v>
                </c:pt>
                <c:pt idx="2">
                  <c:v>30 Wave solder</c:v>
                </c:pt>
                <c:pt idx="3">
                  <c:v>40 In-circuit test</c:v>
                </c:pt>
                <c:pt idx="4">
                  <c:v>50 Functional test</c:v>
                </c:pt>
                <c:pt idx="5">
                  <c:v>60 Coat and inspect</c:v>
                </c:pt>
              </c:strCache>
            </c:strRef>
          </c:cat>
          <c:val>
            <c:numRef>
              <c:f>Dashboard!$D$64:$D$69</c:f>
              <c:numCache>
                <c:formatCode>General</c:formatCode>
                <c:ptCount val="6"/>
                <c:pt idx="0">
                  <c:v>0</c:v>
                </c:pt>
                <c:pt idx="1">
                  <c:v>930</c:v>
                </c:pt>
                <c:pt idx="2">
                  <c:v>1938</c:v>
                </c:pt>
                <c:pt idx="3">
                  <c:v>1241</c:v>
                </c:pt>
                <c:pt idx="4">
                  <c:v>1824</c:v>
                </c:pt>
                <c:pt idx="5">
                  <c:v>0</c:v>
                </c:pt>
              </c:numCache>
            </c:numRef>
          </c:val>
        </c:ser>
        <c:gapWidth val="60"/>
        <c:overlap val="10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rolled throughput yield for each week in view, with the RT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each operation's first-pass failure rate, one minus FPY, in process order, with the failure rate its FPY target allows as a marke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Column chart of rolled throughput yield accumulated operation by operation, against the cumulative product of the FPY targets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column chart of rework cost and scrap cost at each operation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Operations" displayName="tblOperations" ref="B18:F24" totalsRowShown="0">
  <autoFilter ref="B18:F24"/>
  <tableColumns count="5">
    <tableColumn id="1" name="Operation"/>
    <tableColumn id="2" name="Description"/>
    <tableColumn id="3" name="FPY target"/>
    <tableColumn id="4" name="Rework cost"/>
    <tableColumn id="5" name="Scrap cost"/>
  </tableColumns>
  <tableStyleInfo name="TableStyleLight1" showFirstColumn="0" showLastColumn="0" showRowStripes="0" showColumnStripes="0"/>
</table>
</file>

<file path=xl/tables/table2.xml><?xml version="1.0" encoding="utf-8"?>
<table xmlns="http://schemas.openxmlformats.org/spreadsheetml/2006/main" id="2" name="tblYield" displayName="tblYield" ref="B6:S186" totalsRowShown="0">
  <autoFilter ref="B6:S186"/>
  <tableColumns count="18">
    <tableColumn id="1" name="Date"/>
    <tableColumn id="2" name="Operation"/>
    <tableColumn id="3" name="Units in"/>
    <tableColumn id="4" name="Passed first time"/>
    <tableColumn id="5" name="Scrapped"/>
    <tableColumn id="6" name="Failed first time">
      <calculatedColumnFormula>IF(tblYield[[#This Row],[Date]]="","",tblYield[[#This Row],[Units in]]-tblYield[[#This Row],[Passed first time]])</calculatedColumnFormula>
    </tableColumn>
    <tableColumn id="7" name="Reworked">
      <calculatedColumnFormula>IF(tblYield[[#This Row],[Date]]="","",tblYield[[#This Row],[Units in]]-tblYield[[#This Row],[Passed first time]]-tblYield[[#This Row],[Scrapped]])</calculatedColumnFormula>
    </tableColumn>
    <tableColumn id="8" name="FPY">
      <calculatedColumnFormula>IF(tblYield[[#This Row],[Date]]="","",IF(tblYield[[#This Row],[Units in]]&gt;0,tblYield[[#This Row],[Passed first time]]/tblYield[[#This Row],[Units in]],""))</calculatedColumnFormula>
    </tableColumn>
    <tableColumn id="9" name="FPY target">
      <calculatedColumnFormula>IF(tblYield[[#This Row],[Date]]="","",IFERROR(INDEX(tblOperations[FPY target],MATCH(tblYield[[#This Row],[Operation]],tblOperations[Operation],0)),""))</calculatedColumnFormula>
    </tableColumn>
    <tableColumn id="10" name="FPY status">
      <calculatedColumnFormula>IF(OR(NOT(ISNUMBER(tblYield[[#This Row],[FPY]])),NOT(ISNUMBER(tblYield[[#This Row],[FPY target]]))),"",IF(tblYield[[#This Row],[FPY]]&gt;=tblYield[[#This Row],[FPY target]],"On target",IF(tblYield[[#This Row],[FPY]]&gt;=tblYield[[#This Row],[FPY target]]-NearBand,"Near target","Below target")))</calculatedColumnFormula>
    </tableColumn>
    <tableColumn id="11" name="Yield after rework">
      <calculatedColumnFormula>IF(tblYield[[#This Row],[Date]]="","",IF(tblYield[[#This Row],[Units in]]&gt;0,(tblYield[[#This Row],[Units in]]-tblYield[[#This Row],[Scrapped]])/tblYield[[#This Row],[Units in]],""))</calculatedColumnFormula>
    </tableColumn>
    <tableColumn id="12" name="Rework cost per unit">
      <calculatedColumnFormula>IF(tblYield[[#This Row],[Date]]="","",IFERROR(INDEX(tblOperations[Rework cost],MATCH(tblYield[[#This Row],[Operation]],tblOperations[Operation],0)),""))</calculatedColumnFormula>
    </tableColumn>
    <tableColumn id="13" name="Scrap cost per unit">
      <calculatedColumnFormula>IF(tblYield[[#This Row],[Date]]="","",IFERROR(INDEX(tblOperations[Scrap cost],MATCH(tblYield[[#This Row],[Operation]],tblOperations[Operation],0)),""))</calculatedColumnFormula>
    </tableColumn>
    <tableColumn id="14" name="Rework cost">
      <calculatedColumnFormula>IF(tblYield[[#This Row],[Date]]="","",IF(tblYield[[#This Row],[Rework cost per unit]]="","",tblYield[[#This Row],[Reworked]]*tblYield[[#This Row],[Rework cost per unit]]))</calculatedColumnFormula>
    </tableColumn>
    <tableColumn id="15" name="Scrap cost">
      <calculatedColumnFormula>IF(tblYield[[#This Row],[Date]]="","",IF(tblYield[[#This Row],[Scrap cost per unit]]="","",tblYield[[#This Row],[Scrapped]]*tblYield[[#This Row],[Scrap cost per unit]]))</calculatedColumnFormula>
    </tableColumn>
    <tableColumn id="16" name="View date">
      <calculatedColumnFormula>IF(tblYield[[#This Row],[Date]]="","",IF(AND(tblYield[[#This Row],[Date]]&gt;=FFrom,tblYield[[#This Row],[Date]]&lt;=FTo),tblYield[[#This Row],[Date]],""))</calculatedColumnFormula>
    </tableColumn>
    <tableColumn id="17" name="Check">
      <calculatedColumnFormula>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calculatedColumnFormula>
    </tableColumn>
    <tableColumn id="18" name="Notes"/>
  </tableColumns>
  <tableStyleInfo name="TableStyleLight1" showFirstColumn="0" showLastColumn="0" showRowStripes="0" showColumnStripes="0"/>
</table>
</file>

<file path=xl/tables/table3.xml><?xml version="1.0" encoding="utf-8"?>
<table xmlns="http://schemas.openxmlformats.org/spreadsheetml/2006/main" id="3" name="tblVerifyOperations" displayName="tblVerifyOperations" ref="B39:F42" totalsRowShown="0">
  <tableColumns count="5">
    <tableColumn id="1" name="Operation"/>
    <tableColumn id="2" name="Description"/>
    <tableColumn id="3" name="FPY target"/>
    <tableColumn id="4" name="Rework cost"/>
    <tableColumn id="5" name="Scrap cost"/>
  </tableColumns>
  <tableStyleInfo name="TableStyleLight1" showFirstColumn="0" showLastColumn="0" showRowStripes="0" showColumnStripes="0"/>
</table>
</file>

<file path=xl/tables/table4.xml><?xml version="1.0" encoding="utf-8"?>
<table xmlns="http://schemas.openxmlformats.org/spreadsheetml/2006/main" id="4" name="tblVerifyYield" displayName="tblVerifyYield" ref="B46:S51" totalsRowShown="0">
  <tableColumns count="18">
    <tableColumn id="1" name="Date"/>
    <tableColumn id="2" name="Operation"/>
    <tableColumn id="3" name="Units in"/>
    <tableColumn id="4" name="Passed first time"/>
    <tableColumn id="5" name="Scrapped"/>
    <tableColumn id="6" name="Failed first time">
      <calculatedColumnFormula>IF(tblVerifyYield[[#This Row],[Date]]="","",tblVerifyYield[[#This Row],[Units in]]-tblVerifyYield[[#This Row],[Passed first time]])</calculatedColumnFormula>
    </tableColumn>
    <tableColumn id="7" name="Reworked">
      <calculatedColumnFormula>IF(tblVerifyYield[[#This Row],[Date]]="","",tblVerifyYield[[#This Row],[Units in]]-tblVerifyYield[[#This Row],[Passed first time]]-tblVerifyYield[[#This Row],[Scrapped]])</calculatedColumnFormula>
    </tableColumn>
    <tableColumn id="8" name="FPY">
      <calculatedColumnFormula>IF(tblVerifyYield[[#This Row],[Date]]="","",IF(tblVerifyYield[[#This Row],[Units in]]&gt;0,tblVerifyYield[[#This Row],[Passed first time]]/tblVerifyYield[[#This Row],[Units in]],""))</calculatedColumnFormula>
    </tableColumn>
    <tableColumn id="9" name="FPY target"/>
    <tableColumn id="10" name="FPY status">
      <calculatedColumnFormula>IF(OR(NOT(ISNUMBER(tblVerifyYield[[#This Row],[FPY]])),NOT(ISNUMBER(tblVerifyYield[[#This Row],[FPY target]]))),"",IF(tblVerifyYield[[#This Row],[FPY]]&gt;=tblVerifyYield[[#This Row],[FPY target]],"On target",IF(tblVerifyYield[[#This Row],[FPY]]&gt;=tblVerifyYield[[#This Row],[FPY target]]-$E$35,"Near target","Below target")))</calculatedColumnFormula>
    </tableColumn>
    <tableColumn id="11" name="Yield after rework">
      <calculatedColumnFormula>IF(tblVerifyYield[[#This Row],[Date]]="","",IF(tblVerifyYield[[#This Row],[Units in]]&gt;0,(tblVerifyYield[[#This Row],[Units in]]-tblVerifyYield[[#This Row],[Scrapped]])/tblVerifyYield[[#This Row],[Units in]],""))</calculatedColumnFormula>
    </tableColumn>
    <tableColumn id="12" name="Rework cost per unit"/>
    <tableColumn id="13" name="Scrap cost per unit"/>
    <tableColumn id="14" name="Rework cost">
      <calculatedColumnFormula>IF(tblVerifyYield[[#This Row],[Date]]="","",IF(tblVerifyYield[[#This Row],[Rework cost per unit]]="","",tblVerifyYield[[#This Row],[Reworked]]*tblVerifyYield[[#This Row],[Rework cost per unit]]))</calculatedColumnFormula>
    </tableColumn>
    <tableColumn id="15" name="Scrap cost">
      <calculatedColumnFormula>IF(tblVerifyYield[[#This Row],[Date]]="","",IF(tblVerifyYield[[#This Row],[Scrap cost per unit]]="","",tblVerifyYield[[#This Row],[Scrapped]]*tblVerifyYield[[#This Row],[Scrap cost per unit]]))</calculatedColumnFormula>
    </tableColumn>
    <tableColumn id="16" name="View date">
      <calculatedColumnFormula>IF(tblVerifyYield[[#This Row],[Date]]="","",IF(AND(tblVerifyYield[[#This Row],[Date]]&gt;=$E$32,tblVerifyYield[[#This Row],[Date]]&lt;=$E$33),tblVerifyYield[[#This Row],[Date]],""))</calculatedColumnFormula>
    </tableColumn>
    <tableColumn id="17" name="Check">
      <calculatedColumnFormula>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hyperlink" Target="https://www.mfgcalcs.com/calculators/quality-inspection-metrology/first-pass-yield?utm_source=mfgcalcs-template&amp;utm_medium=xlsx&amp;utm_campaign=first-pass-yield" TargetMode="External"/><Relationship Id="rId3" Type="http://schemas.openxmlformats.org/officeDocument/2006/relationships/hyperlink" Target="https://www.mfgcalcs.com/templates/first-pass-yield?utm_source=mfgcalcs-template&amp;utm_medium=xlsx&amp;utm_campaign=first-pass-yield" TargetMode="External"/><Relationship Id="rId4" Type="http://schemas.openxmlformats.org/officeDocument/2006/relationships/hyperlink" Target="https://www.mfgcalcs.com/templates?utm_source=mfgcalcs-template&amp;utm_medium=xlsx&amp;utm_campaign=first-pass-yield"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hyperlink" Target="https://www.mfgcalcs.com/calculators/quality-inspection-metrology/first-pass-yield?utm_source=mfgcalcs-template&amp;utm_medium=xlsx&amp;utm_campaign=first-pass-yiel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rst-pass-yield"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16 of 16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Yield Log'!A1" tooltip="Go to Yield Log" display="Yield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First Pass Yield Tracker&amp;R&amp;8&amp;A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24"/>
  <sheetViews>
    <sheetView showGridLines="0" workbookViewId="0"/>
  </sheetViews>
  <sheetFormatPr defaultRowHeight="15"/>
  <cols>
    <col min="1" max="1" width="2.7109375" customWidth="1"/>
    <col min="2" max="2" width="22.7109375" customWidth="1"/>
    <col min="3" max="3" width="28.7109375" customWidth="1"/>
    <col min="4" max="4" width="12.7109375" customWidth="1"/>
    <col min="5" max="5" width="18.7109375" customWidth="1"/>
    <col min="6" max="6" width="13.7109375" customWidth="1"/>
  </cols>
  <sheetData>
    <row r="1" spans="1:6" ht="30" customHeight="1">
      <c r="A1" s="1" t="s">
        <v>0</v>
      </c>
      <c r="B1" s="1"/>
      <c r="C1" s="1"/>
      <c r="D1" s="1"/>
      <c r="E1" s="1"/>
      <c r="F1" s="1"/>
    </row>
    <row r="2" spans="1:6" ht="32.4" customHeight="1">
      <c r="B2" s="2" t="s">
        <v>18</v>
      </c>
      <c r="C2" s="2"/>
      <c r="D2" s="2"/>
      <c r="E2" s="2"/>
      <c r="F2" s="3" t="s">
        <v>2</v>
      </c>
    </row>
    <row r="3" spans="1:6" ht="6" customHeight="1"/>
    <row r="4" spans="1:6" ht="21" customHeight="1">
      <c r="B4" s="8" t="s">
        <v>65</v>
      </c>
      <c r="C4" s="8"/>
      <c r="D4" s="8"/>
      <c r="E4" s="8"/>
      <c r="F4" s="8"/>
    </row>
    <row r="5" spans="1:6" ht="5" customHeight="1"/>
    <row r="6" spans="1:6">
      <c r="B6" s="27" t="s">
        <v>66</v>
      </c>
      <c r="C6" s="27"/>
      <c r="D6" s="28" t="s">
        <v>67</v>
      </c>
      <c r="E6" s="28"/>
    </row>
    <row r="7" spans="1:6">
      <c r="B7" s="27" t="s">
        <v>68</v>
      </c>
      <c r="C7" s="27"/>
      <c r="D7" s="28" t="s">
        <v>69</v>
      </c>
      <c r="E7" s="28"/>
    </row>
    <row r="8" spans="1:6">
      <c r="B8" s="27" t="s">
        <v>70</v>
      </c>
      <c r="C8" s="27"/>
      <c r="D8" s="29">
        <v>0.9</v>
      </c>
      <c r="E8" s="7"/>
    </row>
    <row r="9" spans="1:6">
      <c r="B9" s="27" t="s">
        <v>71</v>
      </c>
      <c r="C9" s="27"/>
      <c r="D9" s="29">
        <v>0.01</v>
      </c>
      <c r="E9" s="7"/>
    </row>
    <row r="11" spans="1:6" ht="48.6" customHeight="1">
      <c r="B11" s="25" t="s">
        <v>72</v>
      </c>
      <c r="C11" s="25"/>
      <c r="D11" s="25"/>
      <c r="E11" s="25"/>
      <c r="F11" s="25"/>
    </row>
    <row r="13" spans="1:6" ht="21" customHeight="1">
      <c r="B13" s="8" t="s">
        <v>73</v>
      </c>
      <c r="C13" s="8"/>
      <c r="D13" s="8"/>
      <c r="E13" s="8"/>
      <c r="F13" s="8"/>
    </row>
    <row r="14" spans="1:6" ht="5" customHeight="1"/>
    <row r="15" spans="1:6" ht="38.64" customHeight="1">
      <c r="B15" s="21" t="s">
        <v>74</v>
      </c>
      <c r="C15" s="21"/>
      <c r="D15" s="21"/>
      <c r="E15" s="21"/>
      <c r="F15" s="21"/>
    </row>
    <row r="16" spans="1:6">
      <c r="B16" s="30" t="s">
        <v>75</v>
      </c>
      <c r="C16" s="30"/>
      <c r="D16" s="30"/>
      <c r="E16" s="30"/>
      <c r="F16" s="30"/>
    </row>
    <row r="17" spans="2:6" ht="14" customHeight="1">
      <c r="B17" s="31"/>
      <c r="C17" s="31"/>
      <c r="D17" s="31"/>
      <c r="E17" s="31" t="str">
        <f>Currency&amp;"/unit"</f>
        <v>USD/unit</v>
      </c>
      <c r="F17" s="31" t="str">
        <f>Currency&amp;"/unit"</f>
        <v>USD/unit</v>
      </c>
    </row>
    <row r="18" spans="2:6" ht="20" customHeight="1">
      <c r="B18" s="32" t="s">
        <v>60</v>
      </c>
      <c r="C18" s="32" t="s">
        <v>61</v>
      </c>
      <c r="D18" s="32" t="s">
        <v>62</v>
      </c>
      <c r="E18" s="32" t="s">
        <v>63</v>
      </c>
      <c r="F18" s="32" t="s">
        <v>64</v>
      </c>
    </row>
    <row r="19" spans="2:6">
      <c r="B19" s="28" t="s">
        <v>76</v>
      </c>
      <c r="C19" s="28" t="s">
        <v>77</v>
      </c>
      <c r="D19" s="29">
        <v>0.99</v>
      </c>
      <c r="E19" s="33">
        <v>0.6</v>
      </c>
      <c r="F19" s="33">
        <v>4.8</v>
      </c>
    </row>
    <row r="20" spans="2:6">
      <c r="B20" s="28" t="s">
        <v>78</v>
      </c>
      <c r="C20" s="28" t="s">
        <v>79</v>
      </c>
      <c r="D20" s="29">
        <v>0.98</v>
      </c>
      <c r="E20" s="33">
        <v>3.8</v>
      </c>
      <c r="F20" s="33">
        <v>31</v>
      </c>
    </row>
    <row r="21" spans="2:6">
      <c r="B21" s="28" t="s">
        <v>80</v>
      </c>
      <c r="C21" s="28" t="s">
        <v>81</v>
      </c>
      <c r="D21" s="29">
        <v>0.97</v>
      </c>
      <c r="E21" s="33">
        <v>2.9</v>
      </c>
      <c r="F21" s="33">
        <v>34</v>
      </c>
    </row>
    <row r="22" spans="2:6">
      <c r="B22" s="28" t="s">
        <v>82</v>
      </c>
      <c r="C22" s="28" t="s">
        <v>83</v>
      </c>
      <c r="D22" s="29">
        <v>0.98</v>
      </c>
      <c r="E22" s="33">
        <v>8.5</v>
      </c>
      <c r="F22" s="33">
        <v>36.5</v>
      </c>
    </row>
    <row r="23" spans="2:6">
      <c r="B23" s="28" t="s">
        <v>84</v>
      </c>
      <c r="C23" s="28" t="s">
        <v>85</v>
      </c>
      <c r="D23" s="29">
        <v>0.985</v>
      </c>
      <c r="E23" s="33">
        <v>12</v>
      </c>
      <c r="F23" s="33">
        <v>38</v>
      </c>
    </row>
    <row r="24" spans="2:6">
      <c r="B24" s="28" t="s">
        <v>86</v>
      </c>
      <c r="C24" s="28" t="s">
        <v>87</v>
      </c>
      <c r="D24" s="29">
        <v>0.99</v>
      </c>
      <c r="E24" s="33">
        <v>2.2</v>
      </c>
      <c r="F24" s="33">
        <v>41</v>
      </c>
    </row>
  </sheetData>
  <mergeCells count="13">
    <mergeCell ref="A1:F1"/>
    <mergeCell ref="B2:E2"/>
    <mergeCell ref="B4:F4"/>
    <mergeCell ref="B6:C6"/>
    <mergeCell ref="D6:E6"/>
    <mergeCell ref="B7:C7"/>
    <mergeCell ref="D7:E7"/>
    <mergeCell ref="B8:C8"/>
    <mergeCell ref="B9:C9"/>
    <mergeCell ref="B11:F11"/>
    <mergeCell ref="B13:F13"/>
    <mergeCell ref="B15:F15"/>
    <mergeCell ref="B16:F16"/>
  </mergeCells>
  <dataValidations count="9">
    <dataValidation type="textLength" allowBlank="1" showInputMessage="1" showErrorMessage="1" errorTitle="Check this entry" error="Text up to 80 characters." promptTitle="Plant or line name" prompt="Shown on the Dashboard header. Text up to 80 characters." sqref="D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D7">
      <formula1>0</formula1>
      <formula2>12</formula2>
    </dataValidation>
    <dataValidation type="decimal" allowBlank="1" showInputMessage="1" showErrorMessage="1" errorTitle="Check this entry" error="Enter a percentage from 0% to 100% (type 85% or 0.85)." promptTitle="Rolled throughput yield target" prompt="Your own target for the share of units that pass every operation first time. Enter a percentage from 0% to 100% (type 85% or 0.85)." sqref="D8">
      <formula1>0</formula1>
      <formula2>1</formula2>
    </dataValidation>
    <dataValidation type="decimal" allowBlank="1" showInputMessage="1" showErrorMessage="1" errorTitle="Check this entry" error="Enter a percentage from 0% to 50% (type 85% or 0.85)." promptTitle="Near-target band" prompt="A yield up to this many percentage points below its target reads 'Near target'. 1.0% = one point. Enter a percentage from 0% to 50% (type 85% or 0.85)." sqref="D9">
      <formula1>0</formula1>
      <formula2>0.5</formula2>
    </dataValidation>
    <dataValidation type="textLength" allowBlank="1" showInputMessage="1" showErrorMessage="1" errorTitle="Check this entry" error="Text up to 40 characters." promptTitle="Operation" prompt="Put the step number first (10, 20, 30) so names sort in process order. Text up to 40 characters." sqref="B19:B124">
      <formula1>0</formula1>
      <formula2>40</formula2>
    </dataValidation>
    <dataValidation type="textLength" allowBlank="1" showInputMessage="1" showErrorMessage="1" errorTitle="Check this entry" error="Text up to 120 characters." promptTitle="Description" prompt="Text up to 120 characters." sqref="C19:C124">
      <formula1>0</formula1>
      <formula2>120</formula2>
    </dataValidation>
    <dataValidation type="decimal" allowBlank="1" showInputMessage="1" showErrorMessage="1" errorTitle="Check this entry" error="Enter a percentage from 0% to 100% (type 85% or 0.85)." promptTitle="FPY target" prompt="Your own first-pass yield target for this operation. Enter a percentage from 0% to 100% (type 85% or 0.85)." sqref="D19:D124">
      <formula1>0</formula1>
      <formula2>1</formula2>
    </dataValidation>
    <dataValidation type="decimal" allowBlank="1" showInputMessage="1" showErrorMessage="1" errorTitle="Check this entry" error="Enter a number from 0 to 10,000,000." promptTitle="Rework cost" prompt="Labour and material to repair one unit that failed first time. Enter a number from 0 to 10,000,000." sqref="E19:E124">
      <formula1>0</formula1>
      <formula2>10000000.0</formula2>
    </dataValidation>
    <dataValidation type="decimal" allowBlank="1" showInputMessage="1" showErrorMessage="1" errorTitle="Check this entry" error="Enter a number from 0 to 10,000,000." promptTitle="Scrap cost" prompt="Value lost when one unit is scrapped here: material plus the work done up to this operation. Enter a number from 0 to 10,000,000." sqref="F19:F124">
      <formula1>0</formula1>
      <formula2>10000000.0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First Pass Yield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S186"/>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2.28515625" customWidth="1"/>
    <col min="3" max="3" width="17.7109375" customWidth="1"/>
    <col min="4" max="4" width="9.7109375" customWidth="1"/>
    <col min="5" max="5" width="10.7109375" customWidth="1"/>
    <col min="6" max="6" width="9.7109375" customWidth="1"/>
    <col min="7" max="8" width="10.28515625" customWidth="1"/>
    <col min="9" max="10" width="9.28515625" customWidth="1"/>
    <col min="11" max="11" width="12.28515625" customWidth="1"/>
    <col min="12" max="12" width="10.28515625" customWidth="1"/>
    <col min="13" max="16" width="10.7109375" customWidth="1"/>
    <col min="17" max="17" width="12.28515625" customWidth="1"/>
    <col min="18" max="18" width="28.7109375" customWidth="1"/>
    <col min="19" max="19" width="32.7109375" customWidth="1"/>
  </cols>
  <sheetData>
    <row r="1" spans="1:19" ht="30" customHeight="1" x14ac:dyDescent="0.25">
      <c r="A1" s="1" t="s">
        <v>0</v>
      </c>
      <c r="B1" s="1"/>
      <c r="C1" s="1"/>
      <c r="D1" s="1"/>
      <c r="E1" s="1"/>
      <c r="F1" s="1"/>
      <c r="G1" s="1"/>
      <c r="H1" s="1"/>
      <c r="I1" s="1"/>
      <c r="J1" s="1"/>
      <c r="K1" s="1"/>
      <c r="L1" s="1"/>
      <c r="M1" s="1"/>
      <c r="N1" s="1"/>
      <c r="O1" s="1"/>
      <c r="P1" s="1"/>
      <c r="Q1" s="1"/>
      <c r="R1" s="1"/>
      <c r="S1" s="1"/>
    </row>
    <row r="2" spans="1:19" ht="21" customHeight="1" x14ac:dyDescent="0.25">
      <c r="B2" s="2" t="s">
        <v>20</v>
      </c>
      <c r="C2" s="2"/>
      <c r="D2" s="2"/>
      <c r="E2" s="2"/>
      <c r="F2" s="2"/>
      <c r="G2" s="2"/>
      <c r="H2" s="2"/>
      <c r="I2" s="2"/>
      <c r="J2" s="2"/>
      <c r="K2" s="2"/>
      <c r="L2" s="2"/>
      <c r="M2" s="2"/>
      <c r="N2" s="2"/>
      <c r="O2" s="2"/>
      <c r="P2" s="2"/>
      <c r="Q2" s="2"/>
      <c r="R2" s="2"/>
      <c r="S2" s="3" t="s">
        <v>2</v>
      </c>
    </row>
    <row r="3" spans="1:19" ht="6" customHeight="1" x14ac:dyDescent="0.25"/>
    <row r="4" spans="1:19" ht="18" customHeight="1" x14ac:dyDescent="0.25">
      <c r="B4" s="34" t="s">
        <v>102</v>
      </c>
      <c r="C4" s="34"/>
      <c r="D4" s="34"/>
      <c r="E4" s="34"/>
      <c r="F4" s="34"/>
      <c r="G4" s="34"/>
      <c r="H4" s="34"/>
      <c r="I4" s="34"/>
      <c r="J4" s="34"/>
      <c r="K4" s="34"/>
      <c r="L4" s="34"/>
      <c r="M4" s="34"/>
      <c r="N4" s="34"/>
      <c r="O4" s="34"/>
      <c r="P4" s="34"/>
      <c r="Q4" s="34"/>
      <c r="R4" s="34"/>
      <c r="S4" s="34"/>
    </row>
    <row r="5" spans="1:19" ht="14" customHeight="1" x14ac:dyDescent="0.25">
      <c r="B5" s="31"/>
      <c r="C5" s="31"/>
      <c r="D5" s="31" t="s">
        <v>103</v>
      </c>
      <c r="E5" s="31" t="s">
        <v>103</v>
      </c>
      <c r="F5" s="31" t="s">
        <v>103</v>
      </c>
      <c r="G5" s="31" t="s">
        <v>103</v>
      </c>
      <c r="H5" s="31" t="s">
        <v>103</v>
      </c>
      <c r="I5" s="31"/>
      <c r="J5" s="31"/>
      <c r="K5" s="31"/>
      <c r="L5" s="31"/>
      <c r="M5" s="31" t="str">
        <f>Currency&amp;"/unit"</f>
        <v>USD/unit</v>
      </c>
      <c r="N5" s="31" t="str">
        <f>Currency&amp;"/unit"</f>
        <v>USD/unit</v>
      </c>
      <c r="O5" s="31" t="str">
        <f>Currency</f>
        <v>USD</v>
      </c>
      <c r="P5" s="31" t="str">
        <f>Currency</f>
        <v>USD</v>
      </c>
      <c r="Q5" s="31"/>
      <c r="R5" s="31"/>
      <c r="S5" s="31"/>
    </row>
    <row r="6" spans="1:19" ht="32" customHeight="1" x14ac:dyDescent="0.25">
      <c r="B6" s="32" t="s">
        <v>88</v>
      </c>
      <c r="C6" s="32" t="s">
        <v>60</v>
      </c>
      <c r="D6" s="32" t="s">
        <v>89</v>
      </c>
      <c r="E6" s="32" t="s">
        <v>90</v>
      </c>
      <c r="F6" s="32" t="s">
        <v>91</v>
      </c>
      <c r="G6" s="32" t="s">
        <v>92</v>
      </c>
      <c r="H6" s="32" t="s">
        <v>93</v>
      </c>
      <c r="I6" s="32" t="s">
        <v>94</v>
      </c>
      <c r="J6" s="32" t="s">
        <v>62</v>
      </c>
      <c r="K6" s="32" t="s">
        <v>95</v>
      </c>
      <c r="L6" s="32" t="s">
        <v>96</v>
      </c>
      <c r="M6" s="32" t="s">
        <v>97</v>
      </c>
      <c r="N6" s="32" t="s">
        <v>98</v>
      </c>
      <c r="O6" s="32" t="s">
        <v>63</v>
      </c>
      <c r="P6" s="32" t="s">
        <v>64</v>
      </c>
      <c r="Q6" s="32" t="s">
        <v>99</v>
      </c>
      <c r="R6" s="32" t="s">
        <v>100</v>
      </c>
      <c r="S6" s="32" t="s">
        <v>101</v>
      </c>
    </row>
    <row r="7" spans="1:19" x14ac:dyDescent="0.25">
      <c r="B7" s="35">
        <v>46265</v>
      </c>
      <c r="C7" s="28" t="s">
        <v>76</v>
      </c>
      <c r="D7" s="36">
        <v>580</v>
      </c>
      <c r="E7" s="36">
        <v>576</v>
      </c>
      <c r="F7" s="36">
        <v>0</v>
      </c>
      <c r="G7" s="37">
        <f>IF(tblYield[[#This Row],[Date]]="","",tblYield[[#This Row],[Units in]]-tblYield[[#This Row],[Passed first time]])</f>
        <v>4</v>
      </c>
      <c r="H7" s="37">
        <f>IF(tblYield[[#This Row],[Date]]="","",tblYield[[#This Row],[Units in]]-tblYield[[#This Row],[Passed first time]]-tblYield[[#This Row],[Scrapped]])</f>
        <v>4</v>
      </c>
      <c r="I7" s="38">
        <f>IF(tblYield[[#This Row],[Date]]="","",IF(tblYield[[#This Row],[Units in]]&gt;0,tblYield[[#This Row],[Passed first time]]/tblYield[[#This Row],[Units in]],""))</f>
        <v>0.993103448275862</v>
      </c>
      <c r="J7" s="38">
        <f>IF(tblYield[[#This Row],[Date]]="","",IFERROR(INDEX(tblOperations[FPY target],MATCH(tblYield[[#This Row],[Operation]],tblOperations[Operation],0)),""))</f>
        <v>0.99</v>
      </c>
      <c r="K7" s="39" t="str">
        <f>IF(OR(NOT(ISNUMBER(tblYield[[#This Row],[FPY]])),NOT(ISNUMBER(tblYield[[#This Row],[FPY target]]))),"",IF(tblYield[[#This Row],[FPY]]&gt;=tblYield[[#This Row],[FPY target]],"On target",IF(tblYield[[#This Row],[FPY]]&gt;=tblYield[[#This Row],[FPY target]]-NearBand,"Near target","Below target")))</f>
        <v>On target</v>
      </c>
      <c r="L7" s="38">
        <f>IF(tblYield[[#This Row],[Date]]="","",IF(tblYield[[#This Row],[Units in]]&gt;0,(tblYield[[#This Row],[Units in]]-tblYield[[#This Row],[Scrapped]])/tblYield[[#This Row],[Units in]],""))</f>
        <v>1</v>
      </c>
      <c r="M7" s="40">
        <f>IF(tblYield[[#This Row],[Date]]="","",IFERROR(INDEX(tblOperations[Rework cost],MATCH(tblYield[[#This Row],[Operation]],tblOperations[Operation],0)),""))</f>
        <v>0.6</v>
      </c>
      <c r="N7" s="40">
        <f>IF(tblYield[[#This Row],[Date]]="","",IFERROR(INDEX(tblOperations[Scrap cost],MATCH(tblYield[[#This Row],[Operation]],tblOperations[Operation],0)),""))</f>
        <v>4.8</v>
      </c>
      <c r="O7" s="40">
        <f>IF(tblYield[[#This Row],[Date]]="","",IF(tblYield[[#This Row],[Rework cost per unit]]="","",tblYield[[#This Row],[Reworked]]*tblYield[[#This Row],[Rework cost per unit]]))</f>
        <v>2.4</v>
      </c>
      <c r="P7" s="40">
        <f>IF(tblYield[[#This Row],[Date]]="","",IF(tblYield[[#This Row],[Scrap cost per unit]]="","",tblYield[[#This Row],[Scrapped]]*tblYield[[#This Row],[Scrap cost per unit]]))</f>
        <v>0</v>
      </c>
      <c r="Q7" s="41">
        <f>IF(tblYield[[#This Row],[Date]]="","",IF(AND(tblYield[[#This Row],[Date]]&gt;=FFrom,tblYield[[#This Row],[Date]]&lt;=FTo),tblYield[[#This Row],[Date]],""))</f>
        <v>46265</v>
      </c>
      <c r="R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 s="43" t="s">
        <v>104</v>
      </c>
    </row>
    <row r="8" spans="1:19" x14ac:dyDescent="0.25">
      <c r="B8" s="35">
        <v>46265</v>
      </c>
      <c r="C8" s="28" t="s">
        <v>78</v>
      </c>
      <c r="D8" s="36">
        <v>580</v>
      </c>
      <c r="E8" s="36">
        <v>571</v>
      </c>
      <c r="F8" s="36">
        <v>0</v>
      </c>
      <c r="G8" s="37">
        <f>IF(tblYield[[#This Row],[Date]]="","",tblYield[[#This Row],[Units in]]-tblYield[[#This Row],[Passed first time]])</f>
        <v>9</v>
      </c>
      <c r="H8" s="37">
        <f>IF(tblYield[[#This Row],[Date]]="","",tblYield[[#This Row],[Units in]]-tblYield[[#This Row],[Passed first time]]-tblYield[[#This Row],[Scrapped]])</f>
        <v>9</v>
      </c>
      <c r="I8" s="38">
        <f>IF(tblYield[[#This Row],[Date]]="","",IF(tblYield[[#This Row],[Units in]]&gt;0,tblYield[[#This Row],[Passed first time]]/tblYield[[#This Row],[Units in]],""))</f>
        <v>0.98448275862069</v>
      </c>
      <c r="J8" s="38">
        <f>IF(tblYield[[#This Row],[Date]]="","",IFERROR(INDEX(tblOperations[FPY target],MATCH(tblYield[[#This Row],[Operation]],tblOperations[Operation],0)),""))</f>
        <v>0.98</v>
      </c>
      <c r="K8" s="39" t="str">
        <f>IF(OR(NOT(ISNUMBER(tblYield[[#This Row],[FPY]])),NOT(ISNUMBER(tblYield[[#This Row],[FPY target]]))),"",IF(tblYield[[#This Row],[FPY]]&gt;=tblYield[[#This Row],[FPY target]],"On target",IF(tblYield[[#This Row],[FPY]]&gt;=tblYield[[#This Row],[FPY target]]-NearBand,"Near target","Below target")))</f>
        <v>On target</v>
      </c>
      <c r="L8" s="38">
        <f>IF(tblYield[[#This Row],[Date]]="","",IF(tblYield[[#This Row],[Units in]]&gt;0,(tblYield[[#This Row],[Units in]]-tblYield[[#This Row],[Scrapped]])/tblYield[[#This Row],[Units in]],""))</f>
        <v>1</v>
      </c>
      <c r="M8" s="40">
        <f>IF(tblYield[[#This Row],[Date]]="","",IFERROR(INDEX(tblOperations[Rework cost],MATCH(tblYield[[#This Row],[Operation]],tblOperations[Operation],0)),""))</f>
        <v>3.8</v>
      </c>
      <c r="N8" s="40">
        <f>IF(tblYield[[#This Row],[Date]]="","",IFERROR(INDEX(tblOperations[Scrap cost],MATCH(tblYield[[#This Row],[Operation]],tblOperations[Operation],0)),""))</f>
        <v>31</v>
      </c>
      <c r="O8" s="40">
        <f>IF(tblYield[[#This Row],[Date]]="","",IF(tblYield[[#This Row],[Rework cost per unit]]="","",tblYield[[#This Row],[Reworked]]*tblYield[[#This Row],[Rework cost per unit]]))</f>
        <v>34.2</v>
      </c>
      <c r="P8" s="40">
        <f>IF(tblYield[[#This Row],[Date]]="","",IF(tblYield[[#This Row],[Scrap cost per unit]]="","",tblYield[[#This Row],[Scrapped]]*tblYield[[#This Row],[Scrap cost per unit]]))</f>
        <v>0</v>
      </c>
      <c r="Q8" s="41">
        <f>IF(tblYield[[#This Row],[Date]]="","",IF(AND(tblYield[[#This Row],[Date]]&gt;=FFrom,tblYield[[#This Row],[Date]]&lt;=FTo),tblYield[[#This Row],[Date]],""))</f>
        <v>46265</v>
      </c>
      <c r="R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 s="43" t="s">
        <v>104</v>
      </c>
    </row>
    <row r="9" spans="1:19" x14ac:dyDescent="0.25">
      <c r="B9" s="35">
        <v>46265</v>
      </c>
      <c r="C9" s="28" t="s">
        <v>80</v>
      </c>
      <c r="D9" s="36">
        <v>580</v>
      </c>
      <c r="E9" s="36">
        <v>543</v>
      </c>
      <c r="F9" s="36">
        <v>3</v>
      </c>
      <c r="G9" s="37">
        <f>IF(tblYield[[#This Row],[Date]]="","",tblYield[[#This Row],[Units in]]-tblYield[[#This Row],[Passed first time]])</f>
        <v>37</v>
      </c>
      <c r="H9" s="37">
        <f>IF(tblYield[[#This Row],[Date]]="","",tblYield[[#This Row],[Units in]]-tblYield[[#This Row],[Passed first time]]-tblYield[[#This Row],[Scrapped]])</f>
        <v>34</v>
      </c>
      <c r="I9" s="38">
        <f>IF(tblYield[[#This Row],[Date]]="","",IF(tblYield[[#This Row],[Units in]]&gt;0,tblYield[[#This Row],[Passed first time]]/tblYield[[#This Row],[Units in]],""))</f>
        <v>0.936206896551724</v>
      </c>
      <c r="J9" s="38">
        <f>IF(tblYield[[#This Row],[Date]]="","",IFERROR(INDEX(tblOperations[FPY target],MATCH(tblYield[[#This Row],[Operation]],tblOperations[Operation],0)),""))</f>
        <v>0.97</v>
      </c>
      <c r="K9" s="39" t="str">
        <f>IF(OR(NOT(ISNUMBER(tblYield[[#This Row],[FPY]])),NOT(ISNUMBER(tblYield[[#This Row],[FPY target]]))),"",IF(tblYield[[#This Row],[FPY]]&gt;=tblYield[[#This Row],[FPY target]],"On target",IF(tblYield[[#This Row],[FPY]]&gt;=tblYield[[#This Row],[FPY target]]-NearBand,"Near target","Below target")))</f>
        <v>Below target</v>
      </c>
      <c r="L9" s="38">
        <f>IF(tblYield[[#This Row],[Date]]="","",IF(tblYield[[#This Row],[Units in]]&gt;0,(tblYield[[#This Row],[Units in]]-tblYield[[#This Row],[Scrapped]])/tblYield[[#This Row],[Units in]],""))</f>
        <v>0.994827586206897</v>
      </c>
      <c r="M9" s="40">
        <f>IF(tblYield[[#This Row],[Date]]="","",IFERROR(INDEX(tblOperations[Rework cost],MATCH(tblYield[[#This Row],[Operation]],tblOperations[Operation],0)),""))</f>
        <v>2.9</v>
      </c>
      <c r="N9" s="40">
        <f>IF(tblYield[[#This Row],[Date]]="","",IFERROR(INDEX(tblOperations[Scrap cost],MATCH(tblYield[[#This Row],[Operation]],tblOperations[Operation],0)),""))</f>
        <v>34</v>
      </c>
      <c r="O9" s="40">
        <f>IF(tblYield[[#This Row],[Date]]="","",IF(tblYield[[#This Row],[Rework cost per unit]]="","",tblYield[[#This Row],[Reworked]]*tblYield[[#This Row],[Rework cost per unit]]))</f>
        <v>98.6</v>
      </c>
      <c r="P9" s="40">
        <f>IF(tblYield[[#This Row],[Date]]="","",IF(tblYield[[#This Row],[Scrap cost per unit]]="","",tblYield[[#This Row],[Scrapped]]*tblYield[[#This Row],[Scrap cost per unit]]))</f>
        <v>102</v>
      </c>
      <c r="Q9" s="41">
        <f>IF(tblYield[[#This Row],[Date]]="","",IF(AND(tblYield[[#This Row],[Date]]&gt;=FFrom,tblYield[[#This Row],[Date]]&lt;=FTo),tblYield[[#This Row],[Date]],""))</f>
        <v>46265</v>
      </c>
      <c r="R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 s="43" t="s">
        <v>104</v>
      </c>
    </row>
    <row r="10" spans="1:19" x14ac:dyDescent="0.25">
      <c r="B10" s="35">
        <v>46265</v>
      </c>
      <c r="C10" s="28" t="s">
        <v>82</v>
      </c>
      <c r="D10" s="36">
        <v>577</v>
      </c>
      <c r="E10" s="36">
        <v>564</v>
      </c>
      <c r="F10" s="36">
        <v>1</v>
      </c>
      <c r="G10" s="37">
        <f>IF(tblYield[[#This Row],[Date]]="","",tblYield[[#This Row],[Units in]]-tblYield[[#This Row],[Passed first time]])</f>
        <v>13</v>
      </c>
      <c r="H10" s="37">
        <f>IF(tblYield[[#This Row],[Date]]="","",tblYield[[#This Row],[Units in]]-tblYield[[#This Row],[Passed first time]]-tblYield[[#This Row],[Scrapped]])</f>
        <v>12</v>
      </c>
      <c r="I10" s="38">
        <f>IF(tblYield[[#This Row],[Date]]="","",IF(tblYield[[#This Row],[Units in]]&gt;0,tblYield[[#This Row],[Passed first time]]/tblYield[[#This Row],[Units in]],""))</f>
        <v>0.977469670710572</v>
      </c>
      <c r="J10" s="38">
        <f>IF(tblYield[[#This Row],[Date]]="","",IFERROR(INDEX(tblOperations[FPY target],MATCH(tblYield[[#This Row],[Operation]],tblOperations[Operation],0)),""))</f>
        <v>0.98</v>
      </c>
      <c r="K10" s="39" t="str">
        <f>IF(OR(NOT(ISNUMBER(tblYield[[#This Row],[FPY]])),NOT(ISNUMBER(tblYield[[#This Row],[FPY target]]))),"",IF(tblYield[[#This Row],[FPY]]&gt;=tblYield[[#This Row],[FPY target]],"On target",IF(tblYield[[#This Row],[FPY]]&gt;=tblYield[[#This Row],[FPY target]]-NearBand,"Near target","Below target")))</f>
        <v>Near target</v>
      </c>
      <c r="L10" s="38">
        <f>IF(tblYield[[#This Row],[Date]]="","",IF(tblYield[[#This Row],[Units in]]&gt;0,(tblYield[[#This Row],[Units in]]-tblYield[[#This Row],[Scrapped]])/tblYield[[#This Row],[Units in]],""))</f>
        <v>0.998266897746967</v>
      </c>
      <c r="M10" s="40">
        <f>IF(tblYield[[#This Row],[Date]]="","",IFERROR(INDEX(tblOperations[Rework cost],MATCH(tblYield[[#This Row],[Operation]],tblOperations[Operation],0)),""))</f>
        <v>8.5</v>
      </c>
      <c r="N10" s="40">
        <f>IF(tblYield[[#This Row],[Date]]="","",IFERROR(INDEX(tblOperations[Scrap cost],MATCH(tblYield[[#This Row],[Operation]],tblOperations[Operation],0)),""))</f>
        <v>36.5</v>
      </c>
      <c r="O10" s="40">
        <f>IF(tblYield[[#This Row],[Date]]="","",IF(tblYield[[#This Row],[Rework cost per unit]]="","",tblYield[[#This Row],[Reworked]]*tblYield[[#This Row],[Rework cost per unit]]))</f>
        <v>102</v>
      </c>
      <c r="P10" s="40">
        <f>IF(tblYield[[#This Row],[Date]]="","",IF(tblYield[[#This Row],[Scrap cost per unit]]="","",tblYield[[#This Row],[Scrapped]]*tblYield[[#This Row],[Scrap cost per unit]]))</f>
        <v>36.5</v>
      </c>
      <c r="Q10" s="41">
        <f>IF(tblYield[[#This Row],[Date]]="","",IF(AND(tblYield[[#This Row],[Date]]&gt;=FFrom,tblYield[[#This Row],[Date]]&lt;=FTo),tblYield[[#This Row],[Date]],""))</f>
        <v>46265</v>
      </c>
      <c r="R1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 s="43" t="s">
        <v>104</v>
      </c>
    </row>
    <row r="11" spans="1:19" x14ac:dyDescent="0.25">
      <c r="B11" s="35">
        <v>46265</v>
      </c>
      <c r="C11" s="28" t="s">
        <v>84</v>
      </c>
      <c r="D11" s="36">
        <v>576</v>
      </c>
      <c r="E11" s="36">
        <v>565</v>
      </c>
      <c r="F11" s="36">
        <v>1</v>
      </c>
      <c r="G11" s="37">
        <f>IF(tblYield[[#This Row],[Date]]="","",tblYield[[#This Row],[Units in]]-tblYield[[#This Row],[Passed first time]])</f>
        <v>11</v>
      </c>
      <c r="H11" s="37">
        <f>IF(tblYield[[#This Row],[Date]]="","",tblYield[[#This Row],[Units in]]-tblYield[[#This Row],[Passed first time]]-tblYield[[#This Row],[Scrapped]])</f>
        <v>10</v>
      </c>
      <c r="I11" s="38">
        <f>IF(tblYield[[#This Row],[Date]]="","",IF(tblYield[[#This Row],[Units in]]&gt;0,tblYield[[#This Row],[Passed first time]]/tblYield[[#This Row],[Units in]],""))</f>
        <v>0.980902777777778</v>
      </c>
      <c r="J11" s="38">
        <f>IF(tblYield[[#This Row],[Date]]="","",IFERROR(INDEX(tblOperations[FPY target],MATCH(tblYield[[#This Row],[Operation]],tblOperations[Operation],0)),""))</f>
        <v>0.985</v>
      </c>
      <c r="K11" s="39" t="str">
        <f>IF(OR(NOT(ISNUMBER(tblYield[[#This Row],[FPY]])),NOT(ISNUMBER(tblYield[[#This Row],[FPY target]]))),"",IF(tblYield[[#This Row],[FPY]]&gt;=tblYield[[#This Row],[FPY target]],"On target",IF(tblYield[[#This Row],[FPY]]&gt;=tblYield[[#This Row],[FPY target]]-NearBand,"Near target","Below target")))</f>
        <v>Near target</v>
      </c>
      <c r="L11" s="38">
        <f>IF(tblYield[[#This Row],[Date]]="","",IF(tblYield[[#This Row],[Units in]]&gt;0,(tblYield[[#This Row],[Units in]]-tblYield[[#This Row],[Scrapped]])/tblYield[[#This Row],[Units in]],""))</f>
        <v>0.998263888888889</v>
      </c>
      <c r="M11" s="40">
        <f>IF(tblYield[[#This Row],[Date]]="","",IFERROR(INDEX(tblOperations[Rework cost],MATCH(tblYield[[#This Row],[Operation]],tblOperations[Operation],0)),""))</f>
        <v>12</v>
      </c>
      <c r="N11" s="40">
        <f>IF(tblYield[[#This Row],[Date]]="","",IFERROR(INDEX(tblOperations[Scrap cost],MATCH(tblYield[[#This Row],[Operation]],tblOperations[Operation],0)),""))</f>
        <v>38</v>
      </c>
      <c r="O11" s="40">
        <f>IF(tblYield[[#This Row],[Date]]="","",IF(tblYield[[#This Row],[Rework cost per unit]]="","",tblYield[[#This Row],[Reworked]]*tblYield[[#This Row],[Rework cost per unit]]))</f>
        <v>120</v>
      </c>
      <c r="P11" s="40">
        <f>IF(tblYield[[#This Row],[Date]]="","",IF(tblYield[[#This Row],[Scrap cost per unit]]="","",tblYield[[#This Row],[Scrapped]]*tblYield[[#This Row],[Scrap cost per unit]]))</f>
        <v>38</v>
      </c>
      <c r="Q11" s="41">
        <f>IF(tblYield[[#This Row],[Date]]="","",IF(AND(tblYield[[#This Row],[Date]]&gt;=FFrom,tblYield[[#This Row],[Date]]&lt;=FTo),tblYield[[#This Row],[Date]],""))</f>
        <v>46265</v>
      </c>
      <c r="R1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 s="43" t="s">
        <v>104</v>
      </c>
    </row>
    <row r="12" spans="1:19" x14ac:dyDescent="0.25">
      <c r="B12" s="35">
        <v>46265</v>
      </c>
      <c r="C12" s="28" t="s">
        <v>86</v>
      </c>
      <c r="D12" s="36">
        <v>575</v>
      </c>
      <c r="E12" s="36">
        <v>573</v>
      </c>
      <c r="F12" s="36">
        <v>0</v>
      </c>
      <c r="G12" s="37">
        <f>IF(tblYield[[#This Row],[Date]]="","",tblYield[[#This Row],[Units in]]-tblYield[[#This Row],[Passed first time]])</f>
        <v>2</v>
      </c>
      <c r="H12" s="37">
        <f>IF(tblYield[[#This Row],[Date]]="","",tblYield[[#This Row],[Units in]]-tblYield[[#This Row],[Passed first time]]-tblYield[[#This Row],[Scrapped]])</f>
        <v>2</v>
      </c>
      <c r="I12" s="38">
        <f>IF(tblYield[[#This Row],[Date]]="","",IF(tblYield[[#This Row],[Units in]]&gt;0,tblYield[[#This Row],[Passed first time]]/tblYield[[#This Row],[Units in]],""))</f>
        <v>0.996521739130435</v>
      </c>
      <c r="J12" s="38">
        <f>IF(tblYield[[#This Row],[Date]]="","",IFERROR(INDEX(tblOperations[FPY target],MATCH(tblYield[[#This Row],[Operation]],tblOperations[Operation],0)),""))</f>
        <v>0.99</v>
      </c>
      <c r="K12" s="39" t="str">
        <f>IF(OR(NOT(ISNUMBER(tblYield[[#This Row],[FPY]])),NOT(ISNUMBER(tblYield[[#This Row],[FPY target]]))),"",IF(tblYield[[#This Row],[FPY]]&gt;=tblYield[[#This Row],[FPY target]],"On target",IF(tblYield[[#This Row],[FPY]]&gt;=tblYield[[#This Row],[FPY target]]-NearBand,"Near target","Below target")))</f>
        <v>On target</v>
      </c>
      <c r="L12" s="38">
        <f>IF(tblYield[[#This Row],[Date]]="","",IF(tblYield[[#This Row],[Units in]]&gt;0,(tblYield[[#This Row],[Units in]]-tblYield[[#This Row],[Scrapped]])/tblYield[[#This Row],[Units in]],""))</f>
        <v>1</v>
      </c>
      <c r="M12" s="40">
        <f>IF(tblYield[[#This Row],[Date]]="","",IFERROR(INDEX(tblOperations[Rework cost],MATCH(tblYield[[#This Row],[Operation]],tblOperations[Operation],0)),""))</f>
        <v>2.2</v>
      </c>
      <c r="N12" s="40">
        <f>IF(tblYield[[#This Row],[Date]]="","",IFERROR(INDEX(tblOperations[Scrap cost],MATCH(tblYield[[#This Row],[Operation]],tblOperations[Operation],0)),""))</f>
        <v>41</v>
      </c>
      <c r="O12" s="40">
        <f>IF(tblYield[[#This Row],[Date]]="","",IF(tblYield[[#This Row],[Rework cost per unit]]="","",tblYield[[#This Row],[Reworked]]*tblYield[[#This Row],[Rework cost per unit]]))</f>
        <v>4.4</v>
      </c>
      <c r="P12" s="40">
        <f>IF(tblYield[[#This Row],[Date]]="","",IF(tblYield[[#This Row],[Scrap cost per unit]]="","",tblYield[[#This Row],[Scrapped]]*tblYield[[#This Row],[Scrap cost per unit]]))</f>
        <v>0</v>
      </c>
      <c r="Q12" s="41">
        <f>IF(tblYield[[#This Row],[Date]]="","",IF(AND(tblYield[[#This Row],[Date]]&gt;=FFrom,tblYield[[#This Row],[Date]]&lt;=FTo),tblYield[[#This Row],[Date]],""))</f>
        <v>46265</v>
      </c>
      <c r="R1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 s="43" t="s">
        <v>104</v>
      </c>
    </row>
    <row r="13" spans="1:19" x14ac:dyDescent="0.25">
      <c r="B13" s="35">
        <v>46266</v>
      </c>
      <c r="C13" s="28" t="s">
        <v>76</v>
      </c>
      <c r="D13" s="36">
        <v>630</v>
      </c>
      <c r="E13" s="36">
        <v>624</v>
      </c>
      <c r="F13" s="36">
        <v>0</v>
      </c>
      <c r="G13" s="37">
        <f>IF(tblYield[[#This Row],[Date]]="","",tblYield[[#This Row],[Units in]]-tblYield[[#This Row],[Passed first time]])</f>
        <v>6</v>
      </c>
      <c r="H13" s="37">
        <f>IF(tblYield[[#This Row],[Date]]="","",tblYield[[#This Row],[Units in]]-tblYield[[#This Row],[Passed first time]]-tblYield[[#This Row],[Scrapped]])</f>
        <v>6</v>
      </c>
      <c r="I13" s="38">
        <f>IF(tblYield[[#This Row],[Date]]="","",IF(tblYield[[#This Row],[Units in]]&gt;0,tblYield[[#This Row],[Passed first time]]/tblYield[[#This Row],[Units in]],""))</f>
        <v>0.990476190476191</v>
      </c>
      <c r="J13" s="38">
        <f>IF(tblYield[[#This Row],[Date]]="","",IFERROR(INDEX(tblOperations[FPY target],MATCH(tblYield[[#This Row],[Operation]],tblOperations[Operation],0)),""))</f>
        <v>0.99</v>
      </c>
      <c r="K13" s="39" t="str">
        <f>IF(OR(NOT(ISNUMBER(tblYield[[#This Row],[FPY]])),NOT(ISNUMBER(tblYield[[#This Row],[FPY target]]))),"",IF(tblYield[[#This Row],[FPY]]&gt;=tblYield[[#This Row],[FPY target]],"On target",IF(tblYield[[#This Row],[FPY]]&gt;=tblYield[[#This Row],[FPY target]]-NearBand,"Near target","Below target")))</f>
        <v>On target</v>
      </c>
      <c r="L13" s="38">
        <f>IF(tblYield[[#This Row],[Date]]="","",IF(tblYield[[#This Row],[Units in]]&gt;0,(tblYield[[#This Row],[Units in]]-tblYield[[#This Row],[Scrapped]])/tblYield[[#This Row],[Units in]],""))</f>
        <v>1</v>
      </c>
      <c r="M13" s="40">
        <f>IF(tblYield[[#This Row],[Date]]="","",IFERROR(INDEX(tblOperations[Rework cost],MATCH(tblYield[[#This Row],[Operation]],tblOperations[Operation],0)),""))</f>
        <v>0.6</v>
      </c>
      <c r="N13" s="40">
        <f>IF(tblYield[[#This Row],[Date]]="","",IFERROR(INDEX(tblOperations[Scrap cost],MATCH(tblYield[[#This Row],[Operation]],tblOperations[Operation],0)),""))</f>
        <v>4.8</v>
      </c>
      <c r="O13" s="40">
        <f>IF(tblYield[[#This Row],[Date]]="","",IF(tblYield[[#This Row],[Rework cost per unit]]="","",tblYield[[#This Row],[Reworked]]*tblYield[[#This Row],[Rework cost per unit]]))</f>
        <v>3.6</v>
      </c>
      <c r="P13" s="40">
        <f>IF(tblYield[[#This Row],[Date]]="","",IF(tblYield[[#This Row],[Scrap cost per unit]]="","",tblYield[[#This Row],[Scrapped]]*tblYield[[#This Row],[Scrap cost per unit]]))</f>
        <v>0</v>
      </c>
      <c r="Q13" s="41">
        <f>IF(tblYield[[#This Row],[Date]]="","",IF(AND(tblYield[[#This Row],[Date]]&gt;=FFrom,tblYield[[#This Row],[Date]]&lt;=FTo),tblYield[[#This Row],[Date]],""))</f>
        <v>46266</v>
      </c>
      <c r="R1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 s="43" t="s">
        <v>104</v>
      </c>
    </row>
    <row r="14" spans="1:19" x14ac:dyDescent="0.25">
      <c r="B14" s="35">
        <v>46266</v>
      </c>
      <c r="C14" s="28" t="s">
        <v>78</v>
      </c>
      <c r="D14" s="36">
        <v>630</v>
      </c>
      <c r="E14" s="36">
        <v>610</v>
      </c>
      <c r="F14" s="36">
        <v>1</v>
      </c>
      <c r="G14" s="37">
        <f>IF(tblYield[[#This Row],[Date]]="","",tblYield[[#This Row],[Units in]]-tblYield[[#This Row],[Passed first time]])</f>
        <v>20</v>
      </c>
      <c r="H14" s="37">
        <f>IF(tblYield[[#This Row],[Date]]="","",tblYield[[#This Row],[Units in]]-tblYield[[#This Row],[Passed first time]]-tblYield[[#This Row],[Scrapped]])</f>
        <v>19</v>
      </c>
      <c r="I14" s="38">
        <f>IF(tblYield[[#This Row],[Date]]="","",IF(tblYield[[#This Row],[Units in]]&gt;0,tblYield[[#This Row],[Passed first time]]/tblYield[[#This Row],[Units in]],""))</f>
        <v>0.968253968253968</v>
      </c>
      <c r="J14" s="38">
        <f>IF(tblYield[[#This Row],[Date]]="","",IFERROR(INDEX(tblOperations[FPY target],MATCH(tblYield[[#This Row],[Operation]],tblOperations[Operation],0)),""))</f>
        <v>0.98</v>
      </c>
      <c r="K14" s="39" t="str">
        <f>IF(OR(NOT(ISNUMBER(tblYield[[#This Row],[FPY]])),NOT(ISNUMBER(tblYield[[#This Row],[FPY target]]))),"",IF(tblYield[[#This Row],[FPY]]&gt;=tblYield[[#This Row],[FPY target]],"On target",IF(tblYield[[#This Row],[FPY]]&gt;=tblYield[[#This Row],[FPY target]]-NearBand,"Near target","Below target")))</f>
        <v>Below target</v>
      </c>
      <c r="L14" s="38">
        <f>IF(tblYield[[#This Row],[Date]]="","",IF(tblYield[[#This Row],[Units in]]&gt;0,(tblYield[[#This Row],[Units in]]-tblYield[[#This Row],[Scrapped]])/tblYield[[#This Row],[Units in]],""))</f>
        <v>0.998412698412698</v>
      </c>
      <c r="M14" s="40">
        <f>IF(tblYield[[#This Row],[Date]]="","",IFERROR(INDEX(tblOperations[Rework cost],MATCH(tblYield[[#This Row],[Operation]],tblOperations[Operation],0)),""))</f>
        <v>3.8</v>
      </c>
      <c r="N14" s="40">
        <f>IF(tblYield[[#This Row],[Date]]="","",IFERROR(INDEX(tblOperations[Scrap cost],MATCH(tblYield[[#This Row],[Operation]],tblOperations[Operation],0)),""))</f>
        <v>31</v>
      </c>
      <c r="O14" s="40">
        <f>IF(tblYield[[#This Row],[Date]]="","",IF(tblYield[[#This Row],[Rework cost per unit]]="","",tblYield[[#This Row],[Reworked]]*tblYield[[#This Row],[Rework cost per unit]]))</f>
        <v>72.2</v>
      </c>
      <c r="P14" s="40">
        <f>IF(tblYield[[#This Row],[Date]]="","",IF(tblYield[[#This Row],[Scrap cost per unit]]="","",tblYield[[#This Row],[Scrapped]]*tblYield[[#This Row],[Scrap cost per unit]]))</f>
        <v>31</v>
      </c>
      <c r="Q14" s="41">
        <f>IF(tblYield[[#This Row],[Date]]="","",IF(AND(tblYield[[#This Row],[Date]]&gt;=FFrom,tblYield[[#This Row],[Date]]&lt;=FTo),tblYield[[#This Row],[Date]],""))</f>
        <v>46266</v>
      </c>
      <c r="R1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 s="43" t="s">
        <v>104</v>
      </c>
    </row>
    <row r="15" spans="1:19" x14ac:dyDescent="0.25">
      <c r="B15" s="35">
        <v>46266</v>
      </c>
      <c r="C15" s="28" t="s">
        <v>80</v>
      </c>
      <c r="D15" s="36">
        <v>629</v>
      </c>
      <c r="E15" s="36">
        <v>601</v>
      </c>
      <c r="F15" s="36">
        <v>2</v>
      </c>
      <c r="G15" s="37">
        <f>IF(tblYield[[#This Row],[Date]]="","",tblYield[[#This Row],[Units in]]-tblYield[[#This Row],[Passed first time]])</f>
        <v>28</v>
      </c>
      <c r="H15" s="37">
        <f>IF(tblYield[[#This Row],[Date]]="","",tblYield[[#This Row],[Units in]]-tblYield[[#This Row],[Passed first time]]-tblYield[[#This Row],[Scrapped]])</f>
        <v>26</v>
      </c>
      <c r="I15" s="38">
        <f>IF(tblYield[[#This Row],[Date]]="","",IF(tblYield[[#This Row],[Units in]]&gt;0,tblYield[[#This Row],[Passed first time]]/tblYield[[#This Row],[Units in]],""))</f>
        <v>0.955484896661367</v>
      </c>
      <c r="J15" s="38">
        <f>IF(tblYield[[#This Row],[Date]]="","",IFERROR(INDEX(tblOperations[FPY target],MATCH(tblYield[[#This Row],[Operation]],tblOperations[Operation],0)),""))</f>
        <v>0.97</v>
      </c>
      <c r="K15" s="39" t="str">
        <f>IF(OR(NOT(ISNUMBER(tblYield[[#This Row],[FPY]])),NOT(ISNUMBER(tblYield[[#This Row],[FPY target]]))),"",IF(tblYield[[#This Row],[FPY]]&gt;=tblYield[[#This Row],[FPY target]],"On target",IF(tblYield[[#This Row],[FPY]]&gt;=tblYield[[#This Row],[FPY target]]-NearBand,"Near target","Below target")))</f>
        <v>Below target</v>
      </c>
      <c r="L15" s="38">
        <f>IF(tblYield[[#This Row],[Date]]="","",IF(tblYield[[#This Row],[Units in]]&gt;0,(tblYield[[#This Row],[Units in]]-tblYield[[#This Row],[Scrapped]])/tblYield[[#This Row],[Units in]],""))</f>
        <v>0.996820349761526</v>
      </c>
      <c r="M15" s="40">
        <f>IF(tblYield[[#This Row],[Date]]="","",IFERROR(INDEX(tblOperations[Rework cost],MATCH(tblYield[[#This Row],[Operation]],tblOperations[Operation],0)),""))</f>
        <v>2.9</v>
      </c>
      <c r="N15" s="40">
        <f>IF(tblYield[[#This Row],[Date]]="","",IFERROR(INDEX(tblOperations[Scrap cost],MATCH(tblYield[[#This Row],[Operation]],tblOperations[Operation],0)),""))</f>
        <v>34</v>
      </c>
      <c r="O15" s="40">
        <f>IF(tblYield[[#This Row],[Date]]="","",IF(tblYield[[#This Row],[Rework cost per unit]]="","",tblYield[[#This Row],[Reworked]]*tblYield[[#This Row],[Rework cost per unit]]))</f>
        <v>75.4</v>
      </c>
      <c r="P15" s="40">
        <f>IF(tblYield[[#This Row],[Date]]="","",IF(tblYield[[#This Row],[Scrap cost per unit]]="","",tblYield[[#This Row],[Scrapped]]*tblYield[[#This Row],[Scrap cost per unit]]))</f>
        <v>68</v>
      </c>
      <c r="Q15" s="41">
        <f>IF(tblYield[[#This Row],[Date]]="","",IF(AND(tblYield[[#This Row],[Date]]&gt;=FFrom,tblYield[[#This Row],[Date]]&lt;=FTo),tblYield[[#This Row],[Date]],""))</f>
        <v>46266</v>
      </c>
      <c r="R1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 s="43" t="s">
        <v>104</v>
      </c>
    </row>
    <row r="16" spans="1:19" x14ac:dyDescent="0.25">
      <c r="B16" s="35">
        <v>46266</v>
      </c>
      <c r="C16" s="28" t="s">
        <v>82</v>
      </c>
      <c r="D16" s="36">
        <v>627</v>
      </c>
      <c r="E16" s="36">
        <v>614</v>
      </c>
      <c r="F16" s="36">
        <v>1</v>
      </c>
      <c r="G16" s="37">
        <f>IF(tblYield[[#This Row],[Date]]="","",tblYield[[#This Row],[Units in]]-tblYield[[#This Row],[Passed first time]])</f>
        <v>13</v>
      </c>
      <c r="H16" s="37">
        <f>IF(tblYield[[#This Row],[Date]]="","",tblYield[[#This Row],[Units in]]-tblYield[[#This Row],[Passed first time]]-tblYield[[#This Row],[Scrapped]])</f>
        <v>12</v>
      </c>
      <c r="I16" s="38">
        <f>IF(tblYield[[#This Row],[Date]]="","",IF(tblYield[[#This Row],[Units in]]&gt;0,tblYield[[#This Row],[Passed first time]]/tblYield[[#This Row],[Units in]],""))</f>
        <v>0.9792663476874</v>
      </c>
      <c r="J16" s="38">
        <f>IF(tblYield[[#This Row],[Date]]="","",IFERROR(INDEX(tblOperations[FPY target],MATCH(tblYield[[#This Row],[Operation]],tblOperations[Operation],0)),""))</f>
        <v>0.98</v>
      </c>
      <c r="K16" s="39" t="str">
        <f>IF(OR(NOT(ISNUMBER(tblYield[[#This Row],[FPY]])),NOT(ISNUMBER(tblYield[[#This Row],[FPY target]]))),"",IF(tblYield[[#This Row],[FPY]]&gt;=tblYield[[#This Row],[FPY target]],"On target",IF(tblYield[[#This Row],[FPY]]&gt;=tblYield[[#This Row],[FPY target]]-NearBand,"Near target","Below target")))</f>
        <v>Near target</v>
      </c>
      <c r="L16" s="38">
        <f>IF(tblYield[[#This Row],[Date]]="","",IF(tblYield[[#This Row],[Units in]]&gt;0,(tblYield[[#This Row],[Units in]]-tblYield[[#This Row],[Scrapped]])/tblYield[[#This Row],[Units in]],""))</f>
        <v>0.998405103668262</v>
      </c>
      <c r="M16" s="40">
        <f>IF(tblYield[[#This Row],[Date]]="","",IFERROR(INDEX(tblOperations[Rework cost],MATCH(tblYield[[#This Row],[Operation]],tblOperations[Operation],0)),""))</f>
        <v>8.5</v>
      </c>
      <c r="N16" s="40">
        <f>IF(tblYield[[#This Row],[Date]]="","",IFERROR(INDEX(tblOperations[Scrap cost],MATCH(tblYield[[#This Row],[Operation]],tblOperations[Operation],0)),""))</f>
        <v>36.5</v>
      </c>
      <c r="O16" s="40">
        <f>IF(tblYield[[#This Row],[Date]]="","",IF(tblYield[[#This Row],[Rework cost per unit]]="","",tblYield[[#This Row],[Reworked]]*tblYield[[#This Row],[Rework cost per unit]]))</f>
        <v>102</v>
      </c>
      <c r="P16" s="40">
        <f>IF(tblYield[[#This Row],[Date]]="","",IF(tblYield[[#This Row],[Scrap cost per unit]]="","",tblYield[[#This Row],[Scrapped]]*tblYield[[#This Row],[Scrap cost per unit]]))</f>
        <v>36.5</v>
      </c>
      <c r="Q16" s="41">
        <f>IF(tblYield[[#This Row],[Date]]="","",IF(AND(tblYield[[#This Row],[Date]]&gt;=FFrom,tblYield[[#This Row],[Date]]&lt;=FTo),tblYield[[#This Row],[Date]],""))</f>
        <v>46266</v>
      </c>
      <c r="R1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 s="43" t="s">
        <v>104</v>
      </c>
    </row>
    <row r="17" spans="2:19" x14ac:dyDescent="0.25">
      <c r="B17" s="35">
        <v>46266</v>
      </c>
      <c r="C17" s="28" t="s">
        <v>84</v>
      </c>
      <c r="D17" s="36">
        <v>626</v>
      </c>
      <c r="E17" s="36">
        <v>618</v>
      </c>
      <c r="F17" s="36">
        <v>1</v>
      </c>
      <c r="G17" s="37">
        <f>IF(tblYield[[#This Row],[Date]]="","",tblYield[[#This Row],[Units in]]-tblYield[[#This Row],[Passed first time]])</f>
        <v>8</v>
      </c>
      <c r="H17" s="37">
        <f>IF(tblYield[[#This Row],[Date]]="","",tblYield[[#This Row],[Units in]]-tblYield[[#This Row],[Passed first time]]-tblYield[[#This Row],[Scrapped]])</f>
        <v>7</v>
      </c>
      <c r="I17" s="38">
        <f>IF(tblYield[[#This Row],[Date]]="","",IF(tblYield[[#This Row],[Units in]]&gt;0,tblYield[[#This Row],[Passed first time]]/tblYield[[#This Row],[Units in]],""))</f>
        <v>0.987220447284345</v>
      </c>
      <c r="J17" s="38">
        <f>IF(tblYield[[#This Row],[Date]]="","",IFERROR(INDEX(tblOperations[FPY target],MATCH(tblYield[[#This Row],[Operation]],tblOperations[Operation],0)),""))</f>
        <v>0.985</v>
      </c>
      <c r="K17" s="39" t="str">
        <f>IF(OR(NOT(ISNUMBER(tblYield[[#This Row],[FPY]])),NOT(ISNUMBER(tblYield[[#This Row],[FPY target]]))),"",IF(tblYield[[#This Row],[FPY]]&gt;=tblYield[[#This Row],[FPY target]],"On target",IF(tblYield[[#This Row],[FPY]]&gt;=tblYield[[#This Row],[FPY target]]-NearBand,"Near target","Below target")))</f>
        <v>On target</v>
      </c>
      <c r="L17" s="38">
        <f>IF(tblYield[[#This Row],[Date]]="","",IF(tblYield[[#This Row],[Units in]]&gt;0,(tblYield[[#This Row],[Units in]]-tblYield[[#This Row],[Scrapped]])/tblYield[[#This Row],[Units in]],""))</f>
        <v>0.998402555910543</v>
      </c>
      <c r="M17" s="40">
        <f>IF(tblYield[[#This Row],[Date]]="","",IFERROR(INDEX(tblOperations[Rework cost],MATCH(tblYield[[#This Row],[Operation]],tblOperations[Operation],0)),""))</f>
        <v>12</v>
      </c>
      <c r="N17" s="40">
        <f>IF(tblYield[[#This Row],[Date]]="","",IFERROR(INDEX(tblOperations[Scrap cost],MATCH(tblYield[[#This Row],[Operation]],tblOperations[Operation],0)),""))</f>
        <v>38</v>
      </c>
      <c r="O17" s="40">
        <f>IF(tblYield[[#This Row],[Date]]="","",IF(tblYield[[#This Row],[Rework cost per unit]]="","",tblYield[[#This Row],[Reworked]]*tblYield[[#This Row],[Rework cost per unit]]))</f>
        <v>84</v>
      </c>
      <c r="P17" s="40">
        <f>IF(tblYield[[#This Row],[Date]]="","",IF(tblYield[[#This Row],[Scrap cost per unit]]="","",tblYield[[#This Row],[Scrapped]]*tblYield[[#This Row],[Scrap cost per unit]]))</f>
        <v>38</v>
      </c>
      <c r="Q17" s="41">
        <f>IF(tblYield[[#This Row],[Date]]="","",IF(AND(tblYield[[#This Row],[Date]]&gt;=FFrom,tblYield[[#This Row],[Date]]&lt;=FTo),tblYield[[#This Row],[Date]],""))</f>
        <v>46266</v>
      </c>
      <c r="R1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 s="43" t="s">
        <v>104</v>
      </c>
    </row>
    <row r="18" spans="2:19" x14ac:dyDescent="0.25">
      <c r="B18" s="35">
        <v>46266</v>
      </c>
      <c r="C18" s="28" t="s">
        <v>86</v>
      </c>
      <c r="D18" s="36">
        <v>625</v>
      </c>
      <c r="E18" s="36">
        <v>619</v>
      </c>
      <c r="F18" s="36">
        <v>0</v>
      </c>
      <c r="G18" s="37">
        <f>IF(tblYield[[#This Row],[Date]]="","",tblYield[[#This Row],[Units in]]-tblYield[[#This Row],[Passed first time]])</f>
        <v>6</v>
      </c>
      <c r="H18" s="37">
        <f>IF(tblYield[[#This Row],[Date]]="","",tblYield[[#This Row],[Units in]]-tblYield[[#This Row],[Passed first time]]-tblYield[[#This Row],[Scrapped]])</f>
        <v>6</v>
      </c>
      <c r="I18" s="38">
        <f>IF(tblYield[[#This Row],[Date]]="","",IF(tblYield[[#This Row],[Units in]]&gt;0,tblYield[[#This Row],[Passed first time]]/tblYield[[#This Row],[Units in]],""))</f>
        <v>0.9904</v>
      </c>
      <c r="J18" s="38">
        <f>IF(tblYield[[#This Row],[Date]]="","",IFERROR(INDEX(tblOperations[FPY target],MATCH(tblYield[[#This Row],[Operation]],tblOperations[Operation],0)),""))</f>
        <v>0.99</v>
      </c>
      <c r="K18" s="39" t="str">
        <f>IF(OR(NOT(ISNUMBER(tblYield[[#This Row],[FPY]])),NOT(ISNUMBER(tblYield[[#This Row],[FPY target]]))),"",IF(tblYield[[#This Row],[FPY]]&gt;=tblYield[[#This Row],[FPY target]],"On target",IF(tblYield[[#This Row],[FPY]]&gt;=tblYield[[#This Row],[FPY target]]-NearBand,"Near target","Below target")))</f>
        <v>On target</v>
      </c>
      <c r="L18" s="38">
        <f>IF(tblYield[[#This Row],[Date]]="","",IF(tblYield[[#This Row],[Units in]]&gt;0,(tblYield[[#This Row],[Units in]]-tblYield[[#This Row],[Scrapped]])/tblYield[[#This Row],[Units in]],""))</f>
        <v>1</v>
      </c>
      <c r="M18" s="40">
        <f>IF(tblYield[[#This Row],[Date]]="","",IFERROR(INDEX(tblOperations[Rework cost],MATCH(tblYield[[#This Row],[Operation]],tblOperations[Operation],0)),""))</f>
        <v>2.2</v>
      </c>
      <c r="N18" s="40">
        <f>IF(tblYield[[#This Row],[Date]]="","",IFERROR(INDEX(tblOperations[Scrap cost],MATCH(tblYield[[#This Row],[Operation]],tblOperations[Operation],0)),""))</f>
        <v>41</v>
      </c>
      <c r="O18" s="40">
        <f>IF(tblYield[[#This Row],[Date]]="","",IF(tblYield[[#This Row],[Rework cost per unit]]="","",tblYield[[#This Row],[Reworked]]*tblYield[[#This Row],[Rework cost per unit]]))</f>
        <v>13.2</v>
      </c>
      <c r="P18" s="40">
        <f>IF(tblYield[[#This Row],[Date]]="","",IF(tblYield[[#This Row],[Scrap cost per unit]]="","",tblYield[[#This Row],[Scrapped]]*tblYield[[#This Row],[Scrap cost per unit]]))</f>
        <v>0</v>
      </c>
      <c r="Q18" s="41">
        <f>IF(tblYield[[#This Row],[Date]]="","",IF(AND(tblYield[[#This Row],[Date]]&gt;=FFrom,tblYield[[#This Row],[Date]]&lt;=FTo),tblYield[[#This Row],[Date]],""))</f>
        <v>46266</v>
      </c>
      <c r="R1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 s="43" t="s">
        <v>104</v>
      </c>
    </row>
    <row r="19" spans="2:19" x14ac:dyDescent="0.25">
      <c r="B19" s="35">
        <v>46267</v>
      </c>
      <c r="C19" s="28" t="s">
        <v>76</v>
      </c>
      <c r="D19" s="36">
        <v>580</v>
      </c>
      <c r="E19" s="36">
        <v>578</v>
      </c>
      <c r="F19" s="36">
        <v>0</v>
      </c>
      <c r="G19" s="37">
        <f>IF(tblYield[[#This Row],[Date]]="","",tblYield[[#This Row],[Units in]]-tblYield[[#This Row],[Passed first time]])</f>
        <v>2</v>
      </c>
      <c r="H19" s="37">
        <f>IF(tblYield[[#This Row],[Date]]="","",tblYield[[#This Row],[Units in]]-tblYield[[#This Row],[Passed first time]]-tblYield[[#This Row],[Scrapped]])</f>
        <v>2</v>
      </c>
      <c r="I19" s="38">
        <f>IF(tblYield[[#This Row],[Date]]="","",IF(tblYield[[#This Row],[Units in]]&gt;0,tblYield[[#This Row],[Passed first time]]/tblYield[[#This Row],[Units in]],""))</f>
        <v>0.996551724137931</v>
      </c>
      <c r="J19" s="38">
        <f>IF(tblYield[[#This Row],[Date]]="","",IFERROR(INDEX(tblOperations[FPY target],MATCH(tblYield[[#This Row],[Operation]],tblOperations[Operation],0)),""))</f>
        <v>0.99</v>
      </c>
      <c r="K19" s="39" t="str">
        <f>IF(OR(NOT(ISNUMBER(tblYield[[#This Row],[FPY]])),NOT(ISNUMBER(tblYield[[#This Row],[FPY target]]))),"",IF(tblYield[[#This Row],[FPY]]&gt;=tblYield[[#This Row],[FPY target]],"On target",IF(tblYield[[#This Row],[FPY]]&gt;=tblYield[[#This Row],[FPY target]]-NearBand,"Near target","Below target")))</f>
        <v>On target</v>
      </c>
      <c r="L19" s="38">
        <f>IF(tblYield[[#This Row],[Date]]="","",IF(tblYield[[#This Row],[Units in]]&gt;0,(tblYield[[#This Row],[Units in]]-tblYield[[#This Row],[Scrapped]])/tblYield[[#This Row],[Units in]],""))</f>
        <v>1</v>
      </c>
      <c r="M19" s="40">
        <f>IF(tblYield[[#This Row],[Date]]="","",IFERROR(INDEX(tblOperations[Rework cost],MATCH(tblYield[[#This Row],[Operation]],tblOperations[Operation],0)),""))</f>
        <v>0.6</v>
      </c>
      <c r="N19" s="40">
        <f>IF(tblYield[[#This Row],[Date]]="","",IFERROR(INDEX(tblOperations[Scrap cost],MATCH(tblYield[[#This Row],[Operation]],tblOperations[Operation],0)),""))</f>
        <v>4.8</v>
      </c>
      <c r="O19" s="40">
        <f>IF(tblYield[[#This Row],[Date]]="","",IF(tblYield[[#This Row],[Rework cost per unit]]="","",tblYield[[#This Row],[Reworked]]*tblYield[[#This Row],[Rework cost per unit]]))</f>
        <v>1.2</v>
      </c>
      <c r="P19" s="40">
        <f>IF(tblYield[[#This Row],[Date]]="","",IF(tblYield[[#This Row],[Scrap cost per unit]]="","",tblYield[[#This Row],[Scrapped]]*tblYield[[#This Row],[Scrap cost per unit]]))</f>
        <v>0</v>
      </c>
      <c r="Q19" s="41">
        <f>IF(tblYield[[#This Row],[Date]]="","",IF(AND(tblYield[[#This Row],[Date]]&gt;=FFrom,tblYield[[#This Row],[Date]]&lt;=FTo),tblYield[[#This Row],[Date]],""))</f>
        <v>46267</v>
      </c>
      <c r="R1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9" s="43" t="s">
        <v>104</v>
      </c>
    </row>
    <row r="20" spans="2:19" x14ac:dyDescent="0.25">
      <c r="B20" s="35">
        <v>46267</v>
      </c>
      <c r="C20" s="28" t="s">
        <v>78</v>
      </c>
      <c r="D20" s="36">
        <v>580</v>
      </c>
      <c r="E20" s="36">
        <v>559</v>
      </c>
      <c r="F20" s="36">
        <v>2</v>
      </c>
      <c r="G20" s="37">
        <f>IF(tblYield[[#This Row],[Date]]="","",tblYield[[#This Row],[Units in]]-tblYield[[#This Row],[Passed first time]])</f>
        <v>21</v>
      </c>
      <c r="H20" s="37">
        <f>IF(tblYield[[#This Row],[Date]]="","",tblYield[[#This Row],[Units in]]-tblYield[[#This Row],[Passed first time]]-tblYield[[#This Row],[Scrapped]])</f>
        <v>19</v>
      </c>
      <c r="I20" s="38">
        <f>IF(tblYield[[#This Row],[Date]]="","",IF(tblYield[[#This Row],[Units in]]&gt;0,tblYield[[#This Row],[Passed first time]]/tblYield[[#This Row],[Units in]],""))</f>
        <v>0.963793103448276</v>
      </c>
      <c r="J20" s="38">
        <f>IF(tblYield[[#This Row],[Date]]="","",IFERROR(INDEX(tblOperations[FPY target],MATCH(tblYield[[#This Row],[Operation]],tblOperations[Operation],0)),""))</f>
        <v>0.98</v>
      </c>
      <c r="K20" s="39" t="str">
        <f>IF(OR(NOT(ISNUMBER(tblYield[[#This Row],[FPY]])),NOT(ISNUMBER(tblYield[[#This Row],[FPY target]]))),"",IF(tblYield[[#This Row],[FPY]]&gt;=tblYield[[#This Row],[FPY target]],"On target",IF(tblYield[[#This Row],[FPY]]&gt;=tblYield[[#This Row],[FPY target]]-NearBand,"Near target","Below target")))</f>
        <v>Below target</v>
      </c>
      <c r="L20" s="38">
        <f>IF(tblYield[[#This Row],[Date]]="","",IF(tblYield[[#This Row],[Units in]]&gt;0,(tblYield[[#This Row],[Units in]]-tblYield[[#This Row],[Scrapped]])/tblYield[[#This Row],[Units in]],""))</f>
        <v>0.996551724137931</v>
      </c>
      <c r="M20" s="40">
        <f>IF(tblYield[[#This Row],[Date]]="","",IFERROR(INDEX(tblOperations[Rework cost],MATCH(tblYield[[#This Row],[Operation]],tblOperations[Operation],0)),""))</f>
        <v>3.8</v>
      </c>
      <c r="N20" s="40">
        <f>IF(tblYield[[#This Row],[Date]]="","",IFERROR(INDEX(tblOperations[Scrap cost],MATCH(tblYield[[#This Row],[Operation]],tblOperations[Operation],0)),""))</f>
        <v>31</v>
      </c>
      <c r="O20" s="40">
        <f>IF(tblYield[[#This Row],[Date]]="","",IF(tblYield[[#This Row],[Rework cost per unit]]="","",tblYield[[#This Row],[Reworked]]*tblYield[[#This Row],[Rework cost per unit]]))</f>
        <v>72.2</v>
      </c>
      <c r="P20" s="40">
        <f>IF(tblYield[[#This Row],[Date]]="","",IF(tblYield[[#This Row],[Scrap cost per unit]]="","",tblYield[[#This Row],[Scrapped]]*tblYield[[#This Row],[Scrap cost per unit]]))</f>
        <v>62</v>
      </c>
      <c r="Q20" s="41">
        <f>IF(tblYield[[#This Row],[Date]]="","",IF(AND(tblYield[[#This Row],[Date]]&gt;=FFrom,tblYield[[#This Row],[Date]]&lt;=FTo),tblYield[[#This Row],[Date]],""))</f>
        <v>46267</v>
      </c>
      <c r="R2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0" s="43" t="s">
        <v>104</v>
      </c>
    </row>
    <row r="21" spans="2:19" x14ac:dyDescent="0.25">
      <c r="B21" s="35">
        <v>46267</v>
      </c>
      <c r="C21" s="28" t="s">
        <v>80</v>
      </c>
      <c r="D21" s="36">
        <v>578</v>
      </c>
      <c r="E21" s="36">
        <v>551</v>
      </c>
      <c r="F21" s="36">
        <v>2</v>
      </c>
      <c r="G21" s="37">
        <f>IF(tblYield[[#This Row],[Date]]="","",tblYield[[#This Row],[Units in]]-tblYield[[#This Row],[Passed first time]])</f>
        <v>27</v>
      </c>
      <c r="H21" s="37">
        <f>IF(tblYield[[#This Row],[Date]]="","",tblYield[[#This Row],[Units in]]-tblYield[[#This Row],[Passed first time]]-tblYield[[#This Row],[Scrapped]])</f>
        <v>25</v>
      </c>
      <c r="I21" s="38">
        <f>IF(tblYield[[#This Row],[Date]]="","",IF(tblYield[[#This Row],[Units in]]&gt;0,tblYield[[#This Row],[Passed first time]]/tblYield[[#This Row],[Units in]],""))</f>
        <v>0.953287197231834</v>
      </c>
      <c r="J21" s="38">
        <f>IF(tblYield[[#This Row],[Date]]="","",IFERROR(INDEX(tblOperations[FPY target],MATCH(tblYield[[#This Row],[Operation]],tblOperations[Operation],0)),""))</f>
        <v>0.97</v>
      </c>
      <c r="K21" s="39" t="str">
        <f>IF(OR(NOT(ISNUMBER(tblYield[[#This Row],[FPY]])),NOT(ISNUMBER(tblYield[[#This Row],[FPY target]]))),"",IF(tblYield[[#This Row],[FPY]]&gt;=tblYield[[#This Row],[FPY target]],"On target",IF(tblYield[[#This Row],[FPY]]&gt;=tblYield[[#This Row],[FPY target]]-NearBand,"Near target","Below target")))</f>
        <v>Below target</v>
      </c>
      <c r="L21" s="38">
        <f>IF(tblYield[[#This Row],[Date]]="","",IF(tblYield[[#This Row],[Units in]]&gt;0,(tblYield[[#This Row],[Units in]]-tblYield[[#This Row],[Scrapped]])/tblYield[[#This Row],[Units in]],""))</f>
        <v>0.996539792387543</v>
      </c>
      <c r="M21" s="40">
        <f>IF(tblYield[[#This Row],[Date]]="","",IFERROR(INDEX(tblOperations[Rework cost],MATCH(tblYield[[#This Row],[Operation]],tblOperations[Operation],0)),""))</f>
        <v>2.9</v>
      </c>
      <c r="N21" s="40">
        <f>IF(tblYield[[#This Row],[Date]]="","",IFERROR(INDEX(tblOperations[Scrap cost],MATCH(tblYield[[#This Row],[Operation]],tblOperations[Operation],0)),""))</f>
        <v>34</v>
      </c>
      <c r="O21" s="40">
        <f>IF(tblYield[[#This Row],[Date]]="","",IF(tblYield[[#This Row],[Rework cost per unit]]="","",tblYield[[#This Row],[Reworked]]*tblYield[[#This Row],[Rework cost per unit]]))</f>
        <v>72.5</v>
      </c>
      <c r="P21" s="40">
        <f>IF(tblYield[[#This Row],[Date]]="","",IF(tblYield[[#This Row],[Scrap cost per unit]]="","",tblYield[[#This Row],[Scrapped]]*tblYield[[#This Row],[Scrap cost per unit]]))</f>
        <v>68</v>
      </c>
      <c r="Q21" s="41">
        <f>IF(tblYield[[#This Row],[Date]]="","",IF(AND(tblYield[[#This Row],[Date]]&gt;=FFrom,tblYield[[#This Row],[Date]]&lt;=FTo),tblYield[[#This Row],[Date]],""))</f>
        <v>46267</v>
      </c>
      <c r="R2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1" s="43" t="s">
        <v>104</v>
      </c>
    </row>
    <row r="22" spans="2:19" x14ac:dyDescent="0.25">
      <c r="B22" s="35">
        <v>46267</v>
      </c>
      <c r="C22" s="28" t="s">
        <v>82</v>
      </c>
      <c r="D22" s="36">
        <v>576</v>
      </c>
      <c r="E22" s="36">
        <v>555</v>
      </c>
      <c r="F22" s="36">
        <v>2</v>
      </c>
      <c r="G22" s="37">
        <f>IF(tblYield[[#This Row],[Date]]="","",tblYield[[#This Row],[Units in]]-tblYield[[#This Row],[Passed first time]])</f>
        <v>21</v>
      </c>
      <c r="H22" s="37">
        <f>IF(tblYield[[#This Row],[Date]]="","",tblYield[[#This Row],[Units in]]-tblYield[[#This Row],[Passed first time]]-tblYield[[#This Row],[Scrapped]])</f>
        <v>19</v>
      </c>
      <c r="I22" s="38">
        <f>IF(tblYield[[#This Row],[Date]]="","",IF(tblYield[[#This Row],[Units in]]&gt;0,tblYield[[#This Row],[Passed first time]]/tblYield[[#This Row],[Units in]],""))</f>
        <v>0.963541666666667</v>
      </c>
      <c r="J22" s="38">
        <f>IF(tblYield[[#This Row],[Date]]="","",IFERROR(INDEX(tblOperations[FPY target],MATCH(tblYield[[#This Row],[Operation]],tblOperations[Operation],0)),""))</f>
        <v>0.98</v>
      </c>
      <c r="K22" s="39" t="str">
        <f>IF(OR(NOT(ISNUMBER(tblYield[[#This Row],[FPY]])),NOT(ISNUMBER(tblYield[[#This Row],[FPY target]]))),"",IF(tblYield[[#This Row],[FPY]]&gt;=tblYield[[#This Row],[FPY target]],"On target",IF(tblYield[[#This Row],[FPY]]&gt;=tblYield[[#This Row],[FPY target]]-NearBand,"Near target","Below target")))</f>
        <v>Below target</v>
      </c>
      <c r="L22" s="38">
        <f>IF(tblYield[[#This Row],[Date]]="","",IF(tblYield[[#This Row],[Units in]]&gt;0,(tblYield[[#This Row],[Units in]]-tblYield[[#This Row],[Scrapped]])/tblYield[[#This Row],[Units in]],""))</f>
        <v>0.996527777777778</v>
      </c>
      <c r="M22" s="40">
        <f>IF(tblYield[[#This Row],[Date]]="","",IFERROR(INDEX(tblOperations[Rework cost],MATCH(tblYield[[#This Row],[Operation]],tblOperations[Operation],0)),""))</f>
        <v>8.5</v>
      </c>
      <c r="N22" s="40">
        <f>IF(tblYield[[#This Row],[Date]]="","",IFERROR(INDEX(tblOperations[Scrap cost],MATCH(tblYield[[#This Row],[Operation]],tblOperations[Operation],0)),""))</f>
        <v>36.5</v>
      </c>
      <c r="O22" s="40">
        <f>IF(tblYield[[#This Row],[Date]]="","",IF(tblYield[[#This Row],[Rework cost per unit]]="","",tblYield[[#This Row],[Reworked]]*tblYield[[#This Row],[Rework cost per unit]]))</f>
        <v>161.5</v>
      </c>
      <c r="P22" s="40">
        <f>IF(tblYield[[#This Row],[Date]]="","",IF(tblYield[[#This Row],[Scrap cost per unit]]="","",tblYield[[#This Row],[Scrapped]]*tblYield[[#This Row],[Scrap cost per unit]]))</f>
        <v>73</v>
      </c>
      <c r="Q22" s="41">
        <f>IF(tblYield[[#This Row],[Date]]="","",IF(AND(tblYield[[#This Row],[Date]]&gt;=FFrom,tblYield[[#This Row],[Date]]&lt;=FTo),tblYield[[#This Row],[Date]],""))</f>
        <v>46267</v>
      </c>
      <c r="R2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2" s="43" t="s">
        <v>104</v>
      </c>
    </row>
    <row r="23" spans="2:19" x14ac:dyDescent="0.25">
      <c r="B23" s="35">
        <v>46267</v>
      </c>
      <c r="C23" s="28" t="s">
        <v>84</v>
      </c>
      <c r="D23" s="36">
        <v>574</v>
      </c>
      <c r="E23" s="36">
        <v>564</v>
      </c>
      <c r="F23" s="36">
        <v>1</v>
      </c>
      <c r="G23" s="37">
        <f>IF(tblYield[[#This Row],[Date]]="","",tblYield[[#This Row],[Units in]]-tblYield[[#This Row],[Passed first time]])</f>
        <v>10</v>
      </c>
      <c r="H23" s="37">
        <f>IF(tblYield[[#This Row],[Date]]="","",tblYield[[#This Row],[Units in]]-tblYield[[#This Row],[Passed first time]]-tblYield[[#This Row],[Scrapped]])</f>
        <v>9</v>
      </c>
      <c r="I23" s="38">
        <f>IF(tblYield[[#This Row],[Date]]="","",IF(tblYield[[#This Row],[Units in]]&gt;0,tblYield[[#This Row],[Passed first time]]/tblYield[[#This Row],[Units in]],""))</f>
        <v>0.982578397212544</v>
      </c>
      <c r="J23" s="38">
        <f>IF(tblYield[[#This Row],[Date]]="","",IFERROR(INDEX(tblOperations[FPY target],MATCH(tblYield[[#This Row],[Operation]],tblOperations[Operation],0)),""))</f>
        <v>0.985</v>
      </c>
      <c r="K23" s="39" t="str">
        <f>IF(OR(NOT(ISNUMBER(tblYield[[#This Row],[FPY]])),NOT(ISNUMBER(tblYield[[#This Row],[FPY target]]))),"",IF(tblYield[[#This Row],[FPY]]&gt;=tblYield[[#This Row],[FPY target]],"On target",IF(tblYield[[#This Row],[FPY]]&gt;=tblYield[[#This Row],[FPY target]]-NearBand,"Near target","Below target")))</f>
        <v>Near target</v>
      </c>
      <c r="L23" s="38">
        <f>IF(tblYield[[#This Row],[Date]]="","",IF(tblYield[[#This Row],[Units in]]&gt;0,(tblYield[[#This Row],[Units in]]-tblYield[[#This Row],[Scrapped]])/tblYield[[#This Row],[Units in]],""))</f>
        <v>0.998257839721254</v>
      </c>
      <c r="M23" s="40">
        <f>IF(tblYield[[#This Row],[Date]]="","",IFERROR(INDEX(tblOperations[Rework cost],MATCH(tblYield[[#This Row],[Operation]],tblOperations[Operation],0)),""))</f>
        <v>12</v>
      </c>
      <c r="N23" s="40">
        <f>IF(tblYield[[#This Row],[Date]]="","",IFERROR(INDEX(tblOperations[Scrap cost],MATCH(tblYield[[#This Row],[Operation]],tblOperations[Operation],0)),""))</f>
        <v>38</v>
      </c>
      <c r="O23" s="40">
        <f>IF(tblYield[[#This Row],[Date]]="","",IF(tblYield[[#This Row],[Rework cost per unit]]="","",tblYield[[#This Row],[Reworked]]*tblYield[[#This Row],[Rework cost per unit]]))</f>
        <v>108</v>
      </c>
      <c r="P23" s="40">
        <f>IF(tblYield[[#This Row],[Date]]="","",IF(tblYield[[#This Row],[Scrap cost per unit]]="","",tblYield[[#This Row],[Scrapped]]*tblYield[[#This Row],[Scrap cost per unit]]))</f>
        <v>38</v>
      </c>
      <c r="Q23" s="41">
        <f>IF(tblYield[[#This Row],[Date]]="","",IF(AND(tblYield[[#This Row],[Date]]&gt;=FFrom,tblYield[[#This Row],[Date]]&lt;=FTo),tblYield[[#This Row],[Date]],""))</f>
        <v>46267</v>
      </c>
      <c r="R2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3" s="43" t="s">
        <v>104</v>
      </c>
    </row>
    <row r="24" spans="2:19" x14ac:dyDescent="0.25">
      <c r="B24" s="35">
        <v>46267</v>
      </c>
      <c r="C24" s="28" t="s">
        <v>86</v>
      </c>
      <c r="D24" s="36">
        <v>573</v>
      </c>
      <c r="E24" s="36">
        <v>569</v>
      </c>
      <c r="F24" s="36">
        <v>0</v>
      </c>
      <c r="G24" s="37">
        <f>IF(tblYield[[#This Row],[Date]]="","",tblYield[[#This Row],[Units in]]-tblYield[[#This Row],[Passed first time]])</f>
        <v>4</v>
      </c>
      <c r="H24" s="37">
        <f>IF(tblYield[[#This Row],[Date]]="","",tblYield[[#This Row],[Units in]]-tblYield[[#This Row],[Passed first time]]-tblYield[[#This Row],[Scrapped]])</f>
        <v>4</v>
      </c>
      <c r="I24" s="38">
        <f>IF(tblYield[[#This Row],[Date]]="","",IF(tblYield[[#This Row],[Units in]]&gt;0,tblYield[[#This Row],[Passed first time]]/tblYield[[#This Row],[Units in]],""))</f>
        <v>0.993019197207679</v>
      </c>
      <c r="J24" s="38">
        <f>IF(tblYield[[#This Row],[Date]]="","",IFERROR(INDEX(tblOperations[FPY target],MATCH(tblYield[[#This Row],[Operation]],tblOperations[Operation],0)),""))</f>
        <v>0.99</v>
      </c>
      <c r="K24" s="39" t="str">
        <f>IF(OR(NOT(ISNUMBER(tblYield[[#This Row],[FPY]])),NOT(ISNUMBER(tblYield[[#This Row],[FPY target]]))),"",IF(tblYield[[#This Row],[FPY]]&gt;=tblYield[[#This Row],[FPY target]],"On target",IF(tblYield[[#This Row],[FPY]]&gt;=tblYield[[#This Row],[FPY target]]-NearBand,"Near target","Below target")))</f>
        <v>On target</v>
      </c>
      <c r="L24" s="38">
        <f>IF(tblYield[[#This Row],[Date]]="","",IF(tblYield[[#This Row],[Units in]]&gt;0,(tblYield[[#This Row],[Units in]]-tblYield[[#This Row],[Scrapped]])/tblYield[[#This Row],[Units in]],""))</f>
        <v>1</v>
      </c>
      <c r="M24" s="40">
        <f>IF(tblYield[[#This Row],[Date]]="","",IFERROR(INDEX(tblOperations[Rework cost],MATCH(tblYield[[#This Row],[Operation]],tblOperations[Operation],0)),""))</f>
        <v>2.2</v>
      </c>
      <c r="N24" s="40">
        <f>IF(tblYield[[#This Row],[Date]]="","",IFERROR(INDEX(tblOperations[Scrap cost],MATCH(tblYield[[#This Row],[Operation]],tblOperations[Operation],0)),""))</f>
        <v>41</v>
      </c>
      <c r="O24" s="40">
        <f>IF(tblYield[[#This Row],[Date]]="","",IF(tblYield[[#This Row],[Rework cost per unit]]="","",tblYield[[#This Row],[Reworked]]*tblYield[[#This Row],[Rework cost per unit]]))</f>
        <v>8.8</v>
      </c>
      <c r="P24" s="40">
        <f>IF(tblYield[[#This Row],[Date]]="","",IF(tblYield[[#This Row],[Scrap cost per unit]]="","",tblYield[[#This Row],[Scrapped]]*tblYield[[#This Row],[Scrap cost per unit]]))</f>
        <v>0</v>
      </c>
      <c r="Q24" s="41">
        <f>IF(tblYield[[#This Row],[Date]]="","",IF(AND(tblYield[[#This Row],[Date]]&gt;=FFrom,tblYield[[#This Row],[Date]]&lt;=FTo),tblYield[[#This Row],[Date]],""))</f>
        <v>46267</v>
      </c>
      <c r="R2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4" s="43" t="s">
        <v>104</v>
      </c>
    </row>
    <row r="25" spans="2:19" x14ac:dyDescent="0.25">
      <c r="B25" s="35">
        <v>46268</v>
      </c>
      <c r="C25" s="28" t="s">
        <v>76</v>
      </c>
      <c r="D25" s="36">
        <v>600</v>
      </c>
      <c r="E25" s="36">
        <v>594</v>
      </c>
      <c r="F25" s="36">
        <v>0</v>
      </c>
      <c r="G25" s="37">
        <f>IF(tblYield[[#This Row],[Date]]="","",tblYield[[#This Row],[Units in]]-tblYield[[#This Row],[Passed first time]])</f>
        <v>6</v>
      </c>
      <c r="H25" s="37">
        <f>IF(tblYield[[#This Row],[Date]]="","",tblYield[[#This Row],[Units in]]-tblYield[[#This Row],[Passed first time]]-tblYield[[#This Row],[Scrapped]])</f>
        <v>6</v>
      </c>
      <c r="I25" s="38">
        <f>IF(tblYield[[#This Row],[Date]]="","",IF(tblYield[[#This Row],[Units in]]&gt;0,tblYield[[#This Row],[Passed first time]]/tblYield[[#This Row],[Units in]],""))</f>
        <v>0.99</v>
      </c>
      <c r="J25" s="38">
        <f>IF(tblYield[[#This Row],[Date]]="","",IFERROR(INDEX(tblOperations[FPY target],MATCH(tblYield[[#This Row],[Operation]],tblOperations[Operation],0)),""))</f>
        <v>0.99</v>
      </c>
      <c r="K25" s="39" t="str">
        <f>IF(OR(NOT(ISNUMBER(tblYield[[#This Row],[FPY]])),NOT(ISNUMBER(tblYield[[#This Row],[FPY target]]))),"",IF(tblYield[[#This Row],[FPY]]&gt;=tblYield[[#This Row],[FPY target]],"On target",IF(tblYield[[#This Row],[FPY]]&gt;=tblYield[[#This Row],[FPY target]]-NearBand,"Near target","Below target")))</f>
        <v>On target</v>
      </c>
      <c r="L25" s="38">
        <f>IF(tblYield[[#This Row],[Date]]="","",IF(tblYield[[#This Row],[Units in]]&gt;0,(tblYield[[#This Row],[Units in]]-tblYield[[#This Row],[Scrapped]])/tblYield[[#This Row],[Units in]],""))</f>
        <v>1</v>
      </c>
      <c r="M25" s="40">
        <f>IF(tblYield[[#This Row],[Date]]="","",IFERROR(INDEX(tblOperations[Rework cost],MATCH(tblYield[[#This Row],[Operation]],tblOperations[Operation],0)),""))</f>
        <v>0.6</v>
      </c>
      <c r="N25" s="40">
        <f>IF(tblYield[[#This Row],[Date]]="","",IFERROR(INDEX(tblOperations[Scrap cost],MATCH(tblYield[[#This Row],[Operation]],tblOperations[Operation],0)),""))</f>
        <v>4.8</v>
      </c>
      <c r="O25" s="40">
        <f>IF(tblYield[[#This Row],[Date]]="","",IF(tblYield[[#This Row],[Rework cost per unit]]="","",tblYield[[#This Row],[Reworked]]*tblYield[[#This Row],[Rework cost per unit]]))</f>
        <v>3.6</v>
      </c>
      <c r="P25" s="40">
        <f>IF(tblYield[[#This Row],[Date]]="","",IF(tblYield[[#This Row],[Scrap cost per unit]]="","",tblYield[[#This Row],[Scrapped]]*tblYield[[#This Row],[Scrap cost per unit]]))</f>
        <v>0</v>
      </c>
      <c r="Q25" s="41">
        <f>IF(tblYield[[#This Row],[Date]]="","",IF(AND(tblYield[[#This Row],[Date]]&gt;=FFrom,tblYield[[#This Row],[Date]]&lt;=FTo),tblYield[[#This Row],[Date]],""))</f>
        <v>46268</v>
      </c>
      <c r="R2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5" s="43" t="s">
        <v>104</v>
      </c>
    </row>
    <row r="26" spans="2:19" x14ac:dyDescent="0.25">
      <c r="B26" s="35">
        <v>46268</v>
      </c>
      <c r="C26" s="28" t="s">
        <v>78</v>
      </c>
      <c r="D26" s="36">
        <v>600</v>
      </c>
      <c r="E26" s="36">
        <v>587</v>
      </c>
      <c r="F26" s="36">
        <v>1</v>
      </c>
      <c r="G26" s="37">
        <f>IF(tblYield[[#This Row],[Date]]="","",tblYield[[#This Row],[Units in]]-tblYield[[#This Row],[Passed first time]])</f>
        <v>13</v>
      </c>
      <c r="H26" s="37">
        <f>IF(tblYield[[#This Row],[Date]]="","",tblYield[[#This Row],[Units in]]-tblYield[[#This Row],[Passed first time]]-tblYield[[#This Row],[Scrapped]])</f>
        <v>12</v>
      </c>
      <c r="I26" s="38">
        <f>IF(tblYield[[#This Row],[Date]]="","",IF(tblYield[[#This Row],[Units in]]&gt;0,tblYield[[#This Row],[Passed first time]]/tblYield[[#This Row],[Units in]],""))</f>
        <v>0.978333333333333</v>
      </c>
      <c r="J26" s="38">
        <f>IF(tblYield[[#This Row],[Date]]="","",IFERROR(INDEX(tblOperations[FPY target],MATCH(tblYield[[#This Row],[Operation]],tblOperations[Operation],0)),""))</f>
        <v>0.98</v>
      </c>
      <c r="K26" s="39" t="str">
        <f>IF(OR(NOT(ISNUMBER(tblYield[[#This Row],[FPY]])),NOT(ISNUMBER(tblYield[[#This Row],[FPY target]]))),"",IF(tblYield[[#This Row],[FPY]]&gt;=tblYield[[#This Row],[FPY target]],"On target",IF(tblYield[[#This Row],[FPY]]&gt;=tblYield[[#This Row],[FPY target]]-NearBand,"Near target","Below target")))</f>
        <v>Near target</v>
      </c>
      <c r="L26" s="38">
        <f>IF(tblYield[[#This Row],[Date]]="","",IF(tblYield[[#This Row],[Units in]]&gt;0,(tblYield[[#This Row],[Units in]]-tblYield[[#This Row],[Scrapped]])/tblYield[[#This Row],[Units in]],""))</f>
        <v>0.998333333333333</v>
      </c>
      <c r="M26" s="40">
        <f>IF(tblYield[[#This Row],[Date]]="","",IFERROR(INDEX(tblOperations[Rework cost],MATCH(tblYield[[#This Row],[Operation]],tblOperations[Operation],0)),""))</f>
        <v>3.8</v>
      </c>
      <c r="N26" s="40">
        <f>IF(tblYield[[#This Row],[Date]]="","",IFERROR(INDEX(tblOperations[Scrap cost],MATCH(tblYield[[#This Row],[Operation]],tblOperations[Operation],0)),""))</f>
        <v>31</v>
      </c>
      <c r="O26" s="40">
        <f>IF(tblYield[[#This Row],[Date]]="","",IF(tblYield[[#This Row],[Rework cost per unit]]="","",tblYield[[#This Row],[Reworked]]*tblYield[[#This Row],[Rework cost per unit]]))</f>
        <v>45.6</v>
      </c>
      <c r="P26" s="40">
        <f>IF(tblYield[[#This Row],[Date]]="","",IF(tblYield[[#This Row],[Scrap cost per unit]]="","",tblYield[[#This Row],[Scrapped]]*tblYield[[#This Row],[Scrap cost per unit]]))</f>
        <v>31</v>
      </c>
      <c r="Q26" s="41">
        <f>IF(tblYield[[#This Row],[Date]]="","",IF(AND(tblYield[[#This Row],[Date]]&gt;=FFrom,tblYield[[#This Row],[Date]]&lt;=FTo),tblYield[[#This Row],[Date]],""))</f>
        <v>46268</v>
      </c>
      <c r="R2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6" s="43" t="s">
        <v>104</v>
      </c>
    </row>
    <row r="27" spans="2:19" x14ac:dyDescent="0.25">
      <c r="B27" s="35">
        <v>46268</v>
      </c>
      <c r="C27" s="28" t="s">
        <v>80</v>
      </c>
      <c r="D27" s="36">
        <v>599</v>
      </c>
      <c r="E27" s="36">
        <v>572</v>
      </c>
      <c r="F27" s="36">
        <v>2</v>
      </c>
      <c r="G27" s="37">
        <f>IF(tblYield[[#This Row],[Date]]="","",tblYield[[#This Row],[Units in]]-tblYield[[#This Row],[Passed first time]])</f>
        <v>27</v>
      </c>
      <c r="H27" s="37">
        <f>IF(tblYield[[#This Row],[Date]]="","",tblYield[[#This Row],[Units in]]-tblYield[[#This Row],[Passed first time]]-tblYield[[#This Row],[Scrapped]])</f>
        <v>25</v>
      </c>
      <c r="I27" s="38">
        <f>IF(tblYield[[#This Row],[Date]]="","",IF(tblYield[[#This Row],[Units in]]&gt;0,tblYield[[#This Row],[Passed first time]]/tblYield[[#This Row],[Units in]],""))</f>
        <v>0.954924874791319</v>
      </c>
      <c r="J27" s="38">
        <f>IF(tblYield[[#This Row],[Date]]="","",IFERROR(INDEX(tblOperations[FPY target],MATCH(tblYield[[#This Row],[Operation]],tblOperations[Operation],0)),""))</f>
        <v>0.97</v>
      </c>
      <c r="K27" s="39" t="str">
        <f>IF(OR(NOT(ISNUMBER(tblYield[[#This Row],[FPY]])),NOT(ISNUMBER(tblYield[[#This Row],[FPY target]]))),"",IF(tblYield[[#This Row],[FPY]]&gt;=tblYield[[#This Row],[FPY target]],"On target",IF(tblYield[[#This Row],[FPY]]&gt;=tblYield[[#This Row],[FPY target]]-NearBand,"Near target","Below target")))</f>
        <v>Below target</v>
      </c>
      <c r="L27" s="38">
        <f>IF(tblYield[[#This Row],[Date]]="","",IF(tblYield[[#This Row],[Units in]]&gt;0,(tblYield[[#This Row],[Units in]]-tblYield[[#This Row],[Scrapped]])/tblYield[[#This Row],[Units in]],""))</f>
        <v>0.996661101836394</v>
      </c>
      <c r="M27" s="40">
        <f>IF(tblYield[[#This Row],[Date]]="","",IFERROR(INDEX(tblOperations[Rework cost],MATCH(tblYield[[#This Row],[Operation]],tblOperations[Operation],0)),""))</f>
        <v>2.9</v>
      </c>
      <c r="N27" s="40">
        <f>IF(tblYield[[#This Row],[Date]]="","",IFERROR(INDEX(tblOperations[Scrap cost],MATCH(tblYield[[#This Row],[Operation]],tblOperations[Operation],0)),""))</f>
        <v>34</v>
      </c>
      <c r="O27" s="40">
        <f>IF(tblYield[[#This Row],[Date]]="","",IF(tblYield[[#This Row],[Rework cost per unit]]="","",tblYield[[#This Row],[Reworked]]*tblYield[[#This Row],[Rework cost per unit]]))</f>
        <v>72.5</v>
      </c>
      <c r="P27" s="40">
        <f>IF(tblYield[[#This Row],[Date]]="","",IF(tblYield[[#This Row],[Scrap cost per unit]]="","",tblYield[[#This Row],[Scrapped]]*tblYield[[#This Row],[Scrap cost per unit]]))</f>
        <v>68</v>
      </c>
      <c r="Q27" s="41">
        <f>IF(tblYield[[#This Row],[Date]]="","",IF(AND(tblYield[[#This Row],[Date]]&gt;=FFrom,tblYield[[#This Row],[Date]]&lt;=FTo),tblYield[[#This Row],[Date]],""))</f>
        <v>46268</v>
      </c>
      <c r="R2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7" s="43" t="s">
        <v>104</v>
      </c>
    </row>
    <row r="28" spans="2:19" x14ac:dyDescent="0.25">
      <c r="B28" s="35">
        <v>46268</v>
      </c>
      <c r="C28" s="28" t="s">
        <v>82</v>
      </c>
      <c r="D28" s="36">
        <v>597</v>
      </c>
      <c r="E28" s="36">
        <v>584</v>
      </c>
      <c r="F28" s="36">
        <v>1</v>
      </c>
      <c r="G28" s="37">
        <f>IF(tblYield[[#This Row],[Date]]="","",tblYield[[#This Row],[Units in]]-tblYield[[#This Row],[Passed first time]])</f>
        <v>13</v>
      </c>
      <c r="H28" s="37">
        <f>IF(tblYield[[#This Row],[Date]]="","",tblYield[[#This Row],[Units in]]-tblYield[[#This Row],[Passed first time]]-tblYield[[#This Row],[Scrapped]])</f>
        <v>12</v>
      </c>
      <c r="I28" s="38">
        <f>IF(tblYield[[#This Row],[Date]]="","",IF(tblYield[[#This Row],[Units in]]&gt;0,tblYield[[#This Row],[Passed first time]]/tblYield[[#This Row],[Units in]],""))</f>
        <v>0.97822445561139</v>
      </c>
      <c r="J28" s="38">
        <f>IF(tblYield[[#This Row],[Date]]="","",IFERROR(INDEX(tblOperations[FPY target],MATCH(tblYield[[#This Row],[Operation]],tblOperations[Operation],0)),""))</f>
        <v>0.98</v>
      </c>
      <c r="K28" s="39" t="str">
        <f>IF(OR(NOT(ISNUMBER(tblYield[[#This Row],[FPY]])),NOT(ISNUMBER(tblYield[[#This Row],[FPY target]]))),"",IF(tblYield[[#This Row],[FPY]]&gt;=tblYield[[#This Row],[FPY target]],"On target",IF(tblYield[[#This Row],[FPY]]&gt;=tblYield[[#This Row],[FPY target]]-NearBand,"Near target","Below target")))</f>
        <v>Near target</v>
      </c>
      <c r="L28" s="38">
        <f>IF(tblYield[[#This Row],[Date]]="","",IF(tblYield[[#This Row],[Units in]]&gt;0,(tblYield[[#This Row],[Units in]]-tblYield[[#This Row],[Scrapped]])/tblYield[[#This Row],[Units in]],""))</f>
        <v>0.998324958123953</v>
      </c>
      <c r="M28" s="40">
        <f>IF(tblYield[[#This Row],[Date]]="","",IFERROR(INDEX(tblOperations[Rework cost],MATCH(tblYield[[#This Row],[Operation]],tblOperations[Operation],0)),""))</f>
        <v>8.5</v>
      </c>
      <c r="N28" s="40">
        <f>IF(tblYield[[#This Row],[Date]]="","",IFERROR(INDEX(tblOperations[Scrap cost],MATCH(tblYield[[#This Row],[Operation]],tblOperations[Operation],0)),""))</f>
        <v>36.5</v>
      </c>
      <c r="O28" s="40">
        <f>IF(tblYield[[#This Row],[Date]]="","",IF(tblYield[[#This Row],[Rework cost per unit]]="","",tblYield[[#This Row],[Reworked]]*tblYield[[#This Row],[Rework cost per unit]]))</f>
        <v>102</v>
      </c>
      <c r="P28" s="40">
        <f>IF(tblYield[[#This Row],[Date]]="","",IF(tblYield[[#This Row],[Scrap cost per unit]]="","",tblYield[[#This Row],[Scrapped]]*tblYield[[#This Row],[Scrap cost per unit]]))</f>
        <v>36.5</v>
      </c>
      <c r="Q28" s="41">
        <f>IF(tblYield[[#This Row],[Date]]="","",IF(AND(tblYield[[#This Row],[Date]]&gt;=FFrom,tblYield[[#This Row],[Date]]&lt;=FTo),tblYield[[#This Row],[Date]],""))</f>
        <v>46268</v>
      </c>
      <c r="R2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8" s="43" t="s">
        <v>104</v>
      </c>
    </row>
    <row r="29" spans="2:19" x14ac:dyDescent="0.25">
      <c r="B29" s="35">
        <v>46268</v>
      </c>
      <c r="C29" s="28" t="s">
        <v>84</v>
      </c>
      <c r="D29" s="36">
        <v>596</v>
      </c>
      <c r="E29" s="36">
        <v>588</v>
      </c>
      <c r="F29" s="36">
        <v>1</v>
      </c>
      <c r="G29" s="37">
        <f>IF(tblYield[[#This Row],[Date]]="","",tblYield[[#This Row],[Units in]]-tblYield[[#This Row],[Passed first time]])</f>
        <v>8</v>
      </c>
      <c r="H29" s="37">
        <f>IF(tblYield[[#This Row],[Date]]="","",tblYield[[#This Row],[Units in]]-tblYield[[#This Row],[Passed first time]]-tblYield[[#This Row],[Scrapped]])</f>
        <v>7</v>
      </c>
      <c r="I29" s="38">
        <f>IF(tblYield[[#This Row],[Date]]="","",IF(tblYield[[#This Row],[Units in]]&gt;0,tblYield[[#This Row],[Passed first time]]/tblYield[[#This Row],[Units in]],""))</f>
        <v>0.986577181208054</v>
      </c>
      <c r="J29" s="38">
        <f>IF(tblYield[[#This Row],[Date]]="","",IFERROR(INDEX(tblOperations[FPY target],MATCH(tblYield[[#This Row],[Operation]],tblOperations[Operation],0)),""))</f>
        <v>0.985</v>
      </c>
      <c r="K29" s="39" t="str">
        <f>IF(OR(NOT(ISNUMBER(tblYield[[#This Row],[FPY]])),NOT(ISNUMBER(tblYield[[#This Row],[FPY target]]))),"",IF(tblYield[[#This Row],[FPY]]&gt;=tblYield[[#This Row],[FPY target]],"On target",IF(tblYield[[#This Row],[FPY]]&gt;=tblYield[[#This Row],[FPY target]]-NearBand,"Near target","Below target")))</f>
        <v>On target</v>
      </c>
      <c r="L29" s="38">
        <f>IF(tblYield[[#This Row],[Date]]="","",IF(tblYield[[#This Row],[Units in]]&gt;0,(tblYield[[#This Row],[Units in]]-tblYield[[#This Row],[Scrapped]])/tblYield[[#This Row],[Units in]],""))</f>
        <v>0.998322147651007</v>
      </c>
      <c r="M29" s="40">
        <f>IF(tblYield[[#This Row],[Date]]="","",IFERROR(INDEX(tblOperations[Rework cost],MATCH(tblYield[[#This Row],[Operation]],tblOperations[Operation],0)),""))</f>
        <v>12</v>
      </c>
      <c r="N29" s="40">
        <f>IF(tblYield[[#This Row],[Date]]="","",IFERROR(INDEX(tblOperations[Scrap cost],MATCH(tblYield[[#This Row],[Operation]],tblOperations[Operation],0)),""))</f>
        <v>38</v>
      </c>
      <c r="O29" s="40">
        <f>IF(tblYield[[#This Row],[Date]]="","",IF(tblYield[[#This Row],[Rework cost per unit]]="","",tblYield[[#This Row],[Reworked]]*tblYield[[#This Row],[Rework cost per unit]]))</f>
        <v>84</v>
      </c>
      <c r="P29" s="40">
        <f>IF(tblYield[[#This Row],[Date]]="","",IF(tblYield[[#This Row],[Scrap cost per unit]]="","",tblYield[[#This Row],[Scrapped]]*tblYield[[#This Row],[Scrap cost per unit]]))</f>
        <v>38</v>
      </c>
      <c r="Q29" s="41">
        <f>IF(tblYield[[#This Row],[Date]]="","",IF(AND(tblYield[[#This Row],[Date]]&gt;=FFrom,tblYield[[#This Row],[Date]]&lt;=FTo),tblYield[[#This Row],[Date]],""))</f>
        <v>46268</v>
      </c>
      <c r="R2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29" s="43" t="s">
        <v>104</v>
      </c>
    </row>
    <row r="30" spans="2:19" x14ac:dyDescent="0.25">
      <c r="B30" s="35">
        <v>46268</v>
      </c>
      <c r="C30" s="28" t="s">
        <v>86</v>
      </c>
      <c r="D30" s="36">
        <v>595</v>
      </c>
      <c r="E30" s="36">
        <v>594</v>
      </c>
      <c r="F30" s="36">
        <v>0</v>
      </c>
      <c r="G30" s="37">
        <f>IF(tblYield[[#This Row],[Date]]="","",tblYield[[#This Row],[Units in]]-tblYield[[#This Row],[Passed first time]])</f>
        <v>1</v>
      </c>
      <c r="H30" s="37">
        <f>IF(tblYield[[#This Row],[Date]]="","",tblYield[[#This Row],[Units in]]-tblYield[[#This Row],[Passed first time]]-tblYield[[#This Row],[Scrapped]])</f>
        <v>1</v>
      </c>
      <c r="I30" s="38">
        <f>IF(tblYield[[#This Row],[Date]]="","",IF(tblYield[[#This Row],[Units in]]&gt;0,tblYield[[#This Row],[Passed first time]]/tblYield[[#This Row],[Units in]],""))</f>
        <v>0.998319327731092</v>
      </c>
      <c r="J30" s="38">
        <f>IF(tblYield[[#This Row],[Date]]="","",IFERROR(INDEX(tblOperations[FPY target],MATCH(tblYield[[#This Row],[Operation]],tblOperations[Operation],0)),""))</f>
        <v>0.99</v>
      </c>
      <c r="K30" s="39" t="str">
        <f>IF(OR(NOT(ISNUMBER(tblYield[[#This Row],[FPY]])),NOT(ISNUMBER(tblYield[[#This Row],[FPY target]]))),"",IF(tblYield[[#This Row],[FPY]]&gt;=tblYield[[#This Row],[FPY target]],"On target",IF(tblYield[[#This Row],[FPY]]&gt;=tblYield[[#This Row],[FPY target]]-NearBand,"Near target","Below target")))</f>
        <v>On target</v>
      </c>
      <c r="L30" s="38">
        <f>IF(tblYield[[#This Row],[Date]]="","",IF(tblYield[[#This Row],[Units in]]&gt;0,(tblYield[[#This Row],[Units in]]-tblYield[[#This Row],[Scrapped]])/tblYield[[#This Row],[Units in]],""))</f>
        <v>1</v>
      </c>
      <c r="M30" s="40">
        <f>IF(tblYield[[#This Row],[Date]]="","",IFERROR(INDEX(tblOperations[Rework cost],MATCH(tblYield[[#This Row],[Operation]],tblOperations[Operation],0)),""))</f>
        <v>2.2</v>
      </c>
      <c r="N30" s="40">
        <f>IF(tblYield[[#This Row],[Date]]="","",IFERROR(INDEX(tblOperations[Scrap cost],MATCH(tblYield[[#This Row],[Operation]],tblOperations[Operation],0)),""))</f>
        <v>41</v>
      </c>
      <c r="O30" s="40">
        <f>IF(tblYield[[#This Row],[Date]]="","",IF(tblYield[[#This Row],[Rework cost per unit]]="","",tblYield[[#This Row],[Reworked]]*tblYield[[#This Row],[Rework cost per unit]]))</f>
        <v>2.2</v>
      </c>
      <c r="P30" s="40">
        <f>IF(tblYield[[#This Row],[Date]]="","",IF(tblYield[[#This Row],[Scrap cost per unit]]="","",tblYield[[#This Row],[Scrapped]]*tblYield[[#This Row],[Scrap cost per unit]]))</f>
        <v>0</v>
      </c>
      <c r="Q30" s="41">
        <f>IF(tblYield[[#This Row],[Date]]="","",IF(AND(tblYield[[#This Row],[Date]]&gt;=FFrom,tblYield[[#This Row],[Date]]&lt;=FTo),tblYield[[#This Row],[Date]],""))</f>
        <v>46268</v>
      </c>
      <c r="R3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0" s="43" t="s">
        <v>104</v>
      </c>
    </row>
    <row r="31" spans="2:19" x14ac:dyDescent="0.25">
      <c r="B31" s="35">
        <v>46269</v>
      </c>
      <c r="C31" s="28" t="s">
        <v>76</v>
      </c>
      <c r="D31" s="36">
        <v>630</v>
      </c>
      <c r="E31" s="36">
        <v>625</v>
      </c>
      <c r="F31" s="36">
        <v>0</v>
      </c>
      <c r="G31" s="37">
        <f>IF(tblYield[[#This Row],[Date]]="","",tblYield[[#This Row],[Units in]]-tblYield[[#This Row],[Passed first time]])</f>
        <v>5</v>
      </c>
      <c r="H31" s="37">
        <f>IF(tblYield[[#This Row],[Date]]="","",tblYield[[#This Row],[Units in]]-tblYield[[#This Row],[Passed first time]]-tblYield[[#This Row],[Scrapped]])</f>
        <v>5</v>
      </c>
      <c r="I31" s="38">
        <f>IF(tblYield[[#This Row],[Date]]="","",IF(tblYield[[#This Row],[Units in]]&gt;0,tblYield[[#This Row],[Passed first time]]/tblYield[[#This Row],[Units in]],""))</f>
        <v>0.992063492063492</v>
      </c>
      <c r="J31" s="38">
        <f>IF(tblYield[[#This Row],[Date]]="","",IFERROR(INDEX(tblOperations[FPY target],MATCH(tblYield[[#This Row],[Operation]],tblOperations[Operation],0)),""))</f>
        <v>0.99</v>
      </c>
      <c r="K31" s="39" t="str">
        <f>IF(OR(NOT(ISNUMBER(tblYield[[#This Row],[FPY]])),NOT(ISNUMBER(tblYield[[#This Row],[FPY target]]))),"",IF(tblYield[[#This Row],[FPY]]&gt;=tblYield[[#This Row],[FPY target]],"On target",IF(tblYield[[#This Row],[FPY]]&gt;=tblYield[[#This Row],[FPY target]]-NearBand,"Near target","Below target")))</f>
        <v>On target</v>
      </c>
      <c r="L31" s="38">
        <f>IF(tblYield[[#This Row],[Date]]="","",IF(tblYield[[#This Row],[Units in]]&gt;0,(tblYield[[#This Row],[Units in]]-tblYield[[#This Row],[Scrapped]])/tblYield[[#This Row],[Units in]],""))</f>
        <v>1</v>
      </c>
      <c r="M31" s="40">
        <f>IF(tblYield[[#This Row],[Date]]="","",IFERROR(INDEX(tblOperations[Rework cost],MATCH(tblYield[[#This Row],[Operation]],tblOperations[Operation],0)),""))</f>
        <v>0.6</v>
      </c>
      <c r="N31" s="40">
        <f>IF(tblYield[[#This Row],[Date]]="","",IFERROR(INDEX(tblOperations[Scrap cost],MATCH(tblYield[[#This Row],[Operation]],tblOperations[Operation],0)),""))</f>
        <v>4.8</v>
      </c>
      <c r="O31" s="40">
        <f>IF(tblYield[[#This Row],[Date]]="","",IF(tblYield[[#This Row],[Rework cost per unit]]="","",tblYield[[#This Row],[Reworked]]*tblYield[[#This Row],[Rework cost per unit]]))</f>
        <v>3</v>
      </c>
      <c r="P31" s="40">
        <f>IF(tblYield[[#This Row],[Date]]="","",IF(tblYield[[#This Row],[Scrap cost per unit]]="","",tblYield[[#This Row],[Scrapped]]*tblYield[[#This Row],[Scrap cost per unit]]))</f>
        <v>0</v>
      </c>
      <c r="Q31" s="41">
        <f>IF(tblYield[[#This Row],[Date]]="","",IF(AND(tblYield[[#This Row],[Date]]&gt;=FFrom,tblYield[[#This Row],[Date]]&lt;=FTo),tblYield[[#This Row],[Date]],""))</f>
        <v>46269</v>
      </c>
      <c r="R3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1" s="43" t="s">
        <v>104</v>
      </c>
    </row>
    <row r="32" spans="2:19" x14ac:dyDescent="0.25">
      <c r="B32" s="35">
        <v>46269</v>
      </c>
      <c r="C32" s="28" t="s">
        <v>78</v>
      </c>
      <c r="D32" s="36">
        <v>630</v>
      </c>
      <c r="E32" s="36">
        <v>616</v>
      </c>
      <c r="F32" s="36">
        <v>1</v>
      </c>
      <c r="G32" s="37">
        <f>IF(tblYield[[#This Row],[Date]]="","",tblYield[[#This Row],[Units in]]-tblYield[[#This Row],[Passed first time]])</f>
        <v>14</v>
      </c>
      <c r="H32" s="37">
        <f>IF(tblYield[[#This Row],[Date]]="","",tblYield[[#This Row],[Units in]]-tblYield[[#This Row],[Passed first time]]-tblYield[[#This Row],[Scrapped]])</f>
        <v>13</v>
      </c>
      <c r="I32" s="38">
        <f>IF(tblYield[[#This Row],[Date]]="","",IF(tblYield[[#This Row],[Units in]]&gt;0,tblYield[[#This Row],[Passed first time]]/tblYield[[#This Row],[Units in]],""))</f>
        <v>0.977777777777778</v>
      </c>
      <c r="J32" s="38">
        <f>IF(tblYield[[#This Row],[Date]]="","",IFERROR(INDEX(tblOperations[FPY target],MATCH(tblYield[[#This Row],[Operation]],tblOperations[Operation],0)),""))</f>
        <v>0.98</v>
      </c>
      <c r="K32" s="39" t="str">
        <f>IF(OR(NOT(ISNUMBER(tblYield[[#This Row],[FPY]])),NOT(ISNUMBER(tblYield[[#This Row],[FPY target]]))),"",IF(tblYield[[#This Row],[FPY]]&gt;=tblYield[[#This Row],[FPY target]],"On target",IF(tblYield[[#This Row],[FPY]]&gt;=tblYield[[#This Row],[FPY target]]-NearBand,"Near target","Below target")))</f>
        <v>Near target</v>
      </c>
      <c r="L32" s="38">
        <f>IF(tblYield[[#This Row],[Date]]="","",IF(tblYield[[#This Row],[Units in]]&gt;0,(tblYield[[#This Row],[Units in]]-tblYield[[#This Row],[Scrapped]])/tblYield[[#This Row],[Units in]],""))</f>
        <v>0.998412698412698</v>
      </c>
      <c r="M32" s="40">
        <f>IF(tblYield[[#This Row],[Date]]="","",IFERROR(INDEX(tblOperations[Rework cost],MATCH(tblYield[[#This Row],[Operation]],tblOperations[Operation],0)),""))</f>
        <v>3.8</v>
      </c>
      <c r="N32" s="40">
        <f>IF(tblYield[[#This Row],[Date]]="","",IFERROR(INDEX(tblOperations[Scrap cost],MATCH(tblYield[[#This Row],[Operation]],tblOperations[Operation],0)),""))</f>
        <v>31</v>
      </c>
      <c r="O32" s="40">
        <f>IF(tblYield[[#This Row],[Date]]="","",IF(tblYield[[#This Row],[Rework cost per unit]]="","",tblYield[[#This Row],[Reworked]]*tblYield[[#This Row],[Rework cost per unit]]))</f>
        <v>49.4</v>
      </c>
      <c r="P32" s="40">
        <f>IF(tblYield[[#This Row],[Date]]="","",IF(tblYield[[#This Row],[Scrap cost per unit]]="","",tblYield[[#This Row],[Scrapped]]*tblYield[[#This Row],[Scrap cost per unit]]))</f>
        <v>31</v>
      </c>
      <c r="Q32" s="41">
        <f>IF(tblYield[[#This Row],[Date]]="","",IF(AND(tblYield[[#This Row],[Date]]&gt;=FFrom,tblYield[[#This Row],[Date]]&lt;=FTo),tblYield[[#This Row],[Date]],""))</f>
        <v>46269</v>
      </c>
      <c r="R3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2" s="43" t="s">
        <v>104</v>
      </c>
    </row>
    <row r="33" spans="2:19" x14ac:dyDescent="0.25">
      <c r="B33" s="35">
        <v>46269</v>
      </c>
      <c r="C33" s="28" t="s">
        <v>80</v>
      </c>
      <c r="D33" s="36">
        <v>629</v>
      </c>
      <c r="E33" s="36">
        <v>601</v>
      </c>
      <c r="F33" s="36">
        <v>2</v>
      </c>
      <c r="G33" s="37">
        <f>IF(tblYield[[#This Row],[Date]]="","",tblYield[[#This Row],[Units in]]-tblYield[[#This Row],[Passed first time]])</f>
        <v>28</v>
      </c>
      <c r="H33" s="37">
        <f>IF(tblYield[[#This Row],[Date]]="","",tblYield[[#This Row],[Units in]]-tblYield[[#This Row],[Passed first time]]-tblYield[[#This Row],[Scrapped]])</f>
        <v>26</v>
      </c>
      <c r="I33" s="38">
        <f>IF(tblYield[[#This Row],[Date]]="","",IF(tblYield[[#This Row],[Units in]]&gt;0,tblYield[[#This Row],[Passed first time]]/tblYield[[#This Row],[Units in]],""))</f>
        <v>0.955484896661367</v>
      </c>
      <c r="J33" s="38">
        <f>IF(tblYield[[#This Row],[Date]]="","",IFERROR(INDEX(tblOperations[FPY target],MATCH(tblYield[[#This Row],[Operation]],tblOperations[Operation],0)),""))</f>
        <v>0.97</v>
      </c>
      <c r="K33" s="39" t="str">
        <f>IF(OR(NOT(ISNUMBER(tblYield[[#This Row],[FPY]])),NOT(ISNUMBER(tblYield[[#This Row],[FPY target]]))),"",IF(tblYield[[#This Row],[FPY]]&gt;=tblYield[[#This Row],[FPY target]],"On target",IF(tblYield[[#This Row],[FPY]]&gt;=tblYield[[#This Row],[FPY target]]-NearBand,"Near target","Below target")))</f>
        <v>Below target</v>
      </c>
      <c r="L33" s="38">
        <f>IF(tblYield[[#This Row],[Date]]="","",IF(tblYield[[#This Row],[Units in]]&gt;0,(tblYield[[#This Row],[Units in]]-tblYield[[#This Row],[Scrapped]])/tblYield[[#This Row],[Units in]],""))</f>
        <v>0.996820349761526</v>
      </c>
      <c r="M33" s="40">
        <f>IF(tblYield[[#This Row],[Date]]="","",IFERROR(INDEX(tblOperations[Rework cost],MATCH(tblYield[[#This Row],[Operation]],tblOperations[Operation],0)),""))</f>
        <v>2.9</v>
      </c>
      <c r="N33" s="40">
        <f>IF(tblYield[[#This Row],[Date]]="","",IFERROR(INDEX(tblOperations[Scrap cost],MATCH(tblYield[[#This Row],[Operation]],tblOperations[Operation],0)),""))</f>
        <v>34</v>
      </c>
      <c r="O33" s="40">
        <f>IF(tblYield[[#This Row],[Date]]="","",IF(tblYield[[#This Row],[Rework cost per unit]]="","",tblYield[[#This Row],[Reworked]]*tblYield[[#This Row],[Rework cost per unit]]))</f>
        <v>75.4</v>
      </c>
      <c r="P33" s="40">
        <f>IF(tblYield[[#This Row],[Date]]="","",IF(tblYield[[#This Row],[Scrap cost per unit]]="","",tblYield[[#This Row],[Scrapped]]*tblYield[[#This Row],[Scrap cost per unit]]))</f>
        <v>68</v>
      </c>
      <c r="Q33" s="41">
        <f>IF(tblYield[[#This Row],[Date]]="","",IF(AND(tblYield[[#This Row],[Date]]&gt;=FFrom,tblYield[[#This Row],[Date]]&lt;=FTo),tblYield[[#This Row],[Date]],""))</f>
        <v>46269</v>
      </c>
      <c r="R3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3" s="43" t="s">
        <v>104</v>
      </c>
    </row>
    <row r="34" spans="2:19" x14ac:dyDescent="0.25">
      <c r="B34" s="35">
        <v>46269</v>
      </c>
      <c r="C34" s="28" t="s">
        <v>82</v>
      </c>
      <c r="D34" s="36">
        <v>627</v>
      </c>
      <c r="E34" s="36">
        <v>618</v>
      </c>
      <c r="F34" s="36">
        <v>1</v>
      </c>
      <c r="G34" s="37">
        <f>IF(tblYield[[#This Row],[Date]]="","",tblYield[[#This Row],[Units in]]-tblYield[[#This Row],[Passed first time]])</f>
        <v>9</v>
      </c>
      <c r="H34" s="37">
        <f>IF(tblYield[[#This Row],[Date]]="","",tblYield[[#This Row],[Units in]]-tblYield[[#This Row],[Passed first time]]-tblYield[[#This Row],[Scrapped]])</f>
        <v>8</v>
      </c>
      <c r="I34" s="38">
        <f>IF(tblYield[[#This Row],[Date]]="","",IF(tblYield[[#This Row],[Units in]]&gt;0,tblYield[[#This Row],[Passed first time]]/tblYield[[#This Row],[Units in]],""))</f>
        <v>0.985645933014354</v>
      </c>
      <c r="J34" s="38">
        <f>IF(tblYield[[#This Row],[Date]]="","",IFERROR(INDEX(tblOperations[FPY target],MATCH(tblYield[[#This Row],[Operation]],tblOperations[Operation],0)),""))</f>
        <v>0.98</v>
      </c>
      <c r="K34" s="39" t="str">
        <f>IF(OR(NOT(ISNUMBER(tblYield[[#This Row],[FPY]])),NOT(ISNUMBER(tblYield[[#This Row],[FPY target]]))),"",IF(tblYield[[#This Row],[FPY]]&gt;=tblYield[[#This Row],[FPY target]],"On target",IF(tblYield[[#This Row],[FPY]]&gt;=tblYield[[#This Row],[FPY target]]-NearBand,"Near target","Below target")))</f>
        <v>On target</v>
      </c>
      <c r="L34" s="38">
        <f>IF(tblYield[[#This Row],[Date]]="","",IF(tblYield[[#This Row],[Units in]]&gt;0,(tblYield[[#This Row],[Units in]]-tblYield[[#This Row],[Scrapped]])/tblYield[[#This Row],[Units in]],""))</f>
        <v>0.998405103668262</v>
      </c>
      <c r="M34" s="40">
        <f>IF(tblYield[[#This Row],[Date]]="","",IFERROR(INDEX(tblOperations[Rework cost],MATCH(tblYield[[#This Row],[Operation]],tblOperations[Operation],0)),""))</f>
        <v>8.5</v>
      </c>
      <c r="N34" s="40">
        <f>IF(tblYield[[#This Row],[Date]]="","",IFERROR(INDEX(tblOperations[Scrap cost],MATCH(tblYield[[#This Row],[Operation]],tblOperations[Operation],0)),""))</f>
        <v>36.5</v>
      </c>
      <c r="O34" s="40">
        <f>IF(tblYield[[#This Row],[Date]]="","",IF(tblYield[[#This Row],[Rework cost per unit]]="","",tblYield[[#This Row],[Reworked]]*tblYield[[#This Row],[Rework cost per unit]]))</f>
        <v>68</v>
      </c>
      <c r="P34" s="40">
        <f>IF(tblYield[[#This Row],[Date]]="","",IF(tblYield[[#This Row],[Scrap cost per unit]]="","",tblYield[[#This Row],[Scrapped]]*tblYield[[#This Row],[Scrap cost per unit]]))</f>
        <v>36.5</v>
      </c>
      <c r="Q34" s="41">
        <f>IF(tblYield[[#This Row],[Date]]="","",IF(AND(tblYield[[#This Row],[Date]]&gt;=FFrom,tblYield[[#This Row],[Date]]&lt;=FTo),tblYield[[#This Row],[Date]],""))</f>
        <v>46269</v>
      </c>
      <c r="R3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4" s="43" t="s">
        <v>104</v>
      </c>
    </row>
    <row r="35" spans="2:19" x14ac:dyDescent="0.25">
      <c r="B35" s="35">
        <v>46269</v>
      </c>
      <c r="C35" s="28" t="s">
        <v>84</v>
      </c>
      <c r="D35" s="36">
        <v>626</v>
      </c>
      <c r="E35" s="36">
        <v>619</v>
      </c>
      <c r="F35" s="36">
        <v>1</v>
      </c>
      <c r="G35" s="37">
        <f>IF(tblYield[[#This Row],[Date]]="","",tblYield[[#This Row],[Units in]]-tblYield[[#This Row],[Passed first time]])</f>
        <v>7</v>
      </c>
      <c r="H35" s="37">
        <f>IF(tblYield[[#This Row],[Date]]="","",tblYield[[#This Row],[Units in]]-tblYield[[#This Row],[Passed first time]]-tblYield[[#This Row],[Scrapped]])</f>
        <v>6</v>
      </c>
      <c r="I35" s="38">
        <f>IF(tblYield[[#This Row],[Date]]="","",IF(tblYield[[#This Row],[Units in]]&gt;0,tblYield[[#This Row],[Passed first time]]/tblYield[[#This Row],[Units in]],""))</f>
        <v>0.988817891373802</v>
      </c>
      <c r="J35" s="38">
        <f>IF(tblYield[[#This Row],[Date]]="","",IFERROR(INDEX(tblOperations[FPY target],MATCH(tblYield[[#This Row],[Operation]],tblOperations[Operation],0)),""))</f>
        <v>0.985</v>
      </c>
      <c r="K35" s="39" t="str">
        <f>IF(OR(NOT(ISNUMBER(tblYield[[#This Row],[FPY]])),NOT(ISNUMBER(tblYield[[#This Row],[FPY target]]))),"",IF(tblYield[[#This Row],[FPY]]&gt;=tblYield[[#This Row],[FPY target]],"On target",IF(tblYield[[#This Row],[FPY]]&gt;=tblYield[[#This Row],[FPY target]]-NearBand,"Near target","Below target")))</f>
        <v>On target</v>
      </c>
      <c r="L35" s="38">
        <f>IF(tblYield[[#This Row],[Date]]="","",IF(tblYield[[#This Row],[Units in]]&gt;0,(tblYield[[#This Row],[Units in]]-tblYield[[#This Row],[Scrapped]])/tblYield[[#This Row],[Units in]],""))</f>
        <v>0.998402555910543</v>
      </c>
      <c r="M35" s="40">
        <f>IF(tblYield[[#This Row],[Date]]="","",IFERROR(INDEX(tblOperations[Rework cost],MATCH(tblYield[[#This Row],[Operation]],tblOperations[Operation],0)),""))</f>
        <v>12</v>
      </c>
      <c r="N35" s="40">
        <f>IF(tblYield[[#This Row],[Date]]="","",IFERROR(INDEX(tblOperations[Scrap cost],MATCH(tblYield[[#This Row],[Operation]],tblOperations[Operation],0)),""))</f>
        <v>38</v>
      </c>
      <c r="O35" s="40">
        <f>IF(tblYield[[#This Row],[Date]]="","",IF(tblYield[[#This Row],[Rework cost per unit]]="","",tblYield[[#This Row],[Reworked]]*tblYield[[#This Row],[Rework cost per unit]]))</f>
        <v>72</v>
      </c>
      <c r="P35" s="40">
        <f>IF(tblYield[[#This Row],[Date]]="","",IF(tblYield[[#This Row],[Scrap cost per unit]]="","",tblYield[[#This Row],[Scrapped]]*tblYield[[#This Row],[Scrap cost per unit]]))</f>
        <v>38</v>
      </c>
      <c r="Q35" s="41">
        <f>IF(tblYield[[#This Row],[Date]]="","",IF(AND(tblYield[[#This Row],[Date]]&gt;=FFrom,tblYield[[#This Row],[Date]]&lt;=FTo),tblYield[[#This Row],[Date]],""))</f>
        <v>46269</v>
      </c>
      <c r="R3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5" s="43" t="s">
        <v>104</v>
      </c>
    </row>
    <row r="36" spans="2:19" x14ac:dyDescent="0.25">
      <c r="B36" s="35">
        <v>46269</v>
      </c>
      <c r="C36" s="28" t="s">
        <v>86</v>
      </c>
      <c r="D36" s="36">
        <v>625</v>
      </c>
      <c r="E36" s="36">
        <v>623</v>
      </c>
      <c r="F36" s="36">
        <v>0</v>
      </c>
      <c r="G36" s="37">
        <f>IF(tblYield[[#This Row],[Date]]="","",tblYield[[#This Row],[Units in]]-tblYield[[#This Row],[Passed first time]])</f>
        <v>2</v>
      </c>
      <c r="H36" s="37">
        <f>IF(tblYield[[#This Row],[Date]]="","",tblYield[[#This Row],[Units in]]-tblYield[[#This Row],[Passed first time]]-tblYield[[#This Row],[Scrapped]])</f>
        <v>2</v>
      </c>
      <c r="I36" s="38">
        <f>IF(tblYield[[#This Row],[Date]]="","",IF(tblYield[[#This Row],[Units in]]&gt;0,tblYield[[#This Row],[Passed first time]]/tblYield[[#This Row],[Units in]],""))</f>
        <v>0.9968</v>
      </c>
      <c r="J36" s="38">
        <f>IF(tblYield[[#This Row],[Date]]="","",IFERROR(INDEX(tblOperations[FPY target],MATCH(tblYield[[#This Row],[Operation]],tblOperations[Operation],0)),""))</f>
        <v>0.99</v>
      </c>
      <c r="K36" s="39" t="str">
        <f>IF(OR(NOT(ISNUMBER(tblYield[[#This Row],[FPY]])),NOT(ISNUMBER(tblYield[[#This Row],[FPY target]]))),"",IF(tblYield[[#This Row],[FPY]]&gt;=tblYield[[#This Row],[FPY target]],"On target",IF(tblYield[[#This Row],[FPY]]&gt;=tblYield[[#This Row],[FPY target]]-NearBand,"Near target","Below target")))</f>
        <v>On target</v>
      </c>
      <c r="L36" s="38">
        <f>IF(tblYield[[#This Row],[Date]]="","",IF(tblYield[[#This Row],[Units in]]&gt;0,(tblYield[[#This Row],[Units in]]-tblYield[[#This Row],[Scrapped]])/tblYield[[#This Row],[Units in]],""))</f>
        <v>1</v>
      </c>
      <c r="M36" s="40">
        <f>IF(tblYield[[#This Row],[Date]]="","",IFERROR(INDEX(tblOperations[Rework cost],MATCH(tblYield[[#This Row],[Operation]],tblOperations[Operation],0)),""))</f>
        <v>2.2</v>
      </c>
      <c r="N36" s="40">
        <f>IF(tblYield[[#This Row],[Date]]="","",IFERROR(INDEX(tblOperations[Scrap cost],MATCH(tblYield[[#This Row],[Operation]],tblOperations[Operation],0)),""))</f>
        <v>41</v>
      </c>
      <c r="O36" s="40">
        <f>IF(tblYield[[#This Row],[Date]]="","",IF(tblYield[[#This Row],[Rework cost per unit]]="","",tblYield[[#This Row],[Reworked]]*tblYield[[#This Row],[Rework cost per unit]]))</f>
        <v>4.4</v>
      </c>
      <c r="P36" s="40">
        <f>IF(tblYield[[#This Row],[Date]]="","",IF(tblYield[[#This Row],[Scrap cost per unit]]="","",tblYield[[#This Row],[Scrapped]]*tblYield[[#This Row],[Scrap cost per unit]]))</f>
        <v>0</v>
      </c>
      <c r="Q36" s="41">
        <f>IF(tblYield[[#This Row],[Date]]="","",IF(AND(tblYield[[#This Row],[Date]]&gt;=FFrom,tblYield[[#This Row],[Date]]&lt;=FTo),tblYield[[#This Row],[Date]],""))</f>
        <v>46269</v>
      </c>
      <c r="R3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6" s="43" t="s">
        <v>104</v>
      </c>
    </row>
    <row r="37" spans="2:19" x14ac:dyDescent="0.25">
      <c r="B37" s="35">
        <v>46272</v>
      </c>
      <c r="C37" s="28" t="s">
        <v>76</v>
      </c>
      <c r="D37" s="36">
        <v>600</v>
      </c>
      <c r="E37" s="36">
        <v>597</v>
      </c>
      <c r="F37" s="36">
        <v>0</v>
      </c>
      <c r="G37" s="37">
        <f>IF(tblYield[[#This Row],[Date]]="","",tblYield[[#This Row],[Units in]]-tblYield[[#This Row],[Passed first time]])</f>
        <v>3</v>
      </c>
      <c r="H37" s="37">
        <f>IF(tblYield[[#This Row],[Date]]="","",tblYield[[#This Row],[Units in]]-tblYield[[#This Row],[Passed first time]]-tblYield[[#This Row],[Scrapped]])</f>
        <v>3</v>
      </c>
      <c r="I37" s="38">
        <f>IF(tblYield[[#This Row],[Date]]="","",IF(tblYield[[#This Row],[Units in]]&gt;0,tblYield[[#This Row],[Passed first time]]/tblYield[[#This Row],[Units in]],""))</f>
        <v>0.995</v>
      </c>
      <c r="J37" s="38">
        <f>IF(tblYield[[#This Row],[Date]]="","",IFERROR(INDEX(tblOperations[FPY target],MATCH(tblYield[[#This Row],[Operation]],tblOperations[Operation],0)),""))</f>
        <v>0.99</v>
      </c>
      <c r="K37" s="39" t="str">
        <f>IF(OR(NOT(ISNUMBER(tblYield[[#This Row],[FPY]])),NOT(ISNUMBER(tblYield[[#This Row],[FPY target]]))),"",IF(tblYield[[#This Row],[FPY]]&gt;=tblYield[[#This Row],[FPY target]],"On target",IF(tblYield[[#This Row],[FPY]]&gt;=tblYield[[#This Row],[FPY target]]-NearBand,"Near target","Below target")))</f>
        <v>On target</v>
      </c>
      <c r="L37" s="38">
        <f>IF(tblYield[[#This Row],[Date]]="","",IF(tblYield[[#This Row],[Units in]]&gt;0,(tblYield[[#This Row],[Units in]]-tblYield[[#This Row],[Scrapped]])/tblYield[[#This Row],[Units in]],""))</f>
        <v>1</v>
      </c>
      <c r="M37" s="40">
        <f>IF(tblYield[[#This Row],[Date]]="","",IFERROR(INDEX(tblOperations[Rework cost],MATCH(tblYield[[#This Row],[Operation]],tblOperations[Operation],0)),""))</f>
        <v>0.6</v>
      </c>
      <c r="N37" s="40">
        <f>IF(tblYield[[#This Row],[Date]]="","",IFERROR(INDEX(tblOperations[Scrap cost],MATCH(tblYield[[#This Row],[Operation]],tblOperations[Operation],0)),""))</f>
        <v>4.8</v>
      </c>
      <c r="O37" s="40">
        <f>IF(tblYield[[#This Row],[Date]]="","",IF(tblYield[[#This Row],[Rework cost per unit]]="","",tblYield[[#This Row],[Reworked]]*tblYield[[#This Row],[Rework cost per unit]]))</f>
        <v>1.8</v>
      </c>
      <c r="P37" s="40">
        <f>IF(tblYield[[#This Row],[Date]]="","",IF(tblYield[[#This Row],[Scrap cost per unit]]="","",tblYield[[#This Row],[Scrapped]]*tblYield[[#This Row],[Scrap cost per unit]]))</f>
        <v>0</v>
      </c>
      <c r="Q37" s="41">
        <f>IF(tblYield[[#This Row],[Date]]="","",IF(AND(tblYield[[#This Row],[Date]]&gt;=FFrom,tblYield[[#This Row],[Date]]&lt;=FTo),tblYield[[#This Row],[Date]],""))</f>
        <v>46272</v>
      </c>
      <c r="R3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7" s="43" t="s">
        <v>104</v>
      </c>
    </row>
    <row r="38" spans="2:19" x14ac:dyDescent="0.25">
      <c r="B38" s="35">
        <v>46272</v>
      </c>
      <c r="C38" s="28" t="s">
        <v>78</v>
      </c>
      <c r="D38" s="36">
        <v>600</v>
      </c>
      <c r="E38" s="36">
        <v>584</v>
      </c>
      <c r="F38" s="36">
        <v>1</v>
      </c>
      <c r="G38" s="37">
        <f>IF(tblYield[[#This Row],[Date]]="","",tblYield[[#This Row],[Units in]]-tblYield[[#This Row],[Passed first time]])</f>
        <v>16</v>
      </c>
      <c r="H38" s="37">
        <f>IF(tblYield[[#This Row],[Date]]="","",tblYield[[#This Row],[Units in]]-tblYield[[#This Row],[Passed first time]]-tblYield[[#This Row],[Scrapped]])</f>
        <v>15</v>
      </c>
      <c r="I38" s="38">
        <f>IF(tblYield[[#This Row],[Date]]="","",IF(tblYield[[#This Row],[Units in]]&gt;0,tblYield[[#This Row],[Passed first time]]/tblYield[[#This Row],[Units in]],""))</f>
        <v>0.973333333333333</v>
      </c>
      <c r="J38" s="38">
        <f>IF(tblYield[[#This Row],[Date]]="","",IFERROR(INDEX(tblOperations[FPY target],MATCH(tblYield[[#This Row],[Operation]],tblOperations[Operation],0)),""))</f>
        <v>0.98</v>
      </c>
      <c r="K38" s="39" t="str">
        <f>IF(OR(NOT(ISNUMBER(tblYield[[#This Row],[FPY]])),NOT(ISNUMBER(tblYield[[#This Row],[FPY target]]))),"",IF(tblYield[[#This Row],[FPY]]&gt;=tblYield[[#This Row],[FPY target]],"On target",IF(tblYield[[#This Row],[FPY]]&gt;=tblYield[[#This Row],[FPY target]]-NearBand,"Near target","Below target")))</f>
        <v>Near target</v>
      </c>
      <c r="L38" s="38">
        <f>IF(tblYield[[#This Row],[Date]]="","",IF(tblYield[[#This Row],[Units in]]&gt;0,(tblYield[[#This Row],[Units in]]-tblYield[[#This Row],[Scrapped]])/tblYield[[#This Row],[Units in]],""))</f>
        <v>0.998333333333333</v>
      </c>
      <c r="M38" s="40">
        <f>IF(tblYield[[#This Row],[Date]]="","",IFERROR(INDEX(tblOperations[Rework cost],MATCH(tblYield[[#This Row],[Operation]],tblOperations[Operation],0)),""))</f>
        <v>3.8</v>
      </c>
      <c r="N38" s="40">
        <f>IF(tblYield[[#This Row],[Date]]="","",IFERROR(INDEX(tblOperations[Scrap cost],MATCH(tblYield[[#This Row],[Operation]],tblOperations[Operation],0)),""))</f>
        <v>31</v>
      </c>
      <c r="O38" s="40">
        <f>IF(tblYield[[#This Row],[Date]]="","",IF(tblYield[[#This Row],[Rework cost per unit]]="","",tblYield[[#This Row],[Reworked]]*tblYield[[#This Row],[Rework cost per unit]]))</f>
        <v>57</v>
      </c>
      <c r="P38" s="40">
        <f>IF(tblYield[[#This Row],[Date]]="","",IF(tblYield[[#This Row],[Scrap cost per unit]]="","",tblYield[[#This Row],[Scrapped]]*tblYield[[#This Row],[Scrap cost per unit]]))</f>
        <v>31</v>
      </c>
      <c r="Q38" s="41">
        <f>IF(tblYield[[#This Row],[Date]]="","",IF(AND(tblYield[[#This Row],[Date]]&gt;=FFrom,tblYield[[#This Row],[Date]]&lt;=FTo),tblYield[[#This Row],[Date]],""))</f>
        <v>46272</v>
      </c>
      <c r="R3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8" s="43" t="s">
        <v>104</v>
      </c>
    </row>
    <row r="39" spans="2:19" x14ac:dyDescent="0.25">
      <c r="B39" s="35">
        <v>46272</v>
      </c>
      <c r="C39" s="28" t="s">
        <v>80</v>
      </c>
      <c r="D39" s="36">
        <v>599</v>
      </c>
      <c r="E39" s="36">
        <v>567</v>
      </c>
      <c r="F39" s="36">
        <v>2</v>
      </c>
      <c r="G39" s="37">
        <f>IF(tblYield[[#This Row],[Date]]="","",tblYield[[#This Row],[Units in]]-tblYield[[#This Row],[Passed first time]])</f>
        <v>32</v>
      </c>
      <c r="H39" s="37">
        <f>IF(tblYield[[#This Row],[Date]]="","",tblYield[[#This Row],[Units in]]-tblYield[[#This Row],[Passed first time]]-tblYield[[#This Row],[Scrapped]])</f>
        <v>30</v>
      </c>
      <c r="I39" s="38">
        <f>IF(tblYield[[#This Row],[Date]]="","",IF(tblYield[[#This Row],[Units in]]&gt;0,tblYield[[#This Row],[Passed first time]]/tblYield[[#This Row],[Units in]],""))</f>
        <v>0.946577629382304</v>
      </c>
      <c r="J39" s="38">
        <f>IF(tblYield[[#This Row],[Date]]="","",IFERROR(INDEX(tblOperations[FPY target],MATCH(tblYield[[#This Row],[Operation]],tblOperations[Operation],0)),""))</f>
        <v>0.97</v>
      </c>
      <c r="K39" s="39" t="str">
        <f>IF(OR(NOT(ISNUMBER(tblYield[[#This Row],[FPY]])),NOT(ISNUMBER(tblYield[[#This Row],[FPY target]]))),"",IF(tblYield[[#This Row],[FPY]]&gt;=tblYield[[#This Row],[FPY target]],"On target",IF(tblYield[[#This Row],[FPY]]&gt;=tblYield[[#This Row],[FPY target]]-NearBand,"Near target","Below target")))</f>
        <v>Below target</v>
      </c>
      <c r="L39" s="38">
        <f>IF(tblYield[[#This Row],[Date]]="","",IF(tblYield[[#This Row],[Units in]]&gt;0,(tblYield[[#This Row],[Units in]]-tblYield[[#This Row],[Scrapped]])/tblYield[[#This Row],[Units in]],""))</f>
        <v>0.996661101836394</v>
      </c>
      <c r="M39" s="40">
        <f>IF(tblYield[[#This Row],[Date]]="","",IFERROR(INDEX(tblOperations[Rework cost],MATCH(tblYield[[#This Row],[Operation]],tblOperations[Operation],0)),""))</f>
        <v>2.9</v>
      </c>
      <c r="N39" s="40">
        <f>IF(tblYield[[#This Row],[Date]]="","",IFERROR(INDEX(tblOperations[Scrap cost],MATCH(tblYield[[#This Row],[Operation]],tblOperations[Operation],0)),""))</f>
        <v>34</v>
      </c>
      <c r="O39" s="40">
        <f>IF(tblYield[[#This Row],[Date]]="","",IF(tblYield[[#This Row],[Rework cost per unit]]="","",tblYield[[#This Row],[Reworked]]*tblYield[[#This Row],[Rework cost per unit]]))</f>
        <v>87</v>
      </c>
      <c r="P39" s="40">
        <f>IF(tblYield[[#This Row],[Date]]="","",IF(tblYield[[#This Row],[Scrap cost per unit]]="","",tblYield[[#This Row],[Scrapped]]*tblYield[[#This Row],[Scrap cost per unit]]))</f>
        <v>68</v>
      </c>
      <c r="Q39" s="41">
        <f>IF(tblYield[[#This Row],[Date]]="","",IF(AND(tblYield[[#This Row],[Date]]&gt;=FFrom,tblYield[[#This Row],[Date]]&lt;=FTo),tblYield[[#This Row],[Date]],""))</f>
        <v>46272</v>
      </c>
      <c r="R3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39" s="43" t="s">
        <v>104</v>
      </c>
    </row>
    <row r="40" spans="2:19" x14ac:dyDescent="0.25">
      <c r="B40" s="35">
        <v>46272</v>
      </c>
      <c r="C40" s="28" t="s">
        <v>82</v>
      </c>
      <c r="D40" s="36">
        <v>597</v>
      </c>
      <c r="E40" s="36">
        <v>588</v>
      </c>
      <c r="F40" s="36">
        <v>1</v>
      </c>
      <c r="G40" s="37">
        <f>IF(tblYield[[#This Row],[Date]]="","",tblYield[[#This Row],[Units in]]-tblYield[[#This Row],[Passed first time]])</f>
        <v>9</v>
      </c>
      <c r="H40" s="37">
        <f>IF(tblYield[[#This Row],[Date]]="","",tblYield[[#This Row],[Units in]]-tblYield[[#This Row],[Passed first time]]-tblYield[[#This Row],[Scrapped]])</f>
        <v>8</v>
      </c>
      <c r="I40" s="38">
        <f>IF(tblYield[[#This Row],[Date]]="","",IF(tblYield[[#This Row],[Units in]]&gt;0,tblYield[[#This Row],[Passed first time]]/tblYield[[#This Row],[Units in]],""))</f>
        <v>0.984924623115578</v>
      </c>
      <c r="J40" s="38">
        <f>IF(tblYield[[#This Row],[Date]]="","",IFERROR(INDEX(tblOperations[FPY target],MATCH(tblYield[[#This Row],[Operation]],tblOperations[Operation],0)),""))</f>
        <v>0.98</v>
      </c>
      <c r="K40" s="39" t="str">
        <f>IF(OR(NOT(ISNUMBER(tblYield[[#This Row],[FPY]])),NOT(ISNUMBER(tblYield[[#This Row],[FPY target]]))),"",IF(tblYield[[#This Row],[FPY]]&gt;=tblYield[[#This Row],[FPY target]],"On target",IF(tblYield[[#This Row],[FPY]]&gt;=tblYield[[#This Row],[FPY target]]-NearBand,"Near target","Below target")))</f>
        <v>On target</v>
      </c>
      <c r="L40" s="38">
        <f>IF(tblYield[[#This Row],[Date]]="","",IF(tblYield[[#This Row],[Units in]]&gt;0,(tblYield[[#This Row],[Units in]]-tblYield[[#This Row],[Scrapped]])/tblYield[[#This Row],[Units in]],""))</f>
        <v>0.998324958123953</v>
      </c>
      <c r="M40" s="40">
        <f>IF(tblYield[[#This Row],[Date]]="","",IFERROR(INDEX(tblOperations[Rework cost],MATCH(tblYield[[#This Row],[Operation]],tblOperations[Operation],0)),""))</f>
        <v>8.5</v>
      </c>
      <c r="N40" s="40">
        <f>IF(tblYield[[#This Row],[Date]]="","",IFERROR(INDEX(tblOperations[Scrap cost],MATCH(tblYield[[#This Row],[Operation]],tblOperations[Operation],0)),""))</f>
        <v>36.5</v>
      </c>
      <c r="O40" s="40">
        <f>IF(tblYield[[#This Row],[Date]]="","",IF(tblYield[[#This Row],[Rework cost per unit]]="","",tblYield[[#This Row],[Reworked]]*tblYield[[#This Row],[Rework cost per unit]]))</f>
        <v>68</v>
      </c>
      <c r="P40" s="40">
        <f>IF(tblYield[[#This Row],[Date]]="","",IF(tblYield[[#This Row],[Scrap cost per unit]]="","",tblYield[[#This Row],[Scrapped]]*tblYield[[#This Row],[Scrap cost per unit]]))</f>
        <v>36.5</v>
      </c>
      <c r="Q40" s="41">
        <f>IF(tblYield[[#This Row],[Date]]="","",IF(AND(tblYield[[#This Row],[Date]]&gt;=FFrom,tblYield[[#This Row],[Date]]&lt;=FTo),tblYield[[#This Row],[Date]],""))</f>
        <v>46272</v>
      </c>
      <c r="R4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0" s="43" t="s">
        <v>104</v>
      </c>
    </row>
    <row r="41" spans="2:19" x14ac:dyDescent="0.25">
      <c r="B41" s="35">
        <v>46272</v>
      </c>
      <c r="C41" s="28" t="s">
        <v>84</v>
      </c>
      <c r="D41" s="36">
        <v>596</v>
      </c>
      <c r="E41" s="36">
        <v>588</v>
      </c>
      <c r="F41" s="36">
        <v>1</v>
      </c>
      <c r="G41" s="37">
        <f>IF(tblYield[[#This Row],[Date]]="","",tblYield[[#This Row],[Units in]]-tblYield[[#This Row],[Passed first time]])</f>
        <v>8</v>
      </c>
      <c r="H41" s="37">
        <f>IF(tblYield[[#This Row],[Date]]="","",tblYield[[#This Row],[Units in]]-tblYield[[#This Row],[Passed first time]]-tblYield[[#This Row],[Scrapped]])</f>
        <v>7</v>
      </c>
      <c r="I41" s="38">
        <f>IF(tblYield[[#This Row],[Date]]="","",IF(tblYield[[#This Row],[Units in]]&gt;0,tblYield[[#This Row],[Passed first time]]/tblYield[[#This Row],[Units in]],""))</f>
        <v>0.986577181208054</v>
      </c>
      <c r="J41" s="38">
        <f>IF(tblYield[[#This Row],[Date]]="","",IFERROR(INDEX(tblOperations[FPY target],MATCH(tblYield[[#This Row],[Operation]],tblOperations[Operation],0)),""))</f>
        <v>0.985</v>
      </c>
      <c r="K41" s="39" t="str">
        <f>IF(OR(NOT(ISNUMBER(tblYield[[#This Row],[FPY]])),NOT(ISNUMBER(tblYield[[#This Row],[FPY target]]))),"",IF(tblYield[[#This Row],[FPY]]&gt;=tblYield[[#This Row],[FPY target]],"On target",IF(tblYield[[#This Row],[FPY]]&gt;=tblYield[[#This Row],[FPY target]]-NearBand,"Near target","Below target")))</f>
        <v>On target</v>
      </c>
      <c r="L41" s="38">
        <f>IF(tblYield[[#This Row],[Date]]="","",IF(tblYield[[#This Row],[Units in]]&gt;0,(tblYield[[#This Row],[Units in]]-tblYield[[#This Row],[Scrapped]])/tblYield[[#This Row],[Units in]],""))</f>
        <v>0.998322147651007</v>
      </c>
      <c r="M41" s="40">
        <f>IF(tblYield[[#This Row],[Date]]="","",IFERROR(INDEX(tblOperations[Rework cost],MATCH(tblYield[[#This Row],[Operation]],tblOperations[Operation],0)),""))</f>
        <v>12</v>
      </c>
      <c r="N41" s="40">
        <f>IF(tblYield[[#This Row],[Date]]="","",IFERROR(INDEX(tblOperations[Scrap cost],MATCH(tblYield[[#This Row],[Operation]],tblOperations[Operation],0)),""))</f>
        <v>38</v>
      </c>
      <c r="O41" s="40">
        <f>IF(tblYield[[#This Row],[Date]]="","",IF(tblYield[[#This Row],[Rework cost per unit]]="","",tblYield[[#This Row],[Reworked]]*tblYield[[#This Row],[Rework cost per unit]]))</f>
        <v>84</v>
      </c>
      <c r="P41" s="40">
        <f>IF(tblYield[[#This Row],[Date]]="","",IF(tblYield[[#This Row],[Scrap cost per unit]]="","",tblYield[[#This Row],[Scrapped]]*tblYield[[#This Row],[Scrap cost per unit]]))</f>
        <v>38</v>
      </c>
      <c r="Q41" s="41">
        <f>IF(tblYield[[#This Row],[Date]]="","",IF(AND(tblYield[[#This Row],[Date]]&gt;=FFrom,tblYield[[#This Row],[Date]]&lt;=FTo),tblYield[[#This Row],[Date]],""))</f>
        <v>46272</v>
      </c>
      <c r="R4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1" s="43" t="s">
        <v>104</v>
      </c>
    </row>
    <row r="42" spans="2:19" x14ac:dyDescent="0.25">
      <c r="B42" s="35">
        <v>46272</v>
      </c>
      <c r="C42" s="28" t="s">
        <v>86</v>
      </c>
      <c r="D42" s="36">
        <v>595</v>
      </c>
      <c r="E42" s="36">
        <v>588</v>
      </c>
      <c r="F42" s="36">
        <v>0</v>
      </c>
      <c r="G42" s="37">
        <f>IF(tblYield[[#This Row],[Date]]="","",tblYield[[#This Row],[Units in]]-tblYield[[#This Row],[Passed first time]])</f>
        <v>7</v>
      </c>
      <c r="H42" s="37">
        <f>IF(tblYield[[#This Row],[Date]]="","",tblYield[[#This Row],[Units in]]-tblYield[[#This Row],[Passed first time]]-tblYield[[#This Row],[Scrapped]])</f>
        <v>7</v>
      </c>
      <c r="I42" s="38">
        <f>IF(tblYield[[#This Row],[Date]]="","",IF(tblYield[[#This Row],[Units in]]&gt;0,tblYield[[#This Row],[Passed first time]]/tblYield[[#This Row],[Units in]],""))</f>
        <v>0.988235294117647</v>
      </c>
      <c r="J42" s="38">
        <f>IF(tblYield[[#This Row],[Date]]="","",IFERROR(INDEX(tblOperations[FPY target],MATCH(tblYield[[#This Row],[Operation]],tblOperations[Operation],0)),""))</f>
        <v>0.99</v>
      </c>
      <c r="K42" s="39" t="str">
        <f>IF(OR(NOT(ISNUMBER(tblYield[[#This Row],[FPY]])),NOT(ISNUMBER(tblYield[[#This Row],[FPY target]]))),"",IF(tblYield[[#This Row],[FPY]]&gt;=tblYield[[#This Row],[FPY target]],"On target",IF(tblYield[[#This Row],[FPY]]&gt;=tblYield[[#This Row],[FPY target]]-NearBand,"Near target","Below target")))</f>
        <v>Near target</v>
      </c>
      <c r="L42" s="38">
        <f>IF(tblYield[[#This Row],[Date]]="","",IF(tblYield[[#This Row],[Units in]]&gt;0,(tblYield[[#This Row],[Units in]]-tblYield[[#This Row],[Scrapped]])/tblYield[[#This Row],[Units in]],""))</f>
        <v>1</v>
      </c>
      <c r="M42" s="40">
        <f>IF(tblYield[[#This Row],[Date]]="","",IFERROR(INDEX(tblOperations[Rework cost],MATCH(tblYield[[#This Row],[Operation]],tblOperations[Operation],0)),""))</f>
        <v>2.2</v>
      </c>
      <c r="N42" s="40">
        <f>IF(tblYield[[#This Row],[Date]]="","",IFERROR(INDEX(tblOperations[Scrap cost],MATCH(tblYield[[#This Row],[Operation]],tblOperations[Operation],0)),""))</f>
        <v>41</v>
      </c>
      <c r="O42" s="40">
        <f>IF(tblYield[[#This Row],[Date]]="","",IF(tblYield[[#This Row],[Rework cost per unit]]="","",tblYield[[#This Row],[Reworked]]*tblYield[[#This Row],[Rework cost per unit]]))</f>
        <v>15.4</v>
      </c>
      <c r="P42" s="40">
        <f>IF(tblYield[[#This Row],[Date]]="","",IF(tblYield[[#This Row],[Scrap cost per unit]]="","",tblYield[[#This Row],[Scrapped]]*tblYield[[#This Row],[Scrap cost per unit]]))</f>
        <v>0</v>
      </c>
      <c r="Q42" s="41">
        <f>IF(tblYield[[#This Row],[Date]]="","",IF(AND(tblYield[[#This Row],[Date]]&gt;=FFrom,tblYield[[#This Row],[Date]]&lt;=FTo),tblYield[[#This Row],[Date]],""))</f>
        <v>46272</v>
      </c>
      <c r="R4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2" s="43" t="s">
        <v>104</v>
      </c>
    </row>
    <row r="43" spans="2:19" x14ac:dyDescent="0.25">
      <c r="B43" s="35">
        <v>46273</v>
      </c>
      <c r="C43" s="28" t="s">
        <v>76</v>
      </c>
      <c r="D43" s="36">
        <v>610</v>
      </c>
      <c r="E43" s="36">
        <v>605</v>
      </c>
      <c r="F43" s="36">
        <v>0</v>
      </c>
      <c r="G43" s="37">
        <f>IF(tblYield[[#This Row],[Date]]="","",tblYield[[#This Row],[Units in]]-tblYield[[#This Row],[Passed first time]])</f>
        <v>5</v>
      </c>
      <c r="H43" s="37">
        <f>IF(tblYield[[#This Row],[Date]]="","",tblYield[[#This Row],[Units in]]-tblYield[[#This Row],[Passed first time]]-tblYield[[#This Row],[Scrapped]])</f>
        <v>5</v>
      </c>
      <c r="I43" s="38">
        <f>IF(tblYield[[#This Row],[Date]]="","",IF(tblYield[[#This Row],[Units in]]&gt;0,tblYield[[#This Row],[Passed first time]]/tblYield[[#This Row],[Units in]],""))</f>
        <v>0.991803278688525</v>
      </c>
      <c r="J43" s="38">
        <f>IF(tblYield[[#This Row],[Date]]="","",IFERROR(INDEX(tblOperations[FPY target],MATCH(tblYield[[#This Row],[Operation]],tblOperations[Operation],0)),""))</f>
        <v>0.99</v>
      </c>
      <c r="K43" s="39" t="str">
        <f>IF(OR(NOT(ISNUMBER(tblYield[[#This Row],[FPY]])),NOT(ISNUMBER(tblYield[[#This Row],[FPY target]]))),"",IF(tblYield[[#This Row],[FPY]]&gt;=tblYield[[#This Row],[FPY target]],"On target",IF(tblYield[[#This Row],[FPY]]&gt;=tblYield[[#This Row],[FPY target]]-NearBand,"Near target","Below target")))</f>
        <v>On target</v>
      </c>
      <c r="L43" s="38">
        <f>IF(tblYield[[#This Row],[Date]]="","",IF(tblYield[[#This Row],[Units in]]&gt;0,(tblYield[[#This Row],[Units in]]-tblYield[[#This Row],[Scrapped]])/tblYield[[#This Row],[Units in]],""))</f>
        <v>1</v>
      </c>
      <c r="M43" s="40">
        <f>IF(tblYield[[#This Row],[Date]]="","",IFERROR(INDEX(tblOperations[Rework cost],MATCH(tblYield[[#This Row],[Operation]],tblOperations[Operation],0)),""))</f>
        <v>0.6</v>
      </c>
      <c r="N43" s="40">
        <f>IF(tblYield[[#This Row],[Date]]="","",IFERROR(INDEX(tblOperations[Scrap cost],MATCH(tblYield[[#This Row],[Operation]],tblOperations[Operation],0)),""))</f>
        <v>4.8</v>
      </c>
      <c r="O43" s="40">
        <f>IF(tblYield[[#This Row],[Date]]="","",IF(tblYield[[#This Row],[Rework cost per unit]]="","",tblYield[[#This Row],[Reworked]]*tblYield[[#This Row],[Rework cost per unit]]))</f>
        <v>3</v>
      </c>
      <c r="P43" s="40">
        <f>IF(tblYield[[#This Row],[Date]]="","",IF(tblYield[[#This Row],[Scrap cost per unit]]="","",tblYield[[#This Row],[Scrapped]]*tblYield[[#This Row],[Scrap cost per unit]]))</f>
        <v>0</v>
      </c>
      <c r="Q43" s="41">
        <f>IF(tblYield[[#This Row],[Date]]="","",IF(AND(tblYield[[#This Row],[Date]]&gt;=FFrom,tblYield[[#This Row],[Date]]&lt;=FTo),tblYield[[#This Row],[Date]],""))</f>
        <v>46273</v>
      </c>
      <c r="R4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3" s="43" t="s">
        <v>104</v>
      </c>
    </row>
    <row r="44" spans="2:19" x14ac:dyDescent="0.25">
      <c r="B44" s="35">
        <v>46273</v>
      </c>
      <c r="C44" s="28" t="s">
        <v>78</v>
      </c>
      <c r="D44" s="36">
        <v>610</v>
      </c>
      <c r="E44" s="36">
        <v>595</v>
      </c>
      <c r="F44" s="36">
        <v>1</v>
      </c>
      <c r="G44" s="37">
        <f>IF(tblYield[[#This Row],[Date]]="","",tblYield[[#This Row],[Units in]]-tblYield[[#This Row],[Passed first time]])</f>
        <v>15</v>
      </c>
      <c r="H44" s="37">
        <f>IF(tblYield[[#This Row],[Date]]="","",tblYield[[#This Row],[Units in]]-tblYield[[#This Row],[Passed first time]]-tblYield[[#This Row],[Scrapped]])</f>
        <v>14</v>
      </c>
      <c r="I44" s="38">
        <f>IF(tblYield[[#This Row],[Date]]="","",IF(tblYield[[#This Row],[Units in]]&gt;0,tblYield[[#This Row],[Passed first time]]/tblYield[[#This Row],[Units in]],""))</f>
        <v>0.975409836065574</v>
      </c>
      <c r="J44" s="38">
        <f>IF(tblYield[[#This Row],[Date]]="","",IFERROR(INDEX(tblOperations[FPY target],MATCH(tblYield[[#This Row],[Operation]],tblOperations[Operation],0)),""))</f>
        <v>0.98</v>
      </c>
      <c r="K44" s="39" t="str">
        <f>IF(OR(NOT(ISNUMBER(tblYield[[#This Row],[FPY]])),NOT(ISNUMBER(tblYield[[#This Row],[FPY target]]))),"",IF(tblYield[[#This Row],[FPY]]&gt;=tblYield[[#This Row],[FPY target]],"On target",IF(tblYield[[#This Row],[FPY]]&gt;=tblYield[[#This Row],[FPY target]]-NearBand,"Near target","Below target")))</f>
        <v>Near target</v>
      </c>
      <c r="L44" s="38">
        <f>IF(tblYield[[#This Row],[Date]]="","",IF(tblYield[[#This Row],[Units in]]&gt;0,(tblYield[[#This Row],[Units in]]-tblYield[[#This Row],[Scrapped]])/tblYield[[#This Row],[Units in]],""))</f>
        <v>0.998360655737705</v>
      </c>
      <c r="M44" s="40">
        <f>IF(tblYield[[#This Row],[Date]]="","",IFERROR(INDEX(tblOperations[Rework cost],MATCH(tblYield[[#This Row],[Operation]],tblOperations[Operation],0)),""))</f>
        <v>3.8</v>
      </c>
      <c r="N44" s="40">
        <f>IF(tblYield[[#This Row],[Date]]="","",IFERROR(INDEX(tblOperations[Scrap cost],MATCH(tblYield[[#This Row],[Operation]],tblOperations[Operation],0)),""))</f>
        <v>31</v>
      </c>
      <c r="O44" s="40">
        <f>IF(tblYield[[#This Row],[Date]]="","",IF(tblYield[[#This Row],[Rework cost per unit]]="","",tblYield[[#This Row],[Reworked]]*tblYield[[#This Row],[Rework cost per unit]]))</f>
        <v>53.2</v>
      </c>
      <c r="P44" s="40">
        <f>IF(tblYield[[#This Row],[Date]]="","",IF(tblYield[[#This Row],[Scrap cost per unit]]="","",tblYield[[#This Row],[Scrapped]]*tblYield[[#This Row],[Scrap cost per unit]]))</f>
        <v>31</v>
      </c>
      <c r="Q44" s="41">
        <f>IF(tblYield[[#This Row],[Date]]="","",IF(AND(tblYield[[#This Row],[Date]]&gt;=FFrom,tblYield[[#This Row],[Date]]&lt;=FTo),tblYield[[#This Row],[Date]],""))</f>
        <v>46273</v>
      </c>
      <c r="R4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4" s="43" t="s">
        <v>104</v>
      </c>
    </row>
    <row r="45" spans="2:19" x14ac:dyDescent="0.25">
      <c r="B45" s="35">
        <v>46273</v>
      </c>
      <c r="C45" s="28" t="s">
        <v>80</v>
      </c>
      <c r="D45" s="36">
        <v>609</v>
      </c>
      <c r="E45" s="36">
        <v>568</v>
      </c>
      <c r="F45" s="36">
        <v>2</v>
      </c>
      <c r="G45" s="37">
        <f>IF(tblYield[[#This Row],[Date]]="","",tblYield[[#This Row],[Units in]]-tblYield[[#This Row],[Passed first time]])</f>
        <v>41</v>
      </c>
      <c r="H45" s="37">
        <f>IF(tblYield[[#This Row],[Date]]="","",tblYield[[#This Row],[Units in]]-tblYield[[#This Row],[Passed first time]]-tblYield[[#This Row],[Scrapped]])</f>
        <v>39</v>
      </c>
      <c r="I45" s="38">
        <f>IF(tblYield[[#This Row],[Date]]="","",IF(tblYield[[#This Row],[Units in]]&gt;0,tblYield[[#This Row],[Passed first time]]/tblYield[[#This Row],[Units in]],""))</f>
        <v>0.932676518883415</v>
      </c>
      <c r="J45" s="38">
        <f>IF(tblYield[[#This Row],[Date]]="","",IFERROR(INDEX(tblOperations[FPY target],MATCH(tblYield[[#This Row],[Operation]],tblOperations[Operation],0)),""))</f>
        <v>0.97</v>
      </c>
      <c r="K45" s="39" t="str">
        <f>IF(OR(NOT(ISNUMBER(tblYield[[#This Row],[FPY]])),NOT(ISNUMBER(tblYield[[#This Row],[FPY target]]))),"",IF(tblYield[[#This Row],[FPY]]&gt;=tblYield[[#This Row],[FPY target]],"On target",IF(tblYield[[#This Row],[FPY]]&gt;=tblYield[[#This Row],[FPY target]]-NearBand,"Near target","Below target")))</f>
        <v>Below target</v>
      </c>
      <c r="L45" s="38">
        <f>IF(tblYield[[#This Row],[Date]]="","",IF(tblYield[[#This Row],[Units in]]&gt;0,(tblYield[[#This Row],[Units in]]-tblYield[[#This Row],[Scrapped]])/tblYield[[#This Row],[Units in]],""))</f>
        <v>0.996715927750411</v>
      </c>
      <c r="M45" s="40">
        <f>IF(tblYield[[#This Row],[Date]]="","",IFERROR(INDEX(tblOperations[Rework cost],MATCH(tblYield[[#This Row],[Operation]],tblOperations[Operation],0)),""))</f>
        <v>2.9</v>
      </c>
      <c r="N45" s="40">
        <f>IF(tblYield[[#This Row],[Date]]="","",IFERROR(INDEX(tblOperations[Scrap cost],MATCH(tblYield[[#This Row],[Operation]],tblOperations[Operation],0)),""))</f>
        <v>34</v>
      </c>
      <c r="O45" s="40">
        <f>IF(tblYield[[#This Row],[Date]]="","",IF(tblYield[[#This Row],[Rework cost per unit]]="","",tblYield[[#This Row],[Reworked]]*tblYield[[#This Row],[Rework cost per unit]]))</f>
        <v>113.1</v>
      </c>
      <c r="P45" s="40">
        <f>IF(tblYield[[#This Row],[Date]]="","",IF(tblYield[[#This Row],[Scrap cost per unit]]="","",tblYield[[#This Row],[Scrapped]]*tblYield[[#This Row],[Scrap cost per unit]]))</f>
        <v>68</v>
      </c>
      <c r="Q45" s="41">
        <f>IF(tblYield[[#This Row],[Date]]="","",IF(AND(tblYield[[#This Row],[Date]]&gt;=FFrom,tblYield[[#This Row],[Date]]&lt;=FTo),tblYield[[#This Row],[Date]],""))</f>
        <v>46273</v>
      </c>
      <c r="R4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5" s="43" t="s">
        <v>104</v>
      </c>
    </row>
    <row r="46" spans="2:19" x14ac:dyDescent="0.25">
      <c r="B46" s="35">
        <v>46273</v>
      </c>
      <c r="C46" s="28" t="s">
        <v>82</v>
      </c>
      <c r="D46" s="36">
        <v>607</v>
      </c>
      <c r="E46" s="36">
        <v>596</v>
      </c>
      <c r="F46" s="36">
        <v>1</v>
      </c>
      <c r="G46" s="37">
        <f>IF(tblYield[[#This Row],[Date]]="","",tblYield[[#This Row],[Units in]]-tblYield[[#This Row],[Passed first time]])</f>
        <v>11</v>
      </c>
      <c r="H46" s="37">
        <f>IF(tblYield[[#This Row],[Date]]="","",tblYield[[#This Row],[Units in]]-tblYield[[#This Row],[Passed first time]]-tblYield[[#This Row],[Scrapped]])</f>
        <v>10</v>
      </c>
      <c r="I46" s="38">
        <f>IF(tblYield[[#This Row],[Date]]="","",IF(tblYield[[#This Row],[Units in]]&gt;0,tblYield[[#This Row],[Passed first time]]/tblYield[[#This Row],[Units in]],""))</f>
        <v>0.981878088962109</v>
      </c>
      <c r="J46" s="38">
        <f>IF(tblYield[[#This Row],[Date]]="","",IFERROR(INDEX(tblOperations[FPY target],MATCH(tblYield[[#This Row],[Operation]],tblOperations[Operation],0)),""))</f>
        <v>0.98</v>
      </c>
      <c r="K46" s="39" t="str">
        <f>IF(OR(NOT(ISNUMBER(tblYield[[#This Row],[FPY]])),NOT(ISNUMBER(tblYield[[#This Row],[FPY target]]))),"",IF(tblYield[[#This Row],[FPY]]&gt;=tblYield[[#This Row],[FPY target]],"On target",IF(tblYield[[#This Row],[FPY]]&gt;=tblYield[[#This Row],[FPY target]]-NearBand,"Near target","Below target")))</f>
        <v>On target</v>
      </c>
      <c r="L46" s="38">
        <f>IF(tblYield[[#This Row],[Date]]="","",IF(tblYield[[#This Row],[Units in]]&gt;0,(tblYield[[#This Row],[Units in]]-tblYield[[#This Row],[Scrapped]])/tblYield[[#This Row],[Units in]],""))</f>
        <v>0.99835255354201</v>
      </c>
      <c r="M46" s="40">
        <f>IF(tblYield[[#This Row],[Date]]="","",IFERROR(INDEX(tblOperations[Rework cost],MATCH(tblYield[[#This Row],[Operation]],tblOperations[Operation],0)),""))</f>
        <v>8.5</v>
      </c>
      <c r="N46" s="40">
        <f>IF(tblYield[[#This Row],[Date]]="","",IFERROR(INDEX(tblOperations[Scrap cost],MATCH(tblYield[[#This Row],[Operation]],tblOperations[Operation],0)),""))</f>
        <v>36.5</v>
      </c>
      <c r="O46" s="40">
        <f>IF(tblYield[[#This Row],[Date]]="","",IF(tblYield[[#This Row],[Rework cost per unit]]="","",tblYield[[#This Row],[Reworked]]*tblYield[[#This Row],[Rework cost per unit]]))</f>
        <v>85</v>
      </c>
      <c r="P46" s="40">
        <f>IF(tblYield[[#This Row],[Date]]="","",IF(tblYield[[#This Row],[Scrap cost per unit]]="","",tblYield[[#This Row],[Scrapped]]*tblYield[[#This Row],[Scrap cost per unit]]))</f>
        <v>36.5</v>
      </c>
      <c r="Q46" s="41">
        <f>IF(tblYield[[#This Row],[Date]]="","",IF(AND(tblYield[[#This Row],[Date]]&gt;=FFrom,tblYield[[#This Row],[Date]]&lt;=FTo),tblYield[[#This Row],[Date]],""))</f>
        <v>46273</v>
      </c>
      <c r="R4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6" s="43" t="s">
        <v>104</v>
      </c>
    </row>
    <row r="47" spans="2:19" x14ac:dyDescent="0.25">
      <c r="B47" s="35">
        <v>46273</v>
      </c>
      <c r="C47" s="28" t="s">
        <v>84</v>
      </c>
      <c r="D47" s="36">
        <v>606</v>
      </c>
      <c r="E47" s="36">
        <v>598</v>
      </c>
      <c r="F47" s="36">
        <v>1</v>
      </c>
      <c r="G47" s="37">
        <f>IF(tblYield[[#This Row],[Date]]="","",tblYield[[#This Row],[Units in]]-tblYield[[#This Row],[Passed first time]])</f>
        <v>8</v>
      </c>
      <c r="H47" s="37">
        <f>IF(tblYield[[#This Row],[Date]]="","",tblYield[[#This Row],[Units in]]-tblYield[[#This Row],[Passed first time]]-tblYield[[#This Row],[Scrapped]])</f>
        <v>7</v>
      </c>
      <c r="I47" s="38">
        <f>IF(tblYield[[#This Row],[Date]]="","",IF(tblYield[[#This Row],[Units in]]&gt;0,tblYield[[#This Row],[Passed first time]]/tblYield[[#This Row],[Units in]],""))</f>
        <v>0.986798679867987</v>
      </c>
      <c r="J47" s="38">
        <f>IF(tblYield[[#This Row],[Date]]="","",IFERROR(INDEX(tblOperations[FPY target],MATCH(tblYield[[#This Row],[Operation]],tblOperations[Operation],0)),""))</f>
        <v>0.985</v>
      </c>
      <c r="K47" s="39" t="str">
        <f>IF(OR(NOT(ISNUMBER(tblYield[[#This Row],[FPY]])),NOT(ISNUMBER(tblYield[[#This Row],[FPY target]]))),"",IF(tblYield[[#This Row],[FPY]]&gt;=tblYield[[#This Row],[FPY target]],"On target",IF(tblYield[[#This Row],[FPY]]&gt;=tblYield[[#This Row],[FPY target]]-NearBand,"Near target","Below target")))</f>
        <v>On target</v>
      </c>
      <c r="L47" s="38">
        <f>IF(tblYield[[#This Row],[Date]]="","",IF(tblYield[[#This Row],[Units in]]&gt;0,(tblYield[[#This Row],[Units in]]-tblYield[[#This Row],[Scrapped]])/tblYield[[#This Row],[Units in]],""))</f>
        <v>0.998349834983498</v>
      </c>
      <c r="M47" s="40">
        <f>IF(tblYield[[#This Row],[Date]]="","",IFERROR(INDEX(tblOperations[Rework cost],MATCH(tblYield[[#This Row],[Operation]],tblOperations[Operation],0)),""))</f>
        <v>12</v>
      </c>
      <c r="N47" s="40">
        <f>IF(tblYield[[#This Row],[Date]]="","",IFERROR(INDEX(tblOperations[Scrap cost],MATCH(tblYield[[#This Row],[Operation]],tblOperations[Operation],0)),""))</f>
        <v>38</v>
      </c>
      <c r="O47" s="40">
        <f>IF(tblYield[[#This Row],[Date]]="","",IF(tblYield[[#This Row],[Rework cost per unit]]="","",tblYield[[#This Row],[Reworked]]*tblYield[[#This Row],[Rework cost per unit]]))</f>
        <v>84</v>
      </c>
      <c r="P47" s="40">
        <f>IF(tblYield[[#This Row],[Date]]="","",IF(tblYield[[#This Row],[Scrap cost per unit]]="","",tblYield[[#This Row],[Scrapped]]*tblYield[[#This Row],[Scrap cost per unit]]))</f>
        <v>38</v>
      </c>
      <c r="Q47" s="41">
        <f>IF(tblYield[[#This Row],[Date]]="","",IF(AND(tblYield[[#This Row],[Date]]&gt;=FFrom,tblYield[[#This Row],[Date]]&lt;=FTo),tblYield[[#This Row],[Date]],""))</f>
        <v>46273</v>
      </c>
      <c r="R4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7" s="43" t="s">
        <v>104</v>
      </c>
    </row>
    <row r="48" spans="2:19" x14ac:dyDescent="0.25">
      <c r="B48" s="35">
        <v>46273</v>
      </c>
      <c r="C48" s="28" t="s">
        <v>86</v>
      </c>
      <c r="D48" s="36">
        <v>605</v>
      </c>
      <c r="E48" s="36">
        <v>597</v>
      </c>
      <c r="F48" s="36">
        <v>0</v>
      </c>
      <c r="G48" s="37">
        <f>IF(tblYield[[#This Row],[Date]]="","",tblYield[[#This Row],[Units in]]-tblYield[[#This Row],[Passed first time]])</f>
        <v>8</v>
      </c>
      <c r="H48" s="37">
        <f>IF(tblYield[[#This Row],[Date]]="","",tblYield[[#This Row],[Units in]]-tblYield[[#This Row],[Passed first time]]-tblYield[[#This Row],[Scrapped]])</f>
        <v>8</v>
      </c>
      <c r="I48" s="38">
        <f>IF(tblYield[[#This Row],[Date]]="","",IF(tblYield[[#This Row],[Units in]]&gt;0,tblYield[[#This Row],[Passed first time]]/tblYield[[#This Row],[Units in]],""))</f>
        <v>0.986776859504132</v>
      </c>
      <c r="J48" s="38">
        <f>IF(tblYield[[#This Row],[Date]]="","",IFERROR(INDEX(tblOperations[FPY target],MATCH(tblYield[[#This Row],[Operation]],tblOperations[Operation],0)),""))</f>
        <v>0.99</v>
      </c>
      <c r="K48" s="39" t="str">
        <f>IF(OR(NOT(ISNUMBER(tblYield[[#This Row],[FPY]])),NOT(ISNUMBER(tblYield[[#This Row],[FPY target]]))),"",IF(tblYield[[#This Row],[FPY]]&gt;=tblYield[[#This Row],[FPY target]],"On target",IF(tblYield[[#This Row],[FPY]]&gt;=tblYield[[#This Row],[FPY target]]-NearBand,"Near target","Below target")))</f>
        <v>Near target</v>
      </c>
      <c r="L48" s="38">
        <f>IF(tblYield[[#This Row],[Date]]="","",IF(tblYield[[#This Row],[Units in]]&gt;0,(tblYield[[#This Row],[Units in]]-tblYield[[#This Row],[Scrapped]])/tblYield[[#This Row],[Units in]],""))</f>
        <v>1</v>
      </c>
      <c r="M48" s="40">
        <f>IF(tblYield[[#This Row],[Date]]="","",IFERROR(INDEX(tblOperations[Rework cost],MATCH(tblYield[[#This Row],[Operation]],tblOperations[Operation],0)),""))</f>
        <v>2.2</v>
      </c>
      <c r="N48" s="40">
        <f>IF(tblYield[[#This Row],[Date]]="","",IFERROR(INDEX(tblOperations[Scrap cost],MATCH(tblYield[[#This Row],[Operation]],tblOperations[Operation],0)),""))</f>
        <v>41</v>
      </c>
      <c r="O48" s="40">
        <f>IF(tblYield[[#This Row],[Date]]="","",IF(tblYield[[#This Row],[Rework cost per unit]]="","",tblYield[[#This Row],[Reworked]]*tblYield[[#This Row],[Rework cost per unit]]))</f>
        <v>17.6</v>
      </c>
      <c r="P48" s="40">
        <f>IF(tblYield[[#This Row],[Date]]="","",IF(tblYield[[#This Row],[Scrap cost per unit]]="","",tblYield[[#This Row],[Scrapped]]*tblYield[[#This Row],[Scrap cost per unit]]))</f>
        <v>0</v>
      </c>
      <c r="Q48" s="41">
        <f>IF(tblYield[[#This Row],[Date]]="","",IF(AND(tblYield[[#This Row],[Date]]&gt;=FFrom,tblYield[[#This Row],[Date]]&lt;=FTo),tblYield[[#This Row],[Date]],""))</f>
        <v>46273</v>
      </c>
      <c r="R4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8" s="43" t="s">
        <v>104</v>
      </c>
    </row>
    <row r="49" spans="2:19" x14ac:dyDescent="0.25">
      <c r="B49" s="35">
        <v>46274</v>
      </c>
      <c r="C49" s="28" t="s">
        <v>76</v>
      </c>
      <c r="D49" s="36">
        <v>630</v>
      </c>
      <c r="E49" s="36">
        <v>627</v>
      </c>
      <c r="F49" s="36">
        <v>0</v>
      </c>
      <c r="G49" s="37">
        <f>IF(tblYield[[#This Row],[Date]]="","",tblYield[[#This Row],[Units in]]-tblYield[[#This Row],[Passed first time]])</f>
        <v>3</v>
      </c>
      <c r="H49" s="37">
        <f>IF(tblYield[[#This Row],[Date]]="","",tblYield[[#This Row],[Units in]]-tblYield[[#This Row],[Passed first time]]-tblYield[[#This Row],[Scrapped]])</f>
        <v>3</v>
      </c>
      <c r="I49" s="38">
        <f>IF(tblYield[[#This Row],[Date]]="","",IF(tblYield[[#This Row],[Units in]]&gt;0,tblYield[[#This Row],[Passed first time]]/tblYield[[#This Row],[Units in]],""))</f>
        <v>0.995238095238095</v>
      </c>
      <c r="J49" s="38">
        <f>IF(tblYield[[#This Row],[Date]]="","",IFERROR(INDEX(tblOperations[FPY target],MATCH(tblYield[[#This Row],[Operation]],tblOperations[Operation],0)),""))</f>
        <v>0.99</v>
      </c>
      <c r="K49" s="39" t="str">
        <f>IF(OR(NOT(ISNUMBER(tblYield[[#This Row],[FPY]])),NOT(ISNUMBER(tblYield[[#This Row],[FPY target]]))),"",IF(tblYield[[#This Row],[FPY]]&gt;=tblYield[[#This Row],[FPY target]],"On target",IF(tblYield[[#This Row],[FPY]]&gt;=tblYield[[#This Row],[FPY target]]-NearBand,"Near target","Below target")))</f>
        <v>On target</v>
      </c>
      <c r="L49" s="38">
        <f>IF(tblYield[[#This Row],[Date]]="","",IF(tblYield[[#This Row],[Units in]]&gt;0,(tblYield[[#This Row],[Units in]]-tblYield[[#This Row],[Scrapped]])/tblYield[[#This Row],[Units in]],""))</f>
        <v>1</v>
      </c>
      <c r="M49" s="40">
        <f>IF(tblYield[[#This Row],[Date]]="","",IFERROR(INDEX(tblOperations[Rework cost],MATCH(tblYield[[#This Row],[Operation]],tblOperations[Operation],0)),""))</f>
        <v>0.6</v>
      </c>
      <c r="N49" s="40">
        <f>IF(tblYield[[#This Row],[Date]]="","",IFERROR(INDEX(tblOperations[Scrap cost],MATCH(tblYield[[#This Row],[Operation]],tblOperations[Operation],0)),""))</f>
        <v>4.8</v>
      </c>
      <c r="O49" s="40">
        <f>IF(tblYield[[#This Row],[Date]]="","",IF(tblYield[[#This Row],[Rework cost per unit]]="","",tblYield[[#This Row],[Reworked]]*tblYield[[#This Row],[Rework cost per unit]]))</f>
        <v>1.8</v>
      </c>
      <c r="P49" s="40">
        <f>IF(tblYield[[#This Row],[Date]]="","",IF(tblYield[[#This Row],[Scrap cost per unit]]="","",tblYield[[#This Row],[Scrapped]]*tblYield[[#This Row],[Scrap cost per unit]]))</f>
        <v>0</v>
      </c>
      <c r="Q49" s="41">
        <f>IF(tblYield[[#This Row],[Date]]="","",IF(AND(tblYield[[#This Row],[Date]]&gt;=FFrom,tblYield[[#This Row],[Date]]&lt;=FTo),tblYield[[#This Row],[Date]],""))</f>
        <v>46274</v>
      </c>
      <c r="R4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49" s="43" t="s">
        <v>104</v>
      </c>
    </row>
    <row r="50" spans="2:19" x14ac:dyDescent="0.25">
      <c r="B50" s="35">
        <v>46274</v>
      </c>
      <c r="C50" s="28" t="s">
        <v>78</v>
      </c>
      <c r="D50" s="36">
        <v>630</v>
      </c>
      <c r="E50" s="36">
        <v>618</v>
      </c>
      <c r="F50" s="36">
        <v>1</v>
      </c>
      <c r="G50" s="37">
        <f>IF(tblYield[[#This Row],[Date]]="","",tblYield[[#This Row],[Units in]]-tblYield[[#This Row],[Passed first time]])</f>
        <v>12</v>
      </c>
      <c r="H50" s="37">
        <f>IF(tblYield[[#This Row],[Date]]="","",tblYield[[#This Row],[Units in]]-tblYield[[#This Row],[Passed first time]]-tblYield[[#This Row],[Scrapped]])</f>
        <v>11</v>
      </c>
      <c r="I50" s="38">
        <f>IF(tblYield[[#This Row],[Date]]="","",IF(tblYield[[#This Row],[Units in]]&gt;0,tblYield[[#This Row],[Passed first time]]/tblYield[[#This Row],[Units in]],""))</f>
        <v>0.980952380952381</v>
      </c>
      <c r="J50" s="38">
        <f>IF(tblYield[[#This Row],[Date]]="","",IFERROR(INDEX(tblOperations[FPY target],MATCH(tblYield[[#This Row],[Operation]],tblOperations[Operation],0)),""))</f>
        <v>0.98</v>
      </c>
      <c r="K50" s="39" t="str">
        <f>IF(OR(NOT(ISNUMBER(tblYield[[#This Row],[FPY]])),NOT(ISNUMBER(tblYield[[#This Row],[FPY target]]))),"",IF(tblYield[[#This Row],[FPY]]&gt;=tblYield[[#This Row],[FPY target]],"On target",IF(tblYield[[#This Row],[FPY]]&gt;=tblYield[[#This Row],[FPY target]]-NearBand,"Near target","Below target")))</f>
        <v>On target</v>
      </c>
      <c r="L50" s="38">
        <f>IF(tblYield[[#This Row],[Date]]="","",IF(tblYield[[#This Row],[Units in]]&gt;0,(tblYield[[#This Row],[Units in]]-tblYield[[#This Row],[Scrapped]])/tblYield[[#This Row],[Units in]],""))</f>
        <v>0.998412698412698</v>
      </c>
      <c r="M50" s="40">
        <f>IF(tblYield[[#This Row],[Date]]="","",IFERROR(INDEX(tblOperations[Rework cost],MATCH(tblYield[[#This Row],[Operation]],tblOperations[Operation],0)),""))</f>
        <v>3.8</v>
      </c>
      <c r="N50" s="40">
        <f>IF(tblYield[[#This Row],[Date]]="","",IFERROR(INDEX(tblOperations[Scrap cost],MATCH(tblYield[[#This Row],[Operation]],tblOperations[Operation],0)),""))</f>
        <v>31</v>
      </c>
      <c r="O50" s="40">
        <f>IF(tblYield[[#This Row],[Date]]="","",IF(tblYield[[#This Row],[Rework cost per unit]]="","",tblYield[[#This Row],[Reworked]]*tblYield[[#This Row],[Rework cost per unit]]))</f>
        <v>41.8</v>
      </c>
      <c r="P50" s="40">
        <f>IF(tblYield[[#This Row],[Date]]="","",IF(tblYield[[#This Row],[Scrap cost per unit]]="","",tblYield[[#This Row],[Scrapped]]*tblYield[[#This Row],[Scrap cost per unit]]))</f>
        <v>31</v>
      </c>
      <c r="Q50" s="41">
        <f>IF(tblYield[[#This Row],[Date]]="","",IF(AND(tblYield[[#This Row],[Date]]&gt;=FFrom,tblYield[[#This Row],[Date]]&lt;=FTo),tblYield[[#This Row],[Date]],""))</f>
        <v>46274</v>
      </c>
      <c r="R5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0" s="43" t="s">
        <v>104</v>
      </c>
    </row>
    <row r="51" spans="2:19" x14ac:dyDescent="0.25">
      <c r="B51" s="35">
        <v>46274</v>
      </c>
      <c r="C51" s="28" t="s">
        <v>80</v>
      </c>
      <c r="D51" s="36">
        <v>629</v>
      </c>
      <c r="E51" s="36">
        <v>601</v>
      </c>
      <c r="F51" s="36">
        <v>1</v>
      </c>
      <c r="G51" s="37">
        <f>IF(tblYield[[#This Row],[Date]]="","",tblYield[[#This Row],[Units in]]-tblYield[[#This Row],[Passed first time]])</f>
        <v>28</v>
      </c>
      <c r="H51" s="37">
        <f>IF(tblYield[[#This Row],[Date]]="","",tblYield[[#This Row],[Units in]]-tblYield[[#This Row],[Passed first time]]-tblYield[[#This Row],[Scrapped]])</f>
        <v>27</v>
      </c>
      <c r="I51" s="38">
        <f>IF(tblYield[[#This Row],[Date]]="","",IF(tblYield[[#This Row],[Units in]]&gt;0,tblYield[[#This Row],[Passed first time]]/tblYield[[#This Row],[Units in]],""))</f>
        <v>0.955484896661367</v>
      </c>
      <c r="J51" s="38">
        <f>IF(tblYield[[#This Row],[Date]]="","",IFERROR(INDEX(tblOperations[FPY target],MATCH(tblYield[[#This Row],[Operation]],tblOperations[Operation],0)),""))</f>
        <v>0.97</v>
      </c>
      <c r="K51" s="39" t="str">
        <f>IF(OR(NOT(ISNUMBER(tblYield[[#This Row],[FPY]])),NOT(ISNUMBER(tblYield[[#This Row],[FPY target]]))),"",IF(tblYield[[#This Row],[FPY]]&gt;=tblYield[[#This Row],[FPY target]],"On target",IF(tblYield[[#This Row],[FPY]]&gt;=tblYield[[#This Row],[FPY target]]-NearBand,"Near target","Below target")))</f>
        <v>Below target</v>
      </c>
      <c r="L51" s="38">
        <f>IF(tblYield[[#This Row],[Date]]="","",IF(tblYield[[#This Row],[Units in]]&gt;0,(tblYield[[#This Row],[Units in]]-tblYield[[#This Row],[Scrapped]])/tblYield[[#This Row],[Units in]],""))</f>
        <v>0.998410174880763</v>
      </c>
      <c r="M51" s="40">
        <f>IF(tblYield[[#This Row],[Date]]="","",IFERROR(INDEX(tblOperations[Rework cost],MATCH(tblYield[[#This Row],[Operation]],tblOperations[Operation],0)),""))</f>
        <v>2.9</v>
      </c>
      <c r="N51" s="40">
        <f>IF(tblYield[[#This Row],[Date]]="","",IFERROR(INDEX(tblOperations[Scrap cost],MATCH(tblYield[[#This Row],[Operation]],tblOperations[Operation],0)),""))</f>
        <v>34</v>
      </c>
      <c r="O51" s="40">
        <f>IF(tblYield[[#This Row],[Date]]="","",IF(tblYield[[#This Row],[Rework cost per unit]]="","",tblYield[[#This Row],[Reworked]]*tblYield[[#This Row],[Rework cost per unit]]))</f>
        <v>78.3</v>
      </c>
      <c r="P51" s="40">
        <f>IF(tblYield[[#This Row],[Date]]="","",IF(tblYield[[#This Row],[Scrap cost per unit]]="","",tblYield[[#This Row],[Scrapped]]*tblYield[[#This Row],[Scrap cost per unit]]))</f>
        <v>34</v>
      </c>
      <c r="Q51" s="41">
        <f>IF(tblYield[[#This Row],[Date]]="","",IF(AND(tblYield[[#This Row],[Date]]&gt;=FFrom,tblYield[[#This Row],[Date]]&lt;=FTo),tblYield[[#This Row],[Date]],""))</f>
        <v>46274</v>
      </c>
      <c r="R5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1" s="43" t="s">
        <v>104</v>
      </c>
    </row>
    <row r="52" spans="2:19" x14ac:dyDescent="0.25">
      <c r="B52" s="35">
        <v>46274</v>
      </c>
      <c r="C52" s="28" t="s">
        <v>82</v>
      </c>
      <c r="D52" s="36">
        <v>628</v>
      </c>
      <c r="E52" s="36">
        <v>616</v>
      </c>
      <c r="F52" s="36">
        <v>1</v>
      </c>
      <c r="G52" s="37">
        <f>IF(tblYield[[#This Row],[Date]]="","",tblYield[[#This Row],[Units in]]-tblYield[[#This Row],[Passed first time]])</f>
        <v>12</v>
      </c>
      <c r="H52" s="37">
        <f>IF(tblYield[[#This Row],[Date]]="","",tblYield[[#This Row],[Units in]]-tblYield[[#This Row],[Passed first time]]-tblYield[[#This Row],[Scrapped]])</f>
        <v>11</v>
      </c>
      <c r="I52" s="38">
        <f>IF(tblYield[[#This Row],[Date]]="","",IF(tblYield[[#This Row],[Units in]]&gt;0,tblYield[[#This Row],[Passed first time]]/tblYield[[#This Row],[Units in]],""))</f>
        <v>0.980891719745223</v>
      </c>
      <c r="J52" s="38">
        <f>IF(tblYield[[#This Row],[Date]]="","",IFERROR(INDEX(tblOperations[FPY target],MATCH(tblYield[[#This Row],[Operation]],tblOperations[Operation],0)),""))</f>
        <v>0.98</v>
      </c>
      <c r="K52" s="39" t="str">
        <f>IF(OR(NOT(ISNUMBER(tblYield[[#This Row],[FPY]])),NOT(ISNUMBER(tblYield[[#This Row],[FPY target]]))),"",IF(tblYield[[#This Row],[FPY]]&gt;=tblYield[[#This Row],[FPY target]],"On target",IF(tblYield[[#This Row],[FPY]]&gt;=tblYield[[#This Row],[FPY target]]-NearBand,"Near target","Below target")))</f>
        <v>On target</v>
      </c>
      <c r="L52" s="38">
        <f>IF(tblYield[[#This Row],[Date]]="","",IF(tblYield[[#This Row],[Units in]]&gt;0,(tblYield[[#This Row],[Units in]]-tblYield[[#This Row],[Scrapped]])/tblYield[[#This Row],[Units in]],""))</f>
        <v>0.998407643312102</v>
      </c>
      <c r="M52" s="40">
        <f>IF(tblYield[[#This Row],[Date]]="","",IFERROR(INDEX(tblOperations[Rework cost],MATCH(tblYield[[#This Row],[Operation]],tblOperations[Operation],0)),""))</f>
        <v>8.5</v>
      </c>
      <c r="N52" s="40">
        <f>IF(tblYield[[#This Row],[Date]]="","",IFERROR(INDEX(tblOperations[Scrap cost],MATCH(tblYield[[#This Row],[Operation]],tblOperations[Operation],0)),""))</f>
        <v>36.5</v>
      </c>
      <c r="O52" s="40">
        <f>IF(tblYield[[#This Row],[Date]]="","",IF(tblYield[[#This Row],[Rework cost per unit]]="","",tblYield[[#This Row],[Reworked]]*tblYield[[#This Row],[Rework cost per unit]]))</f>
        <v>93.5</v>
      </c>
      <c r="P52" s="40">
        <f>IF(tblYield[[#This Row],[Date]]="","",IF(tblYield[[#This Row],[Scrap cost per unit]]="","",tblYield[[#This Row],[Scrapped]]*tblYield[[#This Row],[Scrap cost per unit]]))</f>
        <v>36.5</v>
      </c>
      <c r="Q52" s="41">
        <f>IF(tblYield[[#This Row],[Date]]="","",IF(AND(tblYield[[#This Row],[Date]]&gt;=FFrom,tblYield[[#This Row],[Date]]&lt;=FTo),tblYield[[#This Row],[Date]],""))</f>
        <v>46274</v>
      </c>
      <c r="R5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2" s="43" t="s">
        <v>104</v>
      </c>
    </row>
    <row r="53" spans="2:19" x14ac:dyDescent="0.25">
      <c r="B53" s="35">
        <v>46274</v>
      </c>
      <c r="C53" s="28" t="s">
        <v>84</v>
      </c>
      <c r="D53" s="36">
        <v>627</v>
      </c>
      <c r="E53" s="36">
        <v>617</v>
      </c>
      <c r="F53" s="36">
        <v>1</v>
      </c>
      <c r="G53" s="37">
        <f>IF(tblYield[[#This Row],[Date]]="","",tblYield[[#This Row],[Units in]]-tblYield[[#This Row],[Passed first time]])</f>
        <v>10</v>
      </c>
      <c r="H53" s="37">
        <f>IF(tblYield[[#This Row],[Date]]="","",tblYield[[#This Row],[Units in]]-tblYield[[#This Row],[Passed first time]]-tblYield[[#This Row],[Scrapped]])</f>
        <v>9</v>
      </c>
      <c r="I53" s="38">
        <f>IF(tblYield[[#This Row],[Date]]="","",IF(tblYield[[#This Row],[Units in]]&gt;0,tblYield[[#This Row],[Passed first time]]/tblYield[[#This Row],[Units in]],""))</f>
        <v>0.984051036682616</v>
      </c>
      <c r="J53" s="38">
        <f>IF(tblYield[[#This Row],[Date]]="","",IFERROR(INDEX(tblOperations[FPY target],MATCH(tblYield[[#This Row],[Operation]],tblOperations[Operation],0)),""))</f>
        <v>0.985</v>
      </c>
      <c r="K53" s="39" t="str">
        <f>IF(OR(NOT(ISNUMBER(tblYield[[#This Row],[FPY]])),NOT(ISNUMBER(tblYield[[#This Row],[FPY target]]))),"",IF(tblYield[[#This Row],[FPY]]&gt;=tblYield[[#This Row],[FPY target]],"On target",IF(tblYield[[#This Row],[FPY]]&gt;=tblYield[[#This Row],[FPY target]]-NearBand,"Near target","Below target")))</f>
        <v>Near target</v>
      </c>
      <c r="L53" s="38">
        <f>IF(tblYield[[#This Row],[Date]]="","",IF(tblYield[[#This Row],[Units in]]&gt;0,(tblYield[[#This Row],[Units in]]-tblYield[[#This Row],[Scrapped]])/tblYield[[#This Row],[Units in]],""))</f>
        <v>0.998405103668262</v>
      </c>
      <c r="M53" s="40">
        <f>IF(tblYield[[#This Row],[Date]]="","",IFERROR(INDEX(tblOperations[Rework cost],MATCH(tblYield[[#This Row],[Operation]],tblOperations[Operation],0)),""))</f>
        <v>12</v>
      </c>
      <c r="N53" s="40">
        <f>IF(tblYield[[#This Row],[Date]]="","",IFERROR(INDEX(tblOperations[Scrap cost],MATCH(tblYield[[#This Row],[Operation]],tblOperations[Operation],0)),""))</f>
        <v>38</v>
      </c>
      <c r="O53" s="40">
        <f>IF(tblYield[[#This Row],[Date]]="","",IF(tblYield[[#This Row],[Rework cost per unit]]="","",tblYield[[#This Row],[Reworked]]*tblYield[[#This Row],[Rework cost per unit]]))</f>
        <v>108</v>
      </c>
      <c r="P53" s="40">
        <f>IF(tblYield[[#This Row],[Date]]="","",IF(tblYield[[#This Row],[Scrap cost per unit]]="","",tblYield[[#This Row],[Scrapped]]*tblYield[[#This Row],[Scrap cost per unit]]))</f>
        <v>38</v>
      </c>
      <c r="Q53" s="41">
        <f>IF(tblYield[[#This Row],[Date]]="","",IF(AND(tblYield[[#This Row],[Date]]&gt;=FFrom,tblYield[[#This Row],[Date]]&lt;=FTo),tblYield[[#This Row],[Date]],""))</f>
        <v>46274</v>
      </c>
      <c r="R5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3" s="43" t="s">
        <v>104</v>
      </c>
    </row>
    <row r="54" spans="2:19" x14ac:dyDescent="0.25">
      <c r="B54" s="35">
        <v>46274</v>
      </c>
      <c r="C54" s="28" t="s">
        <v>86</v>
      </c>
      <c r="D54" s="36">
        <v>626</v>
      </c>
      <c r="E54" s="36">
        <v>618</v>
      </c>
      <c r="F54" s="36">
        <v>0</v>
      </c>
      <c r="G54" s="37">
        <f>IF(tblYield[[#This Row],[Date]]="","",tblYield[[#This Row],[Units in]]-tblYield[[#This Row],[Passed first time]])</f>
        <v>8</v>
      </c>
      <c r="H54" s="37">
        <f>IF(tblYield[[#This Row],[Date]]="","",tblYield[[#This Row],[Units in]]-tblYield[[#This Row],[Passed first time]]-tblYield[[#This Row],[Scrapped]])</f>
        <v>8</v>
      </c>
      <c r="I54" s="38">
        <f>IF(tblYield[[#This Row],[Date]]="","",IF(tblYield[[#This Row],[Units in]]&gt;0,tblYield[[#This Row],[Passed first time]]/tblYield[[#This Row],[Units in]],""))</f>
        <v>0.987220447284345</v>
      </c>
      <c r="J54" s="38">
        <f>IF(tblYield[[#This Row],[Date]]="","",IFERROR(INDEX(tblOperations[FPY target],MATCH(tblYield[[#This Row],[Operation]],tblOperations[Operation],0)),""))</f>
        <v>0.99</v>
      </c>
      <c r="K54" s="39" t="str">
        <f>IF(OR(NOT(ISNUMBER(tblYield[[#This Row],[FPY]])),NOT(ISNUMBER(tblYield[[#This Row],[FPY target]]))),"",IF(tblYield[[#This Row],[FPY]]&gt;=tblYield[[#This Row],[FPY target]],"On target",IF(tblYield[[#This Row],[FPY]]&gt;=tblYield[[#This Row],[FPY target]]-NearBand,"Near target","Below target")))</f>
        <v>Near target</v>
      </c>
      <c r="L54" s="38">
        <f>IF(tblYield[[#This Row],[Date]]="","",IF(tblYield[[#This Row],[Units in]]&gt;0,(tblYield[[#This Row],[Units in]]-tblYield[[#This Row],[Scrapped]])/tblYield[[#This Row],[Units in]],""))</f>
        <v>1</v>
      </c>
      <c r="M54" s="40">
        <f>IF(tblYield[[#This Row],[Date]]="","",IFERROR(INDEX(tblOperations[Rework cost],MATCH(tblYield[[#This Row],[Operation]],tblOperations[Operation],0)),""))</f>
        <v>2.2</v>
      </c>
      <c r="N54" s="40">
        <f>IF(tblYield[[#This Row],[Date]]="","",IFERROR(INDEX(tblOperations[Scrap cost],MATCH(tblYield[[#This Row],[Operation]],tblOperations[Operation],0)),""))</f>
        <v>41</v>
      </c>
      <c r="O54" s="40">
        <f>IF(tblYield[[#This Row],[Date]]="","",IF(tblYield[[#This Row],[Rework cost per unit]]="","",tblYield[[#This Row],[Reworked]]*tblYield[[#This Row],[Rework cost per unit]]))</f>
        <v>17.6</v>
      </c>
      <c r="P54" s="40">
        <f>IF(tblYield[[#This Row],[Date]]="","",IF(tblYield[[#This Row],[Scrap cost per unit]]="","",tblYield[[#This Row],[Scrapped]]*tblYield[[#This Row],[Scrap cost per unit]]))</f>
        <v>0</v>
      </c>
      <c r="Q54" s="41">
        <f>IF(tblYield[[#This Row],[Date]]="","",IF(AND(tblYield[[#This Row],[Date]]&gt;=FFrom,tblYield[[#This Row],[Date]]&lt;=FTo),tblYield[[#This Row],[Date]],""))</f>
        <v>46274</v>
      </c>
      <c r="R5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4" s="43" t="s">
        <v>104</v>
      </c>
    </row>
    <row r="55" spans="2:19" x14ac:dyDescent="0.25">
      <c r="B55" s="35">
        <v>46275</v>
      </c>
      <c r="C55" s="28" t="s">
        <v>76</v>
      </c>
      <c r="D55" s="36">
        <v>640</v>
      </c>
      <c r="E55" s="36">
        <v>631</v>
      </c>
      <c r="F55" s="36">
        <v>0</v>
      </c>
      <c r="G55" s="37">
        <f>IF(tblYield[[#This Row],[Date]]="","",tblYield[[#This Row],[Units in]]-tblYield[[#This Row],[Passed first time]])</f>
        <v>9</v>
      </c>
      <c r="H55" s="37">
        <f>IF(tblYield[[#This Row],[Date]]="","",tblYield[[#This Row],[Units in]]-tblYield[[#This Row],[Passed first time]]-tblYield[[#This Row],[Scrapped]])</f>
        <v>9</v>
      </c>
      <c r="I55" s="38">
        <f>IF(tblYield[[#This Row],[Date]]="","",IF(tblYield[[#This Row],[Units in]]&gt;0,tblYield[[#This Row],[Passed first time]]/tblYield[[#This Row],[Units in]],""))</f>
        <v>0.9859375</v>
      </c>
      <c r="J55" s="38">
        <f>IF(tblYield[[#This Row],[Date]]="","",IFERROR(INDEX(tblOperations[FPY target],MATCH(tblYield[[#This Row],[Operation]],tblOperations[Operation],0)),""))</f>
        <v>0.99</v>
      </c>
      <c r="K55" s="39" t="str">
        <f>IF(OR(NOT(ISNUMBER(tblYield[[#This Row],[FPY]])),NOT(ISNUMBER(tblYield[[#This Row],[FPY target]]))),"",IF(tblYield[[#This Row],[FPY]]&gt;=tblYield[[#This Row],[FPY target]],"On target",IF(tblYield[[#This Row],[FPY]]&gt;=tblYield[[#This Row],[FPY target]]-NearBand,"Near target","Below target")))</f>
        <v>Near target</v>
      </c>
      <c r="L55" s="38">
        <f>IF(tblYield[[#This Row],[Date]]="","",IF(tblYield[[#This Row],[Units in]]&gt;0,(tblYield[[#This Row],[Units in]]-tblYield[[#This Row],[Scrapped]])/tblYield[[#This Row],[Units in]],""))</f>
        <v>1</v>
      </c>
      <c r="M55" s="40">
        <f>IF(tblYield[[#This Row],[Date]]="","",IFERROR(INDEX(tblOperations[Rework cost],MATCH(tblYield[[#This Row],[Operation]],tblOperations[Operation],0)),""))</f>
        <v>0.6</v>
      </c>
      <c r="N55" s="40">
        <f>IF(tblYield[[#This Row],[Date]]="","",IFERROR(INDEX(tblOperations[Scrap cost],MATCH(tblYield[[#This Row],[Operation]],tblOperations[Operation],0)),""))</f>
        <v>4.8</v>
      </c>
      <c r="O55" s="40">
        <f>IF(tblYield[[#This Row],[Date]]="","",IF(tblYield[[#This Row],[Rework cost per unit]]="","",tblYield[[#This Row],[Reworked]]*tblYield[[#This Row],[Rework cost per unit]]))</f>
        <v>5.4</v>
      </c>
      <c r="P55" s="40">
        <f>IF(tblYield[[#This Row],[Date]]="","",IF(tblYield[[#This Row],[Scrap cost per unit]]="","",tblYield[[#This Row],[Scrapped]]*tblYield[[#This Row],[Scrap cost per unit]]))</f>
        <v>0</v>
      </c>
      <c r="Q55" s="41">
        <f>IF(tblYield[[#This Row],[Date]]="","",IF(AND(tblYield[[#This Row],[Date]]&gt;=FFrom,tblYield[[#This Row],[Date]]&lt;=FTo),tblYield[[#This Row],[Date]],""))</f>
        <v>46275</v>
      </c>
      <c r="R5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5" s="43" t="s">
        <v>104</v>
      </c>
    </row>
    <row r="56" spans="2:19" x14ac:dyDescent="0.25">
      <c r="B56" s="35">
        <v>46275</v>
      </c>
      <c r="C56" s="28" t="s">
        <v>78</v>
      </c>
      <c r="D56" s="36">
        <v>640</v>
      </c>
      <c r="E56" s="36">
        <v>624</v>
      </c>
      <c r="F56" s="36">
        <v>1</v>
      </c>
      <c r="G56" s="37">
        <f>IF(tblYield[[#This Row],[Date]]="","",tblYield[[#This Row],[Units in]]-tblYield[[#This Row],[Passed first time]])</f>
        <v>16</v>
      </c>
      <c r="H56" s="37">
        <f>IF(tblYield[[#This Row],[Date]]="","",tblYield[[#This Row],[Units in]]-tblYield[[#This Row],[Passed first time]]-tblYield[[#This Row],[Scrapped]])</f>
        <v>15</v>
      </c>
      <c r="I56" s="38">
        <f>IF(tblYield[[#This Row],[Date]]="","",IF(tblYield[[#This Row],[Units in]]&gt;0,tblYield[[#This Row],[Passed first time]]/tblYield[[#This Row],[Units in]],""))</f>
        <v>0.975</v>
      </c>
      <c r="J56" s="38">
        <f>IF(tblYield[[#This Row],[Date]]="","",IFERROR(INDEX(tblOperations[FPY target],MATCH(tblYield[[#This Row],[Operation]],tblOperations[Operation],0)),""))</f>
        <v>0.98</v>
      </c>
      <c r="K56" s="39" t="str">
        <f>IF(OR(NOT(ISNUMBER(tblYield[[#This Row],[FPY]])),NOT(ISNUMBER(tblYield[[#This Row],[FPY target]]))),"",IF(tblYield[[#This Row],[FPY]]&gt;=tblYield[[#This Row],[FPY target]],"On target",IF(tblYield[[#This Row],[FPY]]&gt;=tblYield[[#This Row],[FPY target]]-NearBand,"Near target","Below target")))</f>
        <v>Near target</v>
      </c>
      <c r="L56" s="38">
        <f>IF(tblYield[[#This Row],[Date]]="","",IF(tblYield[[#This Row],[Units in]]&gt;0,(tblYield[[#This Row],[Units in]]-tblYield[[#This Row],[Scrapped]])/tblYield[[#This Row],[Units in]],""))</f>
        <v>0.9984375</v>
      </c>
      <c r="M56" s="40">
        <f>IF(tblYield[[#This Row],[Date]]="","",IFERROR(INDEX(tblOperations[Rework cost],MATCH(tblYield[[#This Row],[Operation]],tblOperations[Operation],0)),""))</f>
        <v>3.8</v>
      </c>
      <c r="N56" s="40">
        <f>IF(tblYield[[#This Row],[Date]]="","",IFERROR(INDEX(tblOperations[Scrap cost],MATCH(tblYield[[#This Row],[Operation]],tblOperations[Operation],0)),""))</f>
        <v>31</v>
      </c>
      <c r="O56" s="40">
        <f>IF(tblYield[[#This Row],[Date]]="","",IF(tblYield[[#This Row],[Rework cost per unit]]="","",tblYield[[#This Row],[Reworked]]*tblYield[[#This Row],[Rework cost per unit]]))</f>
        <v>57</v>
      </c>
      <c r="P56" s="40">
        <f>IF(tblYield[[#This Row],[Date]]="","",IF(tblYield[[#This Row],[Scrap cost per unit]]="","",tblYield[[#This Row],[Scrapped]]*tblYield[[#This Row],[Scrap cost per unit]]))</f>
        <v>31</v>
      </c>
      <c r="Q56" s="41">
        <f>IF(tblYield[[#This Row],[Date]]="","",IF(AND(tblYield[[#This Row],[Date]]&gt;=FFrom,tblYield[[#This Row],[Date]]&lt;=FTo),tblYield[[#This Row],[Date]],""))</f>
        <v>46275</v>
      </c>
      <c r="R5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6" s="43" t="s">
        <v>104</v>
      </c>
    </row>
    <row r="57" spans="2:19" x14ac:dyDescent="0.25">
      <c r="B57" s="35">
        <v>46275</v>
      </c>
      <c r="C57" s="28" t="s">
        <v>80</v>
      </c>
      <c r="D57" s="36">
        <v>639</v>
      </c>
      <c r="E57" s="36">
        <v>606</v>
      </c>
      <c r="F57" s="36">
        <v>2</v>
      </c>
      <c r="G57" s="37">
        <f>IF(tblYield[[#This Row],[Date]]="","",tblYield[[#This Row],[Units in]]-tblYield[[#This Row],[Passed first time]])</f>
        <v>33</v>
      </c>
      <c r="H57" s="37">
        <f>IF(tblYield[[#This Row],[Date]]="","",tblYield[[#This Row],[Units in]]-tblYield[[#This Row],[Passed first time]]-tblYield[[#This Row],[Scrapped]])</f>
        <v>31</v>
      </c>
      <c r="I57" s="38">
        <f>IF(tblYield[[#This Row],[Date]]="","",IF(tblYield[[#This Row],[Units in]]&gt;0,tblYield[[#This Row],[Passed first time]]/tblYield[[#This Row],[Units in]],""))</f>
        <v>0.948356807511737</v>
      </c>
      <c r="J57" s="38">
        <f>IF(tblYield[[#This Row],[Date]]="","",IFERROR(INDEX(tblOperations[FPY target],MATCH(tblYield[[#This Row],[Operation]],tblOperations[Operation],0)),""))</f>
        <v>0.97</v>
      </c>
      <c r="K57" s="39" t="str">
        <f>IF(OR(NOT(ISNUMBER(tblYield[[#This Row],[FPY]])),NOT(ISNUMBER(tblYield[[#This Row],[FPY target]]))),"",IF(tblYield[[#This Row],[FPY]]&gt;=tblYield[[#This Row],[FPY target]],"On target",IF(tblYield[[#This Row],[FPY]]&gt;=tblYield[[#This Row],[FPY target]]-NearBand,"Near target","Below target")))</f>
        <v>Below target</v>
      </c>
      <c r="L57" s="38">
        <f>IF(tblYield[[#This Row],[Date]]="","",IF(tblYield[[#This Row],[Units in]]&gt;0,(tblYield[[#This Row],[Units in]]-tblYield[[#This Row],[Scrapped]])/tblYield[[#This Row],[Units in]],""))</f>
        <v>0.996870109546166</v>
      </c>
      <c r="M57" s="40">
        <f>IF(tblYield[[#This Row],[Date]]="","",IFERROR(INDEX(tblOperations[Rework cost],MATCH(tblYield[[#This Row],[Operation]],tblOperations[Operation],0)),""))</f>
        <v>2.9</v>
      </c>
      <c r="N57" s="40">
        <f>IF(tblYield[[#This Row],[Date]]="","",IFERROR(INDEX(tblOperations[Scrap cost],MATCH(tblYield[[#This Row],[Operation]],tblOperations[Operation],0)),""))</f>
        <v>34</v>
      </c>
      <c r="O57" s="40">
        <f>IF(tblYield[[#This Row],[Date]]="","",IF(tblYield[[#This Row],[Rework cost per unit]]="","",tblYield[[#This Row],[Reworked]]*tblYield[[#This Row],[Rework cost per unit]]))</f>
        <v>89.9</v>
      </c>
      <c r="P57" s="40">
        <f>IF(tblYield[[#This Row],[Date]]="","",IF(tblYield[[#This Row],[Scrap cost per unit]]="","",tblYield[[#This Row],[Scrapped]]*tblYield[[#This Row],[Scrap cost per unit]]))</f>
        <v>68</v>
      </c>
      <c r="Q57" s="41">
        <f>IF(tblYield[[#This Row],[Date]]="","",IF(AND(tblYield[[#This Row],[Date]]&gt;=FFrom,tblYield[[#This Row],[Date]]&lt;=FTo),tblYield[[#This Row],[Date]],""))</f>
        <v>46275</v>
      </c>
      <c r="R5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7" s="43" t="s">
        <v>104</v>
      </c>
    </row>
    <row r="58" spans="2:19" x14ac:dyDescent="0.25">
      <c r="B58" s="35">
        <v>46275</v>
      </c>
      <c r="C58" s="28" t="s">
        <v>82</v>
      </c>
      <c r="D58" s="36">
        <v>637</v>
      </c>
      <c r="E58" s="36">
        <v>628</v>
      </c>
      <c r="F58" s="36">
        <v>1</v>
      </c>
      <c r="G58" s="37">
        <f>IF(tblYield[[#This Row],[Date]]="","",tblYield[[#This Row],[Units in]]-tblYield[[#This Row],[Passed first time]])</f>
        <v>9</v>
      </c>
      <c r="H58" s="37">
        <f>IF(tblYield[[#This Row],[Date]]="","",tblYield[[#This Row],[Units in]]-tblYield[[#This Row],[Passed first time]]-tblYield[[#This Row],[Scrapped]])</f>
        <v>8</v>
      </c>
      <c r="I58" s="38">
        <f>IF(tblYield[[#This Row],[Date]]="","",IF(tblYield[[#This Row],[Units in]]&gt;0,tblYield[[#This Row],[Passed first time]]/tblYield[[#This Row],[Units in]],""))</f>
        <v>0.985871271585557</v>
      </c>
      <c r="J58" s="38">
        <f>IF(tblYield[[#This Row],[Date]]="","",IFERROR(INDEX(tblOperations[FPY target],MATCH(tblYield[[#This Row],[Operation]],tblOperations[Operation],0)),""))</f>
        <v>0.98</v>
      </c>
      <c r="K58" s="39" t="str">
        <f>IF(OR(NOT(ISNUMBER(tblYield[[#This Row],[FPY]])),NOT(ISNUMBER(tblYield[[#This Row],[FPY target]]))),"",IF(tblYield[[#This Row],[FPY]]&gt;=tblYield[[#This Row],[FPY target]],"On target",IF(tblYield[[#This Row],[FPY]]&gt;=tblYield[[#This Row],[FPY target]]-NearBand,"Near target","Below target")))</f>
        <v>On target</v>
      </c>
      <c r="L58" s="38">
        <f>IF(tblYield[[#This Row],[Date]]="","",IF(tblYield[[#This Row],[Units in]]&gt;0,(tblYield[[#This Row],[Units in]]-tblYield[[#This Row],[Scrapped]])/tblYield[[#This Row],[Units in]],""))</f>
        <v>0.998430141287284</v>
      </c>
      <c r="M58" s="40">
        <f>IF(tblYield[[#This Row],[Date]]="","",IFERROR(INDEX(tblOperations[Rework cost],MATCH(tblYield[[#This Row],[Operation]],tblOperations[Operation],0)),""))</f>
        <v>8.5</v>
      </c>
      <c r="N58" s="40">
        <f>IF(tblYield[[#This Row],[Date]]="","",IFERROR(INDEX(tblOperations[Scrap cost],MATCH(tblYield[[#This Row],[Operation]],tblOperations[Operation],0)),""))</f>
        <v>36.5</v>
      </c>
      <c r="O58" s="40">
        <f>IF(tblYield[[#This Row],[Date]]="","",IF(tblYield[[#This Row],[Rework cost per unit]]="","",tblYield[[#This Row],[Reworked]]*tblYield[[#This Row],[Rework cost per unit]]))</f>
        <v>68</v>
      </c>
      <c r="P58" s="40">
        <f>IF(tblYield[[#This Row],[Date]]="","",IF(tblYield[[#This Row],[Scrap cost per unit]]="","",tblYield[[#This Row],[Scrapped]]*tblYield[[#This Row],[Scrap cost per unit]]))</f>
        <v>36.5</v>
      </c>
      <c r="Q58" s="41">
        <f>IF(tblYield[[#This Row],[Date]]="","",IF(AND(tblYield[[#This Row],[Date]]&gt;=FFrom,tblYield[[#This Row],[Date]]&lt;=FTo),tblYield[[#This Row],[Date]],""))</f>
        <v>46275</v>
      </c>
      <c r="R5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8" s="43" t="s">
        <v>104</v>
      </c>
    </row>
    <row r="59" spans="2:19" x14ac:dyDescent="0.25">
      <c r="B59" s="35">
        <v>46275</v>
      </c>
      <c r="C59" s="28" t="s">
        <v>84</v>
      </c>
      <c r="D59" s="36">
        <v>636</v>
      </c>
      <c r="E59" s="36">
        <v>624</v>
      </c>
      <c r="F59" s="36">
        <v>1</v>
      </c>
      <c r="G59" s="37">
        <f>IF(tblYield[[#This Row],[Date]]="","",tblYield[[#This Row],[Units in]]-tblYield[[#This Row],[Passed first time]])</f>
        <v>12</v>
      </c>
      <c r="H59" s="37">
        <f>IF(tblYield[[#This Row],[Date]]="","",tblYield[[#This Row],[Units in]]-tblYield[[#This Row],[Passed first time]]-tblYield[[#This Row],[Scrapped]])</f>
        <v>11</v>
      </c>
      <c r="I59" s="38">
        <f>IF(tblYield[[#This Row],[Date]]="","",IF(tblYield[[#This Row],[Units in]]&gt;0,tblYield[[#This Row],[Passed first time]]/tblYield[[#This Row],[Units in]],""))</f>
        <v>0.981132075471698</v>
      </c>
      <c r="J59" s="38">
        <f>IF(tblYield[[#This Row],[Date]]="","",IFERROR(INDEX(tblOperations[FPY target],MATCH(tblYield[[#This Row],[Operation]],tblOperations[Operation],0)),""))</f>
        <v>0.985</v>
      </c>
      <c r="K59" s="39" t="str">
        <f>IF(OR(NOT(ISNUMBER(tblYield[[#This Row],[FPY]])),NOT(ISNUMBER(tblYield[[#This Row],[FPY target]]))),"",IF(tblYield[[#This Row],[FPY]]&gt;=tblYield[[#This Row],[FPY target]],"On target",IF(tblYield[[#This Row],[FPY]]&gt;=tblYield[[#This Row],[FPY target]]-NearBand,"Near target","Below target")))</f>
        <v>Near target</v>
      </c>
      <c r="L59" s="38">
        <f>IF(tblYield[[#This Row],[Date]]="","",IF(tblYield[[#This Row],[Units in]]&gt;0,(tblYield[[#This Row],[Units in]]-tblYield[[#This Row],[Scrapped]])/tblYield[[#This Row],[Units in]],""))</f>
        <v>0.998427672955975</v>
      </c>
      <c r="M59" s="40">
        <f>IF(tblYield[[#This Row],[Date]]="","",IFERROR(INDEX(tblOperations[Rework cost],MATCH(tblYield[[#This Row],[Operation]],tblOperations[Operation],0)),""))</f>
        <v>12</v>
      </c>
      <c r="N59" s="40">
        <f>IF(tblYield[[#This Row],[Date]]="","",IFERROR(INDEX(tblOperations[Scrap cost],MATCH(tblYield[[#This Row],[Operation]],tblOperations[Operation],0)),""))</f>
        <v>38</v>
      </c>
      <c r="O59" s="40">
        <f>IF(tblYield[[#This Row],[Date]]="","",IF(tblYield[[#This Row],[Rework cost per unit]]="","",tblYield[[#This Row],[Reworked]]*tblYield[[#This Row],[Rework cost per unit]]))</f>
        <v>132</v>
      </c>
      <c r="P59" s="40">
        <f>IF(tblYield[[#This Row],[Date]]="","",IF(tblYield[[#This Row],[Scrap cost per unit]]="","",tblYield[[#This Row],[Scrapped]]*tblYield[[#This Row],[Scrap cost per unit]]))</f>
        <v>38</v>
      </c>
      <c r="Q59" s="41">
        <f>IF(tblYield[[#This Row],[Date]]="","",IF(AND(tblYield[[#This Row],[Date]]&gt;=FFrom,tblYield[[#This Row],[Date]]&lt;=FTo),tblYield[[#This Row],[Date]],""))</f>
        <v>46275</v>
      </c>
      <c r="R5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59" s="43" t="s">
        <v>104</v>
      </c>
    </row>
    <row r="60" spans="2:19" x14ac:dyDescent="0.25">
      <c r="B60" s="35">
        <v>46275</v>
      </c>
      <c r="C60" s="28" t="s">
        <v>86</v>
      </c>
      <c r="D60" s="36">
        <v>635</v>
      </c>
      <c r="E60" s="36">
        <v>633</v>
      </c>
      <c r="F60" s="36">
        <v>0</v>
      </c>
      <c r="G60" s="37">
        <f>IF(tblYield[[#This Row],[Date]]="","",tblYield[[#This Row],[Units in]]-tblYield[[#This Row],[Passed first time]])</f>
        <v>2</v>
      </c>
      <c r="H60" s="37">
        <f>IF(tblYield[[#This Row],[Date]]="","",tblYield[[#This Row],[Units in]]-tblYield[[#This Row],[Passed first time]]-tblYield[[#This Row],[Scrapped]])</f>
        <v>2</v>
      </c>
      <c r="I60" s="38">
        <f>IF(tblYield[[#This Row],[Date]]="","",IF(tblYield[[#This Row],[Units in]]&gt;0,tblYield[[#This Row],[Passed first time]]/tblYield[[#This Row],[Units in]],""))</f>
        <v>0.996850393700787</v>
      </c>
      <c r="J60" s="38">
        <f>IF(tblYield[[#This Row],[Date]]="","",IFERROR(INDEX(tblOperations[FPY target],MATCH(tblYield[[#This Row],[Operation]],tblOperations[Operation],0)),""))</f>
        <v>0.99</v>
      </c>
      <c r="K60" s="39" t="str">
        <f>IF(OR(NOT(ISNUMBER(tblYield[[#This Row],[FPY]])),NOT(ISNUMBER(tblYield[[#This Row],[FPY target]]))),"",IF(tblYield[[#This Row],[FPY]]&gt;=tblYield[[#This Row],[FPY target]],"On target",IF(tblYield[[#This Row],[FPY]]&gt;=tblYield[[#This Row],[FPY target]]-NearBand,"Near target","Below target")))</f>
        <v>On target</v>
      </c>
      <c r="L60" s="38">
        <f>IF(tblYield[[#This Row],[Date]]="","",IF(tblYield[[#This Row],[Units in]]&gt;0,(tblYield[[#This Row],[Units in]]-tblYield[[#This Row],[Scrapped]])/tblYield[[#This Row],[Units in]],""))</f>
        <v>1</v>
      </c>
      <c r="M60" s="40">
        <f>IF(tblYield[[#This Row],[Date]]="","",IFERROR(INDEX(tblOperations[Rework cost],MATCH(tblYield[[#This Row],[Operation]],tblOperations[Operation],0)),""))</f>
        <v>2.2</v>
      </c>
      <c r="N60" s="40">
        <f>IF(tblYield[[#This Row],[Date]]="","",IFERROR(INDEX(tblOperations[Scrap cost],MATCH(tblYield[[#This Row],[Operation]],tblOperations[Operation],0)),""))</f>
        <v>41</v>
      </c>
      <c r="O60" s="40">
        <f>IF(tblYield[[#This Row],[Date]]="","",IF(tblYield[[#This Row],[Rework cost per unit]]="","",tblYield[[#This Row],[Reworked]]*tblYield[[#This Row],[Rework cost per unit]]))</f>
        <v>4.4</v>
      </c>
      <c r="P60" s="40">
        <f>IF(tblYield[[#This Row],[Date]]="","",IF(tblYield[[#This Row],[Scrap cost per unit]]="","",tblYield[[#This Row],[Scrapped]]*tblYield[[#This Row],[Scrap cost per unit]]))</f>
        <v>0</v>
      </c>
      <c r="Q60" s="41">
        <f>IF(tblYield[[#This Row],[Date]]="","",IF(AND(tblYield[[#This Row],[Date]]&gt;=FFrom,tblYield[[#This Row],[Date]]&lt;=FTo),tblYield[[#This Row],[Date]],""))</f>
        <v>46275</v>
      </c>
      <c r="R6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0" s="43" t="s">
        <v>104</v>
      </c>
    </row>
    <row r="61" spans="2:19" x14ac:dyDescent="0.25">
      <c r="B61" s="35">
        <v>46276</v>
      </c>
      <c r="C61" s="28" t="s">
        <v>76</v>
      </c>
      <c r="D61" s="36">
        <v>640</v>
      </c>
      <c r="E61" s="36">
        <v>635</v>
      </c>
      <c r="F61" s="36">
        <v>0</v>
      </c>
      <c r="G61" s="37">
        <f>IF(tblYield[[#This Row],[Date]]="","",tblYield[[#This Row],[Units in]]-tblYield[[#This Row],[Passed first time]])</f>
        <v>5</v>
      </c>
      <c r="H61" s="37">
        <f>IF(tblYield[[#This Row],[Date]]="","",tblYield[[#This Row],[Units in]]-tblYield[[#This Row],[Passed first time]]-tblYield[[#This Row],[Scrapped]])</f>
        <v>5</v>
      </c>
      <c r="I61" s="38">
        <f>IF(tblYield[[#This Row],[Date]]="","",IF(tblYield[[#This Row],[Units in]]&gt;0,tblYield[[#This Row],[Passed first time]]/tblYield[[#This Row],[Units in]],""))</f>
        <v>0.9921875</v>
      </c>
      <c r="J61" s="38">
        <f>IF(tblYield[[#This Row],[Date]]="","",IFERROR(INDEX(tblOperations[FPY target],MATCH(tblYield[[#This Row],[Operation]],tblOperations[Operation],0)),""))</f>
        <v>0.99</v>
      </c>
      <c r="K61" s="39" t="str">
        <f>IF(OR(NOT(ISNUMBER(tblYield[[#This Row],[FPY]])),NOT(ISNUMBER(tblYield[[#This Row],[FPY target]]))),"",IF(tblYield[[#This Row],[FPY]]&gt;=tblYield[[#This Row],[FPY target]],"On target",IF(tblYield[[#This Row],[FPY]]&gt;=tblYield[[#This Row],[FPY target]]-NearBand,"Near target","Below target")))</f>
        <v>On target</v>
      </c>
      <c r="L61" s="38">
        <f>IF(tblYield[[#This Row],[Date]]="","",IF(tblYield[[#This Row],[Units in]]&gt;0,(tblYield[[#This Row],[Units in]]-tblYield[[#This Row],[Scrapped]])/tblYield[[#This Row],[Units in]],""))</f>
        <v>1</v>
      </c>
      <c r="M61" s="40">
        <f>IF(tblYield[[#This Row],[Date]]="","",IFERROR(INDEX(tblOperations[Rework cost],MATCH(tblYield[[#This Row],[Operation]],tblOperations[Operation],0)),""))</f>
        <v>0.6</v>
      </c>
      <c r="N61" s="40">
        <f>IF(tblYield[[#This Row],[Date]]="","",IFERROR(INDEX(tblOperations[Scrap cost],MATCH(tblYield[[#This Row],[Operation]],tblOperations[Operation],0)),""))</f>
        <v>4.8</v>
      </c>
      <c r="O61" s="40">
        <f>IF(tblYield[[#This Row],[Date]]="","",IF(tblYield[[#This Row],[Rework cost per unit]]="","",tblYield[[#This Row],[Reworked]]*tblYield[[#This Row],[Rework cost per unit]]))</f>
        <v>3</v>
      </c>
      <c r="P61" s="40">
        <f>IF(tblYield[[#This Row],[Date]]="","",IF(tblYield[[#This Row],[Scrap cost per unit]]="","",tblYield[[#This Row],[Scrapped]]*tblYield[[#This Row],[Scrap cost per unit]]))</f>
        <v>0</v>
      </c>
      <c r="Q61" s="41">
        <f>IF(tblYield[[#This Row],[Date]]="","",IF(AND(tblYield[[#This Row],[Date]]&gt;=FFrom,tblYield[[#This Row],[Date]]&lt;=FTo),tblYield[[#This Row],[Date]],""))</f>
        <v>46276</v>
      </c>
      <c r="R6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1" s="43" t="s">
        <v>104</v>
      </c>
    </row>
    <row r="62" spans="2:19" x14ac:dyDescent="0.25">
      <c r="B62" s="35">
        <v>46276</v>
      </c>
      <c r="C62" s="28" t="s">
        <v>78</v>
      </c>
      <c r="D62" s="36">
        <v>640</v>
      </c>
      <c r="E62" s="36">
        <v>622</v>
      </c>
      <c r="F62" s="36">
        <v>1</v>
      </c>
      <c r="G62" s="37">
        <f>IF(tblYield[[#This Row],[Date]]="","",tblYield[[#This Row],[Units in]]-tblYield[[#This Row],[Passed first time]])</f>
        <v>18</v>
      </c>
      <c r="H62" s="37">
        <f>IF(tblYield[[#This Row],[Date]]="","",tblYield[[#This Row],[Units in]]-tblYield[[#This Row],[Passed first time]]-tblYield[[#This Row],[Scrapped]])</f>
        <v>17</v>
      </c>
      <c r="I62" s="38">
        <f>IF(tblYield[[#This Row],[Date]]="","",IF(tblYield[[#This Row],[Units in]]&gt;0,tblYield[[#This Row],[Passed first time]]/tblYield[[#This Row],[Units in]],""))</f>
        <v>0.971875</v>
      </c>
      <c r="J62" s="38">
        <f>IF(tblYield[[#This Row],[Date]]="","",IFERROR(INDEX(tblOperations[FPY target],MATCH(tblYield[[#This Row],[Operation]],tblOperations[Operation],0)),""))</f>
        <v>0.98</v>
      </c>
      <c r="K62" s="39" t="str">
        <f>IF(OR(NOT(ISNUMBER(tblYield[[#This Row],[FPY]])),NOT(ISNUMBER(tblYield[[#This Row],[FPY target]]))),"",IF(tblYield[[#This Row],[FPY]]&gt;=tblYield[[#This Row],[FPY target]],"On target",IF(tblYield[[#This Row],[FPY]]&gt;=tblYield[[#This Row],[FPY target]]-NearBand,"Near target","Below target")))</f>
        <v>Near target</v>
      </c>
      <c r="L62" s="38">
        <f>IF(tblYield[[#This Row],[Date]]="","",IF(tblYield[[#This Row],[Units in]]&gt;0,(tblYield[[#This Row],[Units in]]-tblYield[[#This Row],[Scrapped]])/tblYield[[#This Row],[Units in]],""))</f>
        <v>0.9984375</v>
      </c>
      <c r="M62" s="40">
        <f>IF(tblYield[[#This Row],[Date]]="","",IFERROR(INDEX(tblOperations[Rework cost],MATCH(tblYield[[#This Row],[Operation]],tblOperations[Operation],0)),""))</f>
        <v>3.8</v>
      </c>
      <c r="N62" s="40">
        <f>IF(tblYield[[#This Row],[Date]]="","",IFERROR(INDEX(tblOperations[Scrap cost],MATCH(tblYield[[#This Row],[Operation]],tblOperations[Operation],0)),""))</f>
        <v>31</v>
      </c>
      <c r="O62" s="40">
        <f>IF(tblYield[[#This Row],[Date]]="","",IF(tblYield[[#This Row],[Rework cost per unit]]="","",tblYield[[#This Row],[Reworked]]*tblYield[[#This Row],[Rework cost per unit]]))</f>
        <v>64.6</v>
      </c>
      <c r="P62" s="40">
        <f>IF(tblYield[[#This Row],[Date]]="","",IF(tblYield[[#This Row],[Scrap cost per unit]]="","",tblYield[[#This Row],[Scrapped]]*tblYield[[#This Row],[Scrap cost per unit]]))</f>
        <v>31</v>
      </c>
      <c r="Q62" s="41">
        <f>IF(tblYield[[#This Row],[Date]]="","",IF(AND(tblYield[[#This Row],[Date]]&gt;=FFrom,tblYield[[#This Row],[Date]]&lt;=FTo),tblYield[[#This Row],[Date]],""))</f>
        <v>46276</v>
      </c>
      <c r="R6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2" s="43" t="s">
        <v>104</v>
      </c>
    </row>
    <row r="63" spans="2:19" x14ac:dyDescent="0.25">
      <c r="B63" s="35">
        <v>46276</v>
      </c>
      <c r="C63" s="28" t="s">
        <v>80</v>
      </c>
      <c r="D63" s="36">
        <v>639</v>
      </c>
      <c r="E63" s="36">
        <v>607</v>
      </c>
      <c r="F63" s="36">
        <v>3</v>
      </c>
      <c r="G63" s="37">
        <f>IF(tblYield[[#This Row],[Date]]="","",tblYield[[#This Row],[Units in]]-tblYield[[#This Row],[Passed first time]])</f>
        <v>32</v>
      </c>
      <c r="H63" s="37">
        <f>IF(tblYield[[#This Row],[Date]]="","",tblYield[[#This Row],[Units in]]-tblYield[[#This Row],[Passed first time]]-tblYield[[#This Row],[Scrapped]])</f>
        <v>29</v>
      </c>
      <c r="I63" s="38">
        <f>IF(tblYield[[#This Row],[Date]]="","",IF(tblYield[[#This Row],[Units in]]&gt;0,tblYield[[#This Row],[Passed first time]]/tblYield[[#This Row],[Units in]],""))</f>
        <v>0.949921752738654</v>
      </c>
      <c r="J63" s="38">
        <f>IF(tblYield[[#This Row],[Date]]="","",IFERROR(INDEX(tblOperations[FPY target],MATCH(tblYield[[#This Row],[Operation]],tblOperations[Operation],0)),""))</f>
        <v>0.97</v>
      </c>
      <c r="K63" s="39" t="str">
        <f>IF(OR(NOT(ISNUMBER(tblYield[[#This Row],[FPY]])),NOT(ISNUMBER(tblYield[[#This Row],[FPY target]]))),"",IF(tblYield[[#This Row],[FPY]]&gt;=tblYield[[#This Row],[FPY target]],"On target",IF(tblYield[[#This Row],[FPY]]&gt;=tblYield[[#This Row],[FPY target]]-NearBand,"Near target","Below target")))</f>
        <v>Below target</v>
      </c>
      <c r="L63" s="38">
        <f>IF(tblYield[[#This Row],[Date]]="","",IF(tblYield[[#This Row],[Units in]]&gt;0,(tblYield[[#This Row],[Units in]]-tblYield[[#This Row],[Scrapped]])/tblYield[[#This Row],[Units in]],""))</f>
        <v>0.995305164319249</v>
      </c>
      <c r="M63" s="40">
        <f>IF(tblYield[[#This Row],[Date]]="","",IFERROR(INDEX(tblOperations[Rework cost],MATCH(tblYield[[#This Row],[Operation]],tblOperations[Operation],0)),""))</f>
        <v>2.9</v>
      </c>
      <c r="N63" s="40">
        <f>IF(tblYield[[#This Row],[Date]]="","",IFERROR(INDEX(tblOperations[Scrap cost],MATCH(tblYield[[#This Row],[Operation]],tblOperations[Operation],0)),""))</f>
        <v>34</v>
      </c>
      <c r="O63" s="40">
        <f>IF(tblYield[[#This Row],[Date]]="","",IF(tblYield[[#This Row],[Rework cost per unit]]="","",tblYield[[#This Row],[Reworked]]*tblYield[[#This Row],[Rework cost per unit]]))</f>
        <v>84.1</v>
      </c>
      <c r="P63" s="40">
        <f>IF(tblYield[[#This Row],[Date]]="","",IF(tblYield[[#This Row],[Scrap cost per unit]]="","",tblYield[[#This Row],[Scrapped]]*tblYield[[#This Row],[Scrap cost per unit]]))</f>
        <v>102</v>
      </c>
      <c r="Q63" s="41">
        <f>IF(tblYield[[#This Row],[Date]]="","",IF(AND(tblYield[[#This Row],[Date]]&gt;=FFrom,tblYield[[#This Row],[Date]]&lt;=FTo),tblYield[[#This Row],[Date]],""))</f>
        <v>46276</v>
      </c>
      <c r="R6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3" s="43" t="s">
        <v>104</v>
      </c>
    </row>
    <row r="64" spans="2:19" x14ac:dyDescent="0.25">
      <c r="B64" s="35">
        <v>46276</v>
      </c>
      <c r="C64" s="28" t="s">
        <v>82</v>
      </c>
      <c r="D64" s="36">
        <v>636</v>
      </c>
      <c r="E64" s="36">
        <v>623</v>
      </c>
      <c r="F64" s="36">
        <v>1</v>
      </c>
      <c r="G64" s="37">
        <f>IF(tblYield[[#This Row],[Date]]="","",tblYield[[#This Row],[Units in]]-tblYield[[#This Row],[Passed first time]])</f>
        <v>13</v>
      </c>
      <c r="H64" s="37">
        <f>IF(tblYield[[#This Row],[Date]]="","",tblYield[[#This Row],[Units in]]-tblYield[[#This Row],[Passed first time]]-tblYield[[#This Row],[Scrapped]])</f>
        <v>12</v>
      </c>
      <c r="I64" s="38">
        <f>IF(tblYield[[#This Row],[Date]]="","",IF(tblYield[[#This Row],[Units in]]&gt;0,tblYield[[#This Row],[Passed first time]]/tblYield[[#This Row],[Units in]],""))</f>
        <v>0.979559748427673</v>
      </c>
      <c r="J64" s="38">
        <f>IF(tblYield[[#This Row],[Date]]="","",IFERROR(INDEX(tblOperations[FPY target],MATCH(tblYield[[#This Row],[Operation]],tblOperations[Operation],0)),""))</f>
        <v>0.98</v>
      </c>
      <c r="K64" s="39" t="str">
        <f>IF(OR(NOT(ISNUMBER(tblYield[[#This Row],[FPY]])),NOT(ISNUMBER(tblYield[[#This Row],[FPY target]]))),"",IF(tblYield[[#This Row],[FPY]]&gt;=tblYield[[#This Row],[FPY target]],"On target",IF(tblYield[[#This Row],[FPY]]&gt;=tblYield[[#This Row],[FPY target]]-NearBand,"Near target","Below target")))</f>
        <v>Near target</v>
      </c>
      <c r="L64" s="38">
        <f>IF(tblYield[[#This Row],[Date]]="","",IF(tblYield[[#This Row],[Units in]]&gt;0,(tblYield[[#This Row],[Units in]]-tblYield[[#This Row],[Scrapped]])/tblYield[[#This Row],[Units in]],""))</f>
        <v>0.998427672955975</v>
      </c>
      <c r="M64" s="40">
        <f>IF(tblYield[[#This Row],[Date]]="","",IFERROR(INDEX(tblOperations[Rework cost],MATCH(tblYield[[#This Row],[Operation]],tblOperations[Operation],0)),""))</f>
        <v>8.5</v>
      </c>
      <c r="N64" s="40">
        <f>IF(tblYield[[#This Row],[Date]]="","",IFERROR(INDEX(tblOperations[Scrap cost],MATCH(tblYield[[#This Row],[Operation]],tblOperations[Operation],0)),""))</f>
        <v>36.5</v>
      </c>
      <c r="O64" s="40">
        <f>IF(tblYield[[#This Row],[Date]]="","",IF(tblYield[[#This Row],[Rework cost per unit]]="","",tblYield[[#This Row],[Reworked]]*tblYield[[#This Row],[Rework cost per unit]]))</f>
        <v>102</v>
      </c>
      <c r="P64" s="40">
        <f>IF(tblYield[[#This Row],[Date]]="","",IF(tblYield[[#This Row],[Scrap cost per unit]]="","",tblYield[[#This Row],[Scrapped]]*tblYield[[#This Row],[Scrap cost per unit]]))</f>
        <v>36.5</v>
      </c>
      <c r="Q64" s="41">
        <f>IF(tblYield[[#This Row],[Date]]="","",IF(AND(tblYield[[#This Row],[Date]]&gt;=FFrom,tblYield[[#This Row],[Date]]&lt;=FTo),tblYield[[#This Row],[Date]],""))</f>
        <v>46276</v>
      </c>
      <c r="R6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4" s="43" t="s">
        <v>104</v>
      </c>
    </row>
    <row r="65" spans="2:19" x14ac:dyDescent="0.25">
      <c r="B65" s="35">
        <v>46276</v>
      </c>
      <c r="C65" s="28" t="s">
        <v>84</v>
      </c>
      <c r="D65" s="36">
        <v>635</v>
      </c>
      <c r="E65" s="36">
        <v>624</v>
      </c>
      <c r="F65" s="36">
        <v>1</v>
      </c>
      <c r="G65" s="37">
        <f>IF(tblYield[[#This Row],[Date]]="","",tblYield[[#This Row],[Units in]]-tblYield[[#This Row],[Passed first time]])</f>
        <v>11</v>
      </c>
      <c r="H65" s="37">
        <f>IF(tblYield[[#This Row],[Date]]="","",tblYield[[#This Row],[Units in]]-tblYield[[#This Row],[Passed first time]]-tblYield[[#This Row],[Scrapped]])</f>
        <v>10</v>
      </c>
      <c r="I65" s="38">
        <f>IF(tblYield[[#This Row],[Date]]="","",IF(tblYield[[#This Row],[Units in]]&gt;0,tblYield[[#This Row],[Passed first time]]/tblYield[[#This Row],[Units in]],""))</f>
        <v>0.982677165354331</v>
      </c>
      <c r="J65" s="38">
        <f>IF(tblYield[[#This Row],[Date]]="","",IFERROR(INDEX(tblOperations[FPY target],MATCH(tblYield[[#This Row],[Operation]],tblOperations[Operation],0)),""))</f>
        <v>0.985</v>
      </c>
      <c r="K65" s="39" t="str">
        <f>IF(OR(NOT(ISNUMBER(tblYield[[#This Row],[FPY]])),NOT(ISNUMBER(tblYield[[#This Row],[FPY target]]))),"",IF(tblYield[[#This Row],[FPY]]&gt;=tblYield[[#This Row],[FPY target]],"On target",IF(tblYield[[#This Row],[FPY]]&gt;=tblYield[[#This Row],[FPY target]]-NearBand,"Near target","Below target")))</f>
        <v>Near target</v>
      </c>
      <c r="L65" s="38">
        <f>IF(tblYield[[#This Row],[Date]]="","",IF(tblYield[[#This Row],[Units in]]&gt;0,(tblYield[[#This Row],[Units in]]-tblYield[[#This Row],[Scrapped]])/tblYield[[#This Row],[Units in]],""))</f>
        <v>0.998425196850394</v>
      </c>
      <c r="M65" s="40">
        <f>IF(tblYield[[#This Row],[Date]]="","",IFERROR(INDEX(tblOperations[Rework cost],MATCH(tblYield[[#This Row],[Operation]],tblOperations[Operation],0)),""))</f>
        <v>12</v>
      </c>
      <c r="N65" s="40">
        <f>IF(tblYield[[#This Row],[Date]]="","",IFERROR(INDEX(tblOperations[Scrap cost],MATCH(tblYield[[#This Row],[Operation]],tblOperations[Operation],0)),""))</f>
        <v>38</v>
      </c>
      <c r="O65" s="40">
        <f>IF(tblYield[[#This Row],[Date]]="","",IF(tblYield[[#This Row],[Rework cost per unit]]="","",tblYield[[#This Row],[Reworked]]*tblYield[[#This Row],[Rework cost per unit]]))</f>
        <v>120</v>
      </c>
      <c r="P65" s="40">
        <f>IF(tblYield[[#This Row],[Date]]="","",IF(tblYield[[#This Row],[Scrap cost per unit]]="","",tblYield[[#This Row],[Scrapped]]*tblYield[[#This Row],[Scrap cost per unit]]))</f>
        <v>38</v>
      </c>
      <c r="Q65" s="41">
        <f>IF(tblYield[[#This Row],[Date]]="","",IF(AND(tblYield[[#This Row],[Date]]&gt;=FFrom,tblYield[[#This Row],[Date]]&lt;=FTo),tblYield[[#This Row],[Date]],""))</f>
        <v>46276</v>
      </c>
      <c r="R6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5" s="43" t="s">
        <v>104</v>
      </c>
    </row>
    <row r="66" spans="2:19" x14ac:dyDescent="0.25">
      <c r="B66" s="35">
        <v>46276</v>
      </c>
      <c r="C66" s="28" t="s">
        <v>86</v>
      </c>
      <c r="D66" s="36">
        <v>634</v>
      </c>
      <c r="E66" s="36">
        <v>630</v>
      </c>
      <c r="F66" s="36">
        <v>0</v>
      </c>
      <c r="G66" s="37">
        <f>IF(tblYield[[#This Row],[Date]]="","",tblYield[[#This Row],[Units in]]-tblYield[[#This Row],[Passed first time]])</f>
        <v>4</v>
      </c>
      <c r="H66" s="37">
        <f>IF(tblYield[[#This Row],[Date]]="","",tblYield[[#This Row],[Units in]]-tblYield[[#This Row],[Passed first time]]-tblYield[[#This Row],[Scrapped]])</f>
        <v>4</v>
      </c>
      <c r="I66" s="38">
        <f>IF(tblYield[[#This Row],[Date]]="","",IF(tblYield[[#This Row],[Units in]]&gt;0,tblYield[[#This Row],[Passed first time]]/tblYield[[#This Row],[Units in]],""))</f>
        <v>0.993690851735016</v>
      </c>
      <c r="J66" s="38">
        <f>IF(tblYield[[#This Row],[Date]]="","",IFERROR(INDEX(tblOperations[FPY target],MATCH(tblYield[[#This Row],[Operation]],tblOperations[Operation],0)),""))</f>
        <v>0.99</v>
      </c>
      <c r="K66" s="39" t="str">
        <f>IF(OR(NOT(ISNUMBER(tblYield[[#This Row],[FPY]])),NOT(ISNUMBER(tblYield[[#This Row],[FPY target]]))),"",IF(tblYield[[#This Row],[FPY]]&gt;=tblYield[[#This Row],[FPY target]],"On target",IF(tblYield[[#This Row],[FPY]]&gt;=tblYield[[#This Row],[FPY target]]-NearBand,"Near target","Below target")))</f>
        <v>On target</v>
      </c>
      <c r="L66" s="38">
        <f>IF(tblYield[[#This Row],[Date]]="","",IF(tblYield[[#This Row],[Units in]]&gt;0,(tblYield[[#This Row],[Units in]]-tblYield[[#This Row],[Scrapped]])/tblYield[[#This Row],[Units in]],""))</f>
        <v>1</v>
      </c>
      <c r="M66" s="40">
        <f>IF(tblYield[[#This Row],[Date]]="","",IFERROR(INDEX(tblOperations[Rework cost],MATCH(tblYield[[#This Row],[Operation]],tblOperations[Operation],0)),""))</f>
        <v>2.2</v>
      </c>
      <c r="N66" s="40">
        <f>IF(tblYield[[#This Row],[Date]]="","",IFERROR(INDEX(tblOperations[Scrap cost],MATCH(tblYield[[#This Row],[Operation]],tblOperations[Operation],0)),""))</f>
        <v>41</v>
      </c>
      <c r="O66" s="40">
        <f>IF(tblYield[[#This Row],[Date]]="","",IF(tblYield[[#This Row],[Rework cost per unit]]="","",tblYield[[#This Row],[Reworked]]*tblYield[[#This Row],[Rework cost per unit]]))</f>
        <v>8.8</v>
      </c>
      <c r="P66" s="40">
        <f>IF(tblYield[[#This Row],[Date]]="","",IF(tblYield[[#This Row],[Scrap cost per unit]]="","",tblYield[[#This Row],[Scrapped]]*tblYield[[#This Row],[Scrap cost per unit]]))</f>
        <v>0</v>
      </c>
      <c r="Q66" s="41">
        <f>IF(tblYield[[#This Row],[Date]]="","",IF(AND(tblYield[[#This Row],[Date]]&gt;=FFrom,tblYield[[#This Row],[Date]]&lt;=FTo),tblYield[[#This Row],[Date]],""))</f>
        <v>46276</v>
      </c>
      <c r="R6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6" s="43" t="s">
        <v>104</v>
      </c>
    </row>
    <row r="67" spans="2:19" x14ac:dyDescent="0.25">
      <c r="B67" s="35">
        <v>46279</v>
      </c>
      <c r="C67" s="28" t="s">
        <v>76</v>
      </c>
      <c r="D67" s="36">
        <v>620</v>
      </c>
      <c r="E67" s="36">
        <v>614</v>
      </c>
      <c r="F67" s="36">
        <v>0</v>
      </c>
      <c r="G67" s="37">
        <f>IF(tblYield[[#This Row],[Date]]="","",tblYield[[#This Row],[Units in]]-tblYield[[#This Row],[Passed first time]])</f>
        <v>6</v>
      </c>
      <c r="H67" s="37">
        <f>IF(tblYield[[#This Row],[Date]]="","",tblYield[[#This Row],[Units in]]-tblYield[[#This Row],[Passed first time]]-tblYield[[#This Row],[Scrapped]])</f>
        <v>6</v>
      </c>
      <c r="I67" s="38">
        <f>IF(tblYield[[#This Row],[Date]]="","",IF(tblYield[[#This Row],[Units in]]&gt;0,tblYield[[#This Row],[Passed first time]]/tblYield[[#This Row],[Units in]],""))</f>
        <v>0.990322580645161</v>
      </c>
      <c r="J67" s="38">
        <f>IF(tblYield[[#This Row],[Date]]="","",IFERROR(INDEX(tblOperations[FPY target],MATCH(tblYield[[#This Row],[Operation]],tblOperations[Operation],0)),""))</f>
        <v>0.99</v>
      </c>
      <c r="K67" s="39" t="str">
        <f>IF(OR(NOT(ISNUMBER(tblYield[[#This Row],[FPY]])),NOT(ISNUMBER(tblYield[[#This Row],[FPY target]]))),"",IF(tblYield[[#This Row],[FPY]]&gt;=tblYield[[#This Row],[FPY target]],"On target",IF(tblYield[[#This Row],[FPY]]&gt;=tblYield[[#This Row],[FPY target]]-NearBand,"Near target","Below target")))</f>
        <v>On target</v>
      </c>
      <c r="L67" s="38">
        <f>IF(tblYield[[#This Row],[Date]]="","",IF(tblYield[[#This Row],[Units in]]&gt;0,(tblYield[[#This Row],[Units in]]-tblYield[[#This Row],[Scrapped]])/tblYield[[#This Row],[Units in]],""))</f>
        <v>1</v>
      </c>
      <c r="M67" s="40">
        <f>IF(tblYield[[#This Row],[Date]]="","",IFERROR(INDEX(tblOperations[Rework cost],MATCH(tblYield[[#This Row],[Operation]],tblOperations[Operation],0)),""))</f>
        <v>0.6</v>
      </c>
      <c r="N67" s="40">
        <f>IF(tblYield[[#This Row],[Date]]="","",IFERROR(INDEX(tblOperations[Scrap cost],MATCH(tblYield[[#This Row],[Operation]],tblOperations[Operation],0)),""))</f>
        <v>4.8</v>
      </c>
      <c r="O67" s="40">
        <f>IF(tblYield[[#This Row],[Date]]="","",IF(tblYield[[#This Row],[Rework cost per unit]]="","",tblYield[[#This Row],[Reworked]]*tblYield[[#This Row],[Rework cost per unit]]))</f>
        <v>3.6</v>
      </c>
      <c r="P67" s="40">
        <f>IF(tblYield[[#This Row],[Date]]="","",IF(tblYield[[#This Row],[Scrap cost per unit]]="","",tblYield[[#This Row],[Scrapped]]*tblYield[[#This Row],[Scrap cost per unit]]))</f>
        <v>0</v>
      </c>
      <c r="Q67" s="41">
        <f>IF(tblYield[[#This Row],[Date]]="","",IF(AND(tblYield[[#This Row],[Date]]&gt;=FFrom,tblYield[[#This Row],[Date]]&lt;=FTo),tblYield[[#This Row],[Date]],""))</f>
        <v>46279</v>
      </c>
      <c r="R6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7" s="43" t="s">
        <v>104</v>
      </c>
    </row>
    <row r="68" spans="2:19" x14ac:dyDescent="0.25">
      <c r="B68" s="35">
        <v>46279</v>
      </c>
      <c r="C68" s="28" t="s">
        <v>78</v>
      </c>
      <c r="D68" s="36">
        <v>620</v>
      </c>
      <c r="E68" s="36">
        <v>604</v>
      </c>
      <c r="F68" s="36">
        <v>1</v>
      </c>
      <c r="G68" s="37">
        <f>IF(tblYield[[#This Row],[Date]]="","",tblYield[[#This Row],[Units in]]-tblYield[[#This Row],[Passed first time]])</f>
        <v>16</v>
      </c>
      <c r="H68" s="37">
        <f>IF(tblYield[[#This Row],[Date]]="","",tblYield[[#This Row],[Units in]]-tblYield[[#This Row],[Passed first time]]-tblYield[[#This Row],[Scrapped]])</f>
        <v>15</v>
      </c>
      <c r="I68" s="38">
        <f>IF(tblYield[[#This Row],[Date]]="","",IF(tblYield[[#This Row],[Units in]]&gt;0,tblYield[[#This Row],[Passed first time]]/tblYield[[#This Row],[Units in]],""))</f>
        <v>0.974193548387097</v>
      </c>
      <c r="J68" s="38">
        <f>IF(tblYield[[#This Row],[Date]]="","",IFERROR(INDEX(tblOperations[FPY target],MATCH(tblYield[[#This Row],[Operation]],tblOperations[Operation],0)),""))</f>
        <v>0.98</v>
      </c>
      <c r="K68" s="39" t="str">
        <f>IF(OR(NOT(ISNUMBER(tblYield[[#This Row],[FPY]])),NOT(ISNUMBER(tblYield[[#This Row],[FPY target]]))),"",IF(tblYield[[#This Row],[FPY]]&gt;=tblYield[[#This Row],[FPY target]],"On target",IF(tblYield[[#This Row],[FPY]]&gt;=tblYield[[#This Row],[FPY target]]-NearBand,"Near target","Below target")))</f>
        <v>Near target</v>
      </c>
      <c r="L68" s="38">
        <f>IF(tblYield[[#This Row],[Date]]="","",IF(tblYield[[#This Row],[Units in]]&gt;0,(tblYield[[#This Row],[Units in]]-tblYield[[#This Row],[Scrapped]])/tblYield[[#This Row],[Units in]],""))</f>
        <v>0.998387096774194</v>
      </c>
      <c r="M68" s="40">
        <f>IF(tblYield[[#This Row],[Date]]="","",IFERROR(INDEX(tblOperations[Rework cost],MATCH(tblYield[[#This Row],[Operation]],tblOperations[Operation],0)),""))</f>
        <v>3.8</v>
      </c>
      <c r="N68" s="40">
        <f>IF(tblYield[[#This Row],[Date]]="","",IFERROR(INDEX(tblOperations[Scrap cost],MATCH(tblYield[[#This Row],[Operation]],tblOperations[Operation],0)),""))</f>
        <v>31</v>
      </c>
      <c r="O68" s="40">
        <f>IF(tblYield[[#This Row],[Date]]="","",IF(tblYield[[#This Row],[Rework cost per unit]]="","",tblYield[[#This Row],[Reworked]]*tblYield[[#This Row],[Rework cost per unit]]))</f>
        <v>57</v>
      </c>
      <c r="P68" s="40">
        <f>IF(tblYield[[#This Row],[Date]]="","",IF(tblYield[[#This Row],[Scrap cost per unit]]="","",tblYield[[#This Row],[Scrapped]]*tblYield[[#This Row],[Scrap cost per unit]]))</f>
        <v>31</v>
      </c>
      <c r="Q68" s="41">
        <f>IF(tblYield[[#This Row],[Date]]="","",IF(AND(tblYield[[#This Row],[Date]]&gt;=FFrom,tblYield[[#This Row],[Date]]&lt;=FTo),tblYield[[#This Row],[Date]],""))</f>
        <v>46279</v>
      </c>
      <c r="R6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8" s="43" t="s">
        <v>104</v>
      </c>
    </row>
    <row r="69" spans="2:19" x14ac:dyDescent="0.25">
      <c r="B69" s="35">
        <v>46279</v>
      </c>
      <c r="C69" s="28" t="s">
        <v>80</v>
      </c>
      <c r="D69" s="36">
        <v>619</v>
      </c>
      <c r="E69" s="36">
        <v>590</v>
      </c>
      <c r="F69" s="36">
        <v>2</v>
      </c>
      <c r="G69" s="37">
        <f>IF(tblYield[[#This Row],[Date]]="","",tblYield[[#This Row],[Units in]]-tblYield[[#This Row],[Passed first time]])</f>
        <v>29</v>
      </c>
      <c r="H69" s="37">
        <f>IF(tblYield[[#This Row],[Date]]="","",tblYield[[#This Row],[Units in]]-tblYield[[#This Row],[Passed first time]]-tblYield[[#This Row],[Scrapped]])</f>
        <v>27</v>
      </c>
      <c r="I69" s="38">
        <f>IF(tblYield[[#This Row],[Date]]="","",IF(tblYield[[#This Row],[Units in]]&gt;0,tblYield[[#This Row],[Passed first time]]/tblYield[[#This Row],[Units in]],""))</f>
        <v>0.953150242326333</v>
      </c>
      <c r="J69" s="38">
        <f>IF(tblYield[[#This Row],[Date]]="","",IFERROR(INDEX(tblOperations[FPY target],MATCH(tblYield[[#This Row],[Operation]],tblOperations[Operation],0)),""))</f>
        <v>0.97</v>
      </c>
      <c r="K69" s="39" t="str">
        <f>IF(OR(NOT(ISNUMBER(tblYield[[#This Row],[FPY]])),NOT(ISNUMBER(tblYield[[#This Row],[FPY target]]))),"",IF(tblYield[[#This Row],[FPY]]&gt;=tblYield[[#This Row],[FPY target]],"On target",IF(tblYield[[#This Row],[FPY]]&gt;=tblYield[[#This Row],[FPY target]]-NearBand,"Near target","Below target")))</f>
        <v>Below target</v>
      </c>
      <c r="L69" s="38">
        <f>IF(tblYield[[#This Row],[Date]]="","",IF(tblYield[[#This Row],[Units in]]&gt;0,(tblYield[[#This Row],[Units in]]-tblYield[[#This Row],[Scrapped]])/tblYield[[#This Row],[Units in]],""))</f>
        <v>0.996768982229402</v>
      </c>
      <c r="M69" s="40">
        <f>IF(tblYield[[#This Row],[Date]]="","",IFERROR(INDEX(tblOperations[Rework cost],MATCH(tblYield[[#This Row],[Operation]],tblOperations[Operation],0)),""))</f>
        <v>2.9</v>
      </c>
      <c r="N69" s="40">
        <f>IF(tblYield[[#This Row],[Date]]="","",IFERROR(INDEX(tblOperations[Scrap cost],MATCH(tblYield[[#This Row],[Operation]],tblOperations[Operation],0)),""))</f>
        <v>34</v>
      </c>
      <c r="O69" s="40">
        <f>IF(tblYield[[#This Row],[Date]]="","",IF(tblYield[[#This Row],[Rework cost per unit]]="","",tblYield[[#This Row],[Reworked]]*tblYield[[#This Row],[Rework cost per unit]]))</f>
        <v>78.3</v>
      </c>
      <c r="P69" s="40">
        <f>IF(tblYield[[#This Row],[Date]]="","",IF(tblYield[[#This Row],[Scrap cost per unit]]="","",tblYield[[#This Row],[Scrapped]]*tblYield[[#This Row],[Scrap cost per unit]]))</f>
        <v>68</v>
      </c>
      <c r="Q69" s="41">
        <f>IF(tblYield[[#This Row],[Date]]="","",IF(AND(tblYield[[#This Row],[Date]]&gt;=FFrom,tblYield[[#This Row],[Date]]&lt;=FTo),tblYield[[#This Row],[Date]],""))</f>
        <v>46279</v>
      </c>
      <c r="R6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69" s="43" t="s">
        <v>104</v>
      </c>
    </row>
    <row r="70" spans="2:19" x14ac:dyDescent="0.25">
      <c r="B70" s="35">
        <v>46279</v>
      </c>
      <c r="C70" s="28" t="s">
        <v>82</v>
      </c>
      <c r="D70" s="36">
        <v>617</v>
      </c>
      <c r="E70" s="36">
        <v>605</v>
      </c>
      <c r="F70" s="36">
        <v>2</v>
      </c>
      <c r="G70" s="37">
        <f>IF(tblYield[[#This Row],[Date]]="","",tblYield[[#This Row],[Units in]]-tblYield[[#This Row],[Passed first time]])</f>
        <v>12</v>
      </c>
      <c r="H70" s="37">
        <f>IF(tblYield[[#This Row],[Date]]="","",tblYield[[#This Row],[Units in]]-tblYield[[#This Row],[Passed first time]]-tblYield[[#This Row],[Scrapped]])</f>
        <v>10</v>
      </c>
      <c r="I70" s="38">
        <f>IF(tblYield[[#This Row],[Date]]="","",IF(tblYield[[#This Row],[Units in]]&gt;0,tblYield[[#This Row],[Passed first time]]/tblYield[[#This Row],[Units in]],""))</f>
        <v>0.980551053484603</v>
      </c>
      <c r="J70" s="38">
        <f>IF(tblYield[[#This Row],[Date]]="","",IFERROR(INDEX(tblOperations[FPY target],MATCH(tblYield[[#This Row],[Operation]],tblOperations[Operation],0)),""))</f>
        <v>0.98</v>
      </c>
      <c r="K70" s="39" t="str">
        <f>IF(OR(NOT(ISNUMBER(tblYield[[#This Row],[FPY]])),NOT(ISNUMBER(tblYield[[#This Row],[FPY target]]))),"",IF(tblYield[[#This Row],[FPY]]&gt;=tblYield[[#This Row],[FPY target]],"On target",IF(tblYield[[#This Row],[FPY]]&gt;=tblYield[[#This Row],[FPY target]]-NearBand,"Near target","Below target")))</f>
        <v>On target</v>
      </c>
      <c r="L70" s="38">
        <f>IF(tblYield[[#This Row],[Date]]="","",IF(tblYield[[#This Row],[Units in]]&gt;0,(tblYield[[#This Row],[Units in]]-tblYield[[#This Row],[Scrapped]])/tblYield[[#This Row],[Units in]],""))</f>
        <v>0.9967585089141</v>
      </c>
      <c r="M70" s="40">
        <f>IF(tblYield[[#This Row],[Date]]="","",IFERROR(INDEX(tblOperations[Rework cost],MATCH(tblYield[[#This Row],[Operation]],tblOperations[Operation],0)),""))</f>
        <v>8.5</v>
      </c>
      <c r="N70" s="40">
        <f>IF(tblYield[[#This Row],[Date]]="","",IFERROR(INDEX(tblOperations[Scrap cost],MATCH(tblYield[[#This Row],[Operation]],tblOperations[Operation],0)),""))</f>
        <v>36.5</v>
      </c>
      <c r="O70" s="40">
        <f>IF(tblYield[[#This Row],[Date]]="","",IF(tblYield[[#This Row],[Rework cost per unit]]="","",tblYield[[#This Row],[Reworked]]*tblYield[[#This Row],[Rework cost per unit]]))</f>
        <v>85</v>
      </c>
      <c r="P70" s="40">
        <f>IF(tblYield[[#This Row],[Date]]="","",IF(tblYield[[#This Row],[Scrap cost per unit]]="","",tblYield[[#This Row],[Scrapped]]*tblYield[[#This Row],[Scrap cost per unit]]))</f>
        <v>73</v>
      </c>
      <c r="Q70" s="41">
        <f>IF(tblYield[[#This Row],[Date]]="","",IF(AND(tblYield[[#This Row],[Date]]&gt;=FFrom,tblYield[[#This Row],[Date]]&lt;=FTo),tblYield[[#This Row],[Date]],""))</f>
        <v>46279</v>
      </c>
      <c r="R7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0" s="43" t="s">
        <v>104</v>
      </c>
    </row>
    <row r="71" spans="2:19" x14ac:dyDescent="0.25">
      <c r="B71" s="35">
        <v>46279</v>
      </c>
      <c r="C71" s="28" t="s">
        <v>84</v>
      </c>
      <c r="D71" s="36">
        <v>615</v>
      </c>
      <c r="E71" s="36">
        <v>578</v>
      </c>
      <c r="F71" s="36">
        <v>6</v>
      </c>
      <c r="G71" s="37">
        <f>IF(tblYield[[#This Row],[Date]]="","",tblYield[[#This Row],[Units in]]-tblYield[[#This Row],[Passed first time]])</f>
        <v>37</v>
      </c>
      <c r="H71" s="37">
        <f>IF(tblYield[[#This Row],[Date]]="","",tblYield[[#This Row],[Units in]]-tblYield[[#This Row],[Passed first time]]-tblYield[[#This Row],[Scrapped]])</f>
        <v>31</v>
      </c>
      <c r="I71" s="38">
        <f>IF(tblYield[[#This Row],[Date]]="","",IF(tblYield[[#This Row],[Units in]]&gt;0,tblYield[[#This Row],[Passed first time]]/tblYield[[#This Row],[Units in]],""))</f>
        <v>0.939837398373984</v>
      </c>
      <c r="J71" s="38">
        <f>IF(tblYield[[#This Row],[Date]]="","",IFERROR(INDEX(tblOperations[FPY target],MATCH(tblYield[[#This Row],[Operation]],tblOperations[Operation],0)),""))</f>
        <v>0.985</v>
      </c>
      <c r="K71" s="39" t="str">
        <f>IF(OR(NOT(ISNUMBER(tblYield[[#This Row],[FPY]])),NOT(ISNUMBER(tblYield[[#This Row],[FPY target]]))),"",IF(tblYield[[#This Row],[FPY]]&gt;=tblYield[[#This Row],[FPY target]],"On target",IF(tblYield[[#This Row],[FPY]]&gt;=tblYield[[#This Row],[FPY target]]-NearBand,"Near target","Below target")))</f>
        <v>Below target</v>
      </c>
      <c r="L71" s="38">
        <f>IF(tblYield[[#This Row],[Date]]="","",IF(tblYield[[#This Row],[Units in]]&gt;0,(tblYield[[#This Row],[Units in]]-tblYield[[#This Row],[Scrapped]])/tblYield[[#This Row],[Units in]],""))</f>
        <v>0.990243902439024</v>
      </c>
      <c r="M71" s="40">
        <f>IF(tblYield[[#This Row],[Date]]="","",IFERROR(INDEX(tblOperations[Rework cost],MATCH(tblYield[[#This Row],[Operation]],tblOperations[Operation],0)),""))</f>
        <v>12</v>
      </c>
      <c r="N71" s="40">
        <f>IF(tblYield[[#This Row],[Date]]="","",IFERROR(INDEX(tblOperations[Scrap cost],MATCH(tblYield[[#This Row],[Operation]],tblOperations[Operation],0)),""))</f>
        <v>38</v>
      </c>
      <c r="O71" s="40">
        <f>IF(tblYield[[#This Row],[Date]]="","",IF(tblYield[[#This Row],[Rework cost per unit]]="","",tblYield[[#This Row],[Reworked]]*tblYield[[#This Row],[Rework cost per unit]]))</f>
        <v>372</v>
      </c>
      <c r="P71" s="40">
        <f>IF(tblYield[[#This Row],[Date]]="","",IF(tblYield[[#This Row],[Scrap cost per unit]]="","",tblYield[[#This Row],[Scrapped]]*tblYield[[#This Row],[Scrap cost per unit]]))</f>
        <v>228</v>
      </c>
      <c r="Q71" s="41">
        <f>IF(tblYield[[#This Row],[Date]]="","",IF(AND(tblYield[[#This Row],[Date]]&gt;=FFrom,tblYield[[#This Row],[Date]]&lt;=FTo),tblYield[[#This Row],[Date]],""))</f>
        <v>46279</v>
      </c>
      <c r="R7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1" s="43" t="s">
        <v>105</v>
      </c>
    </row>
    <row r="72" spans="2:19" x14ac:dyDescent="0.25">
      <c r="B72" s="35">
        <v>46279</v>
      </c>
      <c r="C72" s="28" t="s">
        <v>86</v>
      </c>
      <c r="D72" s="36">
        <v>609</v>
      </c>
      <c r="E72" s="36">
        <v>608</v>
      </c>
      <c r="F72" s="36">
        <v>0</v>
      </c>
      <c r="G72" s="37">
        <f>IF(tblYield[[#This Row],[Date]]="","",tblYield[[#This Row],[Units in]]-tblYield[[#This Row],[Passed first time]])</f>
        <v>1</v>
      </c>
      <c r="H72" s="37">
        <f>IF(tblYield[[#This Row],[Date]]="","",tblYield[[#This Row],[Units in]]-tblYield[[#This Row],[Passed first time]]-tblYield[[#This Row],[Scrapped]])</f>
        <v>1</v>
      </c>
      <c r="I72" s="38">
        <f>IF(tblYield[[#This Row],[Date]]="","",IF(tblYield[[#This Row],[Units in]]&gt;0,tblYield[[#This Row],[Passed first time]]/tblYield[[#This Row],[Units in]],""))</f>
        <v>0.998357963875205</v>
      </c>
      <c r="J72" s="38">
        <f>IF(tblYield[[#This Row],[Date]]="","",IFERROR(INDEX(tblOperations[FPY target],MATCH(tblYield[[#This Row],[Operation]],tblOperations[Operation],0)),""))</f>
        <v>0.99</v>
      </c>
      <c r="K72" s="39" t="str">
        <f>IF(OR(NOT(ISNUMBER(tblYield[[#This Row],[FPY]])),NOT(ISNUMBER(tblYield[[#This Row],[FPY target]]))),"",IF(tblYield[[#This Row],[FPY]]&gt;=tblYield[[#This Row],[FPY target]],"On target",IF(tblYield[[#This Row],[FPY]]&gt;=tblYield[[#This Row],[FPY target]]-NearBand,"Near target","Below target")))</f>
        <v>On target</v>
      </c>
      <c r="L72" s="38">
        <f>IF(tblYield[[#This Row],[Date]]="","",IF(tblYield[[#This Row],[Units in]]&gt;0,(tblYield[[#This Row],[Units in]]-tblYield[[#This Row],[Scrapped]])/tblYield[[#This Row],[Units in]],""))</f>
        <v>1</v>
      </c>
      <c r="M72" s="40">
        <f>IF(tblYield[[#This Row],[Date]]="","",IFERROR(INDEX(tblOperations[Rework cost],MATCH(tblYield[[#This Row],[Operation]],tblOperations[Operation],0)),""))</f>
        <v>2.2</v>
      </c>
      <c r="N72" s="40">
        <f>IF(tblYield[[#This Row],[Date]]="","",IFERROR(INDEX(tblOperations[Scrap cost],MATCH(tblYield[[#This Row],[Operation]],tblOperations[Operation],0)),""))</f>
        <v>41</v>
      </c>
      <c r="O72" s="40">
        <f>IF(tblYield[[#This Row],[Date]]="","",IF(tblYield[[#This Row],[Rework cost per unit]]="","",tblYield[[#This Row],[Reworked]]*tblYield[[#This Row],[Rework cost per unit]]))</f>
        <v>2.2</v>
      </c>
      <c r="P72" s="40">
        <f>IF(tblYield[[#This Row],[Date]]="","",IF(tblYield[[#This Row],[Scrap cost per unit]]="","",tblYield[[#This Row],[Scrapped]]*tblYield[[#This Row],[Scrap cost per unit]]))</f>
        <v>0</v>
      </c>
      <c r="Q72" s="41">
        <f>IF(tblYield[[#This Row],[Date]]="","",IF(AND(tblYield[[#This Row],[Date]]&gt;=FFrom,tblYield[[#This Row],[Date]]&lt;=FTo),tblYield[[#This Row],[Date]],""))</f>
        <v>46279</v>
      </c>
      <c r="R7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2" s="43" t="s">
        <v>104</v>
      </c>
    </row>
    <row r="73" spans="2:19" x14ac:dyDescent="0.25">
      <c r="B73" s="35">
        <v>46280</v>
      </c>
      <c r="C73" s="28" t="s">
        <v>76</v>
      </c>
      <c r="D73" s="36">
        <v>610</v>
      </c>
      <c r="E73" s="36">
        <v>604</v>
      </c>
      <c r="F73" s="36">
        <v>0</v>
      </c>
      <c r="G73" s="37">
        <f>IF(tblYield[[#This Row],[Date]]="","",tblYield[[#This Row],[Units in]]-tblYield[[#This Row],[Passed first time]])</f>
        <v>6</v>
      </c>
      <c r="H73" s="37">
        <f>IF(tblYield[[#This Row],[Date]]="","",tblYield[[#This Row],[Units in]]-tblYield[[#This Row],[Passed first time]]-tblYield[[#This Row],[Scrapped]])</f>
        <v>6</v>
      </c>
      <c r="I73" s="38">
        <f>IF(tblYield[[#This Row],[Date]]="","",IF(tblYield[[#This Row],[Units in]]&gt;0,tblYield[[#This Row],[Passed first time]]/tblYield[[#This Row],[Units in]],""))</f>
        <v>0.99016393442623</v>
      </c>
      <c r="J73" s="38">
        <f>IF(tblYield[[#This Row],[Date]]="","",IFERROR(INDEX(tblOperations[FPY target],MATCH(tblYield[[#This Row],[Operation]],tblOperations[Operation],0)),""))</f>
        <v>0.99</v>
      </c>
      <c r="K73" s="39" t="str">
        <f>IF(OR(NOT(ISNUMBER(tblYield[[#This Row],[FPY]])),NOT(ISNUMBER(tblYield[[#This Row],[FPY target]]))),"",IF(tblYield[[#This Row],[FPY]]&gt;=tblYield[[#This Row],[FPY target]],"On target",IF(tblYield[[#This Row],[FPY]]&gt;=tblYield[[#This Row],[FPY target]]-NearBand,"Near target","Below target")))</f>
        <v>On target</v>
      </c>
      <c r="L73" s="38">
        <f>IF(tblYield[[#This Row],[Date]]="","",IF(tblYield[[#This Row],[Units in]]&gt;0,(tblYield[[#This Row],[Units in]]-tblYield[[#This Row],[Scrapped]])/tblYield[[#This Row],[Units in]],""))</f>
        <v>1</v>
      </c>
      <c r="M73" s="40">
        <f>IF(tblYield[[#This Row],[Date]]="","",IFERROR(INDEX(tblOperations[Rework cost],MATCH(tblYield[[#This Row],[Operation]],tblOperations[Operation],0)),""))</f>
        <v>0.6</v>
      </c>
      <c r="N73" s="40">
        <f>IF(tblYield[[#This Row],[Date]]="","",IFERROR(INDEX(tblOperations[Scrap cost],MATCH(tblYield[[#This Row],[Operation]],tblOperations[Operation],0)),""))</f>
        <v>4.8</v>
      </c>
      <c r="O73" s="40">
        <f>IF(tblYield[[#This Row],[Date]]="","",IF(tblYield[[#This Row],[Rework cost per unit]]="","",tblYield[[#This Row],[Reworked]]*tblYield[[#This Row],[Rework cost per unit]]))</f>
        <v>3.6</v>
      </c>
      <c r="P73" s="40">
        <f>IF(tblYield[[#This Row],[Date]]="","",IF(tblYield[[#This Row],[Scrap cost per unit]]="","",tblYield[[#This Row],[Scrapped]]*tblYield[[#This Row],[Scrap cost per unit]]))</f>
        <v>0</v>
      </c>
      <c r="Q73" s="41">
        <f>IF(tblYield[[#This Row],[Date]]="","",IF(AND(tblYield[[#This Row],[Date]]&gt;=FFrom,tblYield[[#This Row],[Date]]&lt;=FTo),tblYield[[#This Row],[Date]],""))</f>
        <v>46280</v>
      </c>
      <c r="R7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3" s="43" t="s">
        <v>104</v>
      </c>
    </row>
    <row r="74" spans="2:19" x14ac:dyDescent="0.25">
      <c r="B74" s="35">
        <v>46280</v>
      </c>
      <c r="C74" s="28" t="s">
        <v>78</v>
      </c>
      <c r="D74" s="36">
        <v>610</v>
      </c>
      <c r="E74" s="36">
        <v>597</v>
      </c>
      <c r="F74" s="36">
        <v>1</v>
      </c>
      <c r="G74" s="37">
        <f>IF(tblYield[[#This Row],[Date]]="","",tblYield[[#This Row],[Units in]]-tblYield[[#This Row],[Passed first time]])</f>
        <v>13</v>
      </c>
      <c r="H74" s="37">
        <f>IF(tblYield[[#This Row],[Date]]="","",tblYield[[#This Row],[Units in]]-tblYield[[#This Row],[Passed first time]]-tblYield[[#This Row],[Scrapped]])</f>
        <v>12</v>
      </c>
      <c r="I74" s="38">
        <f>IF(tblYield[[#This Row],[Date]]="","",IF(tblYield[[#This Row],[Units in]]&gt;0,tblYield[[#This Row],[Passed first time]]/tblYield[[#This Row],[Units in]],""))</f>
        <v>0.978688524590164</v>
      </c>
      <c r="J74" s="38">
        <f>IF(tblYield[[#This Row],[Date]]="","",IFERROR(INDEX(tblOperations[FPY target],MATCH(tblYield[[#This Row],[Operation]],tblOperations[Operation],0)),""))</f>
        <v>0.98</v>
      </c>
      <c r="K74" s="39" t="str">
        <f>IF(OR(NOT(ISNUMBER(tblYield[[#This Row],[FPY]])),NOT(ISNUMBER(tblYield[[#This Row],[FPY target]]))),"",IF(tblYield[[#This Row],[FPY]]&gt;=tblYield[[#This Row],[FPY target]],"On target",IF(tblYield[[#This Row],[FPY]]&gt;=tblYield[[#This Row],[FPY target]]-NearBand,"Near target","Below target")))</f>
        <v>Near target</v>
      </c>
      <c r="L74" s="38">
        <f>IF(tblYield[[#This Row],[Date]]="","",IF(tblYield[[#This Row],[Units in]]&gt;0,(tblYield[[#This Row],[Units in]]-tblYield[[#This Row],[Scrapped]])/tblYield[[#This Row],[Units in]],""))</f>
        <v>0.998360655737705</v>
      </c>
      <c r="M74" s="40">
        <f>IF(tblYield[[#This Row],[Date]]="","",IFERROR(INDEX(tblOperations[Rework cost],MATCH(tblYield[[#This Row],[Operation]],tblOperations[Operation],0)),""))</f>
        <v>3.8</v>
      </c>
      <c r="N74" s="40">
        <f>IF(tblYield[[#This Row],[Date]]="","",IFERROR(INDEX(tblOperations[Scrap cost],MATCH(tblYield[[#This Row],[Operation]],tblOperations[Operation],0)),""))</f>
        <v>31</v>
      </c>
      <c r="O74" s="40">
        <f>IF(tblYield[[#This Row],[Date]]="","",IF(tblYield[[#This Row],[Rework cost per unit]]="","",tblYield[[#This Row],[Reworked]]*tblYield[[#This Row],[Rework cost per unit]]))</f>
        <v>45.6</v>
      </c>
      <c r="P74" s="40">
        <f>IF(tblYield[[#This Row],[Date]]="","",IF(tblYield[[#This Row],[Scrap cost per unit]]="","",tblYield[[#This Row],[Scrapped]]*tblYield[[#This Row],[Scrap cost per unit]]))</f>
        <v>31</v>
      </c>
      <c r="Q74" s="41">
        <f>IF(tblYield[[#This Row],[Date]]="","",IF(AND(tblYield[[#This Row],[Date]]&gt;=FFrom,tblYield[[#This Row],[Date]]&lt;=FTo),tblYield[[#This Row],[Date]],""))</f>
        <v>46280</v>
      </c>
      <c r="R7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4" s="43" t="s">
        <v>104</v>
      </c>
    </row>
    <row r="75" spans="2:19" x14ac:dyDescent="0.25">
      <c r="B75" s="35">
        <v>46280</v>
      </c>
      <c r="C75" s="28" t="s">
        <v>80</v>
      </c>
      <c r="D75" s="36">
        <v>609</v>
      </c>
      <c r="E75" s="36">
        <v>581</v>
      </c>
      <c r="F75" s="36">
        <v>2</v>
      </c>
      <c r="G75" s="37">
        <f>IF(tblYield[[#This Row],[Date]]="","",tblYield[[#This Row],[Units in]]-tblYield[[#This Row],[Passed first time]])</f>
        <v>28</v>
      </c>
      <c r="H75" s="37">
        <f>IF(tblYield[[#This Row],[Date]]="","",tblYield[[#This Row],[Units in]]-tblYield[[#This Row],[Passed first time]]-tblYield[[#This Row],[Scrapped]])</f>
        <v>26</v>
      </c>
      <c r="I75" s="38">
        <f>IF(tblYield[[#This Row],[Date]]="","",IF(tblYield[[#This Row],[Units in]]&gt;0,tblYield[[#This Row],[Passed first time]]/tblYield[[#This Row],[Units in]],""))</f>
        <v>0.954022988505747</v>
      </c>
      <c r="J75" s="38">
        <f>IF(tblYield[[#This Row],[Date]]="","",IFERROR(INDEX(tblOperations[FPY target],MATCH(tblYield[[#This Row],[Operation]],tblOperations[Operation],0)),""))</f>
        <v>0.97</v>
      </c>
      <c r="K75" s="39" t="str">
        <f>IF(OR(NOT(ISNUMBER(tblYield[[#This Row],[FPY]])),NOT(ISNUMBER(tblYield[[#This Row],[FPY target]]))),"",IF(tblYield[[#This Row],[FPY]]&gt;=tblYield[[#This Row],[FPY target]],"On target",IF(tblYield[[#This Row],[FPY]]&gt;=tblYield[[#This Row],[FPY target]]-NearBand,"Near target","Below target")))</f>
        <v>Below target</v>
      </c>
      <c r="L75" s="38">
        <f>IF(tblYield[[#This Row],[Date]]="","",IF(tblYield[[#This Row],[Units in]]&gt;0,(tblYield[[#This Row],[Units in]]-tblYield[[#This Row],[Scrapped]])/tblYield[[#This Row],[Units in]],""))</f>
        <v>0.996715927750411</v>
      </c>
      <c r="M75" s="40">
        <f>IF(tblYield[[#This Row],[Date]]="","",IFERROR(INDEX(tblOperations[Rework cost],MATCH(tblYield[[#This Row],[Operation]],tblOperations[Operation],0)),""))</f>
        <v>2.9</v>
      </c>
      <c r="N75" s="40">
        <f>IF(tblYield[[#This Row],[Date]]="","",IFERROR(INDEX(tblOperations[Scrap cost],MATCH(tblYield[[#This Row],[Operation]],tblOperations[Operation],0)),""))</f>
        <v>34</v>
      </c>
      <c r="O75" s="40">
        <f>IF(tblYield[[#This Row],[Date]]="","",IF(tblYield[[#This Row],[Rework cost per unit]]="","",tblYield[[#This Row],[Reworked]]*tblYield[[#This Row],[Rework cost per unit]]))</f>
        <v>75.4</v>
      </c>
      <c r="P75" s="40">
        <f>IF(tblYield[[#This Row],[Date]]="","",IF(tblYield[[#This Row],[Scrap cost per unit]]="","",tblYield[[#This Row],[Scrapped]]*tblYield[[#This Row],[Scrap cost per unit]]))</f>
        <v>68</v>
      </c>
      <c r="Q75" s="41">
        <f>IF(tblYield[[#This Row],[Date]]="","",IF(AND(tblYield[[#This Row],[Date]]&gt;=FFrom,tblYield[[#This Row],[Date]]&lt;=FTo),tblYield[[#This Row],[Date]],""))</f>
        <v>46280</v>
      </c>
      <c r="R7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5" s="43" t="s">
        <v>104</v>
      </c>
    </row>
    <row r="76" spans="2:19" x14ac:dyDescent="0.25">
      <c r="B76" s="35">
        <v>46280</v>
      </c>
      <c r="C76" s="28" t="s">
        <v>82</v>
      </c>
      <c r="D76" s="36">
        <v>607</v>
      </c>
      <c r="E76" s="36">
        <v>602</v>
      </c>
      <c r="F76" s="36">
        <v>0</v>
      </c>
      <c r="G76" s="37">
        <f>IF(tblYield[[#This Row],[Date]]="","",tblYield[[#This Row],[Units in]]-tblYield[[#This Row],[Passed first time]])</f>
        <v>5</v>
      </c>
      <c r="H76" s="37">
        <f>IF(tblYield[[#This Row],[Date]]="","",tblYield[[#This Row],[Units in]]-tblYield[[#This Row],[Passed first time]]-tblYield[[#This Row],[Scrapped]])</f>
        <v>5</v>
      </c>
      <c r="I76" s="38">
        <f>IF(tblYield[[#This Row],[Date]]="","",IF(tblYield[[#This Row],[Units in]]&gt;0,tblYield[[#This Row],[Passed first time]]/tblYield[[#This Row],[Units in]],""))</f>
        <v>0.99176276771005</v>
      </c>
      <c r="J76" s="38">
        <f>IF(tblYield[[#This Row],[Date]]="","",IFERROR(INDEX(tblOperations[FPY target],MATCH(tblYield[[#This Row],[Operation]],tblOperations[Operation],0)),""))</f>
        <v>0.98</v>
      </c>
      <c r="K76" s="39" t="str">
        <f>IF(OR(NOT(ISNUMBER(tblYield[[#This Row],[FPY]])),NOT(ISNUMBER(tblYield[[#This Row],[FPY target]]))),"",IF(tblYield[[#This Row],[FPY]]&gt;=tblYield[[#This Row],[FPY target]],"On target",IF(tblYield[[#This Row],[FPY]]&gt;=tblYield[[#This Row],[FPY target]]-NearBand,"Near target","Below target")))</f>
        <v>On target</v>
      </c>
      <c r="L76" s="38">
        <f>IF(tblYield[[#This Row],[Date]]="","",IF(tblYield[[#This Row],[Units in]]&gt;0,(tblYield[[#This Row],[Units in]]-tblYield[[#This Row],[Scrapped]])/tblYield[[#This Row],[Units in]],""))</f>
        <v>1</v>
      </c>
      <c r="M76" s="40">
        <f>IF(tblYield[[#This Row],[Date]]="","",IFERROR(INDEX(tblOperations[Rework cost],MATCH(tblYield[[#This Row],[Operation]],tblOperations[Operation],0)),""))</f>
        <v>8.5</v>
      </c>
      <c r="N76" s="40">
        <f>IF(tblYield[[#This Row],[Date]]="","",IFERROR(INDEX(tblOperations[Scrap cost],MATCH(tblYield[[#This Row],[Operation]],tblOperations[Operation],0)),""))</f>
        <v>36.5</v>
      </c>
      <c r="O76" s="40">
        <f>IF(tblYield[[#This Row],[Date]]="","",IF(tblYield[[#This Row],[Rework cost per unit]]="","",tblYield[[#This Row],[Reworked]]*tblYield[[#This Row],[Rework cost per unit]]))</f>
        <v>42.5</v>
      </c>
      <c r="P76" s="40">
        <f>IF(tblYield[[#This Row],[Date]]="","",IF(tblYield[[#This Row],[Scrap cost per unit]]="","",tblYield[[#This Row],[Scrapped]]*tblYield[[#This Row],[Scrap cost per unit]]))</f>
        <v>0</v>
      </c>
      <c r="Q76" s="41">
        <f>IF(tblYield[[#This Row],[Date]]="","",IF(AND(tblYield[[#This Row],[Date]]&gt;=FFrom,tblYield[[#This Row],[Date]]&lt;=FTo),tblYield[[#This Row],[Date]],""))</f>
        <v>46280</v>
      </c>
      <c r="R7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6" s="43" t="s">
        <v>104</v>
      </c>
    </row>
    <row r="77" spans="2:19" x14ac:dyDescent="0.25">
      <c r="B77" s="35">
        <v>46280</v>
      </c>
      <c r="C77" s="28" t="s">
        <v>84</v>
      </c>
      <c r="D77" s="36">
        <v>607</v>
      </c>
      <c r="E77" s="36">
        <v>566</v>
      </c>
      <c r="F77" s="36">
        <v>5</v>
      </c>
      <c r="G77" s="37">
        <f>IF(tblYield[[#This Row],[Date]]="","",tblYield[[#This Row],[Units in]]-tblYield[[#This Row],[Passed first time]])</f>
        <v>41</v>
      </c>
      <c r="H77" s="37">
        <f>IF(tblYield[[#This Row],[Date]]="","",tblYield[[#This Row],[Units in]]-tblYield[[#This Row],[Passed first time]]-tblYield[[#This Row],[Scrapped]])</f>
        <v>36</v>
      </c>
      <c r="I77" s="38">
        <f>IF(tblYield[[#This Row],[Date]]="","",IF(tblYield[[#This Row],[Units in]]&gt;0,tblYield[[#This Row],[Passed first time]]/tblYield[[#This Row],[Units in]],""))</f>
        <v>0.932454695222405</v>
      </c>
      <c r="J77" s="38">
        <f>IF(tblYield[[#This Row],[Date]]="","",IFERROR(INDEX(tblOperations[FPY target],MATCH(tblYield[[#This Row],[Operation]],tblOperations[Operation],0)),""))</f>
        <v>0.985</v>
      </c>
      <c r="K77" s="39" t="str">
        <f>IF(OR(NOT(ISNUMBER(tblYield[[#This Row],[FPY]])),NOT(ISNUMBER(tblYield[[#This Row],[FPY target]]))),"",IF(tblYield[[#This Row],[FPY]]&gt;=tblYield[[#This Row],[FPY target]],"On target",IF(tblYield[[#This Row],[FPY]]&gt;=tblYield[[#This Row],[FPY target]]-NearBand,"Near target","Below target")))</f>
        <v>Below target</v>
      </c>
      <c r="L77" s="38">
        <f>IF(tblYield[[#This Row],[Date]]="","",IF(tblYield[[#This Row],[Units in]]&gt;0,(tblYield[[#This Row],[Units in]]-tblYield[[#This Row],[Scrapped]])/tblYield[[#This Row],[Units in]],""))</f>
        <v>0.99176276771005</v>
      </c>
      <c r="M77" s="40">
        <f>IF(tblYield[[#This Row],[Date]]="","",IFERROR(INDEX(tblOperations[Rework cost],MATCH(tblYield[[#This Row],[Operation]],tblOperations[Operation],0)),""))</f>
        <v>12</v>
      </c>
      <c r="N77" s="40">
        <f>IF(tblYield[[#This Row],[Date]]="","",IFERROR(INDEX(tblOperations[Scrap cost],MATCH(tblYield[[#This Row],[Operation]],tblOperations[Operation],0)),""))</f>
        <v>38</v>
      </c>
      <c r="O77" s="40">
        <f>IF(tblYield[[#This Row],[Date]]="","",IF(tblYield[[#This Row],[Rework cost per unit]]="","",tblYield[[#This Row],[Reworked]]*tblYield[[#This Row],[Rework cost per unit]]))</f>
        <v>432</v>
      </c>
      <c r="P77" s="40">
        <f>IF(tblYield[[#This Row],[Date]]="","",IF(tblYield[[#This Row],[Scrap cost per unit]]="","",tblYield[[#This Row],[Scrapped]]*tblYield[[#This Row],[Scrap cost per unit]]))</f>
        <v>190</v>
      </c>
      <c r="Q77" s="41">
        <f>IF(tblYield[[#This Row],[Date]]="","",IF(AND(tblYield[[#This Row],[Date]]&gt;=FFrom,tblYield[[#This Row],[Date]]&lt;=FTo),tblYield[[#This Row],[Date]],""))</f>
        <v>46280</v>
      </c>
      <c r="R7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7" s="43" t="s">
        <v>104</v>
      </c>
    </row>
    <row r="78" spans="2:19" x14ac:dyDescent="0.25">
      <c r="B78" s="35">
        <v>46280</v>
      </c>
      <c r="C78" s="28" t="s">
        <v>86</v>
      </c>
      <c r="D78" s="36">
        <v>602</v>
      </c>
      <c r="E78" s="36">
        <v>598</v>
      </c>
      <c r="F78" s="36">
        <v>0</v>
      </c>
      <c r="G78" s="37">
        <f>IF(tblYield[[#This Row],[Date]]="","",tblYield[[#This Row],[Units in]]-tblYield[[#This Row],[Passed first time]])</f>
        <v>4</v>
      </c>
      <c r="H78" s="37">
        <f>IF(tblYield[[#This Row],[Date]]="","",tblYield[[#This Row],[Units in]]-tblYield[[#This Row],[Passed first time]]-tblYield[[#This Row],[Scrapped]])</f>
        <v>4</v>
      </c>
      <c r="I78" s="38">
        <f>IF(tblYield[[#This Row],[Date]]="","",IF(tblYield[[#This Row],[Units in]]&gt;0,tblYield[[#This Row],[Passed first time]]/tblYield[[#This Row],[Units in]],""))</f>
        <v>0.993355481727575</v>
      </c>
      <c r="J78" s="38">
        <f>IF(tblYield[[#This Row],[Date]]="","",IFERROR(INDEX(tblOperations[FPY target],MATCH(tblYield[[#This Row],[Operation]],tblOperations[Operation],0)),""))</f>
        <v>0.99</v>
      </c>
      <c r="K78" s="39" t="str">
        <f>IF(OR(NOT(ISNUMBER(tblYield[[#This Row],[FPY]])),NOT(ISNUMBER(tblYield[[#This Row],[FPY target]]))),"",IF(tblYield[[#This Row],[FPY]]&gt;=tblYield[[#This Row],[FPY target]],"On target",IF(tblYield[[#This Row],[FPY]]&gt;=tblYield[[#This Row],[FPY target]]-NearBand,"Near target","Below target")))</f>
        <v>On target</v>
      </c>
      <c r="L78" s="38">
        <f>IF(tblYield[[#This Row],[Date]]="","",IF(tblYield[[#This Row],[Units in]]&gt;0,(tblYield[[#This Row],[Units in]]-tblYield[[#This Row],[Scrapped]])/tblYield[[#This Row],[Units in]],""))</f>
        <v>1</v>
      </c>
      <c r="M78" s="40">
        <f>IF(tblYield[[#This Row],[Date]]="","",IFERROR(INDEX(tblOperations[Rework cost],MATCH(tblYield[[#This Row],[Operation]],tblOperations[Operation],0)),""))</f>
        <v>2.2</v>
      </c>
      <c r="N78" s="40">
        <f>IF(tblYield[[#This Row],[Date]]="","",IFERROR(INDEX(tblOperations[Scrap cost],MATCH(tblYield[[#This Row],[Operation]],tblOperations[Operation],0)),""))</f>
        <v>41</v>
      </c>
      <c r="O78" s="40">
        <f>IF(tblYield[[#This Row],[Date]]="","",IF(tblYield[[#This Row],[Rework cost per unit]]="","",tblYield[[#This Row],[Reworked]]*tblYield[[#This Row],[Rework cost per unit]]))</f>
        <v>8.8</v>
      </c>
      <c r="P78" s="40">
        <f>IF(tblYield[[#This Row],[Date]]="","",IF(tblYield[[#This Row],[Scrap cost per unit]]="","",tblYield[[#This Row],[Scrapped]]*tblYield[[#This Row],[Scrap cost per unit]]))</f>
        <v>0</v>
      </c>
      <c r="Q78" s="41">
        <f>IF(tblYield[[#This Row],[Date]]="","",IF(AND(tblYield[[#This Row],[Date]]&gt;=FFrom,tblYield[[#This Row],[Date]]&lt;=FTo),tblYield[[#This Row],[Date]],""))</f>
        <v>46280</v>
      </c>
      <c r="R7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8" s="43" t="s">
        <v>104</v>
      </c>
    </row>
    <row r="79" spans="2:19" x14ac:dyDescent="0.25">
      <c r="B79" s="35">
        <v>46281</v>
      </c>
      <c r="C79" s="28" t="s">
        <v>76</v>
      </c>
      <c r="D79" s="36">
        <v>590</v>
      </c>
      <c r="E79" s="36">
        <v>584</v>
      </c>
      <c r="F79" s="36">
        <v>0</v>
      </c>
      <c r="G79" s="37">
        <f>IF(tblYield[[#This Row],[Date]]="","",tblYield[[#This Row],[Units in]]-tblYield[[#This Row],[Passed first time]])</f>
        <v>6</v>
      </c>
      <c r="H79" s="37">
        <f>IF(tblYield[[#This Row],[Date]]="","",tblYield[[#This Row],[Units in]]-tblYield[[#This Row],[Passed first time]]-tblYield[[#This Row],[Scrapped]])</f>
        <v>6</v>
      </c>
      <c r="I79" s="38">
        <f>IF(tblYield[[#This Row],[Date]]="","",IF(tblYield[[#This Row],[Units in]]&gt;0,tblYield[[#This Row],[Passed first time]]/tblYield[[#This Row],[Units in]],""))</f>
        <v>0.989830508474576</v>
      </c>
      <c r="J79" s="38">
        <f>IF(tblYield[[#This Row],[Date]]="","",IFERROR(INDEX(tblOperations[FPY target],MATCH(tblYield[[#This Row],[Operation]],tblOperations[Operation],0)),""))</f>
        <v>0.99</v>
      </c>
      <c r="K79" s="39" t="str">
        <f>IF(OR(NOT(ISNUMBER(tblYield[[#This Row],[FPY]])),NOT(ISNUMBER(tblYield[[#This Row],[FPY target]]))),"",IF(tblYield[[#This Row],[FPY]]&gt;=tblYield[[#This Row],[FPY target]],"On target",IF(tblYield[[#This Row],[FPY]]&gt;=tblYield[[#This Row],[FPY target]]-NearBand,"Near target","Below target")))</f>
        <v>Near target</v>
      </c>
      <c r="L79" s="38">
        <f>IF(tblYield[[#This Row],[Date]]="","",IF(tblYield[[#This Row],[Units in]]&gt;0,(tblYield[[#This Row],[Units in]]-tblYield[[#This Row],[Scrapped]])/tblYield[[#This Row],[Units in]],""))</f>
        <v>1</v>
      </c>
      <c r="M79" s="40">
        <f>IF(tblYield[[#This Row],[Date]]="","",IFERROR(INDEX(tblOperations[Rework cost],MATCH(tblYield[[#This Row],[Operation]],tblOperations[Operation],0)),""))</f>
        <v>0.6</v>
      </c>
      <c r="N79" s="40">
        <f>IF(tblYield[[#This Row],[Date]]="","",IFERROR(INDEX(tblOperations[Scrap cost],MATCH(tblYield[[#This Row],[Operation]],tblOperations[Operation],0)),""))</f>
        <v>4.8</v>
      </c>
      <c r="O79" s="40">
        <f>IF(tblYield[[#This Row],[Date]]="","",IF(tblYield[[#This Row],[Rework cost per unit]]="","",tblYield[[#This Row],[Reworked]]*tblYield[[#This Row],[Rework cost per unit]]))</f>
        <v>3.6</v>
      </c>
      <c r="P79" s="40">
        <f>IF(tblYield[[#This Row],[Date]]="","",IF(tblYield[[#This Row],[Scrap cost per unit]]="","",tblYield[[#This Row],[Scrapped]]*tblYield[[#This Row],[Scrap cost per unit]]))</f>
        <v>0</v>
      </c>
      <c r="Q79" s="41">
        <f>IF(tblYield[[#This Row],[Date]]="","",IF(AND(tblYield[[#This Row],[Date]]&gt;=FFrom,tblYield[[#This Row],[Date]]&lt;=FTo),tblYield[[#This Row],[Date]],""))</f>
        <v>46281</v>
      </c>
      <c r="R7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79" s="43" t="s">
        <v>104</v>
      </c>
    </row>
    <row r="80" spans="2:19" x14ac:dyDescent="0.25">
      <c r="B80" s="35">
        <v>46281</v>
      </c>
      <c r="C80" s="28" t="s">
        <v>78</v>
      </c>
      <c r="D80" s="36">
        <v>590</v>
      </c>
      <c r="E80" s="36">
        <v>575</v>
      </c>
      <c r="F80" s="36">
        <v>1</v>
      </c>
      <c r="G80" s="37">
        <f>IF(tblYield[[#This Row],[Date]]="","",tblYield[[#This Row],[Units in]]-tblYield[[#This Row],[Passed first time]])</f>
        <v>15</v>
      </c>
      <c r="H80" s="37">
        <f>IF(tblYield[[#This Row],[Date]]="","",tblYield[[#This Row],[Units in]]-tblYield[[#This Row],[Passed first time]]-tblYield[[#This Row],[Scrapped]])</f>
        <v>14</v>
      </c>
      <c r="I80" s="38">
        <f>IF(tblYield[[#This Row],[Date]]="","",IF(tblYield[[#This Row],[Units in]]&gt;0,tblYield[[#This Row],[Passed first time]]/tblYield[[#This Row],[Units in]],""))</f>
        <v>0.974576271186441</v>
      </c>
      <c r="J80" s="38">
        <f>IF(tblYield[[#This Row],[Date]]="","",IFERROR(INDEX(tblOperations[FPY target],MATCH(tblYield[[#This Row],[Operation]],tblOperations[Operation],0)),""))</f>
        <v>0.98</v>
      </c>
      <c r="K80" s="39" t="str">
        <f>IF(OR(NOT(ISNUMBER(tblYield[[#This Row],[FPY]])),NOT(ISNUMBER(tblYield[[#This Row],[FPY target]]))),"",IF(tblYield[[#This Row],[FPY]]&gt;=tblYield[[#This Row],[FPY target]],"On target",IF(tblYield[[#This Row],[FPY]]&gt;=tblYield[[#This Row],[FPY target]]-NearBand,"Near target","Below target")))</f>
        <v>Near target</v>
      </c>
      <c r="L80" s="38">
        <f>IF(tblYield[[#This Row],[Date]]="","",IF(tblYield[[#This Row],[Units in]]&gt;0,(tblYield[[#This Row],[Units in]]-tblYield[[#This Row],[Scrapped]])/tblYield[[#This Row],[Units in]],""))</f>
        <v>0.998305084745763</v>
      </c>
      <c r="M80" s="40">
        <f>IF(tblYield[[#This Row],[Date]]="","",IFERROR(INDEX(tblOperations[Rework cost],MATCH(tblYield[[#This Row],[Operation]],tblOperations[Operation],0)),""))</f>
        <v>3.8</v>
      </c>
      <c r="N80" s="40">
        <f>IF(tblYield[[#This Row],[Date]]="","",IFERROR(INDEX(tblOperations[Scrap cost],MATCH(tblYield[[#This Row],[Operation]],tblOperations[Operation],0)),""))</f>
        <v>31</v>
      </c>
      <c r="O80" s="40">
        <f>IF(tblYield[[#This Row],[Date]]="","",IF(tblYield[[#This Row],[Rework cost per unit]]="","",tblYield[[#This Row],[Reworked]]*tblYield[[#This Row],[Rework cost per unit]]))</f>
        <v>53.2</v>
      </c>
      <c r="P80" s="40">
        <f>IF(tblYield[[#This Row],[Date]]="","",IF(tblYield[[#This Row],[Scrap cost per unit]]="","",tblYield[[#This Row],[Scrapped]]*tblYield[[#This Row],[Scrap cost per unit]]))</f>
        <v>31</v>
      </c>
      <c r="Q80" s="41">
        <f>IF(tblYield[[#This Row],[Date]]="","",IF(AND(tblYield[[#This Row],[Date]]&gt;=FFrom,tblYield[[#This Row],[Date]]&lt;=FTo),tblYield[[#This Row],[Date]],""))</f>
        <v>46281</v>
      </c>
      <c r="R8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0" s="43" t="s">
        <v>104</v>
      </c>
    </row>
    <row r="81" spans="2:19" x14ac:dyDescent="0.25">
      <c r="B81" s="35">
        <v>46281</v>
      </c>
      <c r="C81" s="28" t="s">
        <v>80</v>
      </c>
      <c r="D81" s="36">
        <v>589</v>
      </c>
      <c r="E81" s="36">
        <v>563</v>
      </c>
      <c r="F81" s="36">
        <v>2</v>
      </c>
      <c r="G81" s="37">
        <f>IF(tblYield[[#This Row],[Date]]="","",tblYield[[#This Row],[Units in]]-tblYield[[#This Row],[Passed first time]])</f>
        <v>26</v>
      </c>
      <c r="H81" s="37">
        <f>IF(tblYield[[#This Row],[Date]]="","",tblYield[[#This Row],[Units in]]-tblYield[[#This Row],[Passed first time]]-tblYield[[#This Row],[Scrapped]])</f>
        <v>24</v>
      </c>
      <c r="I81" s="38">
        <f>IF(tblYield[[#This Row],[Date]]="","",IF(tblYield[[#This Row],[Units in]]&gt;0,tblYield[[#This Row],[Passed first time]]/tblYield[[#This Row],[Units in]],""))</f>
        <v>0.955857385398981</v>
      </c>
      <c r="J81" s="38">
        <f>IF(tblYield[[#This Row],[Date]]="","",IFERROR(INDEX(tblOperations[FPY target],MATCH(tblYield[[#This Row],[Operation]],tblOperations[Operation],0)),""))</f>
        <v>0.97</v>
      </c>
      <c r="K81" s="39" t="str">
        <f>IF(OR(NOT(ISNUMBER(tblYield[[#This Row],[FPY]])),NOT(ISNUMBER(tblYield[[#This Row],[FPY target]]))),"",IF(tblYield[[#This Row],[FPY]]&gt;=tblYield[[#This Row],[FPY target]],"On target",IF(tblYield[[#This Row],[FPY]]&gt;=tblYield[[#This Row],[FPY target]]-NearBand,"Near target","Below target")))</f>
        <v>Below target</v>
      </c>
      <c r="L81" s="38">
        <f>IF(tblYield[[#This Row],[Date]]="","",IF(tblYield[[#This Row],[Units in]]&gt;0,(tblYield[[#This Row],[Units in]]-tblYield[[#This Row],[Scrapped]])/tblYield[[#This Row],[Units in]],""))</f>
        <v>0.99660441426146</v>
      </c>
      <c r="M81" s="40">
        <f>IF(tblYield[[#This Row],[Date]]="","",IFERROR(INDEX(tblOperations[Rework cost],MATCH(tblYield[[#This Row],[Operation]],tblOperations[Operation],0)),""))</f>
        <v>2.9</v>
      </c>
      <c r="N81" s="40">
        <f>IF(tblYield[[#This Row],[Date]]="","",IFERROR(INDEX(tblOperations[Scrap cost],MATCH(tblYield[[#This Row],[Operation]],tblOperations[Operation],0)),""))</f>
        <v>34</v>
      </c>
      <c r="O81" s="40">
        <f>IF(tblYield[[#This Row],[Date]]="","",IF(tblYield[[#This Row],[Rework cost per unit]]="","",tblYield[[#This Row],[Reworked]]*tblYield[[#This Row],[Rework cost per unit]]))</f>
        <v>69.6</v>
      </c>
      <c r="P81" s="40">
        <f>IF(tblYield[[#This Row],[Date]]="","",IF(tblYield[[#This Row],[Scrap cost per unit]]="","",tblYield[[#This Row],[Scrapped]]*tblYield[[#This Row],[Scrap cost per unit]]))</f>
        <v>68</v>
      </c>
      <c r="Q81" s="41">
        <f>IF(tblYield[[#This Row],[Date]]="","",IF(AND(tblYield[[#This Row],[Date]]&gt;=FFrom,tblYield[[#This Row],[Date]]&lt;=FTo),tblYield[[#This Row],[Date]],""))</f>
        <v>46281</v>
      </c>
      <c r="R8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1" s="43" t="s">
        <v>104</v>
      </c>
    </row>
    <row r="82" spans="2:19" x14ac:dyDescent="0.25">
      <c r="B82" s="35">
        <v>46281</v>
      </c>
      <c r="C82" s="28" t="s">
        <v>82</v>
      </c>
      <c r="D82" s="36">
        <v>587</v>
      </c>
      <c r="E82" s="36">
        <v>568</v>
      </c>
      <c r="F82" s="36">
        <v>2</v>
      </c>
      <c r="G82" s="37">
        <f>IF(tblYield[[#This Row],[Date]]="","",tblYield[[#This Row],[Units in]]-tblYield[[#This Row],[Passed first time]])</f>
        <v>19</v>
      </c>
      <c r="H82" s="37">
        <f>IF(tblYield[[#This Row],[Date]]="","",tblYield[[#This Row],[Units in]]-tblYield[[#This Row],[Passed first time]]-tblYield[[#This Row],[Scrapped]])</f>
        <v>17</v>
      </c>
      <c r="I82" s="38">
        <f>IF(tblYield[[#This Row],[Date]]="","",IF(tblYield[[#This Row],[Units in]]&gt;0,tblYield[[#This Row],[Passed first time]]/tblYield[[#This Row],[Units in]],""))</f>
        <v>0.96763202725724</v>
      </c>
      <c r="J82" s="38">
        <f>IF(tblYield[[#This Row],[Date]]="","",IFERROR(INDEX(tblOperations[FPY target],MATCH(tblYield[[#This Row],[Operation]],tblOperations[Operation],0)),""))</f>
        <v>0.98</v>
      </c>
      <c r="K82" s="39" t="str">
        <f>IF(OR(NOT(ISNUMBER(tblYield[[#This Row],[FPY]])),NOT(ISNUMBER(tblYield[[#This Row],[FPY target]]))),"",IF(tblYield[[#This Row],[FPY]]&gt;=tblYield[[#This Row],[FPY target]],"On target",IF(tblYield[[#This Row],[FPY]]&gt;=tblYield[[#This Row],[FPY target]]-NearBand,"Near target","Below target")))</f>
        <v>Below target</v>
      </c>
      <c r="L82" s="38">
        <f>IF(tblYield[[#This Row],[Date]]="","",IF(tblYield[[#This Row],[Units in]]&gt;0,(tblYield[[#This Row],[Units in]]-tblYield[[#This Row],[Scrapped]])/tblYield[[#This Row],[Units in]],""))</f>
        <v>0.996592844974446</v>
      </c>
      <c r="M82" s="40">
        <f>IF(tblYield[[#This Row],[Date]]="","",IFERROR(INDEX(tblOperations[Rework cost],MATCH(tblYield[[#This Row],[Operation]],tblOperations[Operation],0)),""))</f>
        <v>8.5</v>
      </c>
      <c r="N82" s="40">
        <f>IF(tblYield[[#This Row],[Date]]="","",IFERROR(INDEX(tblOperations[Scrap cost],MATCH(tblYield[[#This Row],[Operation]],tblOperations[Operation],0)),""))</f>
        <v>36.5</v>
      </c>
      <c r="O82" s="40">
        <f>IF(tblYield[[#This Row],[Date]]="","",IF(tblYield[[#This Row],[Rework cost per unit]]="","",tblYield[[#This Row],[Reworked]]*tblYield[[#This Row],[Rework cost per unit]]))</f>
        <v>144.5</v>
      </c>
      <c r="P82" s="40">
        <f>IF(tblYield[[#This Row],[Date]]="","",IF(tblYield[[#This Row],[Scrap cost per unit]]="","",tblYield[[#This Row],[Scrapped]]*tblYield[[#This Row],[Scrap cost per unit]]))</f>
        <v>73</v>
      </c>
      <c r="Q82" s="41">
        <f>IF(tblYield[[#This Row],[Date]]="","",IF(AND(tblYield[[#This Row],[Date]]&gt;=FFrom,tblYield[[#This Row],[Date]]&lt;=FTo),tblYield[[#This Row],[Date]],""))</f>
        <v>46281</v>
      </c>
      <c r="R8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2" s="43" t="s">
        <v>104</v>
      </c>
    </row>
    <row r="83" spans="2:19" x14ac:dyDescent="0.25">
      <c r="B83" s="35">
        <v>46281</v>
      </c>
      <c r="C83" s="28" t="s">
        <v>84</v>
      </c>
      <c r="D83" s="36">
        <v>585</v>
      </c>
      <c r="E83" s="36">
        <v>546</v>
      </c>
      <c r="F83" s="36">
        <v>3</v>
      </c>
      <c r="G83" s="37">
        <f>IF(tblYield[[#This Row],[Date]]="","",tblYield[[#This Row],[Units in]]-tblYield[[#This Row],[Passed first time]])</f>
        <v>39</v>
      </c>
      <c r="H83" s="37">
        <f>IF(tblYield[[#This Row],[Date]]="","",tblYield[[#This Row],[Units in]]-tblYield[[#This Row],[Passed first time]]-tblYield[[#This Row],[Scrapped]])</f>
        <v>36</v>
      </c>
      <c r="I83" s="38">
        <f>IF(tblYield[[#This Row],[Date]]="","",IF(tblYield[[#This Row],[Units in]]&gt;0,tblYield[[#This Row],[Passed first time]]/tblYield[[#This Row],[Units in]],""))</f>
        <v>0.933333333333333</v>
      </c>
      <c r="J83" s="38">
        <f>IF(tblYield[[#This Row],[Date]]="","",IFERROR(INDEX(tblOperations[FPY target],MATCH(tblYield[[#This Row],[Operation]],tblOperations[Operation],0)),""))</f>
        <v>0.985</v>
      </c>
      <c r="K83" s="39" t="str">
        <f>IF(OR(NOT(ISNUMBER(tblYield[[#This Row],[FPY]])),NOT(ISNUMBER(tblYield[[#This Row],[FPY target]]))),"",IF(tblYield[[#This Row],[FPY]]&gt;=tblYield[[#This Row],[FPY target]],"On target",IF(tblYield[[#This Row],[FPY]]&gt;=tblYield[[#This Row],[FPY target]]-NearBand,"Near target","Below target")))</f>
        <v>Below target</v>
      </c>
      <c r="L83" s="38">
        <f>IF(tblYield[[#This Row],[Date]]="","",IF(tblYield[[#This Row],[Units in]]&gt;0,(tblYield[[#This Row],[Units in]]-tblYield[[#This Row],[Scrapped]])/tblYield[[#This Row],[Units in]],""))</f>
        <v>0.994871794871795</v>
      </c>
      <c r="M83" s="40">
        <f>IF(tblYield[[#This Row],[Date]]="","",IFERROR(INDEX(tblOperations[Rework cost],MATCH(tblYield[[#This Row],[Operation]],tblOperations[Operation],0)),""))</f>
        <v>12</v>
      </c>
      <c r="N83" s="40">
        <f>IF(tblYield[[#This Row],[Date]]="","",IFERROR(INDEX(tblOperations[Scrap cost],MATCH(tblYield[[#This Row],[Operation]],tblOperations[Operation],0)),""))</f>
        <v>38</v>
      </c>
      <c r="O83" s="40">
        <f>IF(tblYield[[#This Row],[Date]]="","",IF(tblYield[[#This Row],[Rework cost per unit]]="","",tblYield[[#This Row],[Reworked]]*tblYield[[#This Row],[Rework cost per unit]]))</f>
        <v>432</v>
      </c>
      <c r="P83" s="40">
        <f>IF(tblYield[[#This Row],[Date]]="","",IF(tblYield[[#This Row],[Scrap cost per unit]]="","",tblYield[[#This Row],[Scrapped]]*tblYield[[#This Row],[Scrap cost per unit]]))</f>
        <v>114</v>
      </c>
      <c r="Q83" s="41">
        <f>IF(tblYield[[#This Row],[Date]]="","",IF(AND(tblYield[[#This Row],[Date]]&gt;=FFrom,tblYield[[#This Row],[Date]]&lt;=FTo),tblYield[[#This Row],[Date]],""))</f>
        <v>46281</v>
      </c>
      <c r="R8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3" s="43" t="s">
        <v>104</v>
      </c>
    </row>
    <row r="84" spans="2:19" x14ac:dyDescent="0.25">
      <c r="B84" s="35">
        <v>46281</v>
      </c>
      <c r="C84" s="28" t="s">
        <v>86</v>
      </c>
      <c r="D84" s="36">
        <v>582</v>
      </c>
      <c r="E84" s="36">
        <v>578</v>
      </c>
      <c r="F84" s="36">
        <v>0</v>
      </c>
      <c r="G84" s="37">
        <f>IF(tblYield[[#This Row],[Date]]="","",tblYield[[#This Row],[Units in]]-tblYield[[#This Row],[Passed first time]])</f>
        <v>4</v>
      </c>
      <c r="H84" s="37">
        <f>IF(tblYield[[#This Row],[Date]]="","",tblYield[[#This Row],[Units in]]-tblYield[[#This Row],[Passed first time]]-tblYield[[#This Row],[Scrapped]])</f>
        <v>4</v>
      </c>
      <c r="I84" s="38">
        <f>IF(tblYield[[#This Row],[Date]]="","",IF(tblYield[[#This Row],[Units in]]&gt;0,tblYield[[#This Row],[Passed first time]]/tblYield[[#This Row],[Units in]],""))</f>
        <v>0.993127147766323</v>
      </c>
      <c r="J84" s="38">
        <f>IF(tblYield[[#This Row],[Date]]="","",IFERROR(INDEX(tblOperations[FPY target],MATCH(tblYield[[#This Row],[Operation]],tblOperations[Operation],0)),""))</f>
        <v>0.99</v>
      </c>
      <c r="K84" s="39" t="str">
        <f>IF(OR(NOT(ISNUMBER(tblYield[[#This Row],[FPY]])),NOT(ISNUMBER(tblYield[[#This Row],[FPY target]]))),"",IF(tblYield[[#This Row],[FPY]]&gt;=tblYield[[#This Row],[FPY target]],"On target",IF(tblYield[[#This Row],[FPY]]&gt;=tblYield[[#This Row],[FPY target]]-NearBand,"Near target","Below target")))</f>
        <v>On target</v>
      </c>
      <c r="L84" s="38">
        <f>IF(tblYield[[#This Row],[Date]]="","",IF(tblYield[[#This Row],[Units in]]&gt;0,(tblYield[[#This Row],[Units in]]-tblYield[[#This Row],[Scrapped]])/tblYield[[#This Row],[Units in]],""))</f>
        <v>1</v>
      </c>
      <c r="M84" s="40">
        <f>IF(tblYield[[#This Row],[Date]]="","",IFERROR(INDEX(tblOperations[Rework cost],MATCH(tblYield[[#This Row],[Operation]],tblOperations[Operation],0)),""))</f>
        <v>2.2</v>
      </c>
      <c r="N84" s="40">
        <f>IF(tblYield[[#This Row],[Date]]="","",IFERROR(INDEX(tblOperations[Scrap cost],MATCH(tblYield[[#This Row],[Operation]],tblOperations[Operation],0)),""))</f>
        <v>41</v>
      </c>
      <c r="O84" s="40">
        <f>IF(tblYield[[#This Row],[Date]]="","",IF(tblYield[[#This Row],[Rework cost per unit]]="","",tblYield[[#This Row],[Reworked]]*tblYield[[#This Row],[Rework cost per unit]]))</f>
        <v>8.8</v>
      </c>
      <c r="P84" s="40">
        <f>IF(tblYield[[#This Row],[Date]]="","",IF(tblYield[[#This Row],[Scrap cost per unit]]="","",tblYield[[#This Row],[Scrapped]]*tblYield[[#This Row],[Scrap cost per unit]]))</f>
        <v>0</v>
      </c>
      <c r="Q84" s="41">
        <f>IF(tblYield[[#This Row],[Date]]="","",IF(AND(tblYield[[#This Row],[Date]]&gt;=FFrom,tblYield[[#This Row],[Date]]&lt;=FTo),tblYield[[#This Row],[Date]],""))</f>
        <v>46281</v>
      </c>
      <c r="R8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4" s="43" t="s">
        <v>104</v>
      </c>
    </row>
    <row r="85" spans="2:19" x14ac:dyDescent="0.25">
      <c r="B85" s="35">
        <v>46282</v>
      </c>
      <c r="C85" s="28" t="s">
        <v>76</v>
      </c>
      <c r="D85" s="36">
        <v>580</v>
      </c>
      <c r="E85" s="36">
        <v>575</v>
      </c>
      <c r="F85" s="36">
        <v>0</v>
      </c>
      <c r="G85" s="37">
        <f>IF(tblYield[[#This Row],[Date]]="","",tblYield[[#This Row],[Units in]]-tblYield[[#This Row],[Passed first time]])</f>
        <v>5</v>
      </c>
      <c r="H85" s="37">
        <f>IF(tblYield[[#This Row],[Date]]="","",tblYield[[#This Row],[Units in]]-tblYield[[#This Row],[Passed first time]]-tblYield[[#This Row],[Scrapped]])</f>
        <v>5</v>
      </c>
      <c r="I85" s="38">
        <f>IF(tblYield[[#This Row],[Date]]="","",IF(tblYield[[#This Row],[Units in]]&gt;0,tblYield[[#This Row],[Passed first time]]/tblYield[[#This Row],[Units in]],""))</f>
        <v>0.991379310344828</v>
      </c>
      <c r="J85" s="38">
        <f>IF(tblYield[[#This Row],[Date]]="","",IFERROR(INDEX(tblOperations[FPY target],MATCH(tblYield[[#This Row],[Operation]],tblOperations[Operation],0)),""))</f>
        <v>0.99</v>
      </c>
      <c r="K85" s="39" t="str">
        <f>IF(OR(NOT(ISNUMBER(tblYield[[#This Row],[FPY]])),NOT(ISNUMBER(tblYield[[#This Row],[FPY target]]))),"",IF(tblYield[[#This Row],[FPY]]&gt;=tblYield[[#This Row],[FPY target]],"On target",IF(tblYield[[#This Row],[FPY]]&gt;=tblYield[[#This Row],[FPY target]]-NearBand,"Near target","Below target")))</f>
        <v>On target</v>
      </c>
      <c r="L85" s="38">
        <f>IF(tblYield[[#This Row],[Date]]="","",IF(tblYield[[#This Row],[Units in]]&gt;0,(tblYield[[#This Row],[Units in]]-tblYield[[#This Row],[Scrapped]])/tblYield[[#This Row],[Units in]],""))</f>
        <v>1</v>
      </c>
      <c r="M85" s="40">
        <f>IF(tblYield[[#This Row],[Date]]="","",IFERROR(INDEX(tblOperations[Rework cost],MATCH(tblYield[[#This Row],[Operation]],tblOperations[Operation],0)),""))</f>
        <v>0.6</v>
      </c>
      <c r="N85" s="40">
        <f>IF(tblYield[[#This Row],[Date]]="","",IFERROR(INDEX(tblOperations[Scrap cost],MATCH(tblYield[[#This Row],[Operation]],tblOperations[Operation],0)),""))</f>
        <v>4.8</v>
      </c>
      <c r="O85" s="40">
        <f>IF(tblYield[[#This Row],[Date]]="","",IF(tblYield[[#This Row],[Rework cost per unit]]="","",tblYield[[#This Row],[Reworked]]*tblYield[[#This Row],[Rework cost per unit]]))</f>
        <v>3</v>
      </c>
      <c r="P85" s="40">
        <f>IF(tblYield[[#This Row],[Date]]="","",IF(tblYield[[#This Row],[Scrap cost per unit]]="","",tblYield[[#This Row],[Scrapped]]*tblYield[[#This Row],[Scrap cost per unit]]))</f>
        <v>0</v>
      </c>
      <c r="Q85" s="41">
        <f>IF(tblYield[[#This Row],[Date]]="","",IF(AND(tblYield[[#This Row],[Date]]&gt;=FFrom,tblYield[[#This Row],[Date]]&lt;=FTo),tblYield[[#This Row],[Date]],""))</f>
        <v>46282</v>
      </c>
      <c r="R8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5" s="43" t="s">
        <v>104</v>
      </c>
    </row>
    <row r="86" spans="2:19" x14ac:dyDescent="0.25">
      <c r="B86" s="35">
        <v>46282</v>
      </c>
      <c r="C86" s="28" t="s">
        <v>78</v>
      </c>
      <c r="D86" s="36">
        <v>580</v>
      </c>
      <c r="E86" s="36">
        <v>571</v>
      </c>
      <c r="F86" s="36">
        <v>1</v>
      </c>
      <c r="G86" s="37">
        <f>IF(tblYield[[#This Row],[Date]]="","",tblYield[[#This Row],[Units in]]-tblYield[[#This Row],[Passed first time]])</f>
        <v>9</v>
      </c>
      <c r="H86" s="37">
        <f>IF(tblYield[[#This Row],[Date]]="","",tblYield[[#This Row],[Units in]]-tblYield[[#This Row],[Passed first time]]-tblYield[[#This Row],[Scrapped]])</f>
        <v>8</v>
      </c>
      <c r="I86" s="38">
        <f>IF(tblYield[[#This Row],[Date]]="","",IF(tblYield[[#This Row],[Units in]]&gt;0,tblYield[[#This Row],[Passed first time]]/tblYield[[#This Row],[Units in]],""))</f>
        <v>0.98448275862069</v>
      </c>
      <c r="J86" s="38">
        <f>IF(tblYield[[#This Row],[Date]]="","",IFERROR(INDEX(tblOperations[FPY target],MATCH(tblYield[[#This Row],[Operation]],tblOperations[Operation],0)),""))</f>
        <v>0.98</v>
      </c>
      <c r="K86" s="39" t="str">
        <f>IF(OR(NOT(ISNUMBER(tblYield[[#This Row],[FPY]])),NOT(ISNUMBER(tblYield[[#This Row],[FPY target]]))),"",IF(tblYield[[#This Row],[FPY]]&gt;=tblYield[[#This Row],[FPY target]],"On target",IF(tblYield[[#This Row],[FPY]]&gt;=tblYield[[#This Row],[FPY target]]-NearBand,"Near target","Below target")))</f>
        <v>On target</v>
      </c>
      <c r="L86" s="38">
        <f>IF(tblYield[[#This Row],[Date]]="","",IF(tblYield[[#This Row],[Units in]]&gt;0,(tblYield[[#This Row],[Units in]]-tblYield[[#This Row],[Scrapped]])/tblYield[[#This Row],[Units in]],""))</f>
        <v>0.998275862068966</v>
      </c>
      <c r="M86" s="40">
        <f>IF(tblYield[[#This Row],[Date]]="","",IFERROR(INDEX(tblOperations[Rework cost],MATCH(tblYield[[#This Row],[Operation]],tblOperations[Operation],0)),""))</f>
        <v>3.8</v>
      </c>
      <c r="N86" s="40">
        <f>IF(tblYield[[#This Row],[Date]]="","",IFERROR(INDEX(tblOperations[Scrap cost],MATCH(tblYield[[#This Row],[Operation]],tblOperations[Operation],0)),""))</f>
        <v>31</v>
      </c>
      <c r="O86" s="40">
        <f>IF(tblYield[[#This Row],[Date]]="","",IF(tblYield[[#This Row],[Rework cost per unit]]="","",tblYield[[#This Row],[Reworked]]*tblYield[[#This Row],[Rework cost per unit]]))</f>
        <v>30.4</v>
      </c>
      <c r="P86" s="40">
        <f>IF(tblYield[[#This Row],[Date]]="","",IF(tblYield[[#This Row],[Scrap cost per unit]]="","",tblYield[[#This Row],[Scrapped]]*tblYield[[#This Row],[Scrap cost per unit]]))</f>
        <v>31</v>
      </c>
      <c r="Q86" s="41">
        <f>IF(tblYield[[#This Row],[Date]]="","",IF(AND(tblYield[[#This Row],[Date]]&gt;=FFrom,tblYield[[#This Row],[Date]]&lt;=FTo),tblYield[[#This Row],[Date]],""))</f>
        <v>46282</v>
      </c>
      <c r="R8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6" s="43" t="s">
        <v>104</v>
      </c>
    </row>
    <row r="87" spans="2:19" x14ac:dyDescent="0.25">
      <c r="B87" s="35">
        <v>46282</v>
      </c>
      <c r="C87" s="28" t="s">
        <v>80</v>
      </c>
      <c r="D87" s="36">
        <v>579</v>
      </c>
      <c r="E87" s="36">
        <v>543</v>
      </c>
      <c r="F87" s="36">
        <v>3</v>
      </c>
      <c r="G87" s="37">
        <f>IF(tblYield[[#This Row],[Date]]="","",tblYield[[#This Row],[Units in]]-tblYield[[#This Row],[Passed first time]])</f>
        <v>36</v>
      </c>
      <c r="H87" s="37">
        <f>IF(tblYield[[#This Row],[Date]]="","",tblYield[[#This Row],[Units in]]-tblYield[[#This Row],[Passed first time]]-tblYield[[#This Row],[Scrapped]])</f>
        <v>33</v>
      </c>
      <c r="I87" s="38">
        <f>IF(tblYield[[#This Row],[Date]]="","",IF(tblYield[[#This Row],[Units in]]&gt;0,tblYield[[#This Row],[Passed first time]]/tblYield[[#This Row],[Units in]],""))</f>
        <v>0.937823834196891</v>
      </c>
      <c r="J87" s="38">
        <f>IF(tblYield[[#This Row],[Date]]="","",IFERROR(INDEX(tblOperations[FPY target],MATCH(tblYield[[#This Row],[Operation]],tblOperations[Operation],0)),""))</f>
        <v>0.97</v>
      </c>
      <c r="K87" s="39" t="str">
        <f>IF(OR(NOT(ISNUMBER(tblYield[[#This Row],[FPY]])),NOT(ISNUMBER(tblYield[[#This Row],[FPY target]]))),"",IF(tblYield[[#This Row],[FPY]]&gt;=tblYield[[#This Row],[FPY target]],"On target",IF(tblYield[[#This Row],[FPY]]&gt;=tblYield[[#This Row],[FPY target]]-NearBand,"Near target","Below target")))</f>
        <v>Below target</v>
      </c>
      <c r="L87" s="38">
        <f>IF(tblYield[[#This Row],[Date]]="","",IF(tblYield[[#This Row],[Units in]]&gt;0,(tblYield[[#This Row],[Units in]]-tblYield[[#This Row],[Scrapped]])/tblYield[[#This Row],[Units in]],""))</f>
        <v>0.994818652849741</v>
      </c>
      <c r="M87" s="40">
        <f>IF(tblYield[[#This Row],[Date]]="","",IFERROR(INDEX(tblOperations[Rework cost],MATCH(tblYield[[#This Row],[Operation]],tblOperations[Operation],0)),""))</f>
        <v>2.9</v>
      </c>
      <c r="N87" s="40">
        <f>IF(tblYield[[#This Row],[Date]]="","",IFERROR(INDEX(tblOperations[Scrap cost],MATCH(tblYield[[#This Row],[Operation]],tblOperations[Operation],0)),""))</f>
        <v>34</v>
      </c>
      <c r="O87" s="40">
        <f>IF(tblYield[[#This Row],[Date]]="","",IF(tblYield[[#This Row],[Rework cost per unit]]="","",tblYield[[#This Row],[Reworked]]*tblYield[[#This Row],[Rework cost per unit]]))</f>
        <v>95.7</v>
      </c>
      <c r="P87" s="40">
        <f>IF(tblYield[[#This Row],[Date]]="","",IF(tblYield[[#This Row],[Scrap cost per unit]]="","",tblYield[[#This Row],[Scrapped]]*tblYield[[#This Row],[Scrap cost per unit]]))</f>
        <v>102</v>
      </c>
      <c r="Q87" s="41">
        <f>IF(tblYield[[#This Row],[Date]]="","",IF(AND(tblYield[[#This Row],[Date]]&gt;=FFrom,tblYield[[#This Row],[Date]]&lt;=FTo),tblYield[[#This Row],[Date]],""))</f>
        <v>46282</v>
      </c>
      <c r="R8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7" s="43" t="s">
        <v>104</v>
      </c>
    </row>
    <row r="88" spans="2:19" x14ac:dyDescent="0.25">
      <c r="B88" s="35">
        <v>46282</v>
      </c>
      <c r="C88" s="28" t="s">
        <v>82</v>
      </c>
      <c r="D88" s="36">
        <v>576</v>
      </c>
      <c r="E88" s="36">
        <v>569</v>
      </c>
      <c r="F88" s="36">
        <v>1</v>
      </c>
      <c r="G88" s="37">
        <f>IF(tblYield[[#This Row],[Date]]="","",tblYield[[#This Row],[Units in]]-tblYield[[#This Row],[Passed first time]])</f>
        <v>7</v>
      </c>
      <c r="H88" s="37">
        <f>IF(tblYield[[#This Row],[Date]]="","",tblYield[[#This Row],[Units in]]-tblYield[[#This Row],[Passed first time]]-tblYield[[#This Row],[Scrapped]])</f>
        <v>6</v>
      </c>
      <c r="I88" s="38">
        <f>IF(tblYield[[#This Row],[Date]]="","",IF(tblYield[[#This Row],[Units in]]&gt;0,tblYield[[#This Row],[Passed first time]]/tblYield[[#This Row],[Units in]],""))</f>
        <v>0.987847222222222</v>
      </c>
      <c r="J88" s="38">
        <f>IF(tblYield[[#This Row],[Date]]="","",IFERROR(INDEX(tblOperations[FPY target],MATCH(tblYield[[#This Row],[Operation]],tblOperations[Operation],0)),""))</f>
        <v>0.98</v>
      </c>
      <c r="K88" s="39" t="str">
        <f>IF(OR(NOT(ISNUMBER(tblYield[[#This Row],[FPY]])),NOT(ISNUMBER(tblYield[[#This Row],[FPY target]]))),"",IF(tblYield[[#This Row],[FPY]]&gt;=tblYield[[#This Row],[FPY target]],"On target",IF(tblYield[[#This Row],[FPY]]&gt;=tblYield[[#This Row],[FPY target]]-NearBand,"Near target","Below target")))</f>
        <v>On target</v>
      </c>
      <c r="L88" s="38">
        <f>IF(tblYield[[#This Row],[Date]]="","",IF(tblYield[[#This Row],[Units in]]&gt;0,(tblYield[[#This Row],[Units in]]-tblYield[[#This Row],[Scrapped]])/tblYield[[#This Row],[Units in]],""))</f>
        <v>0.998263888888889</v>
      </c>
      <c r="M88" s="40">
        <f>IF(tblYield[[#This Row],[Date]]="","",IFERROR(INDEX(tblOperations[Rework cost],MATCH(tblYield[[#This Row],[Operation]],tblOperations[Operation],0)),""))</f>
        <v>8.5</v>
      </c>
      <c r="N88" s="40">
        <f>IF(tblYield[[#This Row],[Date]]="","",IFERROR(INDEX(tblOperations[Scrap cost],MATCH(tblYield[[#This Row],[Operation]],tblOperations[Operation],0)),""))</f>
        <v>36.5</v>
      </c>
      <c r="O88" s="40">
        <f>IF(tblYield[[#This Row],[Date]]="","",IF(tblYield[[#This Row],[Rework cost per unit]]="","",tblYield[[#This Row],[Reworked]]*tblYield[[#This Row],[Rework cost per unit]]))</f>
        <v>51</v>
      </c>
      <c r="P88" s="40">
        <f>IF(tblYield[[#This Row],[Date]]="","",IF(tblYield[[#This Row],[Scrap cost per unit]]="","",tblYield[[#This Row],[Scrapped]]*tblYield[[#This Row],[Scrap cost per unit]]))</f>
        <v>36.5</v>
      </c>
      <c r="Q88" s="41">
        <f>IF(tblYield[[#This Row],[Date]]="","",IF(AND(tblYield[[#This Row],[Date]]&gt;=FFrom,tblYield[[#This Row],[Date]]&lt;=FTo),tblYield[[#This Row],[Date]],""))</f>
        <v>46282</v>
      </c>
      <c r="R8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8" s="43" t="s">
        <v>104</v>
      </c>
    </row>
    <row r="89" spans="2:19" x14ac:dyDescent="0.25">
      <c r="B89" s="35">
        <v>46282</v>
      </c>
      <c r="C89" s="28" t="s">
        <v>84</v>
      </c>
      <c r="D89" s="36">
        <v>575</v>
      </c>
      <c r="E89" s="36">
        <v>539</v>
      </c>
      <c r="F89" s="36">
        <v>5</v>
      </c>
      <c r="G89" s="37">
        <f>IF(tblYield[[#This Row],[Date]]="","",tblYield[[#This Row],[Units in]]-tblYield[[#This Row],[Passed first time]])</f>
        <v>36</v>
      </c>
      <c r="H89" s="37">
        <f>IF(tblYield[[#This Row],[Date]]="","",tblYield[[#This Row],[Units in]]-tblYield[[#This Row],[Passed first time]]-tblYield[[#This Row],[Scrapped]])</f>
        <v>31</v>
      </c>
      <c r="I89" s="38">
        <f>IF(tblYield[[#This Row],[Date]]="","",IF(tblYield[[#This Row],[Units in]]&gt;0,tblYield[[#This Row],[Passed first time]]/tblYield[[#This Row],[Units in]],""))</f>
        <v>0.937391304347826</v>
      </c>
      <c r="J89" s="38">
        <f>IF(tblYield[[#This Row],[Date]]="","",IFERROR(INDEX(tblOperations[FPY target],MATCH(tblYield[[#This Row],[Operation]],tblOperations[Operation],0)),""))</f>
        <v>0.985</v>
      </c>
      <c r="K89" s="39" t="str">
        <f>IF(OR(NOT(ISNUMBER(tblYield[[#This Row],[FPY]])),NOT(ISNUMBER(tblYield[[#This Row],[FPY target]]))),"",IF(tblYield[[#This Row],[FPY]]&gt;=tblYield[[#This Row],[FPY target]],"On target",IF(tblYield[[#This Row],[FPY]]&gt;=tblYield[[#This Row],[FPY target]]-NearBand,"Near target","Below target")))</f>
        <v>Below target</v>
      </c>
      <c r="L89" s="38">
        <f>IF(tblYield[[#This Row],[Date]]="","",IF(tblYield[[#This Row],[Units in]]&gt;0,(tblYield[[#This Row],[Units in]]-tblYield[[#This Row],[Scrapped]])/tblYield[[#This Row],[Units in]],""))</f>
        <v>0.991304347826087</v>
      </c>
      <c r="M89" s="40">
        <f>IF(tblYield[[#This Row],[Date]]="","",IFERROR(INDEX(tblOperations[Rework cost],MATCH(tblYield[[#This Row],[Operation]],tblOperations[Operation],0)),""))</f>
        <v>12</v>
      </c>
      <c r="N89" s="40">
        <f>IF(tblYield[[#This Row],[Date]]="","",IFERROR(INDEX(tblOperations[Scrap cost],MATCH(tblYield[[#This Row],[Operation]],tblOperations[Operation],0)),""))</f>
        <v>38</v>
      </c>
      <c r="O89" s="40">
        <f>IF(tblYield[[#This Row],[Date]]="","",IF(tblYield[[#This Row],[Rework cost per unit]]="","",tblYield[[#This Row],[Reworked]]*tblYield[[#This Row],[Rework cost per unit]]))</f>
        <v>372</v>
      </c>
      <c r="P89" s="40">
        <f>IF(tblYield[[#This Row],[Date]]="","",IF(tblYield[[#This Row],[Scrap cost per unit]]="","",tblYield[[#This Row],[Scrapped]]*tblYield[[#This Row],[Scrap cost per unit]]))</f>
        <v>190</v>
      </c>
      <c r="Q89" s="41">
        <f>IF(tblYield[[#This Row],[Date]]="","",IF(AND(tblYield[[#This Row],[Date]]&gt;=FFrom,tblYield[[#This Row],[Date]]&lt;=FTo),tblYield[[#This Row],[Date]],""))</f>
        <v>46282</v>
      </c>
      <c r="R8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89" s="43" t="s">
        <v>104</v>
      </c>
    </row>
    <row r="90" spans="2:19" x14ac:dyDescent="0.25">
      <c r="B90" s="35">
        <v>46282</v>
      </c>
      <c r="C90" s="28" t="s">
        <v>86</v>
      </c>
      <c r="D90" s="36">
        <v>570</v>
      </c>
      <c r="E90" s="36">
        <v>567</v>
      </c>
      <c r="F90" s="36">
        <v>0</v>
      </c>
      <c r="G90" s="37">
        <f>IF(tblYield[[#This Row],[Date]]="","",tblYield[[#This Row],[Units in]]-tblYield[[#This Row],[Passed first time]])</f>
        <v>3</v>
      </c>
      <c r="H90" s="37">
        <f>IF(tblYield[[#This Row],[Date]]="","",tblYield[[#This Row],[Units in]]-tblYield[[#This Row],[Passed first time]]-tblYield[[#This Row],[Scrapped]])</f>
        <v>3</v>
      </c>
      <c r="I90" s="38">
        <f>IF(tblYield[[#This Row],[Date]]="","",IF(tblYield[[#This Row],[Units in]]&gt;0,tblYield[[#This Row],[Passed first time]]/tblYield[[#This Row],[Units in]],""))</f>
        <v>0.994736842105263</v>
      </c>
      <c r="J90" s="38">
        <f>IF(tblYield[[#This Row],[Date]]="","",IFERROR(INDEX(tblOperations[FPY target],MATCH(tblYield[[#This Row],[Operation]],tblOperations[Operation],0)),""))</f>
        <v>0.99</v>
      </c>
      <c r="K90" s="39" t="str">
        <f>IF(OR(NOT(ISNUMBER(tblYield[[#This Row],[FPY]])),NOT(ISNUMBER(tblYield[[#This Row],[FPY target]]))),"",IF(tblYield[[#This Row],[FPY]]&gt;=tblYield[[#This Row],[FPY target]],"On target",IF(tblYield[[#This Row],[FPY]]&gt;=tblYield[[#This Row],[FPY target]]-NearBand,"Near target","Below target")))</f>
        <v>On target</v>
      </c>
      <c r="L90" s="38">
        <f>IF(tblYield[[#This Row],[Date]]="","",IF(tblYield[[#This Row],[Units in]]&gt;0,(tblYield[[#This Row],[Units in]]-tblYield[[#This Row],[Scrapped]])/tblYield[[#This Row],[Units in]],""))</f>
        <v>1</v>
      </c>
      <c r="M90" s="40">
        <f>IF(tblYield[[#This Row],[Date]]="","",IFERROR(INDEX(tblOperations[Rework cost],MATCH(tblYield[[#This Row],[Operation]],tblOperations[Operation],0)),""))</f>
        <v>2.2</v>
      </c>
      <c r="N90" s="40">
        <f>IF(tblYield[[#This Row],[Date]]="","",IFERROR(INDEX(tblOperations[Scrap cost],MATCH(tblYield[[#This Row],[Operation]],tblOperations[Operation],0)),""))</f>
        <v>41</v>
      </c>
      <c r="O90" s="40">
        <f>IF(tblYield[[#This Row],[Date]]="","",IF(tblYield[[#This Row],[Rework cost per unit]]="","",tblYield[[#This Row],[Reworked]]*tblYield[[#This Row],[Rework cost per unit]]))</f>
        <v>6.6</v>
      </c>
      <c r="P90" s="40">
        <f>IF(tblYield[[#This Row],[Date]]="","",IF(tblYield[[#This Row],[Scrap cost per unit]]="","",tblYield[[#This Row],[Scrapped]]*tblYield[[#This Row],[Scrap cost per unit]]))</f>
        <v>0</v>
      </c>
      <c r="Q90" s="41">
        <f>IF(tblYield[[#This Row],[Date]]="","",IF(AND(tblYield[[#This Row],[Date]]&gt;=FFrom,tblYield[[#This Row],[Date]]&lt;=FTo),tblYield[[#This Row],[Date]],""))</f>
        <v>46282</v>
      </c>
      <c r="R9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0" s="43" t="s">
        <v>104</v>
      </c>
    </row>
    <row r="91" spans="2:19" x14ac:dyDescent="0.25">
      <c r="B91" s="35">
        <v>46283</v>
      </c>
      <c r="C91" s="28" t="s">
        <v>76</v>
      </c>
      <c r="D91" s="36">
        <v>610</v>
      </c>
      <c r="E91" s="36">
        <v>602</v>
      </c>
      <c r="F91" s="36">
        <v>0</v>
      </c>
      <c r="G91" s="37">
        <f>IF(tblYield[[#This Row],[Date]]="","",tblYield[[#This Row],[Units in]]-tblYield[[#This Row],[Passed first time]])</f>
        <v>8</v>
      </c>
      <c r="H91" s="37">
        <f>IF(tblYield[[#This Row],[Date]]="","",tblYield[[#This Row],[Units in]]-tblYield[[#This Row],[Passed first time]]-tblYield[[#This Row],[Scrapped]])</f>
        <v>8</v>
      </c>
      <c r="I91" s="38">
        <f>IF(tblYield[[#This Row],[Date]]="","",IF(tblYield[[#This Row],[Units in]]&gt;0,tblYield[[#This Row],[Passed first time]]/tblYield[[#This Row],[Units in]],""))</f>
        <v>0.986885245901639</v>
      </c>
      <c r="J91" s="38">
        <f>IF(tblYield[[#This Row],[Date]]="","",IFERROR(INDEX(tblOperations[FPY target],MATCH(tblYield[[#This Row],[Operation]],tblOperations[Operation],0)),""))</f>
        <v>0.99</v>
      </c>
      <c r="K91" s="39" t="str">
        <f>IF(OR(NOT(ISNUMBER(tblYield[[#This Row],[FPY]])),NOT(ISNUMBER(tblYield[[#This Row],[FPY target]]))),"",IF(tblYield[[#This Row],[FPY]]&gt;=tblYield[[#This Row],[FPY target]],"On target",IF(tblYield[[#This Row],[FPY]]&gt;=tblYield[[#This Row],[FPY target]]-NearBand,"Near target","Below target")))</f>
        <v>Near target</v>
      </c>
      <c r="L91" s="38">
        <f>IF(tblYield[[#This Row],[Date]]="","",IF(tblYield[[#This Row],[Units in]]&gt;0,(tblYield[[#This Row],[Units in]]-tblYield[[#This Row],[Scrapped]])/tblYield[[#This Row],[Units in]],""))</f>
        <v>1</v>
      </c>
      <c r="M91" s="40">
        <f>IF(tblYield[[#This Row],[Date]]="","",IFERROR(INDEX(tblOperations[Rework cost],MATCH(tblYield[[#This Row],[Operation]],tblOperations[Operation],0)),""))</f>
        <v>0.6</v>
      </c>
      <c r="N91" s="40">
        <f>IF(tblYield[[#This Row],[Date]]="","",IFERROR(INDEX(tblOperations[Scrap cost],MATCH(tblYield[[#This Row],[Operation]],tblOperations[Operation],0)),""))</f>
        <v>4.8</v>
      </c>
      <c r="O91" s="40">
        <f>IF(tblYield[[#This Row],[Date]]="","",IF(tblYield[[#This Row],[Rework cost per unit]]="","",tblYield[[#This Row],[Reworked]]*tblYield[[#This Row],[Rework cost per unit]]))</f>
        <v>4.8</v>
      </c>
      <c r="P91" s="40">
        <f>IF(tblYield[[#This Row],[Date]]="","",IF(tblYield[[#This Row],[Scrap cost per unit]]="","",tblYield[[#This Row],[Scrapped]]*tblYield[[#This Row],[Scrap cost per unit]]))</f>
        <v>0</v>
      </c>
      <c r="Q91" s="41">
        <f>IF(tblYield[[#This Row],[Date]]="","",IF(AND(tblYield[[#This Row],[Date]]&gt;=FFrom,tblYield[[#This Row],[Date]]&lt;=FTo),tblYield[[#This Row],[Date]],""))</f>
        <v>46283</v>
      </c>
      <c r="R9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1" s="43" t="s">
        <v>104</v>
      </c>
    </row>
    <row r="92" spans="2:19" x14ac:dyDescent="0.25">
      <c r="B92" s="35">
        <v>46283</v>
      </c>
      <c r="C92" s="28" t="s">
        <v>78</v>
      </c>
      <c r="D92" s="36">
        <v>610</v>
      </c>
      <c r="E92" s="36">
        <v>594</v>
      </c>
      <c r="F92" s="36">
        <v>1</v>
      </c>
      <c r="G92" s="37">
        <f>IF(tblYield[[#This Row],[Date]]="","",tblYield[[#This Row],[Units in]]-tblYield[[#This Row],[Passed first time]])</f>
        <v>16</v>
      </c>
      <c r="H92" s="37">
        <f>IF(tblYield[[#This Row],[Date]]="","",tblYield[[#This Row],[Units in]]-tblYield[[#This Row],[Passed first time]]-tblYield[[#This Row],[Scrapped]])</f>
        <v>15</v>
      </c>
      <c r="I92" s="38">
        <f>IF(tblYield[[#This Row],[Date]]="","",IF(tblYield[[#This Row],[Units in]]&gt;0,tblYield[[#This Row],[Passed first time]]/tblYield[[#This Row],[Units in]],""))</f>
        <v>0.973770491803279</v>
      </c>
      <c r="J92" s="38">
        <f>IF(tblYield[[#This Row],[Date]]="","",IFERROR(INDEX(tblOperations[FPY target],MATCH(tblYield[[#This Row],[Operation]],tblOperations[Operation],0)),""))</f>
        <v>0.98</v>
      </c>
      <c r="K92" s="39" t="str">
        <f>IF(OR(NOT(ISNUMBER(tblYield[[#This Row],[FPY]])),NOT(ISNUMBER(tblYield[[#This Row],[FPY target]]))),"",IF(tblYield[[#This Row],[FPY]]&gt;=tblYield[[#This Row],[FPY target]],"On target",IF(tblYield[[#This Row],[FPY]]&gt;=tblYield[[#This Row],[FPY target]]-NearBand,"Near target","Below target")))</f>
        <v>Near target</v>
      </c>
      <c r="L92" s="38">
        <f>IF(tblYield[[#This Row],[Date]]="","",IF(tblYield[[#This Row],[Units in]]&gt;0,(tblYield[[#This Row],[Units in]]-tblYield[[#This Row],[Scrapped]])/tblYield[[#This Row],[Units in]],""))</f>
        <v>0.998360655737705</v>
      </c>
      <c r="M92" s="40">
        <f>IF(tblYield[[#This Row],[Date]]="","",IFERROR(INDEX(tblOperations[Rework cost],MATCH(tblYield[[#This Row],[Operation]],tblOperations[Operation],0)),""))</f>
        <v>3.8</v>
      </c>
      <c r="N92" s="40">
        <f>IF(tblYield[[#This Row],[Date]]="","",IFERROR(INDEX(tblOperations[Scrap cost],MATCH(tblYield[[#This Row],[Operation]],tblOperations[Operation],0)),""))</f>
        <v>31</v>
      </c>
      <c r="O92" s="40">
        <f>IF(tblYield[[#This Row],[Date]]="","",IF(tblYield[[#This Row],[Rework cost per unit]]="","",tblYield[[#This Row],[Reworked]]*tblYield[[#This Row],[Rework cost per unit]]))</f>
        <v>57</v>
      </c>
      <c r="P92" s="40">
        <f>IF(tblYield[[#This Row],[Date]]="","",IF(tblYield[[#This Row],[Scrap cost per unit]]="","",tblYield[[#This Row],[Scrapped]]*tblYield[[#This Row],[Scrap cost per unit]]))</f>
        <v>31</v>
      </c>
      <c r="Q92" s="41">
        <f>IF(tblYield[[#This Row],[Date]]="","",IF(AND(tblYield[[#This Row],[Date]]&gt;=FFrom,tblYield[[#This Row],[Date]]&lt;=FTo),tblYield[[#This Row],[Date]],""))</f>
        <v>46283</v>
      </c>
      <c r="R9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2" s="43" t="s">
        <v>104</v>
      </c>
    </row>
    <row r="93" spans="2:19" x14ac:dyDescent="0.25">
      <c r="B93" s="35">
        <v>46283</v>
      </c>
      <c r="C93" s="28" t="s">
        <v>80</v>
      </c>
      <c r="D93" s="36">
        <v>609</v>
      </c>
      <c r="E93" s="36">
        <v>583</v>
      </c>
      <c r="F93" s="36">
        <v>2</v>
      </c>
      <c r="G93" s="37">
        <f>IF(tblYield[[#This Row],[Date]]="","",tblYield[[#This Row],[Units in]]-tblYield[[#This Row],[Passed first time]])</f>
        <v>26</v>
      </c>
      <c r="H93" s="37">
        <f>IF(tblYield[[#This Row],[Date]]="","",tblYield[[#This Row],[Units in]]-tblYield[[#This Row],[Passed first time]]-tblYield[[#This Row],[Scrapped]])</f>
        <v>24</v>
      </c>
      <c r="I93" s="38">
        <f>IF(tblYield[[#This Row],[Date]]="","",IF(tblYield[[#This Row],[Units in]]&gt;0,tblYield[[#This Row],[Passed first time]]/tblYield[[#This Row],[Units in]],""))</f>
        <v>0.957307060755337</v>
      </c>
      <c r="J93" s="38">
        <f>IF(tblYield[[#This Row],[Date]]="","",IFERROR(INDEX(tblOperations[FPY target],MATCH(tblYield[[#This Row],[Operation]],tblOperations[Operation],0)),""))</f>
        <v>0.97</v>
      </c>
      <c r="K93" s="39" t="str">
        <f>IF(OR(NOT(ISNUMBER(tblYield[[#This Row],[FPY]])),NOT(ISNUMBER(tblYield[[#This Row],[FPY target]]))),"",IF(tblYield[[#This Row],[FPY]]&gt;=tblYield[[#This Row],[FPY target]],"On target",IF(tblYield[[#This Row],[FPY]]&gt;=tblYield[[#This Row],[FPY target]]-NearBand,"Near target","Below target")))</f>
        <v>Below target</v>
      </c>
      <c r="L93" s="38">
        <f>IF(tblYield[[#This Row],[Date]]="","",IF(tblYield[[#This Row],[Units in]]&gt;0,(tblYield[[#This Row],[Units in]]-tblYield[[#This Row],[Scrapped]])/tblYield[[#This Row],[Units in]],""))</f>
        <v>0.996715927750411</v>
      </c>
      <c r="M93" s="40">
        <f>IF(tblYield[[#This Row],[Date]]="","",IFERROR(INDEX(tblOperations[Rework cost],MATCH(tblYield[[#This Row],[Operation]],tblOperations[Operation],0)),""))</f>
        <v>2.9</v>
      </c>
      <c r="N93" s="40">
        <f>IF(tblYield[[#This Row],[Date]]="","",IFERROR(INDEX(tblOperations[Scrap cost],MATCH(tblYield[[#This Row],[Operation]],tblOperations[Operation],0)),""))</f>
        <v>34</v>
      </c>
      <c r="O93" s="40">
        <f>IF(tblYield[[#This Row],[Date]]="","",IF(tblYield[[#This Row],[Rework cost per unit]]="","",tblYield[[#This Row],[Reworked]]*tblYield[[#This Row],[Rework cost per unit]]))</f>
        <v>69.6</v>
      </c>
      <c r="P93" s="40">
        <f>IF(tblYield[[#This Row],[Date]]="","",IF(tblYield[[#This Row],[Scrap cost per unit]]="","",tblYield[[#This Row],[Scrapped]]*tblYield[[#This Row],[Scrap cost per unit]]))</f>
        <v>68</v>
      </c>
      <c r="Q93" s="41">
        <f>IF(tblYield[[#This Row],[Date]]="","",IF(AND(tblYield[[#This Row],[Date]]&gt;=FFrom,tblYield[[#This Row],[Date]]&lt;=FTo),tblYield[[#This Row],[Date]],""))</f>
        <v>46283</v>
      </c>
      <c r="R9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3" s="43" t="s">
        <v>104</v>
      </c>
    </row>
    <row r="94" spans="2:19" x14ac:dyDescent="0.25">
      <c r="B94" s="35">
        <v>46283</v>
      </c>
      <c r="C94" s="28" t="s">
        <v>82</v>
      </c>
      <c r="D94" s="36">
        <v>607</v>
      </c>
      <c r="E94" s="36">
        <v>596</v>
      </c>
      <c r="F94" s="36">
        <v>1</v>
      </c>
      <c r="G94" s="37">
        <f>IF(tblYield[[#This Row],[Date]]="","",tblYield[[#This Row],[Units in]]-tblYield[[#This Row],[Passed first time]])</f>
        <v>11</v>
      </c>
      <c r="H94" s="37">
        <f>IF(tblYield[[#This Row],[Date]]="","",tblYield[[#This Row],[Units in]]-tblYield[[#This Row],[Passed first time]]-tblYield[[#This Row],[Scrapped]])</f>
        <v>10</v>
      </c>
      <c r="I94" s="38">
        <f>IF(tblYield[[#This Row],[Date]]="","",IF(tblYield[[#This Row],[Units in]]&gt;0,tblYield[[#This Row],[Passed first time]]/tblYield[[#This Row],[Units in]],""))</f>
        <v>0.981878088962109</v>
      </c>
      <c r="J94" s="38">
        <f>IF(tblYield[[#This Row],[Date]]="","",IFERROR(INDEX(tblOperations[FPY target],MATCH(tblYield[[#This Row],[Operation]],tblOperations[Operation],0)),""))</f>
        <v>0.98</v>
      </c>
      <c r="K94" s="39" t="str">
        <f>IF(OR(NOT(ISNUMBER(tblYield[[#This Row],[FPY]])),NOT(ISNUMBER(tblYield[[#This Row],[FPY target]]))),"",IF(tblYield[[#This Row],[FPY]]&gt;=tblYield[[#This Row],[FPY target]],"On target",IF(tblYield[[#This Row],[FPY]]&gt;=tblYield[[#This Row],[FPY target]]-NearBand,"Near target","Below target")))</f>
        <v>On target</v>
      </c>
      <c r="L94" s="38">
        <f>IF(tblYield[[#This Row],[Date]]="","",IF(tblYield[[#This Row],[Units in]]&gt;0,(tblYield[[#This Row],[Units in]]-tblYield[[#This Row],[Scrapped]])/tblYield[[#This Row],[Units in]],""))</f>
        <v>0.99835255354201</v>
      </c>
      <c r="M94" s="40">
        <f>IF(tblYield[[#This Row],[Date]]="","",IFERROR(INDEX(tblOperations[Rework cost],MATCH(tblYield[[#This Row],[Operation]],tblOperations[Operation],0)),""))</f>
        <v>8.5</v>
      </c>
      <c r="N94" s="40">
        <f>IF(tblYield[[#This Row],[Date]]="","",IFERROR(INDEX(tblOperations[Scrap cost],MATCH(tblYield[[#This Row],[Operation]],tblOperations[Operation],0)),""))</f>
        <v>36.5</v>
      </c>
      <c r="O94" s="40">
        <f>IF(tblYield[[#This Row],[Date]]="","",IF(tblYield[[#This Row],[Rework cost per unit]]="","",tblYield[[#This Row],[Reworked]]*tblYield[[#This Row],[Rework cost per unit]]))</f>
        <v>85</v>
      </c>
      <c r="P94" s="40">
        <f>IF(tblYield[[#This Row],[Date]]="","",IF(tblYield[[#This Row],[Scrap cost per unit]]="","",tblYield[[#This Row],[Scrapped]]*tblYield[[#This Row],[Scrap cost per unit]]))</f>
        <v>36.5</v>
      </c>
      <c r="Q94" s="41">
        <f>IF(tblYield[[#This Row],[Date]]="","",IF(AND(tblYield[[#This Row],[Date]]&gt;=FFrom,tblYield[[#This Row],[Date]]&lt;=FTo),tblYield[[#This Row],[Date]],""))</f>
        <v>46283</v>
      </c>
      <c r="R9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4" s="43" t="s">
        <v>104</v>
      </c>
    </row>
    <row r="95" spans="2:19" x14ac:dyDescent="0.25">
      <c r="B95" s="35">
        <v>46283</v>
      </c>
      <c r="C95" s="28" t="s">
        <v>84</v>
      </c>
      <c r="D95" s="36">
        <v>606</v>
      </c>
      <c r="E95" s="36">
        <v>567</v>
      </c>
      <c r="F95" s="36">
        <v>6</v>
      </c>
      <c r="G95" s="37">
        <f>IF(tblYield[[#This Row],[Date]]="","",tblYield[[#This Row],[Units in]]-tblYield[[#This Row],[Passed first time]])</f>
        <v>39</v>
      </c>
      <c r="H95" s="37">
        <f>IF(tblYield[[#This Row],[Date]]="","",tblYield[[#This Row],[Units in]]-tblYield[[#This Row],[Passed first time]]-tblYield[[#This Row],[Scrapped]])</f>
        <v>33</v>
      </c>
      <c r="I95" s="38">
        <f>IF(tblYield[[#This Row],[Date]]="","",IF(tblYield[[#This Row],[Units in]]&gt;0,tblYield[[#This Row],[Passed first time]]/tblYield[[#This Row],[Units in]],""))</f>
        <v>0.935643564356436</v>
      </c>
      <c r="J95" s="38">
        <f>IF(tblYield[[#This Row],[Date]]="","",IFERROR(INDEX(tblOperations[FPY target],MATCH(tblYield[[#This Row],[Operation]],tblOperations[Operation],0)),""))</f>
        <v>0.985</v>
      </c>
      <c r="K95" s="39" t="str">
        <f>IF(OR(NOT(ISNUMBER(tblYield[[#This Row],[FPY]])),NOT(ISNUMBER(tblYield[[#This Row],[FPY target]]))),"",IF(tblYield[[#This Row],[FPY]]&gt;=tblYield[[#This Row],[FPY target]],"On target",IF(tblYield[[#This Row],[FPY]]&gt;=tblYield[[#This Row],[FPY target]]-NearBand,"Near target","Below target")))</f>
        <v>Below target</v>
      </c>
      <c r="L95" s="38">
        <f>IF(tblYield[[#This Row],[Date]]="","",IF(tblYield[[#This Row],[Units in]]&gt;0,(tblYield[[#This Row],[Units in]]-tblYield[[#This Row],[Scrapped]])/tblYield[[#This Row],[Units in]],""))</f>
        <v>0.99009900990099</v>
      </c>
      <c r="M95" s="40">
        <f>IF(tblYield[[#This Row],[Date]]="","",IFERROR(INDEX(tblOperations[Rework cost],MATCH(tblYield[[#This Row],[Operation]],tblOperations[Operation],0)),""))</f>
        <v>12</v>
      </c>
      <c r="N95" s="40">
        <f>IF(tblYield[[#This Row],[Date]]="","",IFERROR(INDEX(tblOperations[Scrap cost],MATCH(tblYield[[#This Row],[Operation]],tblOperations[Operation],0)),""))</f>
        <v>38</v>
      </c>
      <c r="O95" s="40">
        <f>IF(tblYield[[#This Row],[Date]]="","",IF(tblYield[[#This Row],[Rework cost per unit]]="","",tblYield[[#This Row],[Reworked]]*tblYield[[#This Row],[Rework cost per unit]]))</f>
        <v>396</v>
      </c>
      <c r="P95" s="40">
        <f>IF(tblYield[[#This Row],[Date]]="","",IF(tblYield[[#This Row],[Scrap cost per unit]]="","",tblYield[[#This Row],[Scrapped]]*tblYield[[#This Row],[Scrap cost per unit]]))</f>
        <v>228</v>
      </c>
      <c r="Q95" s="41">
        <f>IF(tblYield[[#This Row],[Date]]="","",IF(AND(tblYield[[#This Row],[Date]]&gt;=FFrom,tblYield[[#This Row],[Date]]&lt;=FTo),tblYield[[#This Row],[Date]],""))</f>
        <v>46283</v>
      </c>
      <c r="R9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5" s="43" t="s">
        <v>104</v>
      </c>
    </row>
    <row r="96" spans="2:19" x14ac:dyDescent="0.25">
      <c r="B96" s="35">
        <v>46283</v>
      </c>
      <c r="C96" s="28" t="s">
        <v>86</v>
      </c>
      <c r="D96" s="36">
        <v>600</v>
      </c>
      <c r="E96" s="36">
        <v>598</v>
      </c>
      <c r="F96" s="36">
        <v>0</v>
      </c>
      <c r="G96" s="37">
        <f>IF(tblYield[[#This Row],[Date]]="","",tblYield[[#This Row],[Units in]]-tblYield[[#This Row],[Passed first time]])</f>
        <v>2</v>
      </c>
      <c r="H96" s="37">
        <f>IF(tblYield[[#This Row],[Date]]="","",tblYield[[#This Row],[Units in]]-tblYield[[#This Row],[Passed first time]]-tblYield[[#This Row],[Scrapped]])</f>
        <v>2</v>
      </c>
      <c r="I96" s="38">
        <f>IF(tblYield[[#This Row],[Date]]="","",IF(tblYield[[#This Row],[Units in]]&gt;0,tblYield[[#This Row],[Passed first time]]/tblYield[[#This Row],[Units in]],""))</f>
        <v>0.996666666666667</v>
      </c>
      <c r="J96" s="38">
        <f>IF(tblYield[[#This Row],[Date]]="","",IFERROR(INDEX(tblOperations[FPY target],MATCH(tblYield[[#This Row],[Operation]],tblOperations[Operation],0)),""))</f>
        <v>0.99</v>
      </c>
      <c r="K96" s="39" t="str">
        <f>IF(OR(NOT(ISNUMBER(tblYield[[#This Row],[FPY]])),NOT(ISNUMBER(tblYield[[#This Row],[FPY target]]))),"",IF(tblYield[[#This Row],[FPY]]&gt;=tblYield[[#This Row],[FPY target]],"On target",IF(tblYield[[#This Row],[FPY]]&gt;=tblYield[[#This Row],[FPY target]]-NearBand,"Near target","Below target")))</f>
        <v>On target</v>
      </c>
      <c r="L96" s="38">
        <f>IF(tblYield[[#This Row],[Date]]="","",IF(tblYield[[#This Row],[Units in]]&gt;0,(tblYield[[#This Row],[Units in]]-tblYield[[#This Row],[Scrapped]])/tblYield[[#This Row],[Units in]],""))</f>
        <v>1</v>
      </c>
      <c r="M96" s="40">
        <f>IF(tblYield[[#This Row],[Date]]="","",IFERROR(INDEX(tblOperations[Rework cost],MATCH(tblYield[[#This Row],[Operation]],tblOperations[Operation],0)),""))</f>
        <v>2.2</v>
      </c>
      <c r="N96" s="40">
        <f>IF(tblYield[[#This Row],[Date]]="","",IFERROR(INDEX(tblOperations[Scrap cost],MATCH(tblYield[[#This Row],[Operation]],tblOperations[Operation],0)),""))</f>
        <v>41</v>
      </c>
      <c r="O96" s="40">
        <f>IF(tblYield[[#This Row],[Date]]="","",IF(tblYield[[#This Row],[Rework cost per unit]]="","",tblYield[[#This Row],[Reworked]]*tblYield[[#This Row],[Rework cost per unit]]))</f>
        <v>4.4</v>
      </c>
      <c r="P96" s="40">
        <f>IF(tblYield[[#This Row],[Date]]="","",IF(tblYield[[#This Row],[Scrap cost per unit]]="","",tblYield[[#This Row],[Scrapped]]*tblYield[[#This Row],[Scrap cost per unit]]))</f>
        <v>0</v>
      </c>
      <c r="Q96" s="41">
        <f>IF(tblYield[[#This Row],[Date]]="","",IF(AND(tblYield[[#This Row],[Date]]&gt;=FFrom,tblYield[[#This Row],[Date]]&lt;=FTo),tblYield[[#This Row],[Date]],""))</f>
        <v>46283</v>
      </c>
      <c r="R9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6" s="43" t="s">
        <v>104</v>
      </c>
    </row>
    <row r="97" spans="2:19" x14ac:dyDescent="0.25">
      <c r="B97" s="35">
        <v>46286</v>
      </c>
      <c r="C97" s="28" t="s">
        <v>76</v>
      </c>
      <c r="D97" s="36">
        <v>630</v>
      </c>
      <c r="E97" s="36">
        <v>626</v>
      </c>
      <c r="F97" s="36">
        <v>0</v>
      </c>
      <c r="G97" s="37">
        <f>IF(tblYield[[#This Row],[Date]]="","",tblYield[[#This Row],[Units in]]-tblYield[[#This Row],[Passed first time]])</f>
        <v>4</v>
      </c>
      <c r="H97" s="37">
        <f>IF(tblYield[[#This Row],[Date]]="","",tblYield[[#This Row],[Units in]]-tblYield[[#This Row],[Passed first time]]-tblYield[[#This Row],[Scrapped]])</f>
        <v>4</v>
      </c>
      <c r="I97" s="38">
        <f>IF(tblYield[[#This Row],[Date]]="","",IF(tblYield[[#This Row],[Units in]]&gt;0,tblYield[[#This Row],[Passed first time]]/tblYield[[#This Row],[Units in]],""))</f>
        <v>0.993650793650794</v>
      </c>
      <c r="J97" s="38">
        <f>IF(tblYield[[#This Row],[Date]]="","",IFERROR(INDEX(tblOperations[FPY target],MATCH(tblYield[[#This Row],[Operation]],tblOperations[Operation],0)),""))</f>
        <v>0.99</v>
      </c>
      <c r="K97" s="39" t="str">
        <f>IF(OR(NOT(ISNUMBER(tblYield[[#This Row],[FPY]])),NOT(ISNUMBER(tblYield[[#This Row],[FPY target]]))),"",IF(tblYield[[#This Row],[FPY]]&gt;=tblYield[[#This Row],[FPY target]],"On target",IF(tblYield[[#This Row],[FPY]]&gt;=tblYield[[#This Row],[FPY target]]-NearBand,"Near target","Below target")))</f>
        <v>On target</v>
      </c>
      <c r="L97" s="38">
        <f>IF(tblYield[[#This Row],[Date]]="","",IF(tblYield[[#This Row],[Units in]]&gt;0,(tblYield[[#This Row],[Units in]]-tblYield[[#This Row],[Scrapped]])/tblYield[[#This Row],[Units in]],""))</f>
        <v>1</v>
      </c>
      <c r="M97" s="40">
        <f>IF(tblYield[[#This Row],[Date]]="","",IFERROR(INDEX(tblOperations[Rework cost],MATCH(tblYield[[#This Row],[Operation]],tblOperations[Operation],0)),""))</f>
        <v>0.6</v>
      </c>
      <c r="N97" s="40">
        <f>IF(tblYield[[#This Row],[Date]]="","",IFERROR(INDEX(tblOperations[Scrap cost],MATCH(tblYield[[#This Row],[Operation]],tblOperations[Operation],0)),""))</f>
        <v>4.8</v>
      </c>
      <c r="O97" s="40">
        <f>IF(tblYield[[#This Row],[Date]]="","",IF(tblYield[[#This Row],[Rework cost per unit]]="","",tblYield[[#This Row],[Reworked]]*tblYield[[#This Row],[Rework cost per unit]]))</f>
        <v>2.4</v>
      </c>
      <c r="P97" s="40">
        <f>IF(tblYield[[#This Row],[Date]]="","",IF(tblYield[[#This Row],[Scrap cost per unit]]="","",tblYield[[#This Row],[Scrapped]]*tblYield[[#This Row],[Scrap cost per unit]]))</f>
        <v>0</v>
      </c>
      <c r="Q97" s="41">
        <f>IF(tblYield[[#This Row],[Date]]="","",IF(AND(tblYield[[#This Row],[Date]]&gt;=FFrom,tblYield[[#This Row],[Date]]&lt;=FTo),tblYield[[#This Row],[Date]],""))</f>
        <v>46286</v>
      </c>
      <c r="R9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7" s="43" t="s">
        <v>104</v>
      </c>
    </row>
    <row r="98" spans="2:19" x14ac:dyDescent="0.25">
      <c r="B98" s="35">
        <v>46286</v>
      </c>
      <c r="C98" s="28" t="s">
        <v>78</v>
      </c>
      <c r="D98" s="36">
        <v>630</v>
      </c>
      <c r="E98" s="36">
        <v>617</v>
      </c>
      <c r="F98" s="36">
        <v>1</v>
      </c>
      <c r="G98" s="37">
        <f>IF(tblYield[[#This Row],[Date]]="","",tblYield[[#This Row],[Units in]]-tblYield[[#This Row],[Passed first time]])</f>
        <v>13</v>
      </c>
      <c r="H98" s="37">
        <f>IF(tblYield[[#This Row],[Date]]="","",tblYield[[#This Row],[Units in]]-tblYield[[#This Row],[Passed first time]]-tblYield[[#This Row],[Scrapped]])</f>
        <v>12</v>
      </c>
      <c r="I98" s="38">
        <f>IF(tblYield[[#This Row],[Date]]="","",IF(tblYield[[#This Row],[Units in]]&gt;0,tblYield[[#This Row],[Passed first time]]/tblYield[[#This Row],[Units in]],""))</f>
        <v>0.979365079365079</v>
      </c>
      <c r="J98" s="38">
        <f>IF(tblYield[[#This Row],[Date]]="","",IFERROR(INDEX(tblOperations[FPY target],MATCH(tblYield[[#This Row],[Operation]],tblOperations[Operation],0)),""))</f>
        <v>0.98</v>
      </c>
      <c r="K98" s="39" t="str">
        <f>IF(OR(NOT(ISNUMBER(tblYield[[#This Row],[FPY]])),NOT(ISNUMBER(tblYield[[#This Row],[FPY target]]))),"",IF(tblYield[[#This Row],[FPY]]&gt;=tblYield[[#This Row],[FPY target]],"On target",IF(tblYield[[#This Row],[FPY]]&gt;=tblYield[[#This Row],[FPY target]]-NearBand,"Near target","Below target")))</f>
        <v>Near target</v>
      </c>
      <c r="L98" s="38">
        <f>IF(tblYield[[#This Row],[Date]]="","",IF(tblYield[[#This Row],[Units in]]&gt;0,(tblYield[[#This Row],[Units in]]-tblYield[[#This Row],[Scrapped]])/tblYield[[#This Row],[Units in]],""))</f>
        <v>0.998412698412698</v>
      </c>
      <c r="M98" s="40">
        <f>IF(tblYield[[#This Row],[Date]]="","",IFERROR(INDEX(tblOperations[Rework cost],MATCH(tblYield[[#This Row],[Operation]],tblOperations[Operation],0)),""))</f>
        <v>3.8</v>
      </c>
      <c r="N98" s="40">
        <f>IF(tblYield[[#This Row],[Date]]="","",IFERROR(INDEX(tblOperations[Scrap cost],MATCH(tblYield[[#This Row],[Operation]],tblOperations[Operation],0)),""))</f>
        <v>31</v>
      </c>
      <c r="O98" s="40">
        <f>IF(tblYield[[#This Row],[Date]]="","",IF(tblYield[[#This Row],[Rework cost per unit]]="","",tblYield[[#This Row],[Reworked]]*tblYield[[#This Row],[Rework cost per unit]]))</f>
        <v>45.6</v>
      </c>
      <c r="P98" s="40">
        <f>IF(tblYield[[#This Row],[Date]]="","",IF(tblYield[[#This Row],[Scrap cost per unit]]="","",tblYield[[#This Row],[Scrapped]]*tblYield[[#This Row],[Scrap cost per unit]]))</f>
        <v>31</v>
      </c>
      <c r="Q98" s="41">
        <f>IF(tblYield[[#This Row],[Date]]="","",IF(AND(tblYield[[#This Row],[Date]]&gt;=FFrom,tblYield[[#This Row],[Date]]&lt;=FTo),tblYield[[#This Row],[Date]],""))</f>
        <v>46286</v>
      </c>
      <c r="R9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8" s="43" t="s">
        <v>104</v>
      </c>
    </row>
    <row r="99" spans="2:19" x14ac:dyDescent="0.25">
      <c r="B99" s="35">
        <v>46286</v>
      </c>
      <c r="C99" s="28" t="s">
        <v>80</v>
      </c>
      <c r="D99" s="36">
        <v>629</v>
      </c>
      <c r="E99" s="36">
        <v>603</v>
      </c>
      <c r="F99" s="36">
        <v>2</v>
      </c>
      <c r="G99" s="37">
        <f>IF(tblYield[[#This Row],[Date]]="","",tblYield[[#This Row],[Units in]]-tblYield[[#This Row],[Passed first time]])</f>
        <v>26</v>
      </c>
      <c r="H99" s="37">
        <f>IF(tblYield[[#This Row],[Date]]="","",tblYield[[#This Row],[Units in]]-tblYield[[#This Row],[Passed first time]]-tblYield[[#This Row],[Scrapped]])</f>
        <v>24</v>
      </c>
      <c r="I99" s="38">
        <f>IF(tblYield[[#This Row],[Date]]="","",IF(tblYield[[#This Row],[Units in]]&gt;0,tblYield[[#This Row],[Passed first time]]/tblYield[[#This Row],[Units in]],""))</f>
        <v>0.958664546899841</v>
      </c>
      <c r="J99" s="38">
        <f>IF(tblYield[[#This Row],[Date]]="","",IFERROR(INDEX(tblOperations[FPY target],MATCH(tblYield[[#This Row],[Operation]],tblOperations[Operation],0)),""))</f>
        <v>0.97</v>
      </c>
      <c r="K99" s="39" t="str">
        <f>IF(OR(NOT(ISNUMBER(tblYield[[#This Row],[FPY]])),NOT(ISNUMBER(tblYield[[#This Row],[FPY target]]))),"",IF(tblYield[[#This Row],[FPY]]&gt;=tblYield[[#This Row],[FPY target]],"On target",IF(tblYield[[#This Row],[FPY]]&gt;=tblYield[[#This Row],[FPY target]]-NearBand,"Near target","Below target")))</f>
        <v>Below target</v>
      </c>
      <c r="L99" s="38">
        <f>IF(tblYield[[#This Row],[Date]]="","",IF(tblYield[[#This Row],[Units in]]&gt;0,(tblYield[[#This Row],[Units in]]-tblYield[[#This Row],[Scrapped]])/tblYield[[#This Row],[Units in]],""))</f>
        <v>0.996820349761526</v>
      </c>
      <c r="M99" s="40">
        <f>IF(tblYield[[#This Row],[Date]]="","",IFERROR(INDEX(tblOperations[Rework cost],MATCH(tblYield[[#This Row],[Operation]],tblOperations[Operation],0)),""))</f>
        <v>2.9</v>
      </c>
      <c r="N99" s="40">
        <f>IF(tblYield[[#This Row],[Date]]="","",IFERROR(INDEX(tblOperations[Scrap cost],MATCH(tblYield[[#This Row],[Operation]],tblOperations[Operation],0)),""))</f>
        <v>34</v>
      </c>
      <c r="O99" s="40">
        <f>IF(tblYield[[#This Row],[Date]]="","",IF(tblYield[[#This Row],[Rework cost per unit]]="","",tblYield[[#This Row],[Reworked]]*tblYield[[#This Row],[Rework cost per unit]]))</f>
        <v>69.6</v>
      </c>
      <c r="P99" s="40">
        <f>IF(tblYield[[#This Row],[Date]]="","",IF(tblYield[[#This Row],[Scrap cost per unit]]="","",tblYield[[#This Row],[Scrapped]]*tblYield[[#This Row],[Scrap cost per unit]]))</f>
        <v>68</v>
      </c>
      <c r="Q99" s="41">
        <f>IF(tblYield[[#This Row],[Date]]="","",IF(AND(tblYield[[#This Row],[Date]]&gt;=FFrom,tblYield[[#This Row],[Date]]&lt;=FTo),tblYield[[#This Row],[Date]],""))</f>
        <v>46286</v>
      </c>
      <c r="R9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99" s="43" t="s">
        <v>104</v>
      </c>
    </row>
    <row r="100" spans="2:19" x14ac:dyDescent="0.25">
      <c r="B100" s="35">
        <v>46286</v>
      </c>
      <c r="C100" s="28" t="s">
        <v>82</v>
      </c>
      <c r="D100" s="36">
        <v>627</v>
      </c>
      <c r="E100" s="36">
        <v>614</v>
      </c>
      <c r="F100" s="36">
        <v>2</v>
      </c>
      <c r="G100" s="37">
        <f>IF(tblYield[[#This Row],[Date]]="","",tblYield[[#This Row],[Units in]]-tblYield[[#This Row],[Passed first time]])</f>
        <v>13</v>
      </c>
      <c r="H100" s="37">
        <f>IF(tblYield[[#This Row],[Date]]="","",tblYield[[#This Row],[Units in]]-tblYield[[#This Row],[Passed first time]]-tblYield[[#This Row],[Scrapped]])</f>
        <v>11</v>
      </c>
      <c r="I100" s="38">
        <f>IF(tblYield[[#This Row],[Date]]="","",IF(tblYield[[#This Row],[Units in]]&gt;0,tblYield[[#This Row],[Passed first time]]/tblYield[[#This Row],[Units in]],""))</f>
        <v>0.9792663476874</v>
      </c>
      <c r="J100" s="38">
        <f>IF(tblYield[[#This Row],[Date]]="","",IFERROR(INDEX(tblOperations[FPY target],MATCH(tblYield[[#This Row],[Operation]],tblOperations[Operation],0)),""))</f>
        <v>0.98</v>
      </c>
      <c r="K100" s="39" t="str">
        <f>IF(OR(NOT(ISNUMBER(tblYield[[#This Row],[FPY]])),NOT(ISNUMBER(tblYield[[#This Row],[FPY target]]))),"",IF(tblYield[[#This Row],[FPY]]&gt;=tblYield[[#This Row],[FPY target]],"On target",IF(tblYield[[#This Row],[FPY]]&gt;=tblYield[[#This Row],[FPY target]]-NearBand,"Near target","Below target")))</f>
        <v>Near target</v>
      </c>
      <c r="L100" s="38">
        <f>IF(tblYield[[#This Row],[Date]]="","",IF(tblYield[[#This Row],[Units in]]&gt;0,(tblYield[[#This Row],[Units in]]-tblYield[[#This Row],[Scrapped]])/tblYield[[#This Row],[Units in]],""))</f>
        <v>0.996810207336523</v>
      </c>
      <c r="M100" s="40">
        <f>IF(tblYield[[#This Row],[Date]]="","",IFERROR(INDEX(tblOperations[Rework cost],MATCH(tblYield[[#This Row],[Operation]],tblOperations[Operation],0)),""))</f>
        <v>8.5</v>
      </c>
      <c r="N100" s="40">
        <f>IF(tblYield[[#This Row],[Date]]="","",IFERROR(INDEX(tblOperations[Scrap cost],MATCH(tblYield[[#This Row],[Operation]],tblOperations[Operation],0)),""))</f>
        <v>36.5</v>
      </c>
      <c r="O100" s="40">
        <f>IF(tblYield[[#This Row],[Date]]="","",IF(tblYield[[#This Row],[Rework cost per unit]]="","",tblYield[[#This Row],[Reworked]]*tblYield[[#This Row],[Rework cost per unit]]))</f>
        <v>93.5</v>
      </c>
      <c r="P100" s="40">
        <f>IF(tblYield[[#This Row],[Date]]="","",IF(tblYield[[#This Row],[Scrap cost per unit]]="","",tblYield[[#This Row],[Scrapped]]*tblYield[[#This Row],[Scrap cost per unit]]))</f>
        <v>73</v>
      </c>
      <c r="Q100" s="41">
        <f>IF(tblYield[[#This Row],[Date]]="","",IF(AND(tblYield[[#This Row],[Date]]&gt;=FFrom,tblYield[[#This Row],[Date]]&lt;=FTo),tblYield[[#This Row],[Date]],""))</f>
        <v>46286</v>
      </c>
      <c r="R10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0" s="43" t="s">
        <v>104</v>
      </c>
    </row>
    <row r="101" spans="2:19" x14ac:dyDescent="0.25">
      <c r="B101" s="35">
        <v>46286</v>
      </c>
      <c r="C101" s="28" t="s">
        <v>84</v>
      </c>
      <c r="D101" s="36">
        <v>625</v>
      </c>
      <c r="E101" s="36">
        <v>617</v>
      </c>
      <c r="F101" s="36">
        <v>1</v>
      </c>
      <c r="G101" s="37">
        <f>IF(tblYield[[#This Row],[Date]]="","",tblYield[[#This Row],[Units in]]-tblYield[[#This Row],[Passed first time]])</f>
        <v>8</v>
      </c>
      <c r="H101" s="37">
        <f>IF(tblYield[[#This Row],[Date]]="","",tblYield[[#This Row],[Units in]]-tblYield[[#This Row],[Passed first time]]-tblYield[[#This Row],[Scrapped]])</f>
        <v>7</v>
      </c>
      <c r="I101" s="38">
        <f>IF(tblYield[[#This Row],[Date]]="","",IF(tblYield[[#This Row],[Units in]]&gt;0,tblYield[[#This Row],[Passed first time]]/tblYield[[#This Row],[Units in]],""))</f>
        <v>0.9872</v>
      </c>
      <c r="J101" s="38">
        <f>IF(tblYield[[#This Row],[Date]]="","",IFERROR(INDEX(tblOperations[FPY target],MATCH(tblYield[[#This Row],[Operation]],tblOperations[Operation],0)),""))</f>
        <v>0.985</v>
      </c>
      <c r="K101" s="39" t="str">
        <f>IF(OR(NOT(ISNUMBER(tblYield[[#This Row],[FPY]])),NOT(ISNUMBER(tblYield[[#This Row],[FPY target]]))),"",IF(tblYield[[#This Row],[FPY]]&gt;=tblYield[[#This Row],[FPY target]],"On target",IF(tblYield[[#This Row],[FPY]]&gt;=tblYield[[#This Row],[FPY target]]-NearBand,"Near target","Below target")))</f>
        <v>On target</v>
      </c>
      <c r="L101" s="38">
        <f>IF(tblYield[[#This Row],[Date]]="","",IF(tblYield[[#This Row],[Units in]]&gt;0,(tblYield[[#This Row],[Units in]]-tblYield[[#This Row],[Scrapped]])/tblYield[[#This Row],[Units in]],""))</f>
        <v>0.9984</v>
      </c>
      <c r="M101" s="40">
        <f>IF(tblYield[[#This Row],[Date]]="","",IFERROR(INDEX(tblOperations[Rework cost],MATCH(tblYield[[#This Row],[Operation]],tblOperations[Operation],0)),""))</f>
        <v>12</v>
      </c>
      <c r="N101" s="40">
        <f>IF(tblYield[[#This Row],[Date]]="","",IFERROR(INDEX(tblOperations[Scrap cost],MATCH(tblYield[[#This Row],[Operation]],tblOperations[Operation],0)),""))</f>
        <v>38</v>
      </c>
      <c r="O101" s="40">
        <f>IF(tblYield[[#This Row],[Date]]="","",IF(tblYield[[#This Row],[Rework cost per unit]]="","",tblYield[[#This Row],[Reworked]]*tblYield[[#This Row],[Rework cost per unit]]))</f>
        <v>84</v>
      </c>
      <c r="P101" s="40">
        <f>IF(tblYield[[#This Row],[Date]]="","",IF(tblYield[[#This Row],[Scrap cost per unit]]="","",tblYield[[#This Row],[Scrapped]]*tblYield[[#This Row],[Scrap cost per unit]]))</f>
        <v>38</v>
      </c>
      <c r="Q101" s="41">
        <f>IF(tblYield[[#This Row],[Date]]="","",IF(AND(tblYield[[#This Row],[Date]]&gt;=FFrom,tblYield[[#This Row],[Date]]&lt;=FTo),tblYield[[#This Row],[Date]],""))</f>
        <v>46286</v>
      </c>
      <c r="R10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1" s="43" t="s">
        <v>106</v>
      </c>
    </row>
    <row r="102" spans="2:19" x14ac:dyDescent="0.25">
      <c r="B102" s="35">
        <v>46286</v>
      </c>
      <c r="C102" s="28" t="s">
        <v>86</v>
      </c>
      <c r="D102" s="36">
        <v>624</v>
      </c>
      <c r="E102" s="36">
        <v>620</v>
      </c>
      <c r="F102" s="36">
        <v>0</v>
      </c>
      <c r="G102" s="37">
        <f>IF(tblYield[[#This Row],[Date]]="","",tblYield[[#This Row],[Units in]]-tblYield[[#This Row],[Passed first time]])</f>
        <v>4</v>
      </c>
      <c r="H102" s="37">
        <f>IF(tblYield[[#This Row],[Date]]="","",tblYield[[#This Row],[Units in]]-tblYield[[#This Row],[Passed first time]]-tblYield[[#This Row],[Scrapped]])</f>
        <v>4</v>
      </c>
      <c r="I102" s="38">
        <f>IF(tblYield[[#This Row],[Date]]="","",IF(tblYield[[#This Row],[Units in]]&gt;0,tblYield[[#This Row],[Passed first time]]/tblYield[[#This Row],[Units in]],""))</f>
        <v>0.993589743589744</v>
      </c>
      <c r="J102" s="38">
        <f>IF(tblYield[[#This Row],[Date]]="","",IFERROR(INDEX(tblOperations[FPY target],MATCH(tblYield[[#This Row],[Operation]],tblOperations[Operation],0)),""))</f>
        <v>0.99</v>
      </c>
      <c r="K102" s="39" t="str">
        <f>IF(OR(NOT(ISNUMBER(tblYield[[#This Row],[FPY]])),NOT(ISNUMBER(tblYield[[#This Row],[FPY target]]))),"",IF(tblYield[[#This Row],[FPY]]&gt;=tblYield[[#This Row],[FPY target]],"On target",IF(tblYield[[#This Row],[FPY]]&gt;=tblYield[[#This Row],[FPY target]]-NearBand,"Near target","Below target")))</f>
        <v>On target</v>
      </c>
      <c r="L102" s="38">
        <f>IF(tblYield[[#This Row],[Date]]="","",IF(tblYield[[#This Row],[Units in]]&gt;0,(tblYield[[#This Row],[Units in]]-tblYield[[#This Row],[Scrapped]])/tblYield[[#This Row],[Units in]],""))</f>
        <v>1</v>
      </c>
      <c r="M102" s="40">
        <f>IF(tblYield[[#This Row],[Date]]="","",IFERROR(INDEX(tblOperations[Rework cost],MATCH(tblYield[[#This Row],[Operation]],tblOperations[Operation],0)),""))</f>
        <v>2.2</v>
      </c>
      <c r="N102" s="40">
        <f>IF(tblYield[[#This Row],[Date]]="","",IFERROR(INDEX(tblOperations[Scrap cost],MATCH(tblYield[[#This Row],[Operation]],tblOperations[Operation],0)),""))</f>
        <v>41</v>
      </c>
      <c r="O102" s="40">
        <f>IF(tblYield[[#This Row],[Date]]="","",IF(tblYield[[#This Row],[Rework cost per unit]]="","",tblYield[[#This Row],[Reworked]]*tblYield[[#This Row],[Rework cost per unit]]))</f>
        <v>8.8</v>
      </c>
      <c r="P102" s="40">
        <f>IF(tblYield[[#This Row],[Date]]="","",IF(tblYield[[#This Row],[Scrap cost per unit]]="","",tblYield[[#This Row],[Scrapped]]*tblYield[[#This Row],[Scrap cost per unit]]))</f>
        <v>0</v>
      </c>
      <c r="Q102" s="41">
        <f>IF(tblYield[[#This Row],[Date]]="","",IF(AND(tblYield[[#This Row],[Date]]&gt;=FFrom,tblYield[[#This Row],[Date]]&lt;=FTo),tblYield[[#This Row],[Date]],""))</f>
        <v>46286</v>
      </c>
      <c r="R10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2" s="43" t="s">
        <v>104</v>
      </c>
    </row>
    <row r="103" spans="2:19" x14ac:dyDescent="0.25">
      <c r="B103" s="35">
        <v>46287</v>
      </c>
      <c r="C103" s="28" t="s">
        <v>76</v>
      </c>
      <c r="D103" s="36">
        <v>640</v>
      </c>
      <c r="E103" s="36">
        <v>633</v>
      </c>
      <c r="F103" s="36">
        <v>0</v>
      </c>
      <c r="G103" s="37">
        <f>IF(tblYield[[#This Row],[Date]]="","",tblYield[[#This Row],[Units in]]-tblYield[[#This Row],[Passed first time]])</f>
        <v>7</v>
      </c>
      <c r="H103" s="37">
        <f>IF(tblYield[[#This Row],[Date]]="","",tblYield[[#This Row],[Units in]]-tblYield[[#This Row],[Passed first time]]-tblYield[[#This Row],[Scrapped]])</f>
        <v>7</v>
      </c>
      <c r="I103" s="38">
        <f>IF(tblYield[[#This Row],[Date]]="","",IF(tblYield[[#This Row],[Units in]]&gt;0,tblYield[[#This Row],[Passed first time]]/tblYield[[#This Row],[Units in]],""))</f>
        <v>0.9890625</v>
      </c>
      <c r="J103" s="38">
        <f>IF(tblYield[[#This Row],[Date]]="","",IFERROR(INDEX(tblOperations[FPY target],MATCH(tblYield[[#This Row],[Operation]],tblOperations[Operation],0)),""))</f>
        <v>0.99</v>
      </c>
      <c r="K103" s="39" t="str">
        <f>IF(OR(NOT(ISNUMBER(tblYield[[#This Row],[FPY]])),NOT(ISNUMBER(tblYield[[#This Row],[FPY target]]))),"",IF(tblYield[[#This Row],[FPY]]&gt;=tblYield[[#This Row],[FPY target]],"On target",IF(tblYield[[#This Row],[FPY]]&gt;=tblYield[[#This Row],[FPY target]]-NearBand,"Near target","Below target")))</f>
        <v>Near target</v>
      </c>
      <c r="L103" s="38">
        <f>IF(tblYield[[#This Row],[Date]]="","",IF(tblYield[[#This Row],[Units in]]&gt;0,(tblYield[[#This Row],[Units in]]-tblYield[[#This Row],[Scrapped]])/tblYield[[#This Row],[Units in]],""))</f>
        <v>1</v>
      </c>
      <c r="M103" s="40">
        <f>IF(tblYield[[#This Row],[Date]]="","",IFERROR(INDEX(tblOperations[Rework cost],MATCH(tblYield[[#This Row],[Operation]],tblOperations[Operation],0)),""))</f>
        <v>0.6</v>
      </c>
      <c r="N103" s="40">
        <f>IF(tblYield[[#This Row],[Date]]="","",IFERROR(INDEX(tblOperations[Scrap cost],MATCH(tblYield[[#This Row],[Operation]],tblOperations[Operation],0)),""))</f>
        <v>4.8</v>
      </c>
      <c r="O103" s="40">
        <f>IF(tblYield[[#This Row],[Date]]="","",IF(tblYield[[#This Row],[Rework cost per unit]]="","",tblYield[[#This Row],[Reworked]]*tblYield[[#This Row],[Rework cost per unit]]))</f>
        <v>4.2</v>
      </c>
      <c r="P103" s="40">
        <f>IF(tblYield[[#This Row],[Date]]="","",IF(tblYield[[#This Row],[Scrap cost per unit]]="","",tblYield[[#This Row],[Scrapped]]*tblYield[[#This Row],[Scrap cost per unit]]))</f>
        <v>0</v>
      </c>
      <c r="Q103" s="41">
        <f>IF(tblYield[[#This Row],[Date]]="","",IF(AND(tblYield[[#This Row],[Date]]&gt;=FFrom,tblYield[[#This Row],[Date]]&lt;=FTo),tblYield[[#This Row],[Date]],""))</f>
        <v>46287</v>
      </c>
      <c r="R10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3" s="43" t="s">
        <v>104</v>
      </c>
    </row>
    <row r="104" spans="2:19" x14ac:dyDescent="0.25">
      <c r="B104" s="35">
        <v>46287</v>
      </c>
      <c r="C104" s="28" t="s">
        <v>78</v>
      </c>
      <c r="D104" s="36">
        <v>640</v>
      </c>
      <c r="E104" s="36">
        <v>627</v>
      </c>
      <c r="F104" s="36">
        <v>1</v>
      </c>
      <c r="G104" s="37">
        <f>IF(tblYield[[#This Row],[Date]]="","",tblYield[[#This Row],[Units in]]-tblYield[[#This Row],[Passed first time]])</f>
        <v>13</v>
      </c>
      <c r="H104" s="37">
        <f>IF(tblYield[[#This Row],[Date]]="","",tblYield[[#This Row],[Units in]]-tblYield[[#This Row],[Passed first time]]-tblYield[[#This Row],[Scrapped]])</f>
        <v>12</v>
      </c>
      <c r="I104" s="38">
        <f>IF(tblYield[[#This Row],[Date]]="","",IF(tblYield[[#This Row],[Units in]]&gt;0,tblYield[[#This Row],[Passed first time]]/tblYield[[#This Row],[Units in]],""))</f>
        <v>0.9796875</v>
      </c>
      <c r="J104" s="38">
        <f>IF(tblYield[[#This Row],[Date]]="","",IFERROR(INDEX(tblOperations[FPY target],MATCH(tblYield[[#This Row],[Operation]],tblOperations[Operation],0)),""))</f>
        <v>0.98</v>
      </c>
      <c r="K104" s="39" t="str">
        <f>IF(OR(NOT(ISNUMBER(tblYield[[#This Row],[FPY]])),NOT(ISNUMBER(tblYield[[#This Row],[FPY target]]))),"",IF(tblYield[[#This Row],[FPY]]&gt;=tblYield[[#This Row],[FPY target]],"On target",IF(tblYield[[#This Row],[FPY]]&gt;=tblYield[[#This Row],[FPY target]]-NearBand,"Near target","Below target")))</f>
        <v>Near target</v>
      </c>
      <c r="L104" s="38">
        <f>IF(tblYield[[#This Row],[Date]]="","",IF(tblYield[[#This Row],[Units in]]&gt;0,(tblYield[[#This Row],[Units in]]-tblYield[[#This Row],[Scrapped]])/tblYield[[#This Row],[Units in]],""))</f>
        <v>0.9984375</v>
      </c>
      <c r="M104" s="40">
        <f>IF(tblYield[[#This Row],[Date]]="","",IFERROR(INDEX(tblOperations[Rework cost],MATCH(tblYield[[#This Row],[Operation]],tblOperations[Operation],0)),""))</f>
        <v>3.8</v>
      </c>
      <c r="N104" s="40">
        <f>IF(tblYield[[#This Row],[Date]]="","",IFERROR(INDEX(tblOperations[Scrap cost],MATCH(tblYield[[#This Row],[Operation]],tblOperations[Operation],0)),""))</f>
        <v>31</v>
      </c>
      <c r="O104" s="40">
        <f>IF(tblYield[[#This Row],[Date]]="","",IF(tblYield[[#This Row],[Rework cost per unit]]="","",tblYield[[#This Row],[Reworked]]*tblYield[[#This Row],[Rework cost per unit]]))</f>
        <v>45.6</v>
      </c>
      <c r="P104" s="40">
        <f>IF(tblYield[[#This Row],[Date]]="","",IF(tblYield[[#This Row],[Scrap cost per unit]]="","",tblYield[[#This Row],[Scrapped]]*tblYield[[#This Row],[Scrap cost per unit]]))</f>
        <v>31</v>
      </c>
      <c r="Q104" s="41">
        <f>IF(tblYield[[#This Row],[Date]]="","",IF(AND(tblYield[[#This Row],[Date]]&gt;=FFrom,tblYield[[#This Row],[Date]]&lt;=FTo),tblYield[[#This Row],[Date]],""))</f>
        <v>46287</v>
      </c>
      <c r="R10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4" s="43" t="s">
        <v>104</v>
      </c>
    </row>
    <row r="105" spans="2:19" x14ac:dyDescent="0.25">
      <c r="B105" s="35">
        <v>46287</v>
      </c>
      <c r="C105" s="28" t="s">
        <v>80</v>
      </c>
      <c r="D105" s="36">
        <v>639</v>
      </c>
      <c r="E105" s="36">
        <v>612</v>
      </c>
      <c r="F105" s="36">
        <v>1</v>
      </c>
      <c r="G105" s="37">
        <f>IF(tblYield[[#This Row],[Date]]="","",tblYield[[#This Row],[Units in]]-tblYield[[#This Row],[Passed first time]])</f>
        <v>27</v>
      </c>
      <c r="H105" s="37">
        <f>IF(tblYield[[#This Row],[Date]]="","",tblYield[[#This Row],[Units in]]-tblYield[[#This Row],[Passed first time]]-tblYield[[#This Row],[Scrapped]])</f>
        <v>26</v>
      </c>
      <c r="I105" s="38">
        <f>IF(tblYield[[#This Row],[Date]]="","",IF(tblYield[[#This Row],[Units in]]&gt;0,tblYield[[#This Row],[Passed first time]]/tblYield[[#This Row],[Units in]],""))</f>
        <v>0.957746478873239</v>
      </c>
      <c r="J105" s="38">
        <f>IF(tblYield[[#This Row],[Date]]="","",IFERROR(INDEX(tblOperations[FPY target],MATCH(tblYield[[#This Row],[Operation]],tblOperations[Operation],0)),""))</f>
        <v>0.97</v>
      </c>
      <c r="K105" s="39" t="str">
        <f>IF(OR(NOT(ISNUMBER(tblYield[[#This Row],[FPY]])),NOT(ISNUMBER(tblYield[[#This Row],[FPY target]]))),"",IF(tblYield[[#This Row],[FPY]]&gt;=tblYield[[#This Row],[FPY target]],"On target",IF(tblYield[[#This Row],[FPY]]&gt;=tblYield[[#This Row],[FPY target]]-NearBand,"Near target","Below target")))</f>
        <v>Below target</v>
      </c>
      <c r="L105" s="38">
        <f>IF(tblYield[[#This Row],[Date]]="","",IF(tblYield[[#This Row],[Units in]]&gt;0,(tblYield[[#This Row],[Units in]]-tblYield[[#This Row],[Scrapped]])/tblYield[[#This Row],[Units in]],""))</f>
        <v>0.998435054773083</v>
      </c>
      <c r="M105" s="40">
        <f>IF(tblYield[[#This Row],[Date]]="","",IFERROR(INDEX(tblOperations[Rework cost],MATCH(tblYield[[#This Row],[Operation]],tblOperations[Operation],0)),""))</f>
        <v>2.9</v>
      </c>
      <c r="N105" s="40">
        <f>IF(tblYield[[#This Row],[Date]]="","",IFERROR(INDEX(tblOperations[Scrap cost],MATCH(tblYield[[#This Row],[Operation]],tblOperations[Operation],0)),""))</f>
        <v>34</v>
      </c>
      <c r="O105" s="40">
        <f>IF(tblYield[[#This Row],[Date]]="","",IF(tblYield[[#This Row],[Rework cost per unit]]="","",tblYield[[#This Row],[Reworked]]*tblYield[[#This Row],[Rework cost per unit]]))</f>
        <v>75.4</v>
      </c>
      <c r="P105" s="40">
        <f>IF(tblYield[[#This Row],[Date]]="","",IF(tblYield[[#This Row],[Scrap cost per unit]]="","",tblYield[[#This Row],[Scrapped]]*tblYield[[#This Row],[Scrap cost per unit]]))</f>
        <v>34</v>
      </c>
      <c r="Q105" s="41">
        <f>IF(tblYield[[#This Row],[Date]]="","",IF(AND(tblYield[[#This Row],[Date]]&gt;=FFrom,tblYield[[#This Row],[Date]]&lt;=FTo),tblYield[[#This Row],[Date]],""))</f>
        <v>46287</v>
      </c>
      <c r="R10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5" s="43" t="s">
        <v>104</v>
      </c>
    </row>
    <row r="106" spans="2:19" x14ac:dyDescent="0.25">
      <c r="B106" s="35">
        <v>46287</v>
      </c>
      <c r="C106" s="28" t="s">
        <v>82</v>
      </c>
      <c r="D106" s="36">
        <v>638</v>
      </c>
      <c r="E106" s="36">
        <v>625</v>
      </c>
      <c r="F106" s="36">
        <v>1</v>
      </c>
      <c r="G106" s="37">
        <f>IF(tblYield[[#This Row],[Date]]="","",tblYield[[#This Row],[Units in]]-tblYield[[#This Row],[Passed first time]])</f>
        <v>13</v>
      </c>
      <c r="H106" s="37">
        <f>IF(tblYield[[#This Row],[Date]]="","",tblYield[[#This Row],[Units in]]-tblYield[[#This Row],[Passed first time]]-tblYield[[#This Row],[Scrapped]])</f>
        <v>12</v>
      </c>
      <c r="I106" s="38">
        <f>IF(tblYield[[#This Row],[Date]]="","",IF(tblYield[[#This Row],[Units in]]&gt;0,tblYield[[#This Row],[Passed first time]]/tblYield[[#This Row],[Units in]],""))</f>
        <v>0.979623824451411</v>
      </c>
      <c r="J106" s="38">
        <f>IF(tblYield[[#This Row],[Date]]="","",IFERROR(INDEX(tblOperations[FPY target],MATCH(tblYield[[#This Row],[Operation]],tblOperations[Operation],0)),""))</f>
        <v>0.98</v>
      </c>
      <c r="K106" s="39" t="str">
        <f>IF(OR(NOT(ISNUMBER(tblYield[[#This Row],[FPY]])),NOT(ISNUMBER(tblYield[[#This Row],[FPY target]]))),"",IF(tblYield[[#This Row],[FPY]]&gt;=tblYield[[#This Row],[FPY target]],"On target",IF(tblYield[[#This Row],[FPY]]&gt;=tblYield[[#This Row],[FPY target]]-NearBand,"Near target","Below target")))</f>
        <v>Near target</v>
      </c>
      <c r="L106" s="38">
        <f>IF(tblYield[[#This Row],[Date]]="","",IF(tblYield[[#This Row],[Units in]]&gt;0,(tblYield[[#This Row],[Units in]]-tblYield[[#This Row],[Scrapped]])/tblYield[[#This Row],[Units in]],""))</f>
        <v>0.998432601880878</v>
      </c>
      <c r="M106" s="40">
        <f>IF(tblYield[[#This Row],[Date]]="","",IFERROR(INDEX(tblOperations[Rework cost],MATCH(tblYield[[#This Row],[Operation]],tblOperations[Operation],0)),""))</f>
        <v>8.5</v>
      </c>
      <c r="N106" s="40">
        <f>IF(tblYield[[#This Row],[Date]]="","",IFERROR(INDEX(tblOperations[Scrap cost],MATCH(tblYield[[#This Row],[Operation]],tblOperations[Operation],0)),""))</f>
        <v>36.5</v>
      </c>
      <c r="O106" s="40">
        <f>IF(tblYield[[#This Row],[Date]]="","",IF(tblYield[[#This Row],[Rework cost per unit]]="","",tblYield[[#This Row],[Reworked]]*tblYield[[#This Row],[Rework cost per unit]]))</f>
        <v>102</v>
      </c>
      <c r="P106" s="40">
        <f>IF(tblYield[[#This Row],[Date]]="","",IF(tblYield[[#This Row],[Scrap cost per unit]]="","",tblYield[[#This Row],[Scrapped]]*tblYield[[#This Row],[Scrap cost per unit]]))</f>
        <v>36.5</v>
      </c>
      <c r="Q106" s="41">
        <f>IF(tblYield[[#This Row],[Date]]="","",IF(AND(tblYield[[#This Row],[Date]]&gt;=FFrom,tblYield[[#This Row],[Date]]&lt;=FTo),tblYield[[#This Row],[Date]],""))</f>
        <v>46287</v>
      </c>
      <c r="R10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6" s="43" t="s">
        <v>104</v>
      </c>
    </row>
    <row r="107" spans="2:19" x14ac:dyDescent="0.25">
      <c r="B107" s="35">
        <v>46287</v>
      </c>
      <c r="C107" s="28" t="s">
        <v>84</v>
      </c>
      <c r="D107" s="36">
        <v>637</v>
      </c>
      <c r="E107" s="36">
        <v>631</v>
      </c>
      <c r="F107" s="36">
        <v>0</v>
      </c>
      <c r="G107" s="37">
        <f>IF(tblYield[[#This Row],[Date]]="","",tblYield[[#This Row],[Units in]]-tblYield[[#This Row],[Passed first time]])</f>
        <v>6</v>
      </c>
      <c r="H107" s="37">
        <f>IF(tblYield[[#This Row],[Date]]="","",tblYield[[#This Row],[Units in]]-tblYield[[#This Row],[Passed first time]]-tblYield[[#This Row],[Scrapped]])</f>
        <v>6</v>
      </c>
      <c r="I107" s="38">
        <f>IF(tblYield[[#This Row],[Date]]="","",IF(tblYield[[#This Row],[Units in]]&gt;0,tblYield[[#This Row],[Passed first time]]/tblYield[[#This Row],[Units in]],""))</f>
        <v>0.990580847723705</v>
      </c>
      <c r="J107" s="38">
        <f>IF(tblYield[[#This Row],[Date]]="","",IFERROR(INDEX(tblOperations[FPY target],MATCH(tblYield[[#This Row],[Operation]],tblOperations[Operation],0)),""))</f>
        <v>0.985</v>
      </c>
      <c r="K107" s="39" t="str">
        <f>IF(OR(NOT(ISNUMBER(tblYield[[#This Row],[FPY]])),NOT(ISNUMBER(tblYield[[#This Row],[FPY target]]))),"",IF(tblYield[[#This Row],[FPY]]&gt;=tblYield[[#This Row],[FPY target]],"On target",IF(tblYield[[#This Row],[FPY]]&gt;=tblYield[[#This Row],[FPY target]]-NearBand,"Near target","Below target")))</f>
        <v>On target</v>
      </c>
      <c r="L107" s="38">
        <f>IF(tblYield[[#This Row],[Date]]="","",IF(tblYield[[#This Row],[Units in]]&gt;0,(tblYield[[#This Row],[Units in]]-tblYield[[#This Row],[Scrapped]])/tblYield[[#This Row],[Units in]],""))</f>
        <v>1</v>
      </c>
      <c r="M107" s="40">
        <f>IF(tblYield[[#This Row],[Date]]="","",IFERROR(INDEX(tblOperations[Rework cost],MATCH(tblYield[[#This Row],[Operation]],tblOperations[Operation],0)),""))</f>
        <v>12</v>
      </c>
      <c r="N107" s="40">
        <f>IF(tblYield[[#This Row],[Date]]="","",IFERROR(INDEX(tblOperations[Scrap cost],MATCH(tblYield[[#This Row],[Operation]],tblOperations[Operation],0)),""))</f>
        <v>38</v>
      </c>
      <c r="O107" s="40">
        <f>IF(tblYield[[#This Row],[Date]]="","",IF(tblYield[[#This Row],[Rework cost per unit]]="","",tblYield[[#This Row],[Reworked]]*tblYield[[#This Row],[Rework cost per unit]]))</f>
        <v>72</v>
      </c>
      <c r="P107" s="40">
        <f>IF(tblYield[[#This Row],[Date]]="","",IF(tblYield[[#This Row],[Scrap cost per unit]]="","",tblYield[[#This Row],[Scrapped]]*tblYield[[#This Row],[Scrap cost per unit]]))</f>
        <v>0</v>
      </c>
      <c r="Q107" s="41">
        <f>IF(tblYield[[#This Row],[Date]]="","",IF(AND(tblYield[[#This Row],[Date]]&gt;=FFrom,tblYield[[#This Row],[Date]]&lt;=FTo),tblYield[[#This Row],[Date]],""))</f>
        <v>46287</v>
      </c>
      <c r="R10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7" s="43" t="s">
        <v>104</v>
      </c>
    </row>
    <row r="108" spans="2:19" x14ac:dyDescent="0.25">
      <c r="B108" s="35">
        <v>46287</v>
      </c>
      <c r="C108" s="28" t="s">
        <v>86</v>
      </c>
      <c r="D108" s="36">
        <v>637</v>
      </c>
      <c r="E108" s="36">
        <v>632</v>
      </c>
      <c r="F108" s="36">
        <v>0</v>
      </c>
      <c r="G108" s="37">
        <f>IF(tblYield[[#This Row],[Date]]="","",tblYield[[#This Row],[Units in]]-tblYield[[#This Row],[Passed first time]])</f>
        <v>5</v>
      </c>
      <c r="H108" s="37">
        <f>IF(tblYield[[#This Row],[Date]]="","",tblYield[[#This Row],[Units in]]-tblYield[[#This Row],[Passed first time]]-tblYield[[#This Row],[Scrapped]])</f>
        <v>5</v>
      </c>
      <c r="I108" s="38">
        <f>IF(tblYield[[#This Row],[Date]]="","",IF(tblYield[[#This Row],[Units in]]&gt;0,tblYield[[#This Row],[Passed first time]]/tblYield[[#This Row],[Units in]],""))</f>
        <v>0.992150706436421</v>
      </c>
      <c r="J108" s="38">
        <f>IF(tblYield[[#This Row],[Date]]="","",IFERROR(INDEX(tblOperations[FPY target],MATCH(tblYield[[#This Row],[Operation]],tblOperations[Operation],0)),""))</f>
        <v>0.99</v>
      </c>
      <c r="K108" s="39" t="str">
        <f>IF(OR(NOT(ISNUMBER(tblYield[[#This Row],[FPY]])),NOT(ISNUMBER(tblYield[[#This Row],[FPY target]]))),"",IF(tblYield[[#This Row],[FPY]]&gt;=tblYield[[#This Row],[FPY target]],"On target",IF(tblYield[[#This Row],[FPY]]&gt;=tblYield[[#This Row],[FPY target]]-NearBand,"Near target","Below target")))</f>
        <v>On target</v>
      </c>
      <c r="L108" s="38">
        <f>IF(tblYield[[#This Row],[Date]]="","",IF(tblYield[[#This Row],[Units in]]&gt;0,(tblYield[[#This Row],[Units in]]-tblYield[[#This Row],[Scrapped]])/tblYield[[#This Row],[Units in]],""))</f>
        <v>1</v>
      </c>
      <c r="M108" s="40">
        <f>IF(tblYield[[#This Row],[Date]]="","",IFERROR(INDEX(tblOperations[Rework cost],MATCH(tblYield[[#This Row],[Operation]],tblOperations[Operation],0)),""))</f>
        <v>2.2</v>
      </c>
      <c r="N108" s="40">
        <f>IF(tblYield[[#This Row],[Date]]="","",IFERROR(INDEX(tblOperations[Scrap cost],MATCH(tblYield[[#This Row],[Operation]],tblOperations[Operation],0)),""))</f>
        <v>41</v>
      </c>
      <c r="O108" s="40">
        <f>IF(tblYield[[#This Row],[Date]]="","",IF(tblYield[[#This Row],[Rework cost per unit]]="","",tblYield[[#This Row],[Reworked]]*tblYield[[#This Row],[Rework cost per unit]]))</f>
        <v>11</v>
      </c>
      <c r="P108" s="40">
        <f>IF(tblYield[[#This Row],[Date]]="","",IF(tblYield[[#This Row],[Scrap cost per unit]]="","",tblYield[[#This Row],[Scrapped]]*tblYield[[#This Row],[Scrap cost per unit]]))</f>
        <v>0</v>
      </c>
      <c r="Q108" s="41">
        <f>IF(tblYield[[#This Row],[Date]]="","",IF(AND(tblYield[[#This Row],[Date]]&gt;=FFrom,tblYield[[#This Row],[Date]]&lt;=FTo),tblYield[[#This Row],[Date]],""))</f>
        <v>46287</v>
      </c>
      <c r="R10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8" s="43" t="s">
        <v>104</v>
      </c>
    </row>
    <row r="109" spans="2:19" x14ac:dyDescent="0.25">
      <c r="B109" s="35">
        <v>46288</v>
      </c>
      <c r="C109" s="28" t="s">
        <v>76</v>
      </c>
      <c r="D109" s="36">
        <v>610</v>
      </c>
      <c r="E109" s="36">
        <v>606</v>
      </c>
      <c r="F109" s="36">
        <v>0</v>
      </c>
      <c r="G109" s="37">
        <f>IF(tblYield[[#This Row],[Date]]="","",tblYield[[#This Row],[Units in]]-tblYield[[#This Row],[Passed first time]])</f>
        <v>4</v>
      </c>
      <c r="H109" s="37">
        <f>IF(tblYield[[#This Row],[Date]]="","",tblYield[[#This Row],[Units in]]-tblYield[[#This Row],[Passed first time]]-tblYield[[#This Row],[Scrapped]])</f>
        <v>4</v>
      </c>
      <c r="I109" s="38">
        <f>IF(tblYield[[#This Row],[Date]]="","",IF(tblYield[[#This Row],[Units in]]&gt;0,tblYield[[#This Row],[Passed first time]]/tblYield[[#This Row],[Units in]],""))</f>
        <v>0.99344262295082</v>
      </c>
      <c r="J109" s="38">
        <f>IF(tblYield[[#This Row],[Date]]="","",IFERROR(INDEX(tblOperations[FPY target],MATCH(tblYield[[#This Row],[Operation]],tblOperations[Operation],0)),""))</f>
        <v>0.99</v>
      </c>
      <c r="K109" s="39" t="str">
        <f>IF(OR(NOT(ISNUMBER(tblYield[[#This Row],[FPY]])),NOT(ISNUMBER(tblYield[[#This Row],[FPY target]]))),"",IF(tblYield[[#This Row],[FPY]]&gt;=tblYield[[#This Row],[FPY target]],"On target",IF(tblYield[[#This Row],[FPY]]&gt;=tblYield[[#This Row],[FPY target]]-NearBand,"Near target","Below target")))</f>
        <v>On target</v>
      </c>
      <c r="L109" s="38">
        <f>IF(tblYield[[#This Row],[Date]]="","",IF(tblYield[[#This Row],[Units in]]&gt;0,(tblYield[[#This Row],[Units in]]-tblYield[[#This Row],[Scrapped]])/tblYield[[#This Row],[Units in]],""))</f>
        <v>1</v>
      </c>
      <c r="M109" s="40">
        <f>IF(tblYield[[#This Row],[Date]]="","",IFERROR(INDEX(tblOperations[Rework cost],MATCH(tblYield[[#This Row],[Operation]],tblOperations[Operation],0)),""))</f>
        <v>0.6</v>
      </c>
      <c r="N109" s="40">
        <f>IF(tblYield[[#This Row],[Date]]="","",IFERROR(INDEX(tblOperations[Scrap cost],MATCH(tblYield[[#This Row],[Operation]],tblOperations[Operation],0)),""))</f>
        <v>4.8</v>
      </c>
      <c r="O109" s="40">
        <f>IF(tblYield[[#This Row],[Date]]="","",IF(tblYield[[#This Row],[Rework cost per unit]]="","",tblYield[[#This Row],[Reworked]]*tblYield[[#This Row],[Rework cost per unit]]))</f>
        <v>2.4</v>
      </c>
      <c r="P109" s="40">
        <f>IF(tblYield[[#This Row],[Date]]="","",IF(tblYield[[#This Row],[Scrap cost per unit]]="","",tblYield[[#This Row],[Scrapped]]*tblYield[[#This Row],[Scrap cost per unit]]))</f>
        <v>0</v>
      </c>
      <c r="Q109" s="41">
        <f>IF(tblYield[[#This Row],[Date]]="","",IF(AND(tblYield[[#This Row],[Date]]&gt;=FFrom,tblYield[[#This Row],[Date]]&lt;=FTo),tblYield[[#This Row],[Date]],""))</f>
        <v>46288</v>
      </c>
      <c r="R10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09" s="43" t="s">
        <v>104</v>
      </c>
    </row>
    <row r="110" spans="2:19" x14ac:dyDescent="0.25">
      <c r="B110" s="35">
        <v>46288</v>
      </c>
      <c r="C110" s="28" t="s">
        <v>78</v>
      </c>
      <c r="D110" s="36">
        <v>610</v>
      </c>
      <c r="E110" s="36">
        <v>605</v>
      </c>
      <c r="F110" s="36">
        <v>0</v>
      </c>
      <c r="G110" s="37">
        <f>IF(tblYield[[#This Row],[Date]]="","",tblYield[[#This Row],[Units in]]-tblYield[[#This Row],[Passed first time]])</f>
        <v>5</v>
      </c>
      <c r="H110" s="37">
        <f>IF(tblYield[[#This Row],[Date]]="","",tblYield[[#This Row],[Units in]]-tblYield[[#This Row],[Passed first time]]-tblYield[[#This Row],[Scrapped]])</f>
        <v>5</v>
      </c>
      <c r="I110" s="38">
        <f>IF(tblYield[[#This Row],[Date]]="","",IF(tblYield[[#This Row],[Units in]]&gt;0,tblYield[[#This Row],[Passed first time]]/tblYield[[#This Row],[Units in]],""))</f>
        <v>0.991803278688525</v>
      </c>
      <c r="J110" s="38">
        <f>IF(tblYield[[#This Row],[Date]]="","",IFERROR(INDEX(tblOperations[FPY target],MATCH(tblYield[[#This Row],[Operation]],tblOperations[Operation],0)),""))</f>
        <v>0.98</v>
      </c>
      <c r="K110" s="39" t="str">
        <f>IF(OR(NOT(ISNUMBER(tblYield[[#This Row],[FPY]])),NOT(ISNUMBER(tblYield[[#This Row],[FPY target]]))),"",IF(tblYield[[#This Row],[FPY]]&gt;=tblYield[[#This Row],[FPY target]],"On target",IF(tblYield[[#This Row],[FPY]]&gt;=tblYield[[#This Row],[FPY target]]-NearBand,"Near target","Below target")))</f>
        <v>On target</v>
      </c>
      <c r="L110" s="38">
        <f>IF(tblYield[[#This Row],[Date]]="","",IF(tblYield[[#This Row],[Units in]]&gt;0,(tblYield[[#This Row],[Units in]]-tblYield[[#This Row],[Scrapped]])/tblYield[[#This Row],[Units in]],""))</f>
        <v>1</v>
      </c>
      <c r="M110" s="40">
        <f>IF(tblYield[[#This Row],[Date]]="","",IFERROR(INDEX(tblOperations[Rework cost],MATCH(tblYield[[#This Row],[Operation]],tblOperations[Operation],0)),""))</f>
        <v>3.8</v>
      </c>
      <c r="N110" s="40">
        <f>IF(tblYield[[#This Row],[Date]]="","",IFERROR(INDEX(tblOperations[Scrap cost],MATCH(tblYield[[#This Row],[Operation]],tblOperations[Operation],0)),""))</f>
        <v>31</v>
      </c>
      <c r="O110" s="40">
        <f>IF(tblYield[[#This Row],[Date]]="","",IF(tblYield[[#This Row],[Rework cost per unit]]="","",tblYield[[#This Row],[Reworked]]*tblYield[[#This Row],[Rework cost per unit]]))</f>
        <v>19</v>
      </c>
      <c r="P110" s="40">
        <f>IF(tblYield[[#This Row],[Date]]="","",IF(tblYield[[#This Row],[Scrap cost per unit]]="","",tblYield[[#This Row],[Scrapped]]*tblYield[[#This Row],[Scrap cost per unit]]))</f>
        <v>0</v>
      </c>
      <c r="Q110" s="41">
        <f>IF(tblYield[[#This Row],[Date]]="","",IF(AND(tblYield[[#This Row],[Date]]&gt;=FFrom,tblYield[[#This Row],[Date]]&lt;=FTo),tblYield[[#This Row],[Date]],""))</f>
        <v>46288</v>
      </c>
      <c r="R11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0" s="43" t="s">
        <v>104</v>
      </c>
    </row>
    <row r="111" spans="2:19" x14ac:dyDescent="0.25">
      <c r="B111" s="35">
        <v>46288</v>
      </c>
      <c r="C111" s="28" t="s">
        <v>80</v>
      </c>
      <c r="D111" s="36">
        <v>610</v>
      </c>
      <c r="E111" s="36">
        <v>576</v>
      </c>
      <c r="F111" s="36">
        <v>1</v>
      </c>
      <c r="G111" s="37">
        <f>IF(tblYield[[#This Row],[Date]]="","",tblYield[[#This Row],[Units in]]-tblYield[[#This Row],[Passed first time]])</f>
        <v>34</v>
      </c>
      <c r="H111" s="37">
        <f>IF(tblYield[[#This Row],[Date]]="","",tblYield[[#This Row],[Units in]]-tblYield[[#This Row],[Passed first time]]-tblYield[[#This Row],[Scrapped]])</f>
        <v>33</v>
      </c>
      <c r="I111" s="38">
        <f>IF(tblYield[[#This Row],[Date]]="","",IF(tblYield[[#This Row],[Units in]]&gt;0,tblYield[[#This Row],[Passed first time]]/tblYield[[#This Row],[Units in]],""))</f>
        <v>0.944262295081967</v>
      </c>
      <c r="J111" s="38">
        <f>IF(tblYield[[#This Row],[Date]]="","",IFERROR(INDEX(tblOperations[FPY target],MATCH(tblYield[[#This Row],[Operation]],tblOperations[Operation],0)),""))</f>
        <v>0.97</v>
      </c>
      <c r="K111" s="39" t="str">
        <f>IF(OR(NOT(ISNUMBER(tblYield[[#This Row],[FPY]])),NOT(ISNUMBER(tblYield[[#This Row],[FPY target]]))),"",IF(tblYield[[#This Row],[FPY]]&gt;=tblYield[[#This Row],[FPY target]],"On target",IF(tblYield[[#This Row],[FPY]]&gt;=tblYield[[#This Row],[FPY target]]-NearBand,"Near target","Below target")))</f>
        <v>Below target</v>
      </c>
      <c r="L111" s="38">
        <f>IF(tblYield[[#This Row],[Date]]="","",IF(tblYield[[#This Row],[Units in]]&gt;0,(tblYield[[#This Row],[Units in]]-tblYield[[#This Row],[Scrapped]])/tblYield[[#This Row],[Units in]],""))</f>
        <v>0.998360655737705</v>
      </c>
      <c r="M111" s="40">
        <f>IF(tblYield[[#This Row],[Date]]="","",IFERROR(INDEX(tblOperations[Rework cost],MATCH(tblYield[[#This Row],[Operation]],tblOperations[Operation],0)),""))</f>
        <v>2.9</v>
      </c>
      <c r="N111" s="40">
        <f>IF(tblYield[[#This Row],[Date]]="","",IFERROR(INDEX(tblOperations[Scrap cost],MATCH(tblYield[[#This Row],[Operation]],tblOperations[Operation],0)),""))</f>
        <v>34</v>
      </c>
      <c r="O111" s="40">
        <f>IF(tblYield[[#This Row],[Date]]="","",IF(tblYield[[#This Row],[Rework cost per unit]]="","",tblYield[[#This Row],[Reworked]]*tblYield[[#This Row],[Rework cost per unit]]))</f>
        <v>95.7</v>
      </c>
      <c r="P111" s="40">
        <f>IF(tblYield[[#This Row],[Date]]="","",IF(tblYield[[#This Row],[Scrap cost per unit]]="","",tblYield[[#This Row],[Scrapped]]*tblYield[[#This Row],[Scrap cost per unit]]))</f>
        <v>34</v>
      </c>
      <c r="Q111" s="41">
        <f>IF(tblYield[[#This Row],[Date]]="","",IF(AND(tblYield[[#This Row],[Date]]&gt;=FFrom,tblYield[[#This Row],[Date]]&lt;=FTo),tblYield[[#This Row],[Date]],""))</f>
        <v>46288</v>
      </c>
      <c r="R11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1" s="43" t="s">
        <v>104</v>
      </c>
    </row>
    <row r="112" spans="2:19" x14ac:dyDescent="0.25">
      <c r="B112" s="35">
        <v>46288</v>
      </c>
      <c r="C112" s="28" t="s">
        <v>82</v>
      </c>
      <c r="D112" s="36">
        <v>609</v>
      </c>
      <c r="E112" s="36">
        <v>601</v>
      </c>
      <c r="F112" s="36">
        <v>1</v>
      </c>
      <c r="G112" s="37">
        <f>IF(tblYield[[#This Row],[Date]]="","",tblYield[[#This Row],[Units in]]-tblYield[[#This Row],[Passed first time]])</f>
        <v>8</v>
      </c>
      <c r="H112" s="37">
        <f>IF(tblYield[[#This Row],[Date]]="","",tblYield[[#This Row],[Units in]]-tblYield[[#This Row],[Passed first time]]-tblYield[[#This Row],[Scrapped]])</f>
        <v>7</v>
      </c>
      <c r="I112" s="38">
        <f>IF(tblYield[[#This Row],[Date]]="","",IF(tblYield[[#This Row],[Units in]]&gt;0,tblYield[[#This Row],[Passed first time]]/tblYield[[#This Row],[Units in]],""))</f>
        <v>0.986863711001642</v>
      </c>
      <c r="J112" s="38">
        <f>IF(tblYield[[#This Row],[Date]]="","",IFERROR(INDEX(tblOperations[FPY target],MATCH(tblYield[[#This Row],[Operation]],tblOperations[Operation],0)),""))</f>
        <v>0.98</v>
      </c>
      <c r="K112" s="39" t="str">
        <f>IF(OR(NOT(ISNUMBER(tblYield[[#This Row],[FPY]])),NOT(ISNUMBER(tblYield[[#This Row],[FPY target]]))),"",IF(tblYield[[#This Row],[FPY]]&gt;=tblYield[[#This Row],[FPY target]],"On target",IF(tblYield[[#This Row],[FPY]]&gt;=tblYield[[#This Row],[FPY target]]-NearBand,"Near target","Below target")))</f>
        <v>On target</v>
      </c>
      <c r="L112" s="38">
        <f>IF(tblYield[[#This Row],[Date]]="","",IF(tblYield[[#This Row],[Units in]]&gt;0,(tblYield[[#This Row],[Units in]]-tblYield[[#This Row],[Scrapped]])/tblYield[[#This Row],[Units in]],""))</f>
        <v>0.998357963875205</v>
      </c>
      <c r="M112" s="40">
        <f>IF(tblYield[[#This Row],[Date]]="","",IFERROR(INDEX(tblOperations[Rework cost],MATCH(tblYield[[#This Row],[Operation]],tblOperations[Operation],0)),""))</f>
        <v>8.5</v>
      </c>
      <c r="N112" s="40">
        <f>IF(tblYield[[#This Row],[Date]]="","",IFERROR(INDEX(tblOperations[Scrap cost],MATCH(tblYield[[#This Row],[Operation]],tblOperations[Operation],0)),""))</f>
        <v>36.5</v>
      </c>
      <c r="O112" s="40">
        <f>IF(tblYield[[#This Row],[Date]]="","",IF(tblYield[[#This Row],[Rework cost per unit]]="","",tblYield[[#This Row],[Reworked]]*tblYield[[#This Row],[Rework cost per unit]]))</f>
        <v>59.5</v>
      </c>
      <c r="P112" s="40">
        <f>IF(tblYield[[#This Row],[Date]]="","",IF(tblYield[[#This Row],[Scrap cost per unit]]="","",tblYield[[#This Row],[Scrapped]]*tblYield[[#This Row],[Scrap cost per unit]]))</f>
        <v>36.5</v>
      </c>
      <c r="Q112" s="41">
        <f>IF(tblYield[[#This Row],[Date]]="","",IF(AND(tblYield[[#This Row],[Date]]&gt;=FFrom,tblYield[[#This Row],[Date]]&lt;=FTo),tblYield[[#This Row],[Date]],""))</f>
        <v>46288</v>
      </c>
      <c r="R11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2" s="43" t="s">
        <v>104</v>
      </c>
    </row>
    <row r="113" spans="2:19" x14ac:dyDescent="0.25">
      <c r="B113" s="35">
        <v>46288</v>
      </c>
      <c r="C113" s="28" t="s">
        <v>84</v>
      </c>
      <c r="D113" s="36">
        <v>608</v>
      </c>
      <c r="E113" s="36">
        <v>599</v>
      </c>
      <c r="F113" s="36">
        <v>1</v>
      </c>
      <c r="G113" s="37">
        <f>IF(tblYield[[#This Row],[Date]]="","",tblYield[[#This Row],[Units in]]-tblYield[[#This Row],[Passed first time]])</f>
        <v>9</v>
      </c>
      <c r="H113" s="37">
        <f>IF(tblYield[[#This Row],[Date]]="","",tblYield[[#This Row],[Units in]]-tblYield[[#This Row],[Passed first time]]-tblYield[[#This Row],[Scrapped]])</f>
        <v>8</v>
      </c>
      <c r="I113" s="38">
        <f>IF(tblYield[[#This Row],[Date]]="","",IF(tblYield[[#This Row],[Units in]]&gt;0,tblYield[[#This Row],[Passed first time]]/tblYield[[#This Row],[Units in]],""))</f>
        <v>0.985197368421053</v>
      </c>
      <c r="J113" s="38">
        <f>IF(tblYield[[#This Row],[Date]]="","",IFERROR(INDEX(tblOperations[FPY target],MATCH(tblYield[[#This Row],[Operation]],tblOperations[Operation],0)),""))</f>
        <v>0.985</v>
      </c>
      <c r="K113" s="39" t="str">
        <f>IF(OR(NOT(ISNUMBER(tblYield[[#This Row],[FPY]])),NOT(ISNUMBER(tblYield[[#This Row],[FPY target]]))),"",IF(tblYield[[#This Row],[FPY]]&gt;=tblYield[[#This Row],[FPY target]],"On target",IF(tblYield[[#This Row],[FPY]]&gt;=tblYield[[#This Row],[FPY target]]-NearBand,"Near target","Below target")))</f>
        <v>On target</v>
      </c>
      <c r="L113" s="38">
        <f>IF(tblYield[[#This Row],[Date]]="","",IF(tblYield[[#This Row],[Units in]]&gt;0,(tblYield[[#This Row],[Units in]]-tblYield[[#This Row],[Scrapped]])/tblYield[[#This Row],[Units in]],""))</f>
        <v>0.998355263157895</v>
      </c>
      <c r="M113" s="40">
        <f>IF(tblYield[[#This Row],[Date]]="","",IFERROR(INDEX(tblOperations[Rework cost],MATCH(tblYield[[#This Row],[Operation]],tblOperations[Operation],0)),""))</f>
        <v>12</v>
      </c>
      <c r="N113" s="40">
        <f>IF(tblYield[[#This Row],[Date]]="","",IFERROR(INDEX(tblOperations[Scrap cost],MATCH(tblYield[[#This Row],[Operation]],tblOperations[Operation],0)),""))</f>
        <v>38</v>
      </c>
      <c r="O113" s="40">
        <f>IF(tblYield[[#This Row],[Date]]="","",IF(tblYield[[#This Row],[Rework cost per unit]]="","",tblYield[[#This Row],[Reworked]]*tblYield[[#This Row],[Rework cost per unit]]))</f>
        <v>96</v>
      </c>
      <c r="P113" s="40">
        <f>IF(tblYield[[#This Row],[Date]]="","",IF(tblYield[[#This Row],[Scrap cost per unit]]="","",tblYield[[#This Row],[Scrapped]]*tblYield[[#This Row],[Scrap cost per unit]]))</f>
        <v>38</v>
      </c>
      <c r="Q113" s="41">
        <f>IF(tblYield[[#This Row],[Date]]="","",IF(AND(tblYield[[#This Row],[Date]]&gt;=FFrom,tblYield[[#This Row],[Date]]&lt;=FTo),tblYield[[#This Row],[Date]],""))</f>
        <v>46288</v>
      </c>
      <c r="R11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3" s="43" t="s">
        <v>104</v>
      </c>
    </row>
    <row r="114" spans="2:19" x14ac:dyDescent="0.25">
      <c r="B114" s="35">
        <v>46288</v>
      </c>
      <c r="C114" s="28" t="s">
        <v>86</v>
      </c>
      <c r="D114" s="36">
        <v>607</v>
      </c>
      <c r="E114" s="36">
        <v>602</v>
      </c>
      <c r="F114" s="36">
        <v>0</v>
      </c>
      <c r="G114" s="37">
        <f>IF(tblYield[[#This Row],[Date]]="","",tblYield[[#This Row],[Units in]]-tblYield[[#This Row],[Passed first time]])</f>
        <v>5</v>
      </c>
      <c r="H114" s="37">
        <f>IF(tblYield[[#This Row],[Date]]="","",tblYield[[#This Row],[Units in]]-tblYield[[#This Row],[Passed first time]]-tblYield[[#This Row],[Scrapped]])</f>
        <v>5</v>
      </c>
      <c r="I114" s="38">
        <f>IF(tblYield[[#This Row],[Date]]="","",IF(tblYield[[#This Row],[Units in]]&gt;0,tblYield[[#This Row],[Passed first time]]/tblYield[[#This Row],[Units in]],""))</f>
        <v>0.99176276771005</v>
      </c>
      <c r="J114" s="38">
        <f>IF(tblYield[[#This Row],[Date]]="","",IFERROR(INDEX(tblOperations[FPY target],MATCH(tblYield[[#This Row],[Operation]],tblOperations[Operation],0)),""))</f>
        <v>0.99</v>
      </c>
      <c r="K114" s="39" t="str">
        <f>IF(OR(NOT(ISNUMBER(tblYield[[#This Row],[FPY]])),NOT(ISNUMBER(tblYield[[#This Row],[FPY target]]))),"",IF(tblYield[[#This Row],[FPY]]&gt;=tblYield[[#This Row],[FPY target]],"On target",IF(tblYield[[#This Row],[FPY]]&gt;=tblYield[[#This Row],[FPY target]]-NearBand,"Near target","Below target")))</f>
        <v>On target</v>
      </c>
      <c r="L114" s="38">
        <f>IF(tblYield[[#This Row],[Date]]="","",IF(tblYield[[#This Row],[Units in]]&gt;0,(tblYield[[#This Row],[Units in]]-tblYield[[#This Row],[Scrapped]])/tblYield[[#This Row],[Units in]],""))</f>
        <v>1</v>
      </c>
      <c r="M114" s="40">
        <f>IF(tblYield[[#This Row],[Date]]="","",IFERROR(INDEX(tblOperations[Rework cost],MATCH(tblYield[[#This Row],[Operation]],tblOperations[Operation],0)),""))</f>
        <v>2.2</v>
      </c>
      <c r="N114" s="40">
        <f>IF(tblYield[[#This Row],[Date]]="","",IFERROR(INDEX(tblOperations[Scrap cost],MATCH(tblYield[[#This Row],[Operation]],tblOperations[Operation],0)),""))</f>
        <v>41</v>
      </c>
      <c r="O114" s="40">
        <f>IF(tblYield[[#This Row],[Date]]="","",IF(tblYield[[#This Row],[Rework cost per unit]]="","",tblYield[[#This Row],[Reworked]]*tblYield[[#This Row],[Rework cost per unit]]))</f>
        <v>11</v>
      </c>
      <c r="P114" s="40">
        <f>IF(tblYield[[#This Row],[Date]]="","",IF(tblYield[[#This Row],[Scrap cost per unit]]="","",tblYield[[#This Row],[Scrapped]]*tblYield[[#This Row],[Scrap cost per unit]]))</f>
        <v>0</v>
      </c>
      <c r="Q114" s="41">
        <f>IF(tblYield[[#This Row],[Date]]="","",IF(AND(tblYield[[#This Row],[Date]]&gt;=FFrom,tblYield[[#This Row],[Date]]&lt;=FTo),tblYield[[#This Row],[Date]],""))</f>
        <v>46288</v>
      </c>
      <c r="R11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4" s="43" t="s">
        <v>104</v>
      </c>
    </row>
    <row r="115" spans="2:19" x14ac:dyDescent="0.25">
      <c r="B115" s="35">
        <v>46289</v>
      </c>
      <c r="C115" s="28" t="s">
        <v>76</v>
      </c>
      <c r="D115" s="36">
        <v>620</v>
      </c>
      <c r="E115" s="36">
        <v>619</v>
      </c>
      <c r="F115" s="36">
        <v>0</v>
      </c>
      <c r="G115" s="37">
        <f>IF(tblYield[[#This Row],[Date]]="","",tblYield[[#This Row],[Units in]]-tblYield[[#This Row],[Passed first time]])</f>
        <v>1</v>
      </c>
      <c r="H115" s="37">
        <f>IF(tblYield[[#This Row],[Date]]="","",tblYield[[#This Row],[Units in]]-tblYield[[#This Row],[Passed first time]]-tblYield[[#This Row],[Scrapped]])</f>
        <v>1</v>
      </c>
      <c r="I115" s="38">
        <f>IF(tblYield[[#This Row],[Date]]="","",IF(tblYield[[#This Row],[Units in]]&gt;0,tblYield[[#This Row],[Passed first time]]/tblYield[[#This Row],[Units in]],""))</f>
        <v>0.998387096774194</v>
      </c>
      <c r="J115" s="38">
        <f>IF(tblYield[[#This Row],[Date]]="","",IFERROR(INDEX(tblOperations[FPY target],MATCH(tblYield[[#This Row],[Operation]],tblOperations[Operation],0)),""))</f>
        <v>0.99</v>
      </c>
      <c r="K115" s="39" t="str">
        <f>IF(OR(NOT(ISNUMBER(tblYield[[#This Row],[FPY]])),NOT(ISNUMBER(tblYield[[#This Row],[FPY target]]))),"",IF(tblYield[[#This Row],[FPY]]&gt;=tblYield[[#This Row],[FPY target]],"On target",IF(tblYield[[#This Row],[FPY]]&gt;=tblYield[[#This Row],[FPY target]]-NearBand,"Near target","Below target")))</f>
        <v>On target</v>
      </c>
      <c r="L115" s="38">
        <f>IF(tblYield[[#This Row],[Date]]="","",IF(tblYield[[#This Row],[Units in]]&gt;0,(tblYield[[#This Row],[Units in]]-tblYield[[#This Row],[Scrapped]])/tblYield[[#This Row],[Units in]],""))</f>
        <v>1</v>
      </c>
      <c r="M115" s="40">
        <f>IF(tblYield[[#This Row],[Date]]="","",IFERROR(INDEX(tblOperations[Rework cost],MATCH(tblYield[[#This Row],[Operation]],tblOperations[Operation],0)),""))</f>
        <v>0.6</v>
      </c>
      <c r="N115" s="40">
        <f>IF(tblYield[[#This Row],[Date]]="","",IFERROR(INDEX(tblOperations[Scrap cost],MATCH(tblYield[[#This Row],[Operation]],tblOperations[Operation],0)),""))</f>
        <v>4.8</v>
      </c>
      <c r="O115" s="40">
        <f>IF(tblYield[[#This Row],[Date]]="","",IF(tblYield[[#This Row],[Rework cost per unit]]="","",tblYield[[#This Row],[Reworked]]*tblYield[[#This Row],[Rework cost per unit]]))</f>
        <v>0.6</v>
      </c>
      <c r="P115" s="40">
        <f>IF(tblYield[[#This Row],[Date]]="","",IF(tblYield[[#This Row],[Scrap cost per unit]]="","",tblYield[[#This Row],[Scrapped]]*tblYield[[#This Row],[Scrap cost per unit]]))</f>
        <v>0</v>
      </c>
      <c r="Q115" s="41">
        <f>IF(tblYield[[#This Row],[Date]]="","",IF(AND(tblYield[[#This Row],[Date]]&gt;=FFrom,tblYield[[#This Row],[Date]]&lt;=FTo),tblYield[[#This Row],[Date]],""))</f>
        <v>46289</v>
      </c>
      <c r="R11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5" s="43" t="s">
        <v>104</v>
      </c>
    </row>
    <row r="116" spans="2:19" x14ac:dyDescent="0.25">
      <c r="B116" s="35">
        <v>46289</v>
      </c>
      <c r="C116" s="28" t="s">
        <v>78</v>
      </c>
      <c r="D116" s="36">
        <v>620</v>
      </c>
      <c r="E116" s="36">
        <v>602</v>
      </c>
      <c r="F116" s="36">
        <v>1</v>
      </c>
      <c r="G116" s="37">
        <f>IF(tblYield[[#This Row],[Date]]="","",tblYield[[#This Row],[Units in]]-tblYield[[#This Row],[Passed first time]])</f>
        <v>18</v>
      </c>
      <c r="H116" s="37">
        <f>IF(tblYield[[#This Row],[Date]]="","",tblYield[[#This Row],[Units in]]-tblYield[[#This Row],[Passed first time]]-tblYield[[#This Row],[Scrapped]])</f>
        <v>17</v>
      </c>
      <c r="I116" s="38">
        <f>IF(tblYield[[#This Row],[Date]]="","",IF(tblYield[[#This Row],[Units in]]&gt;0,tblYield[[#This Row],[Passed first time]]/tblYield[[#This Row],[Units in]],""))</f>
        <v>0.970967741935484</v>
      </c>
      <c r="J116" s="38">
        <f>IF(tblYield[[#This Row],[Date]]="","",IFERROR(INDEX(tblOperations[FPY target],MATCH(tblYield[[#This Row],[Operation]],tblOperations[Operation],0)),""))</f>
        <v>0.98</v>
      </c>
      <c r="K116" s="39" t="str">
        <f>IF(OR(NOT(ISNUMBER(tblYield[[#This Row],[FPY]])),NOT(ISNUMBER(tblYield[[#This Row],[FPY target]]))),"",IF(tblYield[[#This Row],[FPY]]&gt;=tblYield[[#This Row],[FPY target]],"On target",IF(tblYield[[#This Row],[FPY]]&gt;=tblYield[[#This Row],[FPY target]]-NearBand,"Near target","Below target")))</f>
        <v>Near target</v>
      </c>
      <c r="L116" s="38">
        <f>IF(tblYield[[#This Row],[Date]]="","",IF(tblYield[[#This Row],[Units in]]&gt;0,(tblYield[[#This Row],[Units in]]-tblYield[[#This Row],[Scrapped]])/tblYield[[#This Row],[Units in]],""))</f>
        <v>0.998387096774194</v>
      </c>
      <c r="M116" s="40">
        <f>IF(tblYield[[#This Row],[Date]]="","",IFERROR(INDEX(tblOperations[Rework cost],MATCH(tblYield[[#This Row],[Operation]],tblOperations[Operation],0)),""))</f>
        <v>3.8</v>
      </c>
      <c r="N116" s="40">
        <f>IF(tblYield[[#This Row],[Date]]="","",IFERROR(INDEX(tblOperations[Scrap cost],MATCH(tblYield[[#This Row],[Operation]],tblOperations[Operation],0)),""))</f>
        <v>31</v>
      </c>
      <c r="O116" s="40">
        <f>IF(tblYield[[#This Row],[Date]]="","",IF(tblYield[[#This Row],[Rework cost per unit]]="","",tblYield[[#This Row],[Reworked]]*tblYield[[#This Row],[Rework cost per unit]]))</f>
        <v>64.6</v>
      </c>
      <c r="P116" s="40">
        <f>IF(tblYield[[#This Row],[Date]]="","",IF(tblYield[[#This Row],[Scrap cost per unit]]="","",tblYield[[#This Row],[Scrapped]]*tblYield[[#This Row],[Scrap cost per unit]]))</f>
        <v>31</v>
      </c>
      <c r="Q116" s="41">
        <f>IF(tblYield[[#This Row],[Date]]="","",IF(AND(tblYield[[#This Row],[Date]]&gt;=FFrom,tblYield[[#This Row],[Date]]&lt;=FTo),tblYield[[#This Row],[Date]],""))</f>
        <v>46289</v>
      </c>
      <c r="R11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6" s="43" t="s">
        <v>104</v>
      </c>
    </row>
    <row r="117" spans="2:19" x14ac:dyDescent="0.25">
      <c r="B117" s="35">
        <v>46289</v>
      </c>
      <c r="C117" s="28" t="s">
        <v>80</v>
      </c>
      <c r="D117" s="36">
        <v>619</v>
      </c>
      <c r="E117" s="36">
        <v>598</v>
      </c>
      <c r="F117" s="36">
        <v>2</v>
      </c>
      <c r="G117" s="37">
        <f>IF(tblYield[[#This Row],[Date]]="","",tblYield[[#This Row],[Units in]]-tblYield[[#This Row],[Passed first time]])</f>
        <v>21</v>
      </c>
      <c r="H117" s="37">
        <f>IF(tblYield[[#This Row],[Date]]="","",tblYield[[#This Row],[Units in]]-tblYield[[#This Row],[Passed first time]]-tblYield[[#This Row],[Scrapped]])</f>
        <v>19</v>
      </c>
      <c r="I117" s="38">
        <f>IF(tblYield[[#This Row],[Date]]="","",IF(tblYield[[#This Row],[Units in]]&gt;0,tblYield[[#This Row],[Passed first time]]/tblYield[[#This Row],[Units in]],""))</f>
        <v>0.966074313408724</v>
      </c>
      <c r="J117" s="38">
        <f>IF(tblYield[[#This Row],[Date]]="","",IFERROR(INDEX(tblOperations[FPY target],MATCH(tblYield[[#This Row],[Operation]],tblOperations[Operation],0)),""))</f>
        <v>0.97</v>
      </c>
      <c r="K117" s="39" t="str">
        <f>IF(OR(NOT(ISNUMBER(tblYield[[#This Row],[FPY]])),NOT(ISNUMBER(tblYield[[#This Row],[FPY target]]))),"",IF(tblYield[[#This Row],[FPY]]&gt;=tblYield[[#This Row],[FPY target]],"On target",IF(tblYield[[#This Row],[FPY]]&gt;=tblYield[[#This Row],[FPY target]]-NearBand,"Near target","Below target")))</f>
        <v>Near target</v>
      </c>
      <c r="L117" s="38">
        <f>IF(tblYield[[#This Row],[Date]]="","",IF(tblYield[[#This Row],[Units in]]&gt;0,(tblYield[[#This Row],[Units in]]-tblYield[[#This Row],[Scrapped]])/tblYield[[#This Row],[Units in]],""))</f>
        <v>0.996768982229402</v>
      </c>
      <c r="M117" s="40">
        <f>IF(tblYield[[#This Row],[Date]]="","",IFERROR(INDEX(tblOperations[Rework cost],MATCH(tblYield[[#This Row],[Operation]],tblOperations[Operation],0)),""))</f>
        <v>2.9</v>
      </c>
      <c r="N117" s="40">
        <f>IF(tblYield[[#This Row],[Date]]="","",IFERROR(INDEX(tblOperations[Scrap cost],MATCH(tblYield[[#This Row],[Operation]],tblOperations[Operation],0)),""))</f>
        <v>34</v>
      </c>
      <c r="O117" s="40">
        <f>IF(tblYield[[#This Row],[Date]]="","",IF(tblYield[[#This Row],[Rework cost per unit]]="","",tblYield[[#This Row],[Reworked]]*tblYield[[#This Row],[Rework cost per unit]]))</f>
        <v>55.1</v>
      </c>
      <c r="P117" s="40">
        <f>IF(tblYield[[#This Row],[Date]]="","",IF(tblYield[[#This Row],[Scrap cost per unit]]="","",tblYield[[#This Row],[Scrapped]]*tblYield[[#This Row],[Scrap cost per unit]]))</f>
        <v>68</v>
      </c>
      <c r="Q117" s="41">
        <f>IF(tblYield[[#This Row],[Date]]="","",IF(AND(tblYield[[#This Row],[Date]]&gt;=FFrom,tblYield[[#This Row],[Date]]&lt;=FTo),tblYield[[#This Row],[Date]],""))</f>
        <v>46289</v>
      </c>
      <c r="R11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7" s="43" t="s">
        <v>104</v>
      </c>
    </row>
    <row r="118" spans="2:19" x14ac:dyDescent="0.25">
      <c r="B118" s="35">
        <v>46289</v>
      </c>
      <c r="C118" s="28" t="s">
        <v>82</v>
      </c>
      <c r="D118" s="36">
        <v>617</v>
      </c>
      <c r="E118" s="36">
        <v>604</v>
      </c>
      <c r="F118" s="36">
        <v>1</v>
      </c>
      <c r="G118" s="37">
        <f>IF(tblYield[[#This Row],[Date]]="","",tblYield[[#This Row],[Units in]]-tblYield[[#This Row],[Passed first time]])</f>
        <v>13</v>
      </c>
      <c r="H118" s="37">
        <f>IF(tblYield[[#This Row],[Date]]="","",tblYield[[#This Row],[Units in]]-tblYield[[#This Row],[Passed first time]]-tblYield[[#This Row],[Scrapped]])</f>
        <v>12</v>
      </c>
      <c r="I118" s="38">
        <f>IF(tblYield[[#This Row],[Date]]="","",IF(tblYield[[#This Row],[Units in]]&gt;0,tblYield[[#This Row],[Passed first time]]/tblYield[[#This Row],[Units in]],""))</f>
        <v>0.978930307941653</v>
      </c>
      <c r="J118" s="38">
        <f>IF(tblYield[[#This Row],[Date]]="","",IFERROR(INDEX(tblOperations[FPY target],MATCH(tblYield[[#This Row],[Operation]],tblOperations[Operation],0)),""))</f>
        <v>0.98</v>
      </c>
      <c r="K118" s="39" t="str">
        <f>IF(OR(NOT(ISNUMBER(tblYield[[#This Row],[FPY]])),NOT(ISNUMBER(tblYield[[#This Row],[FPY target]]))),"",IF(tblYield[[#This Row],[FPY]]&gt;=tblYield[[#This Row],[FPY target]],"On target",IF(tblYield[[#This Row],[FPY]]&gt;=tblYield[[#This Row],[FPY target]]-NearBand,"Near target","Below target")))</f>
        <v>Near target</v>
      </c>
      <c r="L118" s="38">
        <f>IF(tblYield[[#This Row],[Date]]="","",IF(tblYield[[#This Row],[Units in]]&gt;0,(tblYield[[#This Row],[Units in]]-tblYield[[#This Row],[Scrapped]])/tblYield[[#This Row],[Units in]],""))</f>
        <v>0.99837925445705</v>
      </c>
      <c r="M118" s="40">
        <f>IF(tblYield[[#This Row],[Date]]="","",IFERROR(INDEX(tblOperations[Rework cost],MATCH(tblYield[[#This Row],[Operation]],tblOperations[Operation],0)),""))</f>
        <v>8.5</v>
      </c>
      <c r="N118" s="40">
        <f>IF(tblYield[[#This Row],[Date]]="","",IFERROR(INDEX(tblOperations[Scrap cost],MATCH(tblYield[[#This Row],[Operation]],tblOperations[Operation],0)),""))</f>
        <v>36.5</v>
      </c>
      <c r="O118" s="40">
        <f>IF(tblYield[[#This Row],[Date]]="","",IF(tblYield[[#This Row],[Rework cost per unit]]="","",tblYield[[#This Row],[Reworked]]*tblYield[[#This Row],[Rework cost per unit]]))</f>
        <v>102</v>
      </c>
      <c r="P118" s="40">
        <f>IF(tblYield[[#This Row],[Date]]="","",IF(tblYield[[#This Row],[Scrap cost per unit]]="","",tblYield[[#This Row],[Scrapped]]*tblYield[[#This Row],[Scrap cost per unit]]))</f>
        <v>36.5</v>
      </c>
      <c r="Q118" s="41">
        <f>IF(tblYield[[#This Row],[Date]]="","",IF(AND(tblYield[[#This Row],[Date]]&gt;=FFrom,tblYield[[#This Row],[Date]]&lt;=FTo),tblYield[[#This Row],[Date]],""))</f>
        <v>46289</v>
      </c>
      <c r="R11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8" s="43" t="s">
        <v>104</v>
      </c>
    </row>
    <row r="119" spans="2:19" x14ac:dyDescent="0.25">
      <c r="B119" s="35">
        <v>46289</v>
      </c>
      <c r="C119" s="28" t="s">
        <v>84</v>
      </c>
      <c r="D119" s="36">
        <v>616</v>
      </c>
      <c r="E119" s="36">
        <v>610</v>
      </c>
      <c r="F119" s="36">
        <v>1</v>
      </c>
      <c r="G119" s="37">
        <f>IF(tblYield[[#This Row],[Date]]="","",tblYield[[#This Row],[Units in]]-tblYield[[#This Row],[Passed first time]])</f>
        <v>6</v>
      </c>
      <c r="H119" s="37">
        <f>IF(tblYield[[#This Row],[Date]]="","",tblYield[[#This Row],[Units in]]-tblYield[[#This Row],[Passed first time]]-tblYield[[#This Row],[Scrapped]])</f>
        <v>5</v>
      </c>
      <c r="I119" s="38">
        <f>IF(tblYield[[#This Row],[Date]]="","",IF(tblYield[[#This Row],[Units in]]&gt;0,tblYield[[#This Row],[Passed first time]]/tblYield[[#This Row],[Units in]],""))</f>
        <v>0.99025974025974</v>
      </c>
      <c r="J119" s="38">
        <f>IF(tblYield[[#This Row],[Date]]="","",IFERROR(INDEX(tblOperations[FPY target],MATCH(tblYield[[#This Row],[Operation]],tblOperations[Operation],0)),""))</f>
        <v>0.985</v>
      </c>
      <c r="K119" s="39" t="str">
        <f>IF(OR(NOT(ISNUMBER(tblYield[[#This Row],[FPY]])),NOT(ISNUMBER(tblYield[[#This Row],[FPY target]]))),"",IF(tblYield[[#This Row],[FPY]]&gt;=tblYield[[#This Row],[FPY target]],"On target",IF(tblYield[[#This Row],[FPY]]&gt;=tblYield[[#This Row],[FPY target]]-NearBand,"Near target","Below target")))</f>
        <v>On target</v>
      </c>
      <c r="L119" s="38">
        <f>IF(tblYield[[#This Row],[Date]]="","",IF(tblYield[[#This Row],[Units in]]&gt;0,(tblYield[[#This Row],[Units in]]-tblYield[[#This Row],[Scrapped]])/tblYield[[#This Row],[Units in]],""))</f>
        <v>0.998376623376623</v>
      </c>
      <c r="M119" s="40">
        <f>IF(tblYield[[#This Row],[Date]]="","",IFERROR(INDEX(tblOperations[Rework cost],MATCH(tblYield[[#This Row],[Operation]],tblOperations[Operation],0)),""))</f>
        <v>12</v>
      </c>
      <c r="N119" s="40">
        <f>IF(tblYield[[#This Row],[Date]]="","",IFERROR(INDEX(tblOperations[Scrap cost],MATCH(tblYield[[#This Row],[Operation]],tblOperations[Operation],0)),""))</f>
        <v>38</v>
      </c>
      <c r="O119" s="40">
        <f>IF(tblYield[[#This Row],[Date]]="","",IF(tblYield[[#This Row],[Rework cost per unit]]="","",tblYield[[#This Row],[Reworked]]*tblYield[[#This Row],[Rework cost per unit]]))</f>
        <v>60</v>
      </c>
      <c r="P119" s="40">
        <f>IF(tblYield[[#This Row],[Date]]="","",IF(tblYield[[#This Row],[Scrap cost per unit]]="","",tblYield[[#This Row],[Scrapped]]*tblYield[[#This Row],[Scrap cost per unit]]))</f>
        <v>38</v>
      </c>
      <c r="Q119" s="41">
        <f>IF(tblYield[[#This Row],[Date]]="","",IF(AND(tblYield[[#This Row],[Date]]&gt;=FFrom,tblYield[[#This Row],[Date]]&lt;=FTo),tblYield[[#This Row],[Date]],""))</f>
        <v>46289</v>
      </c>
      <c r="R11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19" s="43" t="s">
        <v>104</v>
      </c>
    </row>
    <row r="120" spans="2:19" x14ac:dyDescent="0.25">
      <c r="B120" s="35">
        <v>46289</v>
      </c>
      <c r="C120" s="28" t="s">
        <v>86</v>
      </c>
      <c r="D120" s="36">
        <v>615</v>
      </c>
      <c r="E120" s="36">
        <v>612</v>
      </c>
      <c r="F120" s="36">
        <v>0</v>
      </c>
      <c r="G120" s="37">
        <f>IF(tblYield[[#This Row],[Date]]="","",tblYield[[#This Row],[Units in]]-tblYield[[#This Row],[Passed first time]])</f>
        <v>3</v>
      </c>
      <c r="H120" s="37">
        <f>IF(tblYield[[#This Row],[Date]]="","",tblYield[[#This Row],[Units in]]-tblYield[[#This Row],[Passed first time]]-tblYield[[#This Row],[Scrapped]])</f>
        <v>3</v>
      </c>
      <c r="I120" s="38">
        <f>IF(tblYield[[#This Row],[Date]]="","",IF(tblYield[[#This Row],[Units in]]&gt;0,tblYield[[#This Row],[Passed first time]]/tblYield[[#This Row],[Units in]],""))</f>
        <v>0.995121951219512</v>
      </c>
      <c r="J120" s="38">
        <f>IF(tblYield[[#This Row],[Date]]="","",IFERROR(INDEX(tblOperations[FPY target],MATCH(tblYield[[#This Row],[Operation]],tblOperations[Operation],0)),""))</f>
        <v>0.99</v>
      </c>
      <c r="K120" s="39" t="str">
        <f>IF(OR(NOT(ISNUMBER(tblYield[[#This Row],[FPY]])),NOT(ISNUMBER(tblYield[[#This Row],[FPY target]]))),"",IF(tblYield[[#This Row],[FPY]]&gt;=tblYield[[#This Row],[FPY target]],"On target",IF(tblYield[[#This Row],[FPY]]&gt;=tblYield[[#This Row],[FPY target]]-NearBand,"Near target","Below target")))</f>
        <v>On target</v>
      </c>
      <c r="L120" s="38">
        <f>IF(tblYield[[#This Row],[Date]]="","",IF(tblYield[[#This Row],[Units in]]&gt;0,(tblYield[[#This Row],[Units in]]-tblYield[[#This Row],[Scrapped]])/tblYield[[#This Row],[Units in]],""))</f>
        <v>1</v>
      </c>
      <c r="M120" s="40">
        <f>IF(tblYield[[#This Row],[Date]]="","",IFERROR(INDEX(tblOperations[Rework cost],MATCH(tblYield[[#This Row],[Operation]],tblOperations[Operation],0)),""))</f>
        <v>2.2</v>
      </c>
      <c r="N120" s="40">
        <f>IF(tblYield[[#This Row],[Date]]="","",IFERROR(INDEX(tblOperations[Scrap cost],MATCH(tblYield[[#This Row],[Operation]],tblOperations[Operation],0)),""))</f>
        <v>41</v>
      </c>
      <c r="O120" s="40">
        <f>IF(tblYield[[#This Row],[Date]]="","",IF(tblYield[[#This Row],[Rework cost per unit]]="","",tblYield[[#This Row],[Reworked]]*tblYield[[#This Row],[Rework cost per unit]]))</f>
        <v>6.6</v>
      </c>
      <c r="P120" s="40">
        <f>IF(tblYield[[#This Row],[Date]]="","",IF(tblYield[[#This Row],[Scrap cost per unit]]="","",tblYield[[#This Row],[Scrapped]]*tblYield[[#This Row],[Scrap cost per unit]]))</f>
        <v>0</v>
      </c>
      <c r="Q120" s="41">
        <f>IF(tblYield[[#This Row],[Date]]="","",IF(AND(tblYield[[#This Row],[Date]]&gt;=FFrom,tblYield[[#This Row],[Date]]&lt;=FTo),tblYield[[#This Row],[Date]],""))</f>
        <v>46289</v>
      </c>
      <c r="R12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0" s="43" t="s">
        <v>104</v>
      </c>
    </row>
    <row r="121" spans="2:19" x14ac:dyDescent="0.25">
      <c r="B121" s="35">
        <v>46290</v>
      </c>
      <c r="C121" s="28" t="s">
        <v>76</v>
      </c>
      <c r="D121" s="36">
        <v>610</v>
      </c>
      <c r="E121" s="36">
        <v>607</v>
      </c>
      <c r="F121" s="36">
        <v>0</v>
      </c>
      <c r="G121" s="37">
        <f>IF(tblYield[[#This Row],[Date]]="","",tblYield[[#This Row],[Units in]]-tblYield[[#This Row],[Passed first time]])</f>
        <v>3</v>
      </c>
      <c r="H121" s="37">
        <f>IF(tblYield[[#This Row],[Date]]="","",tblYield[[#This Row],[Units in]]-tblYield[[#This Row],[Passed first time]]-tblYield[[#This Row],[Scrapped]])</f>
        <v>3</v>
      </c>
      <c r="I121" s="38">
        <f>IF(tblYield[[#This Row],[Date]]="","",IF(tblYield[[#This Row],[Units in]]&gt;0,tblYield[[#This Row],[Passed first time]]/tblYield[[#This Row],[Units in]],""))</f>
        <v>0.995081967213115</v>
      </c>
      <c r="J121" s="38">
        <f>IF(tblYield[[#This Row],[Date]]="","",IFERROR(INDEX(tblOperations[FPY target],MATCH(tblYield[[#This Row],[Operation]],tblOperations[Operation],0)),""))</f>
        <v>0.99</v>
      </c>
      <c r="K121" s="39" t="str">
        <f>IF(OR(NOT(ISNUMBER(tblYield[[#This Row],[FPY]])),NOT(ISNUMBER(tblYield[[#This Row],[FPY target]]))),"",IF(tblYield[[#This Row],[FPY]]&gt;=tblYield[[#This Row],[FPY target]],"On target",IF(tblYield[[#This Row],[FPY]]&gt;=tblYield[[#This Row],[FPY target]]-NearBand,"Near target","Below target")))</f>
        <v>On target</v>
      </c>
      <c r="L121" s="38">
        <f>IF(tblYield[[#This Row],[Date]]="","",IF(tblYield[[#This Row],[Units in]]&gt;0,(tblYield[[#This Row],[Units in]]-tblYield[[#This Row],[Scrapped]])/tblYield[[#This Row],[Units in]],""))</f>
        <v>1</v>
      </c>
      <c r="M121" s="40">
        <f>IF(tblYield[[#This Row],[Date]]="","",IFERROR(INDEX(tblOperations[Rework cost],MATCH(tblYield[[#This Row],[Operation]],tblOperations[Operation],0)),""))</f>
        <v>0.6</v>
      </c>
      <c r="N121" s="40">
        <f>IF(tblYield[[#This Row],[Date]]="","",IFERROR(INDEX(tblOperations[Scrap cost],MATCH(tblYield[[#This Row],[Operation]],tblOperations[Operation],0)),""))</f>
        <v>4.8</v>
      </c>
      <c r="O121" s="40">
        <f>IF(tblYield[[#This Row],[Date]]="","",IF(tblYield[[#This Row],[Rework cost per unit]]="","",tblYield[[#This Row],[Reworked]]*tblYield[[#This Row],[Rework cost per unit]]))</f>
        <v>1.8</v>
      </c>
      <c r="P121" s="40">
        <f>IF(tblYield[[#This Row],[Date]]="","",IF(tblYield[[#This Row],[Scrap cost per unit]]="","",tblYield[[#This Row],[Scrapped]]*tblYield[[#This Row],[Scrap cost per unit]]))</f>
        <v>0</v>
      </c>
      <c r="Q121" s="41">
        <f>IF(tblYield[[#This Row],[Date]]="","",IF(AND(tblYield[[#This Row],[Date]]&gt;=FFrom,tblYield[[#This Row],[Date]]&lt;=FTo),tblYield[[#This Row],[Date]],""))</f>
        <v>46290</v>
      </c>
      <c r="R12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1" s="43" t="s">
        <v>104</v>
      </c>
    </row>
    <row r="122" spans="2:19" x14ac:dyDescent="0.25">
      <c r="B122" s="35">
        <v>46290</v>
      </c>
      <c r="C122" s="28" t="s">
        <v>78</v>
      </c>
      <c r="D122" s="36">
        <v>610</v>
      </c>
      <c r="E122" s="36">
        <v>601</v>
      </c>
      <c r="F122" s="36">
        <v>1</v>
      </c>
      <c r="G122" s="37">
        <f>IF(tblYield[[#This Row],[Date]]="","",tblYield[[#This Row],[Units in]]-tblYield[[#This Row],[Passed first time]])</f>
        <v>9</v>
      </c>
      <c r="H122" s="37">
        <f>IF(tblYield[[#This Row],[Date]]="","",tblYield[[#This Row],[Units in]]-tblYield[[#This Row],[Passed first time]]-tblYield[[#This Row],[Scrapped]])</f>
        <v>8</v>
      </c>
      <c r="I122" s="38">
        <f>IF(tblYield[[#This Row],[Date]]="","",IF(tblYield[[#This Row],[Units in]]&gt;0,tblYield[[#This Row],[Passed first time]]/tblYield[[#This Row],[Units in]],""))</f>
        <v>0.985245901639344</v>
      </c>
      <c r="J122" s="38">
        <f>IF(tblYield[[#This Row],[Date]]="","",IFERROR(INDEX(tblOperations[FPY target],MATCH(tblYield[[#This Row],[Operation]],tblOperations[Operation],0)),""))</f>
        <v>0.98</v>
      </c>
      <c r="K122" s="39" t="str">
        <f>IF(OR(NOT(ISNUMBER(tblYield[[#This Row],[FPY]])),NOT(ISNUMBER(tblYield[[#This Row],[FPY target]]))),"",IF(tblYield[[#This Row],[FPY]]&gt;=tblYield[[#This Row],[FPY target]],"On target",IF(tblYield[[#This Row],[FPY]]&gt;=tblYield[[#This Row],[FPY target]]-NearBand,"Near target","Below target")))</f>
        <v>On target</v>
      </c>
      <c r="L122" s="38">
        <f>IF(tblYield[[#This Row],[Date]]="","",IF(tblYield[[#This Row],[Units in]]&gt;0,(tblYield[[#This Row],[Units in]]-tblYield[[#This Row],[Scrapped]])/tblYield[[#This Row],[Units in]],""))</f>
        <v>0.998360655737705</v>
      </c>
      <c r="M122" s="40">
        <f>IF(tblYield[[#This Row],[Date]]="","",IFERROR(INDEX(tblOperations[Rework cost],MATCH(tblYield[[#This Row],[Operation]],tblOperations[Operation],0)),""))</f>
        <v>3.8</v>
      </c>
      <c r="N122" s="40">
        <f>IF(tblYield[[#This Row],[Date]]="","",IFERROR(INDEX(tblOperations[Scrap cost],MATCH(tblYield[[#This Row],[Operation]],tblOperations[Operation],0)),""))</f>
        <v>31</v>
      </c>
      <c r="O122" s="40">
        <f>IF(tblYield[[#This Row],[Date]]="","",IF(tblYield[[#This Row],[Rework cost per unit]]="","",tblYield[[#This Row],[Reworked]]*tblYield[[#This Row],[Rework cost per unit]]))</f>
        <v>30.4</v>
      </c>
      <c r="P122" s="40">
        <f>IF(tblYield[[#This Row],[Date]]="","",IF(tblYield[[#This Row],[Scrap cost per unit]]="","",tblYield[[#This Row],[Scrapped]]*tblYield[[#This Row],[Scrap cost per unit]]))</f>
        <v>31</v>
      </c>
      <c r="Q122" s="41">
        <f>IF(tblYield[[#This Row],[Date]]="","",IF(AND(tblYield[[#This Row],[Date]]&gt;=FFrom,tblYield[[#This Row],[Date]]&lt;=FTo),tblYield[[#This Row],[Date]],""))</f>
        <v>46290</v>
      </c>
      <c r="R12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2" s="43" t="s">
        <v>104</v>
      </c>
    </row>
    <row r="123" spans="2:19" x14ac:dyDescent="0.25">
      <c r="B123" s="35">
        <v>46290</v>
      </c>
      <c r="C123" s="28" t="s">
        <v>80</v>
      </c>
      <c r="D123" s="36">
        <v>609</v>
      </c>
      <c r="E123" s="36">
        <v>582</v>
      </c>
      <c r="F123" s="36">
        <v>1</v>
      </c>
      <c r="G123" s="37">
        <f>IF(tblYield[[#This Row],[Date]]="","",tblYield[[#This Row],[Units in]]-tblYield[[#This Row],[Passed first time]])</f>
        <v>27</v>
      </c>
      <c r="H123" s="37">
        <f>IF(tblYield[[#This Row],[Date]]="","",tblYield[[#This Row],[Units in]]-tblYield[[#This Row],[Passed first time]]-tblYield[[#This Row],[Scrapped]])</f>
        <v>26</v>
      </c>
      <c r="I123" s="38">
        <f>IF(tblYield[[#This Row],[Date]]="","",IF(tblYield[[#This Row],[Units in]]&gt;0,tblYield[[#This Row],[Passed first time]]/tblYield[[#This Row],[Units in]],""))</f>
        <v>0.955665024630542</v>
      </c>
      <c r="J123" s="38">
        <f>IF(tblYield[[#This Row],[Date]]="","",IFERROR(INDEX(tblOperations[FPY target],MATCH(tblYield[[#This Row],[Operation]],tblOperations[Operation],0)),""))</f>
        <v>0.97</v>
      </c>
      <c r="K123" s="39" t="str">
        <f>IF(OR(NOT(ISNUMBER(tblYield[[#This Row],[FPY]])),NOT(ISNUMBER(tblYield[[#This Row],[FPY target]]))),"",IF(tblYield[[#This Row],[FPY]]&gt;=tblYield[[#This Row],[FPY target]],"On target",IF(tblYield[[#This Row],[FPY]]&gt;=tblYield[[#This Row],[FPY target]]-NearBand,"Near target","Below target")))</f>
        <v>Below target</v>
      </c>
      <c r="L123" s="38">
        <f>IF(tblYield[[#This Row],[Date]]="","",IF(tblYield[[#This Row],[Units in]]&gt;0,(tblYield[[#This Row],[Units in]]-tblYield[[#This Row],[Scrapped]])/tblYield[[#This Row],[Units in]],""))</f>
        <v>0.998357963875205</v>
      </c>
      <c r="M123" s="40">
        <f>IF(tblYield[[#This Row],[Date]]="","",IFERROR(INDEX(tblOperations[Rework cost],MATCH(tblYield[[#This Row],[Operation]],tblOperations[Operation],0)),""))</f>
        <v>2.9</v>
      </c>
      <c r="N123" s="40">
        <f>IF(tblYield[[#This Row],[Date]]="","",IFERROR(INDEX(tblOperations[Scrap cost],MATCH(tblYield[[#This Row],[Operation]],tblOperations[Operation],0)),""))</f>
        <v>34</v>
      </c>
      <c r="O123" s="40">
        <f>IF(tblYield[[#This Row],[Date]]="","",IF(tblYield[[#This Row],[Rework cost per unit]]="","",tblYield[[#This Row],[Reworked]]*tblYield[[#This Row],[Rework cost per unit]]))</f>
        <v>75.4</v>
      </c>
      <c r="P123" s="40">
        <f>IF(tblYield[[#This Row],[Date]]="","",IF(tblYield[[#This Row],[Scrap cost per unit]]="","",tblYield[[#This Row],[Scrapped]]*tblYield[[#This Row],[Scrap cost per unit]]))</f>
        <v>34</v>
      </c>
      <c r="Q123" s="41">
        <f>IF(tblYield[[#This Row],[Date]]="","",IF(AND(tblYield[[#This Row],[Date]]&gt;=FFrom,tblYield[[#This Row],[Date]]&lt;=FTo),tblYield[[#This Row],[Date]],""))</f>
        <v>46290</v>
      </c>
      <c r="R12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3" s="43" t="s">
        <v>104</v>
      </c>
    </row>
    <row r="124" spans="2:19" x14ac:dyDescent="0.25">
      <c r="B124" s="35">
        <v>46290</v>
      </c>
      <c r="C124" s="28" t="s">
        <v>82</v>
      </c>
      <c r="D124" s="36">
        <v>608</v>
      </c>
      <c r="E124" s="36">
        <v>595</v>
      </c>
      <c r="F124" s="36">
        <v>1</v>
      </c>
      <c r="G124" s="37">
        <f>IF(tblYield[[#This Row],[Date]]="","",tblYield[[#This Row],[Units in]]-tblYield[[#This Row],[Passed first time]])</f>
        <v>13</v>
      </c>
      <c r="H124" s="37">
        <f>IF(tblYield[[#This Row],[Date]]="","",tblYield[[#This Row],[Units in]]-tblYield[[#This Row],[Passed first time]]-tblYield[[#This Row],[Scrapped]])</f>
        <v>12</v>
      </c>
      <c r="I124" s="38">
        <f>IF(tblYield[[#This Row],[Date]]="","",IF(tblYield[[#This Row],[Units in]]&gt;0,tblYield[[#This Row],[Passed first time]]/tblYield[[#This Row],[Units in]],""))</f>
        <v>0.978618421052632</v>
      </c>
      <c r="J124" s="38">
        <f>IF(tblYield[[#This Row],[Date]]="","",IFERROR(INDEX(tblOperations[FPY target],MATCH(tblYield[[#This Row],[Operation]],tblOperations[Operation],0)),""))</f>
        <v>0.98</v>
      </c>
      <c r="K124" s="39" t="str">
        <f>IF(OR(NOT(ISNUMBER(tblYield[[#This Row],[FPY]])),NOT(ISNUMBER(tblYield[[#This Row],[FPY target]]))),"",IF(tblYield[[#This Row],[FPY]]&gt;=tblYield[[#This Row],[FPY target]],"On target",IF(tblYield[[#This Row],[FPY]]&gt;=tblYield[[#This Row],[FPY target]]-NearBand,"Near target","Below target")))</f>
        <v>Near target</v>
      </c>
      <c r="L124" s="38">
        <f>IF(tblYield[[#This Row],[Date]]="","",IF(tblYield[[#This Row],[Units in]]&gt;0,(tblYield[[#This Row],[Units in]]-tblYield[[#This Row],[Scrapped]])/tblYield[[#This Row],[Units in]],""))</f>
        <v>0.998355263157895</v>
      </c>
      <c r="M124" s="40">
        <f>IF(tblYield[[#This Row],[Date]]="","",IFERROR(INDEX(tblOperations[Rework cost],MATCH(tblYield[[#This Row],[Operation]],tblOperations[Operation],0)),""))</f>
        <v>8.5</v>
      </c>
      <c r="N124" s="40">
        <f>IF(tblYield[[#This Row],[Date]]="","",IFERROR(INDEX(tblOperations[Scrap cost],MATCH(tblYield[[#This Row],[Operation]],tblOperations[Operation],0)),""))</f>
        <v>36.5</v>
      </c>
      <c r="O124" s="40">
        <f>IF(tblYield[[#This Row],[Date]]="","",IF(tblYield[[#This Row],[Rework cost per unit]]="","",tblYield[[#This Row],[Reworked]]*tblYield[[#This Row],[Rework cost per unit]]))</f>
        <v>102</v>
      </c>
      <c r="P124" s="40">
        <f>IF(tblYield[[#This Row],[Date]]="","",IF(tblYield[[#This Row],[Scrap cost per unit]]="","",tblYield[[#This Row],[Scrapped]]*tblYield[[#This Row],[Scrap cost per unit]]))</f>
        <v>36.5</v>
      </c>
      <c r="Q124" s="41">
        <f>IF(tblYield[[#This Row],[Date]]="","",IF(AND(tblYield[[#This Row],[Date]]&gt;=FFrom,tblYield[[#This Row],[Date]]&lt;=FTo),tblYield[[#This Row],[Date]],""))</f>
        <v>46290</v>
      </c>
      <c r="R12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4" s="43" t="s">
        <v>104</v>
      </c>
    </row>
    <row r="125" spans="2:19" x14ac:dyDescent="0.25">
      <c r="B125" s="35">
        <v>46290</v>
      </c>
      <c r="C125" s="28" t="s">
        <v>84</v>
      </c>
      <c r="D125" s="36">
        <v>607</v>
      </c>
      <c r="E125" s="36">
        <v>603</v>
      </c>
      <c r="F125" s="36">
        <v>0</v>
      </c>
      <c r="G125" s="37">
        <f>IF(tblYield[[#This Row],[Date]]="","",tblYield[[#This Row],[Units in]]-tblYield[[#This Row],[Passed first time]])</f>
        <v>4</v>
      </c>
      <c r="H125" s="37">
        <f>IF(tblYield[[#This Row],[Date]]="","",tblYield[[#This Row],[Units in]]-tblYield[[#This Row],[Passed first time]]-tblYield[[#This Row],[Scrapped]])</f>
        <v>4</v>
      </c>
      <c r="I125" s="38">
        <f>IF(tblYield[[#This Row],[Date]]="","",IF(tblYield[[#This Row],[Units in]]&gt;0,tblYield[[#This Row],[Passed first time]]/tblYield[[#This Row],[Units in]],""))</f>
        <v>0.99341021416804</v>
      </c>
      <c r="J125" s="38">
        <f>IF(tblYield[[#This Row],[Date]]="","",IFERROR(INDEX(tblOperations[FPY target],MATCH(tblYield[[#This Row],[Operation]],tblOperations[Operation],0)),""))</f>
        <v>0.985</v>
      </c>
      <c r="K125" s="39" t="str">
        <f>IF(OR(NOT(ISNUMBER(tblYield[[#This Row],[FPY]])),NOT(ISNUMBER(tblYield[[#This Row],[FPY target]]))),"",IF(tblYield[[#This Row],[FPY]]&gt;=tblYield[[#This Row],[FPY target]],"On target",IF(tblYield[[#This Row],[FPY]]&gt;=tblYield[[#This Row],[FPY target]]-NearBand,"Near target","Below target")))</f>
        <v>On target</v>
      </c>
      <c r="L125" s="38">
        <f>IF(tblYield[[#This Row],[Date]]="","",IF(tblYield[[#This Row],[Units in]]&gt;0,(tblYield[[#This Row],[Units in]]-tblYield[[#This Row],[Scrapped]])/tblYield[[#This Row],[Units in]],""))</f>
        <v>1</v>
      </c>
      <c r="M125" s="40">
        <f>IF(tblYield[[#This Row],[Date]]="","",IFERROR(INDEX(tblOperations[Rework cost],MATCH(tblYield[[#This Row],[Operation]],tblOperations[Operation],0)),""))</f>
        <v>12</v>
      </c>
      <c r="N125" s="40">
        <f>IF(tblYield[[#This Row],[Date]]="","",IFERROR(INDEX(tblOperations[Scrap cost],MATCH(tblYield[[#This Row],[Operation]],tblOperations[Operation],0)),""))</f>
        <v>38</v>
      </c>
      <c r="O125" s="40">
        <f>IF(tblYield[[#This Row],[Date]]="","",IF(tblYield[[#This Row],[Rework cost per unit]]="","",tblYield[[#This Row],[Reworked]]*tblYield[[#This Row],[Rework cost per unit]]))</f>
        <v>48</v>
      </c>
      <c r="P125" s="40">
        <f>IF(tblYield[[#This Row],[Date]]="","",IF(tblYield[[#This Row],[Scrap cost per unit]]="","",tblYield[[#This Row],[Scrapped]]*tblYield[[#This Row],[Scrap cost per unit]]))</f>
        <v>0</v>
      </c>
      <c r="Q125" s="41">
        <f>IF(tblYield[[#This Row],[Date]]="","",IF(AND(tblYield[[#This Row],[Date]]&gt;=FFrom,tblYield[[#This Row],[Date]]&lt;=FTo),tblYield[[#This Row],[Date]],""))</f>
        <v>46290</v>
      </c>
      <c r="R12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5" s="43" t="s">
        <v>104</v>
      </c>
    </row>
    <row r="126" spans="2:19" x14ac:dyDescent="0.25">
      <c r="B126" s="35">
        <v>46290</v>
      </c>
      <c r="C126" s="28" t="s">
        <v>86</v>
      </c>
      <c r="D126" s="36">
        <v>607</v>
      </c>
      <c r="E126" s="36">
        <v>600</v>
      </c>
      <c r="F126" s="36">
        <v>0</v>
      </c>
      <c r="G126" s="37">
        <f>IF(tblYield[[#This Row],[Date]]="","",tblYield[[#This Row],[Units in]]-tblYield[[#This Row],[Passed first time]])</f>
        <v>7</v>
      </c>
      <c r="H126" s="37">
        <f>IF(tblYield[[#This Row],[Date]]="","",tblYield[[#This Row],[Units in]]-tblYield[[#This Row],[Passed first time]]-tblYield[[#This Row],[Scrapped]])</f>
        <v>7</v>
      </c>
      <c r="I126" s="38">
        <f>IF(tblYield[[#This Row],[Date]]="","",IF(tblYield[[#This Row],[Units in]]&gt;0,tblYield[[#This Row],[Passed first time]]/tblYield[[#This Row],[Units in]],""))</f>
        <v>0.988467874794069</v>
      </c>
      <c r="J126" s="38">
        <f>IF(tblYield[[#This Row],[Date]]="","",IFERROR(INDEX(tblOperations[FPY target],MATCH(tblYield[[#This Row],[Operation]],tblOperations[Operation],0)),""))</f>
        <v>0.99</v>
      </c>
      <c r="K126" s="39" t="str">
        <f>IF(OR(NOT(ISNUMBER(tblYield[[#This Row],[FPY]])),NOT(ISNUMBER(tblYield[[#This Row],[FPY target]]))),"",IF(tblYield[[#This Row],[FPY]]&gt;=tblYield[[#This Row],[FPY target]],"On target",IF(tblYield[[#This Row],[FPY]]&gt;=tblYield[[#This Row],[FPY target]]-NearBand,"Near target","Below target")))</f>
        <v>Near target</v>
      </c>
      <c r="L126" s="38">
        <f>IF(tblYield[[#This Row],[Date]]="","",IF(tblYield[[#This Row],[Units in]]&gt;0,(tblYield[[#This Row],[Units in]]-tblYield[[#This Row],[Scrapped]])/tblYield[[#This Row],[Units in]],""))</f>
        <v>1</v>
      </c>
      <c r="M126" s="40">
        <f>IF(tblYield[[#This Row],[Date]]="","",IFERROR(INDEX(tblOperations[Rework cost],MATCH(tblYield[[#This Row],[Operation]],tblOperations[Operation],0)),""))</f>
        <v>2.2</v>
      </c>
      <c r="N126" s="40">
        <f>IF(tblYield[[#This Row],[Date]]="","",IFERROR(INDEX(tblOperations[Scrap cost],MATCH(tblYield[[#This Row],[Operation]],tblOperations[Operation],0)),""))</f>
        <v>41</v>
      </c>
      <c r="O126" s="40">
        <f>IF(tblYield[[#This Row],[Date]]="","",IF(tblYield[[#This Row],[Rework cost per unit]]="","",tblYield[[#This Row],[Reworked]]*tblYield[[#This Row],[Rework cost per unit]]))</f>
        <v>15.4</v>
      </c>
      <c r="P126" s="40">
        <f>IF(tblYield[[#This Row],[Date]]="","",IF(tblYield[[#This Row],[Scrap cost per unit]]="","",tblYield[[#This Row],[Scrapped]]*tblYield[[#This Row],[Scrap cost per unit]]))</f>
        <v>0</v>
      </c>
      <c r="Q126" s="41">
        <f>IF(tblYield[[#This Row],[Date]]="","",IF(AND(tblYield[[#This Row],[Date]]&gt;=FFrom,tblYield[[#This Row],[Date]]&lt;=FTo),tblYield[[#This Row],[Date]],""))</f>
        <v>46290</v>
      </c>
      <c r="R12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6" s="43" t="s">
        <v>104</v>
      </c>
    </row>
    <row r="127" spans="2:19" x14ac:dyDescent="0.25">
      <c r="B127" s="35">
        <v>46293</v>
      </c>
      <c r="C127" s="28" t="s">
        <v>76</v>
      </c>
      <c r="D127" s="36">
        <v>560</v>
      </c>
      <c r="E127" s="36">
        <v>558</v>
      </c>
      <c r="F127" s="36">
        <v>0</v>
      </c>
      <c r="G127" s="37">
        <f>IF(tblYield[[#This Row],[Date]]="","",tblYield[[#This Row],[Units in]]-tblYield[[#This Row],[Passed first time]])</f>
        <v>2</v>
      </c>
      <c r="H127" s="37">
        <f>IF(tblYield[[#This Row],[Date]]="","",tblYield[[#This Row],[Units in]]-tblYield[[#This Row],[Passed first time]]-tblYield[[#This Row],[Scrapped]])</f>
        <v>2</v>
      </c>
      <c r="I127" s="38">
        <f>IF(tblYield[[#This Row],[Date]]="","",IF(tblYield[[#This Row],[Units in]]&gt;0,tblYield[[#This Row],[Passed first time]]/tblYield[[#This Row],[Units in]],""))</f>
        <v>0.996428571428571</v>
      </c>
      <c r="J127" s="38">
        <f>IF(tblYield[[#This Row],[Date]]="","",IFERROR(INDEX(tblOperations[FPY target],MATCH(tblYield[[#This Row],[Operation]],tblOperations[Operation],0)),""))</f>
        <v>0.99</v>
      </c>
      <c r="K127" s="39" t="str">
        <f>IF(OR(NOT(ISNUMBER(tblYield[[#This Row],[FPY]])),NOT(ISNUMBER(tblYield[[#This Row],[FPY target]]))),"",IF(tblYield[[#This Row],[FPY]]&gt;=tblYield[[#This Row],[FPY target]],"On target",IF(tblYield[[#This Row],[FPY]]&gt;=tblYield[[#This Row],[FPY target]]-NearBand,"Near target","Below target")))</f>
        <v>On target</v>
      </c>
      <c r="L127" s="38">
        <f>IF(tblYield[[#This Row],[Date]]="","",IF(tblYield[[#This Row],[Units in]]&gt;0,(tblYield[[#This Row],[Units in]]-tblYield[[#This Row],[Scrapped]])/tblYield[[#This Row],[Units in]],""))</f>
        <v>1</v>
      </c>
      <c r="M127" s="40">
        <f>IF(tblYield[[#This Row],[Date]]="","",IFERROR(INDEX(tblOperations[Rework cost],MATCH(tblYield[[#This Row],[Operation]],tblOperations[Operation],0)),""))</f>
        <v>0.6</v>
      </c>
      <c r="N127" s="40">
        <f>IF(tblYield[[#This Row],[Date]]="","",IFERROR(INDEX(tblOperations[Scrap cost],MATCH(tblYield[[#This Row],[Operation]],tblOperations[Operation],0)),""))</f>
        <v>4.8</v>
      </c>
      <c r="O127" s="40">
        <f>IF(tblYield[[#This Row],[Date]]="","",IF(tblYield[[#This Row],[Rework cost per unit]]="","",tblYield[[#This Row],[Reworked]]*tblYield[[#This Row],[Rework cost per unit]]))</f>
        <v>1.2</v>
      </c>
      <c r="P127" s="40">
        <f>IF(tblYield[[#This Row],[Date]]="","",IF(tblYield[[#This Row],[Scrap cost per unit]]="","",tblYield[[#This Row],[Scrapped]]*tblYield[[#This Row],[Scrap cost per unit]]))</f>
        <v>0</v>
      </c>
      <c r="Q127" s="41">
        <f>IF(tblYield[[#This Row],[Date]]="","",IF(AND(tblYield[[#This Row],[Date]]&gt;=FFrom,tblYield[[#This Row],[Date]]&lt;=FTo),tblYield[[#This Row],[Date]],""))</f>
        <v>46293</v>
      </c>
      <c r="R12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7" s="43" t="s">
        <v>104</v>
      </c>
    </row>
    <row r="128" spans="2:19" x14ac:dyDescent="0.25">
      <c r="B128" s="35">
        <v>46293</v>
      </c>
      <c r="C128" s="28" t="s">
        <v>78</v>
      </c>
      <c r="D128" s="36">
        <v>560</v>
      </c>
      <c r="E128" s="36">
        <v>544</v>
      </c>
      <c r="F128" s="36">
        <v>2</v>
      </c>
      <c r="G128" s="37">
        <f>IF(tblYield[[#This Row],[Date]]="","",tblYield[[#This Row],[Units in]]-tblYield[[#This Row],[Passed first time]])</f>
        <v>16</v>
      </c>
      <c r="H128" s="37">
        <f>IF(tblYield[[#This Row],[Date]]="","",tblYield[[#This Row],[Units in]]-tblYield[[#This Row],[Passed first time]]-tblYield[[#This Row],[Scrapped]])</f>
        <v>14</v>
      </c>
      <c r="I128" s="38">
        <f>IF(tblYield[[#This Row],[Date]]="","",IF(tblYield[[#This Row],[Units in]]&gt;0,tblYield[[#This Row],[Passed first time]]/tblYield[[#This Row],[Units in]],""))</f>
        <v>0.971428571428571</v>
      </c>
      <c r="J128" s="38">
        <f>IF(tblYield[[#This Row],[Date]]="","",IFERROR(INDEX(tblOperations[FPY target],MATCH(tblYield[[#This Row],[Operation]],tblOperations[Operation],0)),""))</f>
        <v>0.98</v>
      </c>
      <c r="K128" s="39" t="str">
        <f>IF(OR(NOT(ISNUMBER(tblYield[[#This Row],[FPY]])),NOT(ISNUMBER(tblYield[[#This Row],[FPY target]]))),"",IF(tblYield[[#This Row],[FPY]]&gt;=tblYield[[#This Row],[FPY target]],"On target",IF(tblYield[[#This Row],[FPY]]&gt;=tblYield[[#This Row],[FPY target]]-NearBand,"Near target","Below target")))</f>
        <v>Near target</v>
      </c>
      <c r="L128" s="38">
        <f>IF(tblYield[[#This Row],[Date]]="","",IF(tblYield[[#This Row],[Units in]]&gt;0,(tblYield[[#This Row],[Units in]]-tblYield[[#This Row],[Scrapped]])/tblYield[[#This Row],[Units in]],""))</f>
        <v>0.996428571428571</v>
      </c>
      <c r="M128" s="40">
        <f>IF(tblYield[[#This Row],[Date]]="","",IFERROR(INDEX(tblOperations[Rework cost],MATCH(tblYield[[#This Row],[Operation]],tblOperations[Operation],0)),""))</f>
        <v>3.8</v>
      </c>
      <c r="N128" s="40">
        <f>IF(tblYield[[#This Row],[Date]]="","",IFERROR(INDEX(tblOperations[Scrap cost],MATCH(tblYield[[#This Row],[Operation]],tblOperations[Operation],0)),""))</f>
        <v>31</v>
      </c>
      <c r="O128" s="40">
        <f>IF(tblYield[[#This Row],[Date]]="","",IF(tblYield[[#This Row],[Rework cost per unit]]="","",tblYield[[#This Row],[Reworked]]*tblYield[[#This Row],[Rework cost per unit]]))</f>
        <v>53.2</v>
      </c>
      <c r="P128" s="40">
        <f>IF(tblYield[[#This Row],[Date]]="","",IF(tblYield[[#This Row],[Scrap cost per unit]]="","",tblYield[[#This Row],[Scrapped]]*tblYield[[#This Row],[Scrap cost per unit]]))</f>
        <v>62</v>
      </c>
      <c r="Q128" s="41">
        <f>IF(tblYield[[#This Row],[Date]]="","",IF(AND(tblYield[[#This Row],[Date]]&gt;=FFrom,tblYield[[#This Row],[Date]]&lt;=FTo),tblYield[[#This Row],[Date]],""))</f>
        <v>46293</v>
      </c>
      <c r="R12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8" s="43" t="s">
        <v>104</v>
      </c>
    </row>
    <row r="129" spans="2:19" x14ac:dyDescent="0.25">
      <c r="B129" s="35">
        <v>46293</v>
      </c>
      <c r="C129" s="28" t="s">
        <v>80</v>
      </c>
      <c r="D129" s="36">
        <v>558</v>
      </c>
      <c r="E129" s="36">
        <v>536</v>
      </c>
      <c r="F129" s="36">
        <v>1</v>
      </c>
      <c r="G129" s="37">
        <f>IF(tblYield[[#This Row],[Date]]="","",tblYield[[#This Row],[Units in]]-tblYield[[#This Row],[Passed first time]])</f>
        <v>22</v>
      </c>
      <c r="H129" s="37">
        <f>IF(tblYield[[#This Row],[Date]]="","",tblYield[[#This Row],[Units in]]-tblYield[[#This Row],[Passed first time]]-tblYield[[#This Row],[Scrapped]])</f>
        <v>21</v>
      </c>
      <c r="I129" s="38">
        <f>IF(tblYield[[#This Row],[Date]]="","",IF(tblYield[[#This Row],[Units in]]&gt;0,tblYield[[#This Row],[Passed first time]]/tblYield[[#This Row],[Units in]],""))</f>
        <v>0.960573476702509</v>
      </c>
      <c r="J129" s="38">
        <f>IF(tblYield[[#This Row],[Date]]="","",IFERROR(INDEX(tblOperations[FPY target],MATCH(tblYield[[#This Row],[Operation]],tblOperations[Operation],0)),""))</f>
        <v>0.97</v>
      </c>
      <c r="K129" s="39" t="str">
        <f>IF(OR(NOT(ISNUMBER(tblYield[[#This Row],[FPY]])),NOT(ISNUMBER(tblYield[[#This Row],[FPY target]]))),"",IF(tblYield[[#This Row],[FPY]]&gt;=tblYield[[#This Row],[FPY target]],"On target",IF(tblYield[[#This Row],[FPY]]&gt;=tblYield[[#This Row],[FPY target]]-NearBand,"Near target","Below target")))</f>
        <v>Near target</v>
      </c>
      <c r="L129" s="38">
        <f>IF(tblYield[[#This Row],[Date]]="","",IF(tblYield[[#This Row],[Units in]]&gt;0,(tblYield[[#This Row],[Units in]]-tblYield[[#This Row],[Scrapped]])/tblYield[[#This Row],[Units in]],""))</f>
        <v>0.99820788530466</v>
      </c>
      <c r="M129" s="40">
        <f>IF(tblYield[[#This Row],[Date]]="","",IFERROR(INDEX(tblOperations[Rework cost],MATCH(tblYield[[#This Row],[Operation]],tblOperations[Operation],0)),""))</f>
        <v>2.9</v>
      </c>
      <c r="N129" s="40">
        <f>IF(tblYield[[#This Row],[Date]]="","",IFERROR(INDEX(tblOperations[Scrap cost],MATCH(tblYield[[#This Row],[Operation]],tblOperations[Operation],0)),""))</f>
        <v>34</v>
      </c>
      <c r="O129" s="40">
        <f>IF(tblYield[[#This Row],[Date]]="","",IF(tblYield[[#This Row],[Rework cost per unit]]="","",tblYield[[#This Row],[Reworked]]*tblYield[[#This Row],[Rework cost per unit]]))</f>
        <v>60.9</v>
      </c>
      <c r="P129" s="40">
        <f>IF(tblYield[[#This Row],[Date]]="","",IF(tblYield[[#This Row],[Scrap cost per unit]]="","",tblYield[[#This Row],[Scrapped]]*tblYield[[#This Row],[Scrap cost per unit]]))</f>
        <v>34</v>
      </c>
      <c r="Q129" s="41">
        <f>IF(tblYield[[#This Row],[Date]]="","",IF(AND(tblYield[[#This Row],[Date]]&gt;=FFrom,tblYield[[#This Row],[Date]]&lt;=FTo),tblYield[[#This Row],[Date]],""))</f>
        <v>46293</v>
      </c>
      <c r="R12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29" s="43" t="s">
        <v>104</v>
      </c>
    </row>
    <row r="130" spans="2:19" x14ac:dyDescent="0.25">
      <c r="B130" s="35">
        <v>46293</v>
      </c>
      <c r="C130" s="28" t="s">
        <v>82</v>
      </c>
      <c r="D130" s="36">
        <v>557</v>
      </c>
      <c r="E130" s="36">
        <v>548</v>
      </c>
      <c r="F130" s="36">
        <v>1</v>
      </c>
      <c r="G130" s="37">
        <f>IF(tblYield[[#This Row],[Date]]="","",tblYield[[#This Row],[Units in]]-tblYield[[#This Row],[Passed first time]])</f>
        <v>9</v>
      </c>
      <c r="H130" s="37">
        <f>IF(tblYield[[#This Row],[Date]]="","",tblYield[[#This Row],[Units in]]-tblYield[[#This Row],[Passed first time]]-tblYield[[#This Row],[Scrapped]])</f>
        <v>8</v>
      </c>
      <c r="I130" s="38">
        <f>IF(tblYield[[#This Row],[Date]]="","",IF(tblYield[[#This Row],[Units in]]&gt;0,tblYield[[#This Row],[Passed first time]]/tblYield[[#This Row],[Units in]],""))</f>
        <v>0.983842010771993</v>
      </c>
      <c r="J130" s="38">
        <f>IF(tblYield[[#This Row],[Date]]="","",IFERROR(INDEX(tblOperations[FPY target],MATCH(tblYield[[#This Row],[Operation]],tblOperations[Operation],0)),""))</f>
        <v>0.98</v>
      </c>
      <c r="K130" s="39" t="str">
        <f>IF(OR(NOT(ISNUMBER(tblYield[[#This Row],[FPY]])),NOT(ISNUMBER(tblYield[[#This Row],[FPY target]]))),"",IF(tblYield[[#This Row],[FPY]]&gt;=tblYield[[#This Row],[FPY target]],"On target",IF(tblYield[[#This Row],[FPY]]&gt;=tblYield[[#This Row],[FPY target]]-NearBand,"Near target","Below target")))</f>
        <v>On target</v>
      </c>
      <c r="L130" s="38">
        <f>IF(tblYield[[#This Row],[Date]]="","",IF(tblYield[[#This Row],[Units in]]&gt;0,(tblYield[[#This Row],[Units in]]-tblYield[[#This Row],[Scrapped]])/tblYield[[#This Row],[Units in]],""))</f>
        <v>0.998204667863555</v>
      </c>
      <c r="M130" s="40">
        <f>IF(tblYield[[#This Row],[Date]]="","",IFERROR(INDEX(tblOperations[Rework cost],MATCH(tblYield[[#This Row],[Operation]],tblOperations[Operation],0)),""))</f>
        <v>8.5</v>
      </c>
      <c r="N130" s="40">
        <f>IF(tblYield[[#This Row],[Date]]="","",IFERROR(INDEX(tblOperations[Scrap cost],MATCH(tblYield[[#This Row],[Operation]],tblOperations[Operation],0)),""))</f>
        <v>36.5</v>
      </c>
      <c r="O130" s="40">
        <f>IF(tblYield[[#This Row],[Date]]="","",IF(tblYield[[#This Row],[Rework cost per unit]]="","",tblYield[[#This Row],[Reworked]]*tblYield[[#This Row],[Rework cost per unit]]))</f>
        <v>68</v>
      </c>
      <c r="P130" s="40">
        <f>IF(tblYield[[#This Row],[Date]]="","",IF(tblYield[[#This Row],[Scrap cost per unit]]="","",tblYield[[#This Row],[Scrapped]]*tblYield[[#This Row],[Scrap cost per unit]]))</f>
        <v>36.5</v>
      </c>
      <c r="Q130" s="41">
        <f>IF(tblYield[[#This Row],[Date]]="","",IF(AND(tblYield[[#This Row],[Date]]&gt;=FFrom,tblYield[[#This Row],[Date]]&lt;=FTo),tblYield[[#This Row],[Date]],""))</f>
        <v>46293</v>
      </c>
      <c r="R13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0" s="43" t="s">
        <v>104</v>
      </c>
    </row>
    <row r="131" spans="2:19" x14ac:dyDescent="0.25">
      <c r="B131" s="35">
        <v>46293</v>
      </c>
      <c r="C131" s="28" t="s">
        <v>84</v>
      </c>
      <c r="D131" s="36">
        <v>556</v>
      </c>
      <c r="E131" s="36">
        <v>547</v>
      </c>
      <c r="F131" s="36">
        <v>1</v>
      </c>
      <c r="G131" s="37">
        <f>IF(tblYield[[#This Row],[Date]]="","",tblYield[[#This Row],[Units in]]-tblYield[[#This Row],[Passed first time]])</f>
        <v>9</v>
      </c>
      <c r="H131" s="37">
        <f>IF(tblYield[[#This Row],[Date]]="","",tblYield[[#This Row],[Units in]]-tblYield[[#This Row],[Passed first time]]-tblYield[[#This Row],[Scrapped]])</f>
        <v>8</v>
      </c>
      <c r="I131" s="38">
        <f>IF(tblYield[[#This Row],[Date]]="","",IF(tblYield[[#This Row],[Units in]]&gt;0,tblYield[[#This Row],[Passed first time]]/tblYield[[#This Row],[Units in]],""))</f>
        <v>0.983812949640288</v>
      </c>
      <c r="J131" s="38">
        <f>IF(tblYield[[#This Row],[Date]]="","",IFERROR(INDEX(tblOperations[FPY target],MATCH(tblYield[[#This Row],[Operation]],tblOperations[Operation],0)),""))</f>
        <v>0.985</v>
      </c>
      <c r="K131" s="39" t="str">
        <f>IF(OR(NOT(ISNUMBER(tblYield[[#This Row],[FPY]])),NOT(ISNUMBER(tblYield[[#This Row],[FPY target]]))),"",IF(tblYield[[#This Row],[FPY]]&gt;=tblYield[[#This Row],[FPY target]],"On target",IF(tblYield[[#This Row],[FPY]]&gt;=tblYield[[#This Row],[FPY target]]-NearBand,"Near target","Below target")))</f>
        <v>Near target</v>
      </c>
      <c r="L131" s="38">
        <f>IF(tblYield[[#This Row],[Date]]="","",IF(tblYield[[#This Row],[Units in]]&gt;0,(tblYield[[#This Row],[Units in]]-tblYield[[#This Row],[Scrapped]])/tblYield[[#This Row],[Units in]],""))</f>
        <v>0.998201438848921</v>
      </c>
      <c r="M131" s="40">
        <f>IF(tblYield[[#This Row],[Date]]="","",IFERROR(INDEX(tblOperations[Rework cost],MATCH(tblYield[[#This Row],[Operation]],tblOperations[Operation],0)),""))</f>
        <v>12</v>
      </c>
      <c r="N131" s="40">
        <f>IF(tblYield[[#This Row],[Date]]="","",IFERROR(INDEX(tblOperations[Scrap cost],MATCH(tblYield[[#This Row],[Operation]],tblOperations[Operation],0)),""))</f>
        <v>38</v>
      </c>
      <c r="O131" s="40">
        <f>IF(tblYield[[#This Row],[Date]]="","",IF(tblYield[[#This Row],[Rework cost per unit]]="","",tblYield[[#This Row],[Reworked]]*tblYield[[#This Row],[Rework cost per unit]]))</f>
        <v>96</v>
      </c>
      <c r="P131" s="40">
        <f>IF(tblYield[[#This Row],[Date]]="","",IF(tblYield[[#This Row],[Scrap cost per unit]]="","",tblYield[[#This Row],[Scrapped]]*tblYield[[#This Row],[Scrap cost per unit]]))</f>
        <v>38</v>
      </c>
      <c r="Q131" s="41">
        <f>IF(tblYield[[#This Row],[Date]]="","",IF(AND(tblYield[[#This Row],[Date]]&gt;=FFrom,tblYield[[#This Row],[Date]]&lt;=FTo),tblYield[[#This Row],[Date]],""))</f>
        <v>46293</v>
      </c>
      <c r="R13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1" s="43" t="s">
        <v>104</v>
      </c>
    </row>
    <row r="132" spans="2:19" x14ac:dyDescent="0.25">
      <c r="B132" s="35">
        <v>46293</v>
      </c>
      <c r="C132" s="28" t="s">
        <v>86</v>
      </c>
      <c r="D132" s="36">
        <v>555</v>
      </c>
      <c r="E132" s="36">
        <v>551</v>
      </c>
      <c r="F132" s="36">
        <v>0</v>
      </c>
      <c r="G132" s="37">
        <f>IF(tblYield[[#This Row],[Date]]="","",tblYield[[#This Row],[Units in]]-tblYield[[#This Row],[Passed first time]])</f>
        <v>4</v>
      </c>
      <c r="H132" s="37">
        <f>IF(tblYield[[#This Row],[Date]]="","",tblYield[[#This Row],[Units in]]-tblYield[[#This Row],[Passed first time]]-tblYield[[#This Row],[Scrapped]])</f>
        <v>4</v>
      </c>
      <c r="I132" s="38">
        <f>IF(tblYield[[#This Row],[Date]]="","",IF(tblYield[[#This Row],[Units in]]&gt;0,tblYield[[#This Row],[Passed first time]]/tblYield[[#This Row],[Units in]],""))</f>
        <v>0.992792792792793</v>
      </c>
      <c r="J132" s="38">
        <f>IF(tblYield[[#This Row],[Date]]="","",IFERROR(INDEX(tblOperations[FPY target],MATCH(tblYield[[#This Row],[Operation]],tblOperations[Operation],0)),""))</f>
        <v>0.99</v>
      </c>
      <c r="K132" s="39" t="str">
        <f>IF(OR(NOT(ISNUMBER(tblYield[[#This Row],[FPY]])),NOT(ISNUMBER(tblYield[[#This Row],[FPY target]]))),"",IF(tblYield[[#This Row],[FPY]]&gt;=tblYield[[#This Row],[FPY target]],"On target",IF(tblYield[[#This Row],[FPY]]&gt;=tblYield[[#This Row],[FPY target]]-NearBand,"Near target","Below target")))</f>
        <v>On target</v>
      </c>
      <c r="L132" s="38">
        <f>IF(tblYield[[#This Row],[Date]]="","",IF(tblYield[[#This Row],[Units in]]&gt;0,(tblYield[[#This Row],[Units in]]-tblYield[[#This Row],[Scrapped]])/tblYield[[#This Row],[Units in]],""))</f>
        <v>1</v>
      </c>
      <c r="M132" s="40">
        <f>IF(tblYield[[#This Row],[Date]]="","",IFERROR(INDEX(tblOperations[Rework cost],MATCH(tblYield[[#This Row],[Operation]],tblOperations[Operation],0)),""))</f>
        <v>2.2</v>
      </c>
      <c r="N132" s="40">
        <f>IF(tblYield[[#This Row],[Date]]="","",IFERROR(INDEX(tblOperations[Scrap cost],MATCH(tblYield[[#This Row],[Operation]],tblOperations[Operation],0)),""))</f>
        <v>41</v>
      </c>
      <c r="O132" s="40">
        <f>IF(tblYield[[#This Row],[Date]]="","",IF(tblYield[[#This Row],[Rework cost per unit]]="","",tblYield[[#This Row],[Reworked]]*tblYield[[#This Row],[Rework cost per unit]]))</f>
        <v>8.8</v>
      </c>
      <c r="P132" s="40">
        <f>IF(tblYield[[#This Row],[Date]]="","",IF(tblYield[[#This Row],[Scrap cost per unit]]="","",tblYield[[#This Row],[Scrapped]]*tblYield[[#This Row],[Scrap cost per unit]]))</f>
        <v>0</v>
      </c>
      <c r="Q132" s="41">
        <f>IF(tblYield[[#This Row],[Date]]="","",IF(AND(tblYield[[#This Row],[Date]]&gt;=FFrom,tblYield[[#This Row],[Date]]&lt;=FTo),tblYield[[#This Row],[Date]],""))</f>
        <v>46293</v>
      </c>
      <c r="R13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2" s="43" t="s">
        <v>104</v>
      </c>
    </row>
    <row r="133" spans="2:19" x14ac:dyDescent="0.25">
      <c r="B133" s="35">
        <v>46294</v>
      </c>
      <c r="C133" s="28" t="s">
        <v>76</v>
      </c>
      <c r="D133" s="36">
        <v>630</v>
      </c>
      <c r="E133" s="36">
        <v>626</v>
      </c>
      <c r="F133" s="36">
        <v>0</v>
      </c>
      <c r="G133" s="37">
        <f>IF(tblYield[[#This Row],[Date]]="","",tblYield[[#This Row],[Units in]]-tblYield[[#This Row],[Passed first time]])</f>
        <v>4</v>
      </c>
      <c r="H133" s="37">
        <f>IF(tblYield[[#This Row],[Date]]="","",tblYield[[#This Row],[Units in]]-tblYield[[#This Row],[Passed first time]]-tblYield[[#This Row],[Scrapped]])</f>
        <v>4</v>
      </c>
      <c r="I133" s="38">
        <f>IF(tblYield[[#This Row],[Date]]="","",IF(tblYield[[#This Row],[Units in]]&gt;0,tblYield[[#This Row],[Passed first time]]/tblYield[[#This Row],[Units in]],""))</f>
        <v>0.993650793650794</v>
      </c>
      <c r="J133" s="38">
        <f>IF(tblYield[[#This Row],[Date]]="","",IFERROR(INDEX(tblOperations[FPY target],MATCH(tblYield[[#This Row],[Operation]],tblOperations[Operation],0)),""))</f>
        <v>0.99</v>
      </c>
      <c r="K133" s="39" t="str">
        <f>IF(OR(NOT(ISNUMBER(tblYield[[#This Row],[FPY]])),NOT(ISNUMBER(tblYield[[#This Row],[FPY target]]))),"",IF(tblYield[[#This Row],[FPY]]&gt;=tblYield[[#This Row],[FPY target]],"On target",IF(tblYield[[#This Row],[FPY]]&gt;=tblYield[[#This Row],[FPY target]]-NearBand,"Near target","Below target")))</f>
        <v>On target</v>
      </c>
      <c r="L133" s="38">
        <f>IF(tblYield[[#This Row],[Date]]="","",IF(tblYield[[#This Row],[Units in]]&gt;0,(tblYield[[#This Row],[Units in]]-tblYield[[#This Row],[Scrapped]])/tblYield[[#This Row],[Units in]],""))</f>
        <v>1</v>
      </c>
      <c r="M133" s="40">
        <f>IF(tblYield[[#This Row],[Date]]="","",IFERROR(INDEX(tblOperations[Rework cost],MATCH(tblYield[[#This Row],[Operation]],tblOperations[Operation],0)),""))</f>
        <v>0.6</v>
      </c>
      <c r="N133" s="40">
        <f>IF(tblYield[[#This Row],[Date]]="","",IFERROR(INDEX(tblOperations[Scrap cost],MATCH(tblYield[[#This Row],[Operation]],tblOperations[Operation],0)),""))</f>
        <v>4.8</v>
      </c>
      <c r="O133" s="40">
        <f>IF(tblYield[[#This Row],[Date]]="","",IF(tblYield[[#This Row],[Rework cost per unit]]="","",tblYield[[#This Row],[Reworked]]*tblYield[[#This Row],[Rework cost per unit]]))</f>
        <v>2.4</v>
      </c>
      <c r="P133" s="40">
        <f>IF(tblYield[[#This Row],[Date]]="","",IF(tblYield[[#This Row],[Scrap cost per unit]]="","",tblYield[[#This Row],[Scrapped]]*tblYield[[#This Row],[Scrap cost per unit]]))</f>
        <v>0</v>
      </c>
      <c r="Q133" s="41">
        <f>IF(tblYield[[#This Row],[Date]]="","",IF(AND(tblYield[[#This Row],[Date]]&gt;=FFrom,tblYield[[#This Row],[Date]]&lt;=FTo),tblYield[[#This Row],[Date]],""))</f>
        <v>46294</v>
      </c>
      <c r="R13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3" s="43" t="s">
        <v>104</v>
      </c>
    </row>
    <row r="134" spans="2:19" x14ac:dyDescent="0.25">
      <c r="B134" s="35">
        <v>46294</v>
      </c>
      <c r="C134" s="28" t="s">
        <v>78</v>
      </c>
      <c r="D134" s="36">
        <v>630</v>
      </c>
      <c r="E134" s="36">
        <v>619</v>
      </c>
      <c r="F134" s="36">
        <v>1</v>
      </c>
      <c r="G134" s="37">
        <f>IF(tblYield[[#This Row],[Date]]="","",tblYield[[#This Row],[Units in]]-tblYield[[#This Row],[Passed first time]])</f>
        <v>11</v>
      </c>
      <c r="H134" s="37">
        <f>IF(tblYield[[#This Row],[Date]]="","",tblYield[[#This Row],[Units in]]-tblYield[[#This Row],[Passed first time]]-tblYield[[#This Row],[Scrapped]])</f>
        <v>10</v>
      </c>
      <c r="I134" s="38">
        <f>IF(tblYield[[#This Row],[Date]]="","",IF(tblYield[[#This Row],[Units in]]&gt;0,tblYield[[#This Row],[Passed first time]]/tblYield[[#This Row],[Units in]],""))</f>
        <v>0.982539682539683</v>
      </c>
      <c r="J134" s="38">
        <f>IF(tblYield[[#This Row],[Date]]="","",IFERROR(INDEX(tblOperations[FPY target],MATCH(tblYield[[#This Row],[Operation]],tblOperations[Operation],0)),""))</f>
        <v>0.98</v>
      </c>
      <c r="K134" s="39" t="str">
        <f>IF(OR(NOT(ISNUMBER(tblYield[[#This Row],[FPY]])),NOT(ISNUMBER(tblYield[[#This Row],[FPY target]]))),"",IF(tblYield[[#This Row],[FPY]]&gt;=tblYield[[#This Row],[FPY target]],"On target",IF(tblYield[[#This Row],[FPY]]&gt;=tblYield[[#This Row],[FPY target]]-NearBand,"Near target","Below target")))</f>
        <v>On target</v>
      </c>
      <c r="L134" s="38">
        <f>IF(tblYield[[#This Row],[Date]]="","",IF(tblYield[[#This Row],[Units in]]&gt;0,(tblYield[[#This Row],[Units in]]-tblYield[[#This Row],[Scrapped]])/tblYield[[#This Row],[Units in]],""))</f>
        <v>0.998412698412698</v>
      </c>
      <c r="M134" s="40">
        <f>IF(tblYield[[#This Row],[Date]]="","",IFERROR(INDEX(tblOperations[Rework cost],MATCH(tblYield[[#This Row],[Operation]],tblOperations[Operation],0)),""))</f>
        <v>3.8</v>
      </c>
      <c r="N134" s="40">
        <f>IF(tblYield[[#This Row],[Date]]="","",IFERROR(INDEX(tblOperations[Scrap cost],MATCH(tblYield[[#This Row],[Operation]],tblOperations[Operation],0)),""))</f>
        <v>31</v>
      </c>
      <c r="O134" s="40">
        <f>IF(tblYield[[#This Row],[Date]]="","",IF(tblYield[[#This Row],[Rework cost per unit]]="","",tblYield[[#This Row],[Reworked]]*tblYield[[#This Row],[Rework cost per unit]]))</f>
        <v>38</v>
      </c>
      <c r="P134" s="40">
        <f>IF(tblYield[[#This Row],[Date]]="","",IF(tblYield[[#This Row],[Scrap cost per unit]]="","",tblYield[[#This Row],[Scrapped]]*tblYield[[#This Row],[Scrap cost per unit]]))</f>
        <v>31</v>
      </c>
      <c r="Q134" s="41">
        <f>IF(tblYield[[#This Row],[Date]]="","",IF(AND(tblYield[[#This Row],[Date]]&gt;=FFrom,tblYield[[#This Row],[Date]]&lt;=FTo),tblYield[[#This Row],[Date]],""))</f>
        <v>46294</v>
      </c>
      <c r="R13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4" s="43" t="s">
        <v>104</v>
      </c>
    </row>
    <row r="135" spans="2:19" x14ac:dyDescent="0.25">
      <c r="B135" s="35">
        <v>46294</v>
      </c>
      <c r="C135" s="28" t="s">
        <v>80</v>
      </c>
      <c r="D135" s="36">
        <v>629</v>
      </c>
      <c r="E135" s="36">
        <v>601</v>
      </c>
      <c r="F135" s="36">
        <v>2</v>
      </c>
      <c r="G135" s="37">
        <f>IF(tblYield[[#This Row],[Date]]="","",tblYield[[#This Row],[Units in]]-tblYield[[#This Row],[Passed first time]])</f>
        <v>28</v>
      </c>
      <c r="H135" s="37">
        <f>IF(tblYield[[#This Row],[Date]]="","",tblYield[[#This Row],[Units in]]-tblYield[[#This Row],[Passed first time]]-tblYield[[#This Row],[Scrapped]])</f>
        <v>26</v>
      </c>
      <c r="I135" s="38">
        <f>IF(tblYield[[#This Row],[Date]]="","",IF(tblYield[[#This Row],[Units in]]&gt;0,tblYield[[#This Row],[Passed first time]]/tblYield[[#This Row],[Units in]],""))</f>
        <v>0.955484896661367</v>
      </c>
      <c r="J135" s="38">
        <f>IF(tblYield[[#This Row],[Date]]="","",IFERROR(INDEX(tblOperations[FPY target],MATCH(tblYield[[#This Row],[Operation]],tblOperations[Operation],0)),""))</f>
        <v>0.97</v>
      </c>
      <c r="K135" s="39" t="str">
        <f>IF(OR(NOT(ISNUMBER(tblYield[[#This Row],[FPY]])),NOT(ISNUMBER(tblYield[[#This Row],[FPY target]]))),"",IF(tblYield[[#This Row],[FPY]]&gt;=tblYield[[#This Row],[FPY target]],"On target",IF(tblYield[[#This Row],[FPY]]&gt;=tblYield[[#This Row],[FPY target]]-NearBand,"Near target","Below target")))</f>
        <v>Below target</v>
      </c>
      <c r="L135" s="38">
        <f>IF(tblYield[[#This Row],[Date]]="","",IF(tblYield[[#This Row],[Units in]]&gt;0,(tblYield[[#This Row],[Units in]]-tblYield[[#This Row],[Scrapped]])/tblYield[[#This Row],[Units in]],""))</f>
        <v>0.996820349761526</v>
      </c>
      <c r="M135" s="40">
        <f>IF(tblYield[[#This Row],[Date]]="","",IFERROR(INDEX(tblOperations[Rework cost],MATCH(tblYield[[#This Row],[Operation]],tblOperations[Operation],0)),""))</f>
        <v>2.9</v>
      </c>
      <c r="N135" s="40">
        <f>IF(tblYield[[#This Row],[Date]]="","",IFERROR(INDEX(tblOperations[Scrap cost],MATCH(tblYield[[#This Row],[Operation]],tblOperations[Operation],0)),""))</f>
        <v>34</v>
      </c>
      <c r="O135" s="40">
        <f>IF(tblYield[[#This Row],[Date]]="","",IF(tblYield[[#This Row],[Rework cost per unit]]="","",tblYield[[#This Row],[Reworked]]*tblYield[[#This Row],[Rework cost per unit]]))</f>
        <v>75.4</v>
      </c>
      <c r="P135" s="40">
        <f>IF(tblYield[[#This Row],[Date]]="","",IF(tblYield[[#This Row],[Scrap cost per unit]]="","",tblYield[[#This Row],[Scrapped]]*tblYield[[#This Row],[Scrap cost per unit]]))</f>
        <v>68</v>
      </c>
      <c r="Q135" s="41">
        <f>IF(tblYield[[#This Row],[Date]]="","",IF(AND(tblYield[[#This Row],[Date]]&gt;=FFrom,tblYield[[#This Row],[Date]]&lt;=FTo),tblYield[[#This Row],[Date]],""))</f>
        <v>46294</v>
      </c>
      <c r="R13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5" s="43" t="s">
        <v>104</v>
      </c>
    </row>
    <row r="136" spans="2:19" x14ac:dyDescent="0.25">
      <c r="B136" s="35">
        <v>46294</v>
      </c>
      <c r="C136" s="28" t="s">
        <v>82</v>
      </c>
      <c r="D136" s="36">
        <v>627</v>
      </c>
      <c r="E136" s="36">
        <v>611</v>
      </c>
      <c r="F136" s="36">
        <v>2</v>
      </c>
      <c r="G136" s="37">
        <f>IF(tblYield[[#This Row],[Date]]="","",tblYield[[#This Row],[Units in]]-tblYield[[#This Row],[Passed first time]])</f>
        <v>16</v>
      </c>
      <c r="H136" s="37">
        <f>IF(tblYield[[#This Row],[Date]]="","",tblYield[[#This Row],[Units in]]-tblYield[[#This Row],[Passed first time]]-tblYield[[#This Row],[Scrapped]])</f>
        <v>14</v>
      </c>
      <c r="I136" s="38">
        <f>IF(tblYield[[#This Row],[Date]]="","",IF(tblYield[[#This Row],[Units in]]&gt;0,tblYield[[#This Row],[Passed first time]]/tblYield[[#This Row],[Units in]],""))</f>
        <v>0.974481658692185</v>
      </c>
      <c r="J136" s="38">
        <f>IF(tblYield[[#This Row],[Date]]="","",IFERROR(INDEX(tblOperations[FPY target],MATCH(tblYield[[#This Row],[Operation]],tblOperations[Operation],0)),""))</f>
        <v>0.98</v>
      </c>
      <c r="K136" s="39" t="str">
        <f>IF(OR(NOT(ISNUMBER(tblYield[[#This Row],[FPY]])),NOT(ISNUMBER(tblYield[[#This Row],[FPY target]]))),"",IF(tblYield[[#This Row],[FPY]]&gt;=tblYield[[#This Row],[FPY target]],"On target",IF(tblYield[[#This Row],[FPY]]&gt;=tblYield[[#This Row],[FPY target]]-NearBand,"Near target","Below target")))</f>
        <v>Near target</v>
      </c>
      <c r="L136" s="38">
        <f>IF(tblYield[[#This Row],[Date]]="","",IF(tblYield[[#This Row],[Units in]]&gt;0,(tblYield[[#This Row],[Units in]]-tblYield[[#This Row],[Scrapped]])/tblYield[[#This Row],[Units in]],""))</f>
        <v>0.996810207336523</v>
      </c>
      <c r="M136" s="40">
        <f>IF(tblYield[[#This Row],[Date]]="","",IFERROR(INDEX(tblOperations[Rework cost],MATCH(tblYield[[#This Row],[Operation]],tblOperations[Operation],0)),""))</f>
        <v>8.5</v>
      </c>
      <c r="N136" s="40">
        <f>IF(tblYield[[#This Row],[Date]]="","",IFERROR(INDEX(tblOperations[Scrap cost],MATCH(tblYield[[#This Row],[Operation]],tblOperations[Operation],0)),""))</f>
        <v>36.5</v>
      </c>
      <c r="O136" s="40">
        <f>IF(tblYield[[#This Row],[Date]]="","",IF(tblYield[[#This Row],[Rework cost per unit]]="","",tblYield[[#This Row],[Reworked]]*tblYield[[#This Row],[Rework cost per unit]]))</f>
        <v>119</v>
      </c>
      <c r="P136" s="40">
        <f>IF(tblYield[[#This Row],[Date]]="","",IF(tblYield[[#This Row],[Scrap cost per unit]]="","",tblYield[[#This Row],[Scrapped]]*tblYield[[#This Row],[Scrap cost per unit]]))</f>
        <v>73</v>
      </c>
      <c r="Q136" s="41">
        <f>IF(tblYield[[#This Row],[Date]]="","",IF(AND(tblYield[[#This Row],[Date]]&gt;=FFrom,tblYield[[#This Row],[Date]]&lt;=FTo),tblYield[[#This Row],[Date]],""))</f>
        <v>46294</v>
      </c>
      <c r="R13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6" s="43" t="s">
        <v>104</v>
      </c>
    </row>
    <row r="137" spans="2:19" x14ac:dyDescent="0.25">
      <c r="B137" s="35">
        <v>46294</v>
      </c>
      <c r="C137" s="28" t="s">
        <v>84</v>
      </c>
      <c r="D137" s="36">
        <v>625</v>
      </c>
      <c r="E137" s="36">
        <v>613</v>
      </c>
      <c r="F137" s="36">
        <v>1</v>
      </c>
      <c r="G137" s="37">
        <f>IF(tblYield[[#This Row],[Date]]="","",tblYield[[#This Row],[Units in]]-tblYield[[#This Row],[Passed first time]])</f>
        <v>12</v>
      </c>
      <c r="H137" s="37">
        <f>IF(tblYield[[#This Row],[Date]]="","",tblYield[[#This Row],[Units in]]-tblYield[[#This Row],[Passed first time]]-tblYield[[#This Row],[Scrapped]])</f>
        <v>11</v>
      </c>
      <c r="I137" s="38">
        <f>IF(tblYield[[#This Row],[Date]]="","",IF(tblYield[[#This Row],[Units in]]&gt;0,tblYield[[#This Row],[Passed first time]]/tblYield[[#This Row],[Units in]],""))</f>
        <v>0.9808</v>
      </c>
      <c r="J137" s="38">
        <f>IF(tblYield[[#This Row],[Date]]="","",IFERROR(INDEX(tblOperations[FPY target],MATCH(tblYield[[#This Row],[Operation]],tblOperations[Operation],0)),""))</f>
        <v>0.985</v>
      </c>
      <c r="K137" s="39" t="str">
        <f>IF(OR(NOT(ISNUMBER(tblYield[[#This Row],[FPY]])),NOT(ISNUMBER(tblYield[[#This Row],[FPY target]]))),"",IF(tblYield[[#This Row],[FPY]]&gt;=tblYield[[#This Row],[FPY target]],"On target",IF(tblYield[[#This Row],[FPY]]&gt;=tblYield[[#This Row],[FPY target]]-NearBand,"Near target","Below target")))</f>
        <v>Near target</v>
      </c>
      <c r="L137" s="38">
        <f>IF(tblYield[[#This Row],[Date]]="","",IF(tblYield[[#This Row],[Units in]]&gt;0,(tblYield[[#This Row],[Units in]]-tblYield[[#This Row],[Scrapped]])/tblYield[[#This Row],[Units in]],""))</f>
        <v>0.9984</v>
      </c>
      <c r="M137" s="40">
        <f>IF(tblYield[[#This Row],[Date]]="","",IFERROR(INDEX(tblOperations[Rework cost],MATCH(tblYield[[#This Row],[Operation]],tblOperations[Operation],0)),""))</f>
        <v>12</v>
      </c>
      <c r="N137" s="40">
        <f>IF(tblYield[[#This Row],[Date]]="","",IFERROR(INDEX(tblOperations[Scrap cost],MATCH(tblYield[[#This Row],[Operation]],tblOperations[Operation],0)),""))</f>
        <v>38</v>
      </c>
      <c r="O137" s="40">
        <f>IF(tblYield[[#This Row],[Date]]="","",IF(tblYield[[#This Row],[Rework cost per unit]]="","",tblYield[[#This Row],[Reworked]]*tblYield[[#This Row],[Rework cost per unit]]))</f>
        <v>132</v>
      </c>
      <c r="P137" s="40">
        <f>IF(tblYield[[#This Row],[Date]]="","",IF(tblYield[[#This Row],[Scrap cost per unit]]="","",tblYield[[#This Row],[Scrapped]]*tblYield[[#This Row],[Scrap cost per unit]]))</f>
        <v>38</v>
      </c>
      <c r="Q137" s="41">
        <f>IF(tblYield[[#This Row],[Date]]="","",IF(AND(tblYield[[#This Row],[Date]]&gt;=FFrom,tblYield[[#This Row],[Date]]&lt;=FTo),tblYield[[#This Row],[Date]],""))</f>
        <v>46294</v>
      </c>
      <c r="R13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7" s="43" t="s">
        <v>104</v>
      </c>
    </row>
    <row r="138" spans="2:19" x14ac:dyDescent="0.25">
      <c r="B138" s="35">
        <v>46294</v>
      </c>
      <c r="C138" s="28" t="s">
        <v>86</v>
      </c>
      <c r="D138" s="36">
        <v>624</v>
      </c>
      <c r="E138" s="36">
        <v>621</v>
      </c>
      <c r="F138" s="36">
        <v>0</v>
      </c>
      <c r="G138" s="37">
        <f>IF(tblYield[[#This Row],[Date]]="","",tblYield[[#This Row],[Units in]]-tblYield[[#This Row],[Passed first time]])</f>
        <v>3</v>
      </c>
      <c r="H138" s="37">
        <f>IF(tblYield[[#This Row],[Date]]="","",tblYield[[#This Row],[Units in]]-tblYield[[#This Row],[Passed first time]]-tblYield[[#This Row],[Scrapped]])</f>
        <v>3</v>
      </c>
      <c r="I138" s="38">
        <f>IF(tblYield[[#This Row],[Date]]="","",IF(tblYield[[#This Row],[Units in]]&gt;0,tblYield[[#This Row],[Passed first time]]/tblYield[[#This Row],[Units in]],""))</f>
        <v>0.995192307692308</v>
      </c>
      <c r="J138" s="38">
        <f>IF(tblYield[[#This Row],[Date]]="","",IFERROR(INDEX(tblOperations[FPY target],MATCH(tblYield[[#This Row],[Operation]],tblOperations[Operation],0)),""))</f>
        <v>0.99</v>
      </c>
      <c r="K138" s="39" t="str">
        <f>IF(OR(NOT(ISNUMBER(tblYield[[#This Row],[FPY]])),NOT(ISNUMBER(tblYield[[#This Row],[FPY target]]))),"",IF(tblYield[[#This Row],[FPY]]&gt;=tblYield[[#This Row],[FPY target]],"On target",IF(tblYield[[#This Row],[FPY]]&gt;=tblYield[[#This Row],[FPY target]]-NearBand,"Near target","Below target")))</f>
        <v>On target</v>
      </c>
      <c r="L138" s="38">
        <f>IF(tblYield[[#This Row],[Date]]="","",IF(tblYield[[#This Row],[Units in]]&gt;0,(tblYield[[#This Row],[Units in]]-tblYield[[#This Row],[Scrapped]])/tblYield[[#This Row],[Units in]],""))</f>
        <v>1</v>
      </c>
      <c r="M138" s="40">
        <f>IF(tblYield[[#This Row],[Date]]="","",IFERROR(INDEX(tblOperations[Rework cost],MATCH(tblYield[[#This Row],[Operation]],tblOperations[Operation],0)),""))</f>
        <v>2.2</v>
      </c>
      <c r="N138" s="40">
        <f>IF(tblYield[[#This Row],[Date]]="","",IFERROR(INDEX(tblOperations[Scrap cost],MATCH(tblYield[[#This Row],[Operation]],tblOperations[Operation],0)),""))</f>
        <v>41</v>
      </c>
      <c r="O138" s="40">
        <f>IF(tblYield[[#This Row],[Date]]="","",IF(tblYield[[#This Row],[Rework cost per unit]]="","",tblYield[[#This Row],[Reworked]]*tblYield[[#This Row],[Rework cost per unit]]))</f>
        <v>6.6</v>
      </c>
      <c r="P138" s="40">
        <f>IF(tblYield[[#This Row],[Date]]="","",IF(tblYield[[#This Row],[Scrap cost per unit]]="","",tblYield[[#This Row],[Scrapped]]*tblYield[[#This Row],[Scrap cost per unit]]))</f>
        <v>0</v>
      </c>
      <c r="Q138" s="41">
        <f>IF(tblYield[[#This Row],[Date]]="","",IF(AND(tblYield[[#This Row],[Date]]&gt;=FFrom,tblYield[[#This Row],[Date]]&lt;=FTo),tblYield[[#This Row],[Date]],""))</f>
        <v>46294</v>
      </c>
      <c r="R13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8" s="43" t="s">
        <v>104</v>
      </c>
    </row>
    <row r="139" spans="2:19" x14ac:dyDescent="0.25">
      <c r="B139" s="35">
        <v>46295</v>
      </c>
      <c r="C139" s="28" t="s">
        <v>76</v>
      </c>
      <c r="D139" s="36">
        <v>570</v>
      </c>
      <c r="E139" s="36">
        <v>562</v>
      </c>
      <c r="F139" s="36">
        <v>0</v>
      </c>
      <c r="G139" s="37">
        <f>IF(tblYield[[#This Row],[Date]]="","",tblYield[[#This Row],[Units in]]-tblYield[[#This Row],[Passed first time]])</f>
        <v>8</v>
      </c>
      <c r="H139" s="37">
        <f>IF(tblYield[[#This Row],[Date]]="","",tblYield[[#This Row],[Units in]]-tblYield[[#This Row],[Passed first time]]-tblYield[[#This Row],[Scrapped]])</f>
        <v>8</v>
      </c>
      <c r="I139" s="38">
        <f>IF(tblYield[[#This Row],[Date]]="","",IF(tblYield[[#This Row],[Units in]]&gt;0,tblYield[[#This Row],[Passed first time]]/tblYield[[#This Row],[Units in]],""))</f>
        <v>0.985964912280702</v>
      </c>
      <c r="J139" s="38">
        <f>IF(tblYield[[#This Row],[Date]]="","",IFERROR(INDEX(tblOperations[FPY target],MATCH(tblYield[[#This Row],[Operation]],tblOperations[Operation],0)),""))</f>
        <v>0.99</v>
      </c>
      <c r="K139" s="39" t="str">
        <f>IF(OR(NOT(ISNUMBER(tblYield[[#This Row],[FPY]])),NOT(ISNUMBER(tblYield[[#This Row],[FPY target]]))),"",IF(tblYield[[#This Row],[FPY]]&gt;=tblYield[[#This Row],[FPY target]],"On target",IF(tblYield[[#This Row],[FPY]]&gt;=tblYield[[#This Row],[FPY target]]-NearBand,"Near target","Below target")))</f>
        <v>Near target</v>
      </c>
      <c r="L139" s="38">
        <f>IF(tblYield[[#This Row],[Date]]="","",IF(tblYield[[#This Row],[Units in]]&gt;0,(tblYield[[#This Row],[Units in]]-tblYield[[#This Row],[Scrapped]])/tblYield[[#This Row],[Units in]],""))</f>
        <v>1</v>
      </c>
      <c r="M139" s="40">
        <f>IF(tblYield[[#This Row],[Date]]="","",IFERROR(INDEX(tblOperations[Rework cost],MATCH(tblYield[[#This Row],[Operation]],tblOperations[Operation],0)),""))</f>
        <v>0.6</v>
      </c>
      <c r="N139" s="40">
        <f>IF(tblYield[[#This Row],[Date]]="","",IFERROR(INDEX(tblOperations[Scrap cost],MATCH(tblYield[[#This Row],[Operation]],tblOperations[Operation],0)),""))</f>
        <v>4.8</v>
      </c>
      <c r="O139" s="40">
        <f>IF(tblYield[[#This Row],[Date]]="","",IF(tblYield[[#This Row],[Rework cost per unit]]="","",tblYield[[#This Row],[Reworked]]*tblYield[[#This Row],[Rework cost per unit]]))</f>
        <v>4.8</v>
      </c>
      <c r="P139" s="40">
        <f>IF(tblYield[[#This Row],[Date]]="","",IF(tblYield[[#This Row],[Scrap cost per unit]]="","",tblYield[[#This Row],[Scrapped]]*tblYield[[#This Row],[Scrap cost per unit]]))</f>
        <v>0</v>
      </c>
      <c r="Q139" s="41">
        <f>IF(tblYield[[#This Row],[Date]]="","",IF(AND(tblYield[[#This Row],[Date]]&gt;=FFrom,tblYield[[#This Row],[Date]]&lt;=FTo),tblYield[[#This Row],[Date]],""))</f>
        <v>46295</v>
      </c>
      <c r="R13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39" s="43" t="s">
        <v>104</v>
      </c>
    </row>
    <row r="140" spans="2:19" x14ac:dyDescent="0.25">
      <c r="B140" s="35">
        <v>46295</v>
      </c>
      <c r="C140" s="28" t="s">
        <v>78</v>
      </c>
      <c r="D140" s="36">
        <v>570</v>
      </c>
      <c r="E140" s="36">
        <v>557</v>
      </c>
      <c r="F140" s="36">
        <v>1</v>
      </c>
      <c r="G140" s="37">
        <f>IF(tblYield[[#This Row],[Date]]="","",tblYield[[#This Row],[Units in]]-tblYield[[#This Row],[Passed first time]])</f>
        <v>13</v>
      </c>
      <c r="H140" s="37">
        <f>IF(tblYield[[#This Row],[Date]]="","",tblYield[[#This Row],[Units in]]-tblYield[[#This Row],[Passed first time]]-tblYield[[#This Row],[Scrapped]])</f>
        <v>12</v>
      </c>
      <c r="I140" s="38">
        <f>IF(tblYield[[#This Row],[Date]]="","",IF(tblYield[[#This Row],[Units in]]&gt;0,tblYield[[#This Row],[Passed first time]]/tblYield[[#This Row],[Units in]],""))</f>
        <v>0.97719298245614</v>
      </c>
      <c r="J140" s="38">
        <f>IF(tblYield[[#This Row],[Date]]="","",IFERROR(INDEX(tblOperations[FPY target],MATCH(tblYield[[#This Row],[Operation]],tblOperations[Operation],0)),""))</f>
        <v>0.98</v>
      </c>
      <c r="K140" s="39" t="str">
        <f>IF(OR(NOT(ISNUMBER(tblYield[[#This Row],[FPY]])),NOT(ISNUMBER(tblYield[[#This Row],[FPY target]]))),"",IF(tblYield[[#This Row],[FPY]]&gt;=tblYield[[#This Row],[FPY target]],"On target",IF(tblYield[[#This Row],[FPY]]&gt;=tblYield[[#This Row],[FPY target]]-NearBand,"Near target","Below target")))</f>
        <v>Near target</v>
      </c>
      <c r="L140" s="38">
        <f>IF(tblYield[[#This Row],[Date]]="","",IF(tblYield[[#This Row],[Units in]]&gt;0,(tblYield[[#This Row],[Units in]]-tblYield[[#This Row],[Scrapped]])/tblYield[[#This Row],[Units in]],""))</f>
        <v>0.998245614035088</v>
      </c>
      <c r="M140" s="40">
        <f>IF(tblYield[[#This Row],[Date]]="","",IFERROR(INDEX(tblOperations[Rework cost],MATCH(tblYield[[#This Row],[Operation]],tblOperations[Operation],0)),""))</f>
        <v>3.8</v>
      </c>
      <c r="N140" s="40">
        <f>IF(tblYield[[#This Row],[Date]]="","",IFERROR(INDEX(tblOperations[Scrap cost],MATCH(tblYield[[#This Row],[Operation]],tblOperations[Operation],0)),""))</f>
        <v>31</v>
      </c>
      <c r="O140" s="40">
        <f>IF(tblYield[[#This Row],[Date]]="","",IF(tblYield[[#This Row],[Rework cost per unit]]="","",tblYield[[#This Row],[Reworked]]*tblYield[[#This Row],[Rework cost per unit]]))</f>
        <v>45.6</v>
      </c>
      <c r="P140" s="40">
        <f>IF(tblYield[[#This Row],[Date]]="","",IF(tblYield[[#This Row],[Scrap cost per unit]]="","",tblYield[[#This Row],[Scrapped]]*tblYield[[#This Row],[Scrap cost per unit]]))</f>
        <v>31</v>
      </c>
      <c r="Q140" s="41">
        <f>IF(tblYield[[#This Row],[Date]]="","",IF(AND(tblYield[[#This Row],[Date]]&gt;=FFrom,tblYield[[#This Row],[Date]]&lt;=FTo),tblYield[[#This Row],[Date]],""))</f>
        <v>46295</v>
      </c>
      <c r="R14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0" s="43" t="s">
        <v>104</v>
      </c>
    </row>
    <row r="141" spans="2:19" x14ac:dyDescent="0.25">
      <c r="B141" s="35">
        <v>46295</v>
      </c>
      <c r="C141" s="28" t="s">
        <v>80</v>
      </c>
      <c r="D141" s="36">
        <v>569</v>
      </c>
      <c r="E141" s="36">
        <v>538</v>
      </c>
      <c r="F141" s="36">
        <v>2</v>
      </c>
      <c r="G141" s="37">
        <f>IF(tblYield[[#This Row],[Date]]="","",tblYield[[#This Row],[Units in]]-tblYield[[#This Row],[Passed first time]])</f>
        <v>31</v>
      </c>
      <c r="H141" s="37">
        <f>IF(tblYield[[#This Row],[Date]]="","",tblYield[[#This Row],[Units in]]-tblYield[[#This Row],[Passed first time]]-tblYield[[#This Row],[Scrapped]])</f>
        <v>29</v>
      </c>
      <c r="I141" s="38">
        <f>IF(tblYield[[#This Row],[Date]]="","",IF(tblYield[[#This Row],[Units in]]&gt;0,tblYield[[#This Row],[Passed first time]]/tblYield[[#This Row],[Units in]],""))</f>
        <v>0.945518453427065</v>
      </c>
      <c r="J141" s="38">
        <f>IF(tblYield[[#This Row],[Date]]="","",IFERROR(INDEX(tblOperations[FPY target],MATCH(tblYield[[#This Row],[Operation]],tblOperations[Operation],0)),""))</f>
        <v>0.97</v>
      </c>
      <c r="K141" s="39" t="str">
        <f>IF(OR(NOT(ISNUMBER(tblYield[[#This Row],[FPY]])),NOT(ISNUMBER(tblYield[[#This Row],[FPY target]]))),"",IF(tblYield[[#This Row],[FPY]]&gt;=tblYield[[#This Row],[FPY target]],"On target",IF(tblYield[[#This Row],[FPY]]&gt;=tblYield[[#This Row],[FPY target]]-NearBand,"Near target","Below target")))</f>
        <v>Below target</v>
      </c>
      <c r="L141" s="38">
        <f>IF(tblYield[[#This Row],[Date]]="","",IF(tblYield[[#This Row],[Units in]]&gt;0,(tblYield[[#This Row],[Units in]]-tblYield[[#This Row],[Scrapped]])/tblYield[[#This Row],[Units in]],""))</f>
        <v>0.996485061511424</v>
      </c>
      <c r="M141" s="40">
        <f>IF(tblYield[[#This Row],[Date]]="","",IFERROR(INDEX(tblOperations[Rework cost],MATCH(tblYield[[#This Row],[Operation]],tblOperations[Operation],0)),""))</f>
        <v>2.9</v>
      </c>
      <c r="N141" s="40">
        <f>IF(tblYield[[#This Row],[Date]]="","",IFERROR(INDEX(tblOperations[Scrap cost],MATCH(tblYield[[#This Row],[Operation]],tblOperations[Operation],0)),""))</f>
        <v>34</v>
      </c>
      <c r="O141" s="40">
        <f>IF(tblYield[[#This Row],[Date]]="","",IF(tblYield[[#This Row],[Rework cost per unit]]="","",tblYield[[#This Row],[Reworked]]*tblYield[[#This Row],[Rework cost per unit]]))</f>
        <v>84.1</v>
      </c>
      <c r="P141" s="40">
        <f>IF(tblYield[[#This Row],[Date]]="","",IF(tblYield[[#This Row],[Scrap cost per unit]]="","",tblYield[[#This Row],[Scrapped]]*tblYield[[#This Row],[Scrap cost per unit]]))</f>
        <v>68</v>
      </c>
      <c r="Q141" s="41">
        <f>IF(tblYield[[#This Row],[Date]]="","",IF(AND(tblYield[[#This Row],[Date]]&gt;=FFrom,tblYield[[#This Row],[Date]]&lt;=FTo),tblYield[[#This Row],[Date]],""))</f>
        <v>46295</v>
      </c>
      <c r="R14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1" s="43" t="s">
        <v>104</v>
      </c>
    </row>
    <row r="142" spans="2:19" x14ac:dyDescent="0.25">
      <c r="B142" s="35">
        <v>46295</v>
      </c>
      <c r="C142" s="28" t="s">
        <v>82</v>
      </c>
      <c r="D142" s="36">
        <v>567</v>
      </c>
      <c r="E142" s="36">
        <v>559</v>
      </c>
      <c r="F142" s="36">
        <v>1</v>
      </c>
      <c r="G142" s="37">
        <f>IF(tblYield[[#This Row],[Date]]="","",tblYield[[#This Row],[Units in]]-tblYield[[#This Row],[Passed first time]])</f>
        <v>8</v>
      </c>
      <c r="H142" s="37">
        <f>IF(tblYield[[#This Row],[Date]]="","",tblYield[[#This Row],[Units in]]-tblYield[[#This Row],[Passed first time]]-tblYield[[#This Row],[Scrapped]])</f>
        <v>7</v>
      </c>
      <c r="I142" s="38">
        <f>IF(tblYield[[#This Row],[Date]]="","",IF(tblYield[[#This Row],[Units in]]&gt;0,tblYield[[#This Row],[Passed first time]]/tblYield[[#This Row],[Units in]],""))</f>
        <v>0.985890652557319</v>
      </c>
      <c r="J142" s="38">
        <f>IF(tblYield[[#This Row],[Date]]="","",IFERROR(INDEX(tblOperations[FPY target],MATCH(tblYield[[#This Row],[Operation]],tblOperations[Operation],0)),""))</f>
        <v>0.98</v>
      </c>
      <c r="K142" s="39" t="str">
        <f>IF(OR(NOT(ISNUMBER(tblYield[[#This Row],[FPY]])),NOT(ISNUMBER(tblYield[[#This Row],[FPY target]]))),"",IF(tblYield[[#This Row],[FPY]]&gt;=tblYield[[#This Row],[FPY target]],"On target",IF(tblYield[[#This Row],[FPY]]&gt;=tblYield[[#This Row],[FPY target]]-NearBand,"Near target","Below target")))</f>
        <v>On target</v>
      </c>
      <c r="L142" s="38">
        <f>IF(tblYield[[#This Row],[Date]]="","",IF(tblYield[[#This Row],[Units in]]&gt;0,(tblYield[[#This Row],[Units in]]-tblYield[[#This Row],[Scrapped]])/tblYield[[#This Row],[Units in]],""))</f>
        <v>0.998236331569665</v>
      </c>
      <c r="M142" s="40">
        <f>IF(tblYield[[#This Row],[Date]]="","",IFERROR(INDEX(tblOperations[Rework cost],MATCH(tblYield[[#This Row],[Operation]],tblOperations[Operation],0)),""))</f>
        <v>8.5</v>
      </c>
      <c r="N142" s="40">
        <f>IF(tblYield[[#This Row],[Date]]="","",IFERROR(INDEX(tblOperations[Scrap cost],MATCH(tblYield[[#This Row],[Operation]],tblOperations[Operation],0)),""))</f>
        <v>36.5</v>
      </c>
      <c r="O142" s="40">
        <f>IF(tblYield[[#This Row],[Date]]="","",IF(tblYield[[#This Row],[Rework cost per unit]]="","",tblYield[[#This Row],[Reworked]]*tblYield[[#This Row],[Rework cost per unit]]))</f>
        <v>59.5</v>
      </c>
      <c r="P142" s="40">
        <f>IF(tblYield[[#This Row],[Date]]="","",IF(tblYield[[#This Row],[Scrap cost per unit]]="","",tblYield[[#This Row],[Scrapped]]*tblYield[[#This Row],[Scrap cost per unit]]))</f>
        <v>36.5</v>
      </c>
      <c r="Q142" s="41">
        <f>IF(tblYield[[#This Row],[Date]]="","",IF(AND(tblYield[[#This Row],[Date]]&gt;=FFrom,tblYield[[#This Row],[Date]]&lt;=FTo),tblYield[[#This Row],[Date]],""))</f>
        <v>46295</v>
      </c>
      <c r="R14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2" s="43" t="s">
        <v>104</v>
      </c>
    </row>
    <row r="143" spans="2:19" x14ac:dyDescent="0.25">
      <c r="B143" s="35">
        <v>46295</v>
      </c>
      <c r="C143" s="28" t="s">
        <v>84</v>
      </c>
      <c r="D143" s="36">
        <v>566</v>
      </c>
      <c r="E143" s="36">
        <v>561</v>
      </c>
      <c r="F143" s="36">
        <v>1</v>
      </c>
      <c r="G143" s="37">
        <f>IF(tblYield[[#This Row],[Date]]="","",tblYield[[#This Row],[Units in]]-tblYield[[#This Row],[Passed first time]])</f>
        <v>5</v>
      </c>
      <c r="H143" s="37">
        <f>IF(tblYield[[#This Row],[Date]]="","",tblYield[[#This Row],[Units in]]-tblYield[[#This Row],[Passed first time]]-tblYield[[#This Row],[Scrapped]])</f>
        <v>4</v>
      </c>
      <c r="I143" s="38">
        <f>IF(tblYield[[#This Row],[Date]]="","",IF(tblYield[[#This Row],[Units in]]&gt;0,tblYield[[#This Row],[Passed first time]]/tblYield[[#This Row],[Units in]],""))</f>
        <v>0.991166077738516</v>
      </c>
      <c r="J143" s="38">
        <f>IF(tblYield[[#This Row],[Date]]="","",IFERROR(INDEX(tblOperations[FPY target],MATCH(tblYield[[#This Row],[Operation]],tblOperations[Operation],0)),""))</f>
        <v>0.985</v>
      </c>
      <c r="K143" s="39" t="str">
        <f>IF(OR(NOT(ISNUMBER(tblYield[[#This Row],[FPY]])),NOT(ISNUMBER(tblYield[[#This Row],[FPY target]]))),"",IF(tblYield[[#This Row],[FPY]]&gt;=tblYield[[#This Row],[FPY target]],"On target",IF(tblYield[[#This Row],[FPY]]&gt;=tblYield[[#This Row],[FPY target]]-NearBand,"Near target","Below target")))</f>
        <v>On target</v>
      </c>
      <c r="L143" s="38">
        <f>IF(tblYield[[#This Row],[Date]]="","",IF(tblYield[[#This Row],[Units in]]&gt;0,(tblYield[[#This Row],[Units in]]-tblYield[[#This Row],[Scrapped]])/tblYield[[#This Row],[Units in]],""))</f>
        <v>0.998233215547703</v>
      </c>
      <c r="M143" s="40">
        <f>IF(tblYield[[#This Row],[Date]]="","",IFERROR(INDEX(tblOperations[Rework cost],MATCH(tblYield[[#This Row],[Operation]],tblOperations[Operation],0)),""))</f>
        <v>12</v>
      </c>
      <c r="N143" s="40">
        <f>IF(tblYield[[#This Row],[Date]]="","",IFERROR(INDEX(tblOperations[Scrap cost],MATCH(tblYield[[#This Row],[Operation]],tblOperations[Operation],0)),""))</f>
        <v>38</v>
      </c>
      <c r="O143" s="40">
        <f>IF(tblYield[[#This Row],[Date]]="","",IF(tblYield[[#This Row],[Rework cost per unit]]="","",tblYield[[#This Row],[Reworked]]*tblYield[[#This Row],[Rework cost per unit]]))</f>
        <v>48</v>
      </c>
      <c r="P143" s="40">
        <f>IF(tblYield[[#This Row],[Date]]="","",IF(tblYield[[#This Row],[Scrap cost per unit]]="","",tblYield[[#This Row],[Scrapped]]*tblYield[[#This Row],[Scrap cost per unit]]))</f>
        <v>38</v>
      </c>
      <c r="Q143" s="41">
        <f>IF(tblYield[[#This Row],[Date]]="","",IF(AND(tblYield[[#This Row],[Date]]&gt;=FFrom,tblYield[[#This Row],[Date]]&lt;=FTo),tblYield[[#This Row],[Date]],""))</f>
        <v>46295</v>
      </c>
      <c r="R14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3" s="43" t="s">
        <v>104</v>
      </c>
    </row>
    <row r="144" spans="2:19" x14ac:dyDescent="0.25">
      <c r="B144" s="35">
        <v>46295</v>
      </c>
      <c r="C144" s="28" t="s">
        <v>86</v>
      </c>
      <c r="D144" s="36">
        <v>565</v>
      </c>
      <c r="E144" s="36">
        <v>562</v>
      </c>
      <c r="F144" s="36">
        <v>0</v>
      </c>
      <c r="G144" s="37">
        <f>IF(tblYield[[#This Row],[Date]]="","",tblYield[[#This Row],[Units in]]-tblYield[[#This Row],[Passed first time]])</f>
        <v>3</v>
      </c>
      <c r="H144" s="37">
        <f>IF(tblYield[[#This Row],[Date]]="","",tblYield[[#This Row],[Units in]]-tblYield[[#This Row],[Passed first time]]-tblYield[[#This Row],[Scrapped]])</f>
        <v>3</v>
      </c>
      <c r="I144" s="38">
        <f>IF(tblYield[[#This Row],[Date]]="","",IF(tblYield[[#This Row],[Units in]]&gt;0,tblYield[[#This Row],[Passed first time]]/tblYield[[#This Row],[Units in]],""))</f>
        <v>0.994690265486726</v>
      </c>
      <c r="J144" s="38">
        <f>IF(tblYield[[#This Row],[Date]]="","",IFERROR(INDEX(tblOperations[FPY target],MATCH(tblYield[[#This Row],[Operation]],tblOperations[Operation],0)),""))</f>
        <v>0.99</v>
      </c>
      <c r="K144" s="39" t="str">
        <f>IF(OR(NOT(ISNUMBER(tblYield[[#This Row],[FPY]])),NOT(ISNUMBER(tblYield[[#This Row],[FPY target]]))),"",IF(tblYield[[#This Row],[FPY]]&gt;=tblYield[[#This Row],[FPY target]],"On target",IF(tblYield[[#This Row],[FPY]]&gt;=tblYield[[#This Row],[FPY target]]-NearBand,"Near target","Below target")))</f>
        <v>On target</v>
      </c>
      <c r="L144" s="38">
        <f>IF(tblYield[[#This Row],[Date]]="","",IF(tblYield[[#This Row],[Units in]]&gt;0,(tblYield[[#This Row],[Units in]]-tblYield[[#This Row],[Scrapped]])/tblYield[[#This Row],[Units in]],""))</f>
        <v>1</v>
      </c>
      <c r="M144" s="40">
        <f>IF(tblYield[[#This Row],[Date]]="","",IFERROR(INDEX(tblOperations[Rework cost],MATCH(tblYield[[#This Row],[Operation]],tblOperations[Operation],0)),""))</f>
        <v>2.2</v>
      </c>
      <c r="N144" s="40">
        <f>IF(tblYield[[#This Row],[Date]]="","",IFERROR(INDEX(tblOperations[Scrap cost],MATCH(tblYield[[#This Row],[Operation]],tblOperations[Operation],0)),""))</f>
        <v>41</v>
      </c>
      <c r="O144" s="40">
        <f>IF(tblYield[[#This Row],[Date]]="","",IF(tblYield[[#This Row],[Rework cost per unit]]="","",tblYield[[#This Row],[Reworked]]*tblYield[[#This Row],[Rework cost per unit]]))</f>
        <v>6.6</v>
      </c>
      <c r="P144" s="40">
        <f>IF(tblYield[[#This Row],[Date]]="","",IF(tblYield[[#This Row],[Scrap cost per unit]]="","",tblYield[[#This Row],[Scrapped]]*tblYield[[#This Row],[Scrap cost per unit]]))</f>
        <v>0</v>
      </c>
      <c r="Q144" s="41">
        <f>IF(tblYield[[#This Row],[Date]]="","",IF(AND(tblYield[[#This Row],[Date]]&gt;=FFrom,tblYield[[#This Row],[Date]]&lt;=FTo),tblYield[[#This Row],[Date]],""))</f>
        <v>46295</v>
      </c>
      <c r="R14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4" s="43" t="s">
        <v>104</v>
      </c>
    </row>
    <row r="145" spans="2:19" x14ac:dyDescent="0.25">
      <c r="B145" s="35">
        <v>46296</v>
      </c>
      <c r="C145" s="28" t="s">
        <v>76</v>
      </c>
      <c r="D145" s="36">
        <v>590</v>
      </c>
      <c r="E145" s="36">
        <v>584</v>
      </c>
      <c r="F145" s="36">
        <v>0</v>
      </c>
      <c r="G145" s="37">
        <f>IF(tblYield[[#This Row],[Date]]="","",tblYield[[#This Row],[Units in]]-tblYield[[#This Row],[Passed first time]])</f>
        <v>6</v>
      </c>
      <c r="H145" s="37">
        <f>IF(tblYield[[#This Row],[Date]]="","",tblYield[[#This Row],[Units in]]-tblYield[[#This Row],[Passed first time]]-tblYield[[#This Row],[Scrapped]])</f>
        <v>6</v>
      </c>
      <c r="I145" s="38">
        <f>IF(tblYield[[#This Row],[Date]]="","",IF(tblYield[[#This Row],[Units in]]&gt;0,tblYield[[#This Row],[Passed first time]]/tblYield[[#This Row],[Units in]],""))</f>
        <v>0.989830508474576</v>
      </c>
      <c r="J145" s="38">
        <f>IF(tblYield[[#This Row],[Date]]="","",IFERROR(INDEX(tblOperations[FPY target],MATCH(tblYield[[#This Row],[Operation]],tblOperations[Operation],0)),""))</f>
        <v>0.99</v>
      </c>
      <c r="K145" s="39" t="str">
        <f>IF(OR(NOT(ISNUMBER(tblYield[[#This Row],[FPY]])),NOT(ISNUMBER(tblYield[[#This Row],[FPY target]]))),"",IF(tblYield[[#This Row],[FPY]]&gt;=tblYield[[#This Row],[FPY target]],"On target",IF(tblYield[[#This Row],[FPY]]&gt;=tblYield[[#This Row],[FPY target]]-NearBand,"Near target","Below target")))</f>
        <v>Near target</v>
      </c>
      <c r="L145" s="38">
        <f>IF(tblYield[[#This Row],[Date]]="","",IF(tblYield[[#This Row],[Units in]]&gt;0,(tblYield[[#This Row],[Units in]]-tblYield[[#This Row],[Scrapped]])/tblYield[[#This Row],[Units in]],""))</f>
        <v>1</v>
      </c>
      <c r="M145" s="40">
        <f>IF(tblYield[[#This Row],[Date]]="","",IFERROR(INDEX(tblOperations[Rework cost],MATCH(tblYield[[#This Row],[Operation]],tblOperations[Operation],0)),""))</f>
        <v>0.6</v>
      </c>
      <c r="N145" s="40">
        <f>IF(tblYield[[#This Row],[Date]]="","",IFERROR(INDEX(tblOperations[Scrap cost],MATCH(tblYield[[#This Row],[Operation]],tblOperations[Operation],0)),""))</f>
        <v>4.8</v>
      </c>
      <c r="O145" s="40">
        <f>IF(tblYield[[#This Row],[Date]]="","",IF(tblYield[[#This Row],[Rework cost per unit]]="","",tblYield[[#This Row],[Reworked]]*tblYield[[#This Row],[Rework cost per unit]]))</f>
        <v>3.6</v>
      </c>
      <c r="P145" s="40">
        <f>IF(tblYield[[#This Row],[Date]]="","",IF(tblYield[[#This Row],[Scrap cost per unit]]="","",tblYield[[#This Row],[Scrapped]]*tblYield[[#This Row],[Scrap cost per unit]]))</f>
        <v>0</v>
      </c>
      <c r="Q145" s="41">
        <f>IF(tblYield[[#This Row],[Date]]="","",IF(AND(tblYield[[#This Row],[Date]]&gt;=FFrom,tblYield[[#This Row],[Date]]&lt;=FTo),tblYield[[#This Row],[Date]],""))</f>
        <v>46296</v>
      </c>
      <c r="R14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5" s="43" t="s">
        <v>104</v>
      </c>
    </row>
    <row r="146" spans="2:19" x14ac:dyDescent="0.25">
      <c r="B146" s="35">
        <v>46296</v>
      </c>
      <c r="C146" s="28" t="s">
        <v>78</v>
      </c>
      <c r="D146" s="36">
        <v>590</v>
      </c>
      <c r="E146" s="36">
        <v>579</v>
      </c>
      <c r="F146" s="36">
        <v>1</v>
      </c>
      <c r="G146" s="37">
        <f>IF(tblYield[[#This Row],[Date]]="","",tblYield[[#This Row],[Units in]]-tblYield[[#This Row],[Passed first time]])</f>
        <v>11</v>
      </c>
      <c r="H146" s="37">
        <f>IF(tblYield[[#This Row],[Date]]="","",tblYield[[#This Row],[Units in]]-tblYield[[#This Row],[Passed first time]]-tblYield[[#This Row],[Scrapped]])</f>
        <v>10</v>
      </c>
      <c r="I146" s="38">
        <f>IF(tblYield[[#This Row],[Date]]="","",IF(tblYield[[#This Row],[Units in]]&gt;0,tblYield[[#This Row],[Passed first time]]/tblYield[[#This Row],[Units in]],""))</f>
        <v>0.98135593220339</v>
      </c>
      <c r="J146" s="38">
        <f>IF(tblYield[[#This Row],[Date]]="","",IFERROR(INDEX(tblOperations[FPY target],MATCH(tblYield[[#This Row],[Operation]],tblOperations[Operation],0)),""))</f>
        <v>0.98</v>
      </c>
      <c r="K146" s="39" t="str">
        <f>IF(OR(NOT(ISNUMBER(tblYield[[#This Row],[FPY]])),NOT(ISNUMBER(tblYield[[#This Row],[FPY target]]))),"",IF(tblYield[[#This Row],[FPY]]&gt;=tblYield[[#This Row],[FPY target]],"On target",IF(tblYield[[#This Row],[FPY]]&gt;=tblYield[[#This Row],[FPY target]]-NearBand,"Near target","Below target")))</f>
        <v>On target</v>
      </c>
      <c r="L146" s="38">
        <f>IF(tblYield[[#This Row],[Date]]="","",IF(tblYield[[#This Row],[Units in]]&gt;0,(tblYield[[#This Row],[Units in]]-tblYield[[#This Row],[Scrapped]])/tblYield[[#This Row],[Units in]],""))</f>
        <v>0.998305084745763</v>
      </c>
      <c r="M146" s="40">
        <f>IF(tblYield[[#This Row],[Date]]="","",IFERROR(INDEX(tblOperations[Rework cost],MATCH(tblYield[[#This Row],[Operation]],tblOperations[Operation],0)),""))</f>
        <v>3.8</v>
      </c>
      <c r="N146" s="40">
        <f>IF(tblYield[[#This Row],[Date]]="","",IFERROR(INDEX(tblOperations[Scrap cost],MATCH(tblYield[[#This Row],[Operation]],tblOperations[Operation],0)),""))</f>
        <v>31</v>
      </c>
      <c r="O146" s="40">
        <f>IF(tblYield[[#This Row],[Date]]="","",IF(tblYield[[#This Row],[Rework cost per unit]]="","",tblYield[[#This Row],[Reworked]]*tblYield[[#This Row],[Rework cost per unit]]))</f>
        <v>38</v>
      </c>
      <c r="P146" s="40">
        <f>IF(tblYield[[#This Row],[Date]]="","",IF(tblYield[[#This Row],[Scrap cost per unit]]="","",tblYield[[#This Row],[Scrapped]]*tblYield[[#This Row],[Scrap cost per unit]]))</f>
        <v>31</v>
      </c>
      <c r="Q146" s="41">
        <f>IF(tblYield[[#This Row],[Date]]="","",IF(AND(tblYield[[#This Row],[Date]]&gt;=FFrom,tblYield[[#This Row],[Date]]&lt;=FTo),tblYield[[#This Row],[Date]],""))</f>
        <v>46296</v>
      </c>
      <c r="R14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6" s="43" t="s">
        <v>104</v>
      </c>
    </row>
    <row r="147" spans="2:19" x14ac:dyDescent="0.25">
      <c r="B147" s="35">
        <v>46296</v>
      </c>
      <c r="C147" s="28" t="s">
        <v>80</v>
      </c>
      <c r="D147" s="36">
        <v>589</v>
      </c>
      <c r="E147" s="36">
        <v>556</v>
      </c>
      <c r="F147" s="36">
        <v>3</v>
      </c>
      <c r="G147" s="37">
        <f>IF(tblYield[[#This Row],[Date]]="","",tblYield[[#This Row],[Units in]]-tblYield[[#This Row],[Passed first time]])</f>
        <v>33</v>
      </c>
      <c r="H147" s="37">
        <f>IF(tblYield[[#This Row],[Date]]="","",tblYield[[#This Row],[Units in]]-tblYield[[#This Row],[Passed first time]]-tblYield[[#This Row],[Scrapped]])</f>
        <v>30</v>
      </c>
      <c r="I147" s="38">
        <f>IF(tblYield[[#This Row],[Date]]="","",IF(tblYield[[#This Row],[Units in]]&gt;0,tblYield[[#This Row],[Passed first time]]/tblYield[[#This Row],[Units in]],""))</f>
        <v>0.943972835314092</v>
      </c>
      <c r="J147" s="38">
        <f>IF(tblYield[[#This Row],[Date]]="","",IFERROR(INDEX(tblOperations[FPY target],MATCH(tblYield[[#This Row],[Operation]],tblOperations[Operation],0)),""))</f>
        <v>0.97</v>
      </c>
      <c r="K147" s="39" t="str">
        <f>IF(OR(NOT(ISNUMBER(tblYield[[#This Row],[FPY]])),NOT(ISNUMBER(tblYield[[#This Row],[FPY target]]))),"",IF(tblYield[[#This Row],[FPY]]&gt;=tblYield[[#This Row],[FPY target]],"On target",IF(tblYield[[#This Row],[FPY]]&gt;=tblYield[[#This Row],[FPY target]]-NearBand,"Near target","Below target")))</f>
        <v>Below target</v>
      </c>
      <c r="L147" s="38">
        <f>IF(tblYield[[#This Row],[Date]]="","",IF(tblYield[[#This Row],[Units in]]&gt;0,(tblYield[[#This Row],[Units in]]-tblYield[[#This Row],[Scrapped]])/tblYield[[#This Row],[Units in]],""))</f>
        <v>0.99490662139219</v>
      </c>
      <c r="M147" s="40">
        <f>IF(tblYield[[#This Row],[Date]]="","",IFERROR(INDEX(tblOperations[Rework cost],MATCH(tblYield[[#This Row],[Operation]],tblOperations[Operation],0)),""))</f>
        <v>2.9</v>
      </c>
      <c r="N147" s="40">
        <f>IF(tblYield[[#This Row],[Date]]="","",IFERROR(INDEX(tblOperations[Scrap cost],MATCH(tblYield[[#This Row],[Operation]],tblOperations[Operation],0)),""))</f>
        <v>34</v>
      </c>
      <c r="O147" s="40">
        <f>IF(tblYield[[#This Row],[Date]]="","",IF(tblYield[[#This Row],[Rework cost per unit]]="","",tblYield[[#This Row],[Reworked]]*tblYield[[#This Row],[Rework cost per unit]]))</f>
        <v>87</v>
      </c>
      <c r="P147" s="40">
        <f>IF(tblYield[[#This Row],[Date]]="","",IF(tblYield[[#This Row],[Scrap cost per unit]]="","",tblYield[[#This Row],[Scrapped]]*tblYield[[#This Row],[Scrap cost per unit]]))</f>
        <v>102</v>
      </c>
      <c r="Q147" s="41">
        <f>IF(tblYield[[#This Row],[Date]]="","",IF(AND(tblYield[[#This Row],[Date]]&gt;=FFrom,tblYield[[#This Row],[Date]]&lt;=FTo),tblYield[[#This Row],[Date]],""))</f>
        <v>46296</v>
      </c>
      <c r="R14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7" s="43" t="s">
        <v>104</v>
      </c>
    </row>
    <row r="148" spans="2:19" x14ac:dyDescent="0.25">
      <c r="B148" s="35">
        <v>46296</v>
      </c>
      <c r="C148" s="28" t="s">
        <v>82</v>
      </c>
      <c r="D148" s="36">
        <v>586</v>
      </c>
      <c r="E148" s="36">
        <v>578</v>
      </c>
      <c r="F148" s="36">
        <v>1</v>
      </c>
      <c r="G148" s="37">
        <f>IF(tblYield[[#This Row],[Date]]="","",tblYield[[#This Row],[Units in]]-tblYield[[#This Row],[Passed first time]])</f>
        <v>8</v>
      </c>
      <c r="H148" s="37">
        <f>IF(tblYield[[#This Row],[Date]]="","",tblYield[[#This Row],[Units in]]-tblYield[[#This Row],[Passed first time]]-tblYield[[#This Row],[Scrapped]])</f>
        <v>7</v>
      </c>
      <c r="I148" s="38">
        <f>IF(tblYield[[#This Row],[Date]]="","",IF(tblYield[[#This Row],[Units in]]&gt;0,tblYield[[#This Row],[Passed first time]]/tblYield[[#This Row],[Units in]],""))</f>
        <v>0.986348122866894</v>
      </c>
      <c r="J148" s="38">
        <f>IF(tblYield[[#This Row],[Date]]="","",IFERROR(INDEX(tblOperations[FPY target],MATCH(tblYield[[#This Row],[Operation]],tblOperations[Operation],0)),""))</f>
        <v>0.98</v>
      </c>
      <c r="K148" s="39" t="str">
        <f>IF(OR(NOT(ISNUMBER(tblYield[[#This Row],[FPY]])),NOT(ISNUMBER(tblYield[[#This Row],[FPY target]]))),"",IF(tblYield[[#This Row],[FPY]]&gt;=tblYield[[#This Row],[FPY target]],"On target",IF(tblYield[[#This Row],[FPY]]&gt;=tblYield[[#This Row],[FPY target]]-NearBand,"Near target","Below target")))</f>
        <v>On target</v>
      </c>
      <c r="L148" s="38">
        <f>IF(tblYield[[#This Row],[Date]]="","",IF(tblYield[[#This Row],[Units in]]&gt;0,(tblYield[[#This Row],[Units in]]-tblYield[[#This Row],[Scrapped]])/tblYield[[#This Row],[Units in]],""))</f>
        <v>0.998293515358362</v>
      </c>
      <c r="M148" s="40">
        <f>IF(tblYield[[#This Row],[Date]]="","",IFERROR(INDEX(tblOperations[Rework cost],MATCH(tblYield[[#This Row],[Operation]],tblOperations[Operation],0)),""))</f>
        <v>8.5</v>
      </c>
      <c r="N148" s="40">
        <f>IF(tblYield[[#This Row],[Date]]="","",IFERROR(INDEX(tblOperations[Scrap cost],MATCH(tblYield[[#This Row],[Operation]],tblOperations[Operation],0)),""))</f>
        <v>36.5</v>
      </c>
      <c r="O148" s="40">
        <f>IF(tblYield[[#This Row],[Date]]="","",IF(tblYield[[#This Row],[Rework cost per unit]]="","",tblYield[[#This Row],[Reworked]]*tblYield[[#This Row],[Rework cost per unit]]))</f>
        <v>59.5</v>
      </c>
      <c r="P148" s="40">
        <f>IF(tblYield[[#This Row],[Date]]="","",IF(tblYield[[#This Row],[Scrap cost per unit]]="","",tblYield[[#This Row],[Scrapped]]*tblYield[[#This Row],[Scrap cost per unit]]))</f>
        <v>36.5</v>
      </c>
      <c r="Q148" s="41">
        <f>IF(tblYield[[#This Row],[Date]]="","",IF(AND(tblYield[[#This Row],[Date]]&gt;=FFrom,tblYield[[#This Row],[Date]]&lt;=FTo),tblYield[[#This Row],[Date]],""))</f>
        <v>46296</v>
      </c>
      <c r="R14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8" s="43" t="s">
        <v>104</v>
      </c>
    </row>
    <row r="149" spans="2:19" x14ac:dyDescent="0.25">
      <c r="B149" s="35">
        <v>46296</v>
      </c>
      <c r="C149" s="28" t="s">
        <v>84</v>
      </c>
      <c r="D149" s="36">
        <v>585</v>
      </c>
      <c r="E149" s="36">
        <v>573</v>
      </c>
      <c r="F149" s="36">
        <v>1</v>
      </c>
      <c r="G149" s="37">
        <f>IF(tblYield[[#This Row],[Date]]="","",tblYield[[#This Row],[Units in]]-tblYield[[#This Row],[Passed first time]])</f>
        <v>12</v>
      </c>
      <c r="H149" s="37">
        <f>IF(tblYield[[#This Row],[Date]]="","",tblYield[[#This Row],[Units in]]-tblYield[[#This Row],[Passed first time]]-tblYield[[#This Row],[Scrapped]])</f>
        <v>11</v>
      </c>
      <c r="I149" s="38">
        <f>IF(tblYield[[#This Row],[Date]]="","",IF(tblYield[[#This Row],[Units in]]&gt;0,tblYield[[#This Row],[Passed first time]]/tblYield[[#This Row],[Units in]],""))</f>
        <v>0.979487179487179</v>
      </c>
      <c r="J149" s="38">
        <f>IF(tblYield[[#This Row],[Date]]="","",IFERROR(INDEX(tblOperations[FPY target],MATCH(tblYield[[#This Row],[Operation]],tblOperations[Operation],0)),""))</f>
        <v>0.985</v>
      </c>
      <c r="K149" s="39" t="str">
        <f>IF(OR(NOT(ISNUMBER(tblYield[[#This Row],[FPY]])),NOT(ISNUMBER(tblYield[[#This Row],[FPY target]]))),"",IF(tblYield[[#This Row],[FPY]]&gt;=tblYield[[#This Row],[FPY target]],"On target",IF(tblYield[[#This Row],[FPY]]&gt;=tblYield[[#This Row],[FPY target]]-NearBand,"Near target","Below target")))</f>
        <v>Near target</v>
      </c>
      <c r="L149" s="38">
        <f>IF(tblYield[[#This Row],[Date]]="","",IF(tblYield[[#This Row],[Units in]]&gt;0,(tblYield[[#This Row],[Units in]]-tblYield[[#This Row],[Scrapped]])/tblYield[[#This Row],[Units in]],""))</f>
        <v>0.998290598290598</v>
      </c>
      <c r="M149" s="40">
        <f>IF(tblYield[[#This Row],[Date]]="","",IFERROR(INDEX(tblOperations[Rework cost],MATCH(tblYield[[#This Row],[Operation]],tblOperations[Operation],0)),""))</f>
        <v>12</v>
      </c>
      <c r="N149" s="40">
        <f>IF(tblYield[[#This Row],[Date]]="","",IFERROR(INDEX(tblOperations[Scrap cost],MATCH(tblYield[[#This Row],[Operation]],tblOperations[Operation],0)),""))</f>
        <v>38</v>
      </c>
      <c r="O149" s="40">
        <f>IF(tblYield[[#This Row],[Date]]="","",IF(tblYield[[#This Row],[Rework cost per unit]]="","",tblYield[[#This Row],[Reworked]]*tblYield[[#This Row],[Rework cost per unit]]))</f>
        <v>132</v>
      </c>
      <c r="P149" s="40">
        <f>IF(tblYield[[#This Row],[Date]]="","",IF(tblYield[[#This Row],[Scrap cost per unit]]="","",tblYield[[#This Row],[Scrapped]]*tblYield[[#This Row],[Scrap cost per unit]]))</f>
        <v>38</v>
      </c>
      <c r="Q149" s="41">
        <f>IF(tblYield[[#This Row],[Date]]="","",IF(AND(tblYield[[#This Row],[Date]]&gt;=FFrom,tblYield[[#This Row],[Date]]&lt;=FTo),tblYield[[#This Row],[Date]],""))</f>
        <v>46296</v>
      </c>
      <c r="R14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49" s="43" t="s">
        <v>104</v>
      </c>
    </row>
    <row r="150" spans="2:19" x14ac:dyDescent="0.25">
      <c r="B150" s="35">
        <v>46296</v>
      </c>
      <c r="C150" s="28" t="s">
        <v>86</v>
      </c>
      <c r="D150" s="36">
        <v>584</v>
      </c>
      <c r="E150" s="36">
        <v>578</v>
      </c>
      <c r="F150" s="36">
        <v>0</v>
      </c>
      <c r="G150" s="37">
        <f>IF(tblYield[[#This Row],[Date]]="","",tblYield[[#This Row],[Units in]]-tblYield[[#This Row],[Passed first time]])</f>
        <v>6</v>
      </c>
      <c r="H150" s="37">
        <f>IF(tblYield[[#This Row],[Date]]="","",tblYield[[#This Row],[Units in]]-tblYield[[#This Row],[Passed first time]]-tblYield[[#This Row],[Scrapped]])</f>
        <v>6</v>
      </c>
      <c r="I150" s="38">
        <f>IF(tblYield[[#This Row],[Date]]="","",IF(tblYield[[#This Row],[Units in]]&gt;0,tblYield[[#This Row],[Passed first time]]/tblYield[[#This Row],[Units in]],""))</f>
        <v>0.98972602739726</v>
      </c>
      <c r="J150" s="38">
        <f>IF(tblYield[[#This Row],[Date]]="","",IFERROR(INDEX(tblOperations[FPY target],MATCH(tblYield[[#This Row],[Operation]],tblOperations[Operation],0)),""))</f>
        <v>0.99</v>
      </c>
      <c r="K150" s="39" t="str">
        <f>IF(OR(NOT(ISNUMBER(tblYield[[#This Row],[FPY]])),NOT(ISNUMBER(tblYield[[#This Row],[FPY target]]))),"",IF(tblYield[[#This Row],[FPY]]&gt;=tblYield[[#This Row],[FPY target]],"On target",IF(tblYield[[#This Row],[FPY]]&gt;=tblYield[[#This Row],[FPY target]]-NearBand,"Near target","Below target")))</f>
        <v>Near target</v>
      </c>
      <c r="L150" s="38">
        <f>IF(tblYield[[#This Row],[Date]]="","",IF(tblYield[[#This Row],[Units in]]&gt;0,(tblYield[[#This Row],[Units in]]-tblYield[[#This Row],[Scrapped]])/tblYield[[#This Row],[Units in]],""))</f>
        <v>1</v>
      </c>
      <c r="M150" s="40">
        <f>IF(tblYield[[#This Row],[Date]]="","",IFERROR(INDEX(tblOperations[Rework cost],MATCH(tblYield[[#This Row],[Operation]],tblOperations[Operation],0)),""))</f>
        <v>2.2</v>
      </c>
      <c r="N150" s="40">
        <f>IF(tblYield[[#This Row],[Date]]="","",IFERROR(INDEX(tblOperations[Scrap cost],MATCH(tblYield[[#This Row],[Operation]],tblOperations[Operation],0)),""))</f>
        <v>41</v>
      </c>
      <c r="O150" s="40">
        <f>IF(tblYield[[#This Row],[Date]]="","",IF(tblYield[[#This Row],[Rework cost per unit]]="","",tblYield[[#This Row],[Reworked]]*tblYield[[#This Row],[Rework cost per unit]]))</f>
        <v>13.2</v>
      </c>
      <c r="P150" s="40">
        <f>IF(tblYield[[#This Row],[Date]]="","",IF(tblYield[[#This Row],[Scrap cost per unit]]="","",tblYield[[#This Row],[Scrapped]]*tblYield[[#This Row],[Scrap cost per unit]]))</f>
        <v>0</v>
      </c>
      <c r="Q150" s="41">
        <f>IF(tblYield[[#This Row],[Date]]="","",IF(AND(tblYield[[#This Row],[Date]]&gt;=FFrom,tblYield[[#This Row],[Date]]&lt;=FTo),tblYield[[#This Row],[Date]],""))</f>
        <v>46296</v>
      </c>
      <c r="R15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0" s="43" t="s">
        <v>104</v>
      </c>
    </row>
    <row r="151" spans="2:19" x14ac:dyDescent="0.25">
      <c r="B151" s="35">
        <v>46297</v>
      </c>
      <c r="C151" s="28" t="s">
        <v>76</v>
      </c>
      <c r="D151" s="36">
        <v>620</v>
      </c>
      <c r="E151" s="36">
        <v>613</v>
      </c>
      <c r="F151" s="36">
        <v>0</v>
      </c>
      <c r="G151" s="37">
        <f>IF(tblYield[[#This Row],[Date]]="","",tblYield[[#This Row],[Units in]]-tblYield[[#This Row],[Passed first time]])</f>
        <v>7</v>
      </c>
      <c r="H151" s="37">
        <f>IF(tblYield[[#This Row],[Date]]="","",tblYield[[#This Row],[Units in]]-tblYield[[#This Row],[Passed first time]]-tblYield[[#This Row],[Scrapped]])</f>
        <v>7</v>
      </c>
      <c r="I151" s="38">
        <f>IF(tblYield[[#This Row],[Date]]="","",IF(tblYield[[#This Row],[Units in]]&gt;0,tblYield[[#This Row],[Passed first time]]/tblYield[[#This Row],[Units in]],""))</f>
        <v>0.988709677419355</v>
      </c>
      <c r="J151" s="38">
        <f>IF(tblYield[[#This Row],[Date]]="","",IFERROR(INDEX(tblOperations[FPY target],MATCH(tblYield[[#This Row],[Operation]],tblOperations[Operation],0)),""))</f>
        <v>0.99</v>
      </c>
      <c r="K151" s="39" t="str">
        <f>IF(OR(NOT(ISNUMBER(tblYield[[#This Row],[FPY]])),NOT(ISNUMBER(tblYield[[#This Row],[FPY target]]))),"",IF(tblYield[[#This Row],[FPY]]&gt;=tblYield[[#This Row],[FPY target]],"On target",IF(tblYield[[#This Row],[FPY]]&gt;=tblYield[[#This Row],[FPY target]]-NearBand,"Near target","Below target")))</f>
        <v>Near target</v>
      </c>
      <c r="L151" s="38">
        <f>IF(tblYield[[#This Row],[Date]]="","",IF(tblYield[[#This Row],[Units in]]&gt;0,(tblYield[[#This Row],[Units in]]-tblYield[[#This Row],[Scrapped]])/tblYield[[#This Row],[Units in]],""))</f>
        <v>1</v>
      </c>
      <c r="M151" s="40">
        <f>IF(tblYield[[#This Row],[Date]]="","",IFERROR(INDEX(tblOperations[Rework cost],MATCH(tblYield[[#This Row],[Operation]],tblOperations[Operation],0)),""))</f>
        <v>0.6</v>
      </c>
      <c r="N151" s="40">
        <f>IF(tblYield[[#This Row],[Date]]="","",IFERROR(INDEX(tblOperations[Scrap cost],MATCH(tblYield[[#This Row],[Operation]],tblOperations[Operation],0)),""))</f>
        <v>4.8</v>
      </c>
      <c r="O151" s="40">
        <f>IF(tblYield[[#This Row],[Date]]="","",IF(tblYield[[#This Row],[Rework cost per unit]]="","",tblYield[[#This Row],[Reworked]]*tblYield[[#This Row],[Rework cost per unit]]))</f>
        <v>4.2</v>
      </c>
      <c r="P151" s="40">
        <f>IF(tblYield[[#This Row],[Date]]="","",IF(tblYield[[#This Row],[Scrap cost per unit]]="","",tblYield[[#This Row],[Scrapped]]*tblYield[[#This Row],[Scrap cost per unit]]))</f>
        <v>0</v>
      </c>
      <c r="Q151" s="41">
        <f>IF(tblYield[[#This Row],[Date]]="","",IF(AND(tblYield[[#This Row],[Date]]&gt;=FFrom,tblYield[[#This Row],[Date]]&lt;=FTo),tblYield[[#This Row],[Date]],""))</f>
        <v>46297</v>
      </c>
      <c r="R15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1" s="43" t="s">
        <v>104</v>
      </c>
    </row>
    <row r="152" spans="2:19" x14ac:dyDescent="0.25">
      <c r="B152" s="35">
        <v>46297</v>
      </c>
      <c r="C152" s="28" t="s">
        <v>78</v>
      </c>
      <c r="D152" s="36">
        <v>620</v>
      </c>
      <c r="E152" s="36">
        <v>602</v>
      </c>
      <c r="F152" s="36">
        <v>1</v>
      </c>
      <c r="G152" s="37">
        <f>IF(tblYield[[#This Row],[Date]]="","",tblYield[[#This Row],[Units in]]-tblYield[[#This Row],[Passed first time]])</f>
        <v>18</v>
      </c>
      <c r="H152" s="37">
        <f>IF(tblYield[[#This Row],[Date]]="","",tblYield[[#This Row],[Units in]]-tblYield[[#This Row],[Passed first time]]-tblYield[[#This Row],[Scrapped]])</f>
        <v>17</v>
      </c>
      <c r="I152" s="38">
        <f>IF(tblYield[[#This Row],[Date]]="","",IF(tblYield[[#This Row],[Units in]]&gt;0,tblYield[[#This Row],[Passed first time]]/tblYield[[#This Row],[Units in]],""))</f>
        <v>0.970967741935484</v>
      </c>
      <c r="J152" s="38">
        <f>IF(tblYield[[#This Row],[Date]]="","",IFERROR(INDEX(tblOperations[FPY target],MATCH(tblYield[[#This Row],[Operation]],tblOperations[Operation],0)),""))</f>
        <v>0.98</v>
      </c>
      <c r="K152" s="39" t="str">
        <f>IF(OR(NOT(ISNUMBER(tblYield[[#This Row],[FPY]])),NOT(ISNUMBER(tblYield[[#This Row],[FPY target]]))),"",IF(tblYield[[#This Row],[FPY]]&gt;=tblYield[[#This Row],[FPY target]],"On target",IF(tblYield[[#This Row],[FPY]]&gt;=tblYield[[#This Row],[FPY target]]-NearBand,"Near target","Below target")))</f>
        <v>Near target</v>
      </c>
      <c r="L152" s="38">
        <f>IF(tblYield[[#This Row],[Date]]="","",IF(tblYield[[#This Row],[Units in]]&gt;0,(tblYield[[#This Row],[Units in]]-tblYield[[#This Row],[Scrapped]])/tblYield[[#This Row],[Units in]],""))</f>
        <v>0.998387096774194</v>
      </c>
      <c r="M152" s="40">
        <f>IF(tblYield[[#This Row],[Date]]="","",IFERROR(INDEX(tblOperations[Rework cost],MATCH(tblYield[[#This Row],[Operation]],tblOperations[Operation],0)),""))</f>
        <v>3.8</v>
      </c>
      <c r="N152" s="40">
        <f>IF(tblYield[[#This Row],[Date]]="","",IFERROR(INDEX(tblOperations[Scrap cost],MATCH(tblYield[[#This Row],[Operation]],tblOperations[Operation],0)),""))</f>
        <v>31</v>
      </c>
      <c r="O152" s="40">
        <f>IF(tblYield[[#This Row],[Date]]="","",IF(tblYield[[#This Row],[Rework cost per unit]]="","",tblYield[[#This Row],[Reworked]]*tblYield[[#This Row],[Rework cost per unit]]))</f>
        <v>64.6</v>
      </c>
      <c r="P152" s="40">
        <f>IF(tblYield[[#This Row],[Date]]="","",IF(tblYield[[#This Row],[Scrap cost per unit]]="","",tblYield[[#This Row],[Scrapped]]*tblYield[[#This Row],[Scrap cost per unit]]))</f>
        <v>31</v>
      </c>
      <c r="Q152" s="41">
        <f>IF(tblYield[[#This Row],[Date]]="","",IF(AND(tblYield[[#This Row],[Date]]&gt;=FFrom,tblYield[[#This Row],[Date]]&lt;=FTo),tblYield[[#This Row],[Date]],""))</f>
        <v>46297</v>
      </c>
      <c r="R15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2" s="43" t="s">
        <v>104</v>
      </c>
    </row>
    <row r="153" spans="2:19" x14ac:dyDescent="0.25">
      <c r="B153" s="35">
        <v>46297</v>
      </c>
      <c r="C153" s="28" t="s">
        <v>80</v>
      </c>
      <c r="D153" s="36">
        <v>619</v>
      </c>
      <c r="E153" s="36">
        <v>582</v>
      </c>
      <c r="F153" s="36">
        <v>2</v>
      </c>
      <c r="G153" s="37">
        <f>IF(tblYield[[#This Row],[Date]]="","",tblYield[[#This Row],[Units in]]-tblYield[[#This Row],[Passed first time]])</f>
        <v>37</v>
      </c>
      <c r="H153" s="37">
        <f>IF(tblYield[[#This Row],[Date]]="","",tblYield[[#This Row],[Units in]]-tblYield[[#This Row],[Passed first time]]-tblYield[[#This Row],[Scrapped]])</f>
        <v>35</v>
      </c>
      <c r="I153" s="38">
        <f>IF(tblYield[[#This Row],[Date]]="","",IF(tblYield[[#This Row],[Units in]]&gt;0,tblYield[[#This Row],[Passed first time]]/tblYield[[#This Row],[Units in]],""))</f>
        <v>0.940226171243942</v>
      </c>
      <c r="J153" s="38">
        <f>IF(tblYield[[#This Row],[Date]]="","",IFERROR(INDEX(tblOperations[FPY target],MATCH(tblYield[[#This Row],[Operation]],tblOperations[Operation],0)),""))</f>
        <v>0.97</v>
      </c>
      <c r="K153" s="39" t="str">
        <f>IF(OR(NOT(ISNUMBER(tblYield[[#This Row],[FPY]])),NOT(ISNUMBER(tblYield[[#This Row],[FPY target]]))),"",IF(tblYield[[#This Row],[FPY]]&gt;=tblYield[[#This Row],[FPY target]],"On target",IF(tblYield[[#This Row],[FPY]]&gt;=tblYield[[#This Row],[FPY target]]-NearBand,"Near target","Below target")))</f>
        <v>Below target</v>
      </c>
      <c r="L153" s="38">
        <f>IF(tblYield[[#This Row],[Date]]="","",IF(tblYield[[#This Row],[Units in]]&gt;0,(tblYield[[#This Row],[Units in]]-tblYield[[#This Row],[Scrapped]])/tblYield[[#This Row],[Units in]],""))</f>
        <v>0.996768982229402</v>
      </c>
      <c r="M153" s="40">
        <f>IF(tblYield[[#This Row],[Date]]="","",IFERROR(INDEX(tblOperations[Rework cost],MATCH(tblYield[[#This Row],[Operation]],tblOperations[Operation],0)),""))</f>
        <v>2.9</v>
      </c>
      <c r="N153" s="40">
        <f>IF(tblYield[[#This Row],[Date]]="","",IFERROR(INDEX(tblOperations[Scrap cost],MATCH(tblYield[[#This Row],[Operation]],tblOperations[Operation],0)),""))</f>
        <v>34</v>
      </c>
      <c r="O153" s="40">
        <f>IF(tblYield[[#This Row],[Date]]="","",IF(tblYield[[#This Row],[Rework cost per unit]]="","",tblYield[[#This Row],[Reworked]]*tblYield[[#This Row],[Rework cost per unit]]))</f>
        <v>101.5</v>
      </c>
      <c r="P153" s="40">
        <f>IF(tblYield[[#This Row],[Date]]="","",IF(tblYield[[#This Row],[Scrap cost per unit]]="","",tblYield[[#This Row],[Scrapped]]*tblYield[[#This Row],[Scrap cost per unit]]))</f>
        <v>68</v>
      </c>
      <c r="Q153" s="41">
        <f>IF(tblYield[[#This Row],[Date]]="","",IF(AND(tblYield[[#This Row],[Date]]&gt;=FFrom,tblYield[[#This Row],[Date]]&lt;=FTo),tblYield[[#This Row],[Date]],""))</f>
        <v>46297</v>
      </c>
      <c r="R15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3" s="43" t="s">
        <v>104</v>
      </c>
    </row>
    <row r="154" spans="2:19" x14ac:dyDescent="0.25">
      <c r="B154" s="35">
        <v>46297</v>
      </c>
      <c r="C154" s="28" t="s">
        <v>82</v>
      </c>
      <c r="D154" s="36">
        <v>617</v>
      </c>
      <c r="E154" s="36">
        <v>605</v>
      </c>
      <c r="F154" s="36">
        <v>1</v>
      </c>
      <c r="G154" s="37">
        <f>IF(tblYield[[#This Row],[Date]]="","",tblYield[[#This Row],[Units in]]-tblYield[[#This Row],[Passed first time]])</f>
        <v>12</v>
      </c>
      <c r="H154" s="37">
        <f>IF(tblYield[[#This Row],[Date]]="","",tblYield[[#This Row],[Units in]]-tblYield[[#This Row],[Passed first time]]-tblYield[[#This Row],[Scrapped]])</f>
        <v>11</v>
      </c>
      <c r="I154" s="38">
        <f>IF(tblYield[[#This Row],[Date]]="","",IF(tblYield[[#This Row],[Units in]]&gt;0,tblYield[[#This Row],[Passed first time]]/tblYield[[#This Row],[Units in]],""))</f>
        <v>0.980551053484603</v>
      </c>
      <c r="J154" s="38">
        <f>IF(tblYield[[#This Row],[Date]]="","",IFERROR(INDEX(tblOperations[FPY target],MATCH(tblYield[[#This Row],[Operation]],tblOperations[Operation],0)),""))</f>
        <v>0.98</v>
      </c>
      <c r="K154" s="39" t="str">
        <f>IF(OR(NOT(ISNUMBER(tblYield[[#This Row],[FPY]])),NOT(ISNUMBER(tblYield[[#This Row],[FPY target]]))),"",IF(tblYield[[#This Row],[FPY]]&gt;=tblYield[[#This Row],[FPY target]],"On target",IF(tblYield[[#This Row],[FPY]]&gt;=tblYield[[#This Row],[FPY target]]-NearBand,"Near target","Below target")))</f>
        <v>On target</v>
      </c>
      <c r="L154" s="38">
        <f>IF(tblYield[[#This Row],[Date]]="","",IF(tblYield[[#This Row],[Units in]]&gt;0,(tblYield[[#This Row],[Units in]]-tblYield[[#This Row],[Scrapped]])/tblYield[[#This Row],[Units in]],""))</f>
        <v>0.99837925445705</v>
      </c>
      <c r="M154" s="40">
        <f>IF(tblYield[[#This Row],[Date]]="","",IFERROR(INDEX(tblOperations[Rework cost],MATCH(tblYield[[#This Row],[Operation]],tblOperations[Operation],0)),""))</f>
        <v>8.5</v>
      </c>
      <c r="N154" s="40">
        <f>IF(tblYield[[#This Row],[Date]]="","",IFERROR(INDEX(tblOperations[Scrap cost],MATCH(tblYield[[#This Row],[Operation]],tblOperations[Operation],0)),""))</f>
        <v>36.5</v>
      </c>
      <c r="O154" s="40">
        <f>IF(tblYield[[#This Row],[Date]]="","",IF(tblYield[[#This Row],[Rework cost per unit]]="","",tblYield[[#This Row],[Reworked]]*tblYield[[#This Row],[Rework cost per unit]]))</f>
        <v>93.5</v>
      </c>
      <c r="P154" s="40">
        <f>IF(tblYield[[#This Row],[Date]]="","",IF(tblYield[[#This Row],[Scrap cost per unit]]="","",tblYield[[#This Row],[Scrapped]]*tblYield[[#This Row],[Scrap cost per unit]]))</f>
        <v>36.5</v>
      </c>
      <c r="Q154" s="41">
        <f>IF(tblYield[[#This Row],[Date]]="","",IF(AND(tblYield[[#This Row],[Date]]&gt;=FFrom,tblYield[[#This Row],[Date]]&lt;=FTo),tblYield[[#This Row],[Date]],""))</f>
        <v>46297</v>
      </c>
      <c r="R15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4" s="43" t="s">
        <v>104</v>
      </c>
    </row>
    <row r="155" spans="2:19" x14ac:dyDescent="0.25">
      <c r="B155" s="35">
        <v>46297</v>
      </c>
      <c r="C155" s="28" t="s">
        <v>84</v>
      </c>
      <c r="D155" s="36">
        <v>616</v>
      </c>
      <c r="E155" s="36">
        <v>610</v>
      </c>
      <c r="F155" s="36">
        <v>1</v>
      </c>
      <c r="G155" s="37">
        <f>IF(tblYield[[#This Row],[Date]]="","",tblYield[[#This Row],[Units in]]-tblYield[[#This Row],[Passed first time]])</f>
        <v>6</v>
      </c>
      <c r="H155" s="37">
        <f>IF(tblYield[[#This Row],[Date]]="","",tblYield[[#This Row],[Units in]]-tblYield[[#This Row],[Passed first time]]-tblYield[[#This Row],[Scrapped]])</f>
        <v>5</v>
      </c>
      <c r="I155" s="38">
        <f>IF(tblYield[[#This Row],[Date]]="","",IF(tblYield[[#This Row],[Units in]]&gt;0,tblYield[[#This Row],[Passed first time]]/tblYield[[#This Row],[Units in]],""))</f>
        <v>0.99025974025974</v>
      </c>
      <c r="J155" s="38">
        <f>IF(tblYield[[#This Row],[Date]]="","",IFERROR(INDEX(tblOperations[FPY target],MATCH(tblYield[[#This Row],[Operation]],tblOperations[Operation],0)),""))</f>
        <v>0.985</v>
      </c>
      <c r="K155" s="39" t="str">
        <f>IF(OR(NOT(ISNUMBER(tblYield[[#This Row],[FPY]])),NOT(ISNUMBER(tblYield[[#This Row],[FPY target]]))),"",IF(tblYield[[#This Row],[FPY]]&gt;=tblYield[[#This Row],[FPY target]],"On target",IF(tblYield[[#This Row],[FPY]]&gt;=tblYield[[#This Row],[FPY target]]-NearBand,"Near target","Below target")))</f>
        <v>On target</v>
      </c>
      <c r="L155" s="38">
        <f>IF(tblYield[[#This Row],[Date]]="","",IF(tblYield[[#This Row],[Units in]]&gt;0,(tblYield[[#This Row],[Units in]]-tblYield[[#This Row],[Scrapped]])/tblYield[[#This Row],[Units in]],""))</f>
        <v>0.998376623376623</v>
      </c>
      <c r="M155" s="40">
        <f>IF(tblYield[[#This Row],[Date]]="","",IFERROR(INDEX(tblOperations[Rework cost],MATCH(tblYield[[#This Row],[Operation]],tblOperations[Operation],0)),""))</f>
        <v>12</v>
      </c>
      <c r="N155" s="40">
        <f>IF(tblYield[[#This Row],[Date]]="","",IFERROR(INDEX(tblOperations[Scrap cost],MATCH(tblYield[[#This Row],[Operation]],tblOperations[Operation],0)),""))</f>
        <v>38</v>
      </c>
      <c r="O155" s="40">
        <f>IF(tblYield[[#This Row],[Date]]="","",IF(tblYield[[#This Row],[Rework cost per unit]]="","",tblYield[[#This Row],[Reworked]]*tblYield[[#This Row],[Rework cost per unit]]))</f>
        <v>60</v>
      </c>
      <c r="P155" s="40">
        <f>IF(tblYield[[#This Row],[Date]]="","",IF(tblYield[[#This Row],[Scrap cost per unit]]="","",tblYield[[#This Row],[Scrapped]]*tblYield[[#This Row],[Scrap cost per unit]]))</f>
        <v>38</v>
      </c>
      <c r="Q155" s="41">
        <f>IF(tblYield[[#This Row],[Date]]="","",IF(AND(tblYield[[#This Row],[Date]]&gt;=FFrom,tblYield[[#This Row],[Date]]&lt;=FTo),tblYield[[#This Row],[Date]],""))</f>
        <v>46297</v>
      </c>
      <c r="R15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5" s="43" t="s">
        <v>104</v>
      </c>
    </row>
    <row r="156" spans="2:19" x14ac:dyDescent="0.25">
      <c r="B156" s="35">
        <v>46297</v>
      </c>
      <c r="C156" s="28" t="s">
        <v>86</v>
      </c>
      <c r="D156" s="36">
        <v>615</v>
      </c>
      <c r="E156" s="36">
        <v>611</v>
      </c>
      <c r="F156" s="36">
        <v>0</v>
      </c>
      <c r="G156" s="37">
        <f>IF(tblYield[[#This Row],[Date]]="","",tblYield[[#This Row],[Units in]]-tblYield[[#This Row],[Passed first time]])</f>
        <v>4</v>
      </c>
      <c r="H156" s="37">
        <f>IF(tblYield[[#This Row],[Date]]="","",tblYield[[#This Row],[Units in]]-tblYield[[#This Row],[Passed first time]]-tblYield[[#This Row],[Scrapped]])</f>
        <v>4</v>
      </c>
      <c r="I156" s="38">
        <f>IF(tblYield[[#This Row],[Date]]="","",IF(tblYield[[#This Row],[Units in]]&gt;0,tblYield[[#This Row],[Passed first time]]/tblYield[[#This Row],[Units in]],""))</f>
        <v>0.99349593495935</v>
      </c>
      <c r="J156" s="38">
        <f>IF(tblYield[[#This Row],[Date]]="","",IFERROR(INDEX(tblOperations[FPY target],MATCH(tblYield[[#This Row],[Operation]],tblOperations[Operation],0)),""))</f>
        <v>0.99</v>
      </c>
      <c r="K156" s="39" t="str">
        <f>IF(OR(NOT(ISNUMBER(tblYield[[#This Row],[FPY]])),NOT(ISNUMBER(tblYield[[#This Row],[FPY target]]))),"",IF(tblYield[[#This Row],[FPY]]&gt;=tblYield[[#This Row],[FPY target]],"On target",IF(tblYield[[#This Row],[FPY]]&gt;=tblYield[[#This Row],[FPY target]]-NearBand,"Near target","Below target")))</f>
        <v>On target</v>
      </c>
      <c r="L156" s="38">
        <f>IF(tblYield[[#This Row],[Date]]="","",IF(tblYield[[#This Row],[Units in]]&gt;0,(tblYield[[#This Row],[Units in]]-tblYield[[#This Row],[Scrapped]])/tblYield[[#This Row],[Units in]],""))</f>
        <v>1</v>
      </c>
      <c r="M156" s="40">
        <f>IF(tblYield[[#This Row],[Date]]="","",IFERROR(INDEX(tblOperations[Rework cost],MATCH(tblYield[[#This Row],[Operation]],tblOperations[Operation],0)),""))</f>
        <v>2.2</v>
      </c>
      <c r="N156" s="40">
        <f>IF(tblYield[[#This Row],[Date]]="","",IFERROR(INDEX(tblOperations[Scrap cost],MATCH(tblYield[[#This Row],[Operation]],tblOperations[Operation],0)),""))</f>
        <v>41</v>
      </c>
      <c r="O156" s="40">
        <f>IF(tblYield[[#This Row],[Date]]="","",IF(tblYield[[#This Row],[Rework cost per unit]]="","",tblYield[[#This Row],[Reworked]]*tblYield[[#This Row],[Rework cost per unit]]))</f>
        <v>8.8</v>
      </c>
      <c r="P156" s="40">
        <f>IF(tblYield[[#This Row],[Date]]="","",IF(tblYield[[#This Row],[Scrap cost per unit]]="","",tblYield[[#This Row],[Scrapped]]*tblYield[[#This Row],[Scrap cost per unit]]))</f>
        <v>0</v>
      </c>
      <c r="Q156" s="41">
        <f>IF(tblYield[[#This Row],[Date]]="","",IF(AND(tblYield[[#This Row],[Date]]&gt;=FFrom,tblYield[[#This Row],[Date]]&lt;=FTo),tblYield[[#This Row],[Date]],""))</f>
        <v>46297</v>
      </c>
      <c r="R15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6" s="43" t="s">
        <v>104</v>
      </c>
    </row>
    <row r="157" spans="2:19" x14ac:dyDescent="0.25">
      <c r="B157" s="35">
        <v>46300</v>
      </c>
      <c r="C157" s="28" t="s">
        <v>76</v>
      </c>
      <c r="D157" s="36">
        <v>570</v>
      </c>
      <c r="E157" s="36">
        <v>562</v>
      </c>
      <c r="F157" s="36">
        <v>0</v>
      </c>
      <c r="G157" s="37">
        <f>IF(tblYield[[#This Row],[Date]]="","",tblYield[[#This Row],[Units in]]-tblYield[[#This Row],[Passed first time]])</f>
        <v>8</v>
      </c>
      <c r="H157" s="37">
        <f>IF(tblYield[[#This Row],[Date]]="","",tblYield[[#This Row],[Units in]]-tblYield[[#This Row],[Passed first time]]-tblYield[[#This Row],[Scrapped]])</f>
        <v>8</v>
      </c>
      <c r="I157" s="38">
        <f>IF(tblYield[[#This Row],[Date]]="","",IF(tblYield[[#This Row],[Units in]]&gt;0,tblYield[[#This Row],[Passed first time]]/tblYield[[#This Row],[Units in]],""))</f>
        <v>0.985964912280702</v>
      </c>
      <c r="J157" s="38">
        <f>IF(tblYield[[#This Row],[Date]]="","",IFERROR(INDEX(tblOperations[FPY target],MATCH(tblYield[[#This Row],[Operation]],tblOperations[Operation],0)),""))</f>
        <v>0.99</v>
      </c>
      <c r="K157" s="39" t="str">
        <f>IF(OR(NOT(ISNUMBER(tblYield[[#This Row],[FPY]])),NOT(ISNUMBER(tblYield[[#This Row],[FPY target]]))),"",IF(tblYield[[#This Row],[FPY]]&gt;=tblYield[[#This Row],[FPY target]],"On target",IF(tblYield[[#This Row],[FPY]]&gt;=tblYield[[#This Row],[FPY target]]-NearBand,"Near target","Below target")))</f>
        <v>Near target</v>
      </c>
      <c r="L157" s="38">
        <f>IF(tblYield[[#This Row],[Date]]="","",IF(tblYield[[#This Row],[Units in]]&gt;0,(tblYield[[#This Row],[Units in]]-tblYield[[#This Row],[Scrapped]])/tblYield[[#This Row],[Units in]],""))</f>
        <v>1</v>
      </c>
      <c r="M157" s="40">
        <f>IF(tblYield[[#This Row],[Date]]="","",IFERROR(INDEX(tblOperations[Rework cost],MATCH(tblYield[[#This Row],[Operation]],tblOperations[Operation],0)),""))</f>
        <v>0.6</v>
      </c>
      <c r="N157" s="40">
        <f>IF(tblYield[[#This Row],[Date]]="","",IFERROR(INDEX(tblOperations[Scrap cost],MATCH(tblYield[[#This Row],[Operation]],tblOperations[Operation],0)),""))</f>
        <v>4.8</v>
      </c>
      <c r="O157" s="40">
        <f>IF(tblYield[[#This Row],[Date]]="","",IF(tblYield[[#This Row],[Rework cost per unit]]="","",tblYield[[#This Row],[Reworked]]*tblYield[[#This Row],[Rework cost per unit]]))</f>
        <v>4.8</v>
      </c>
      <c r="P157" s="40">
        <f>IF(tblYield[[#This Row],[Date]]="","",IF(tblYield[[#This Row],[Scrap cost per unit]]="","",tblYield[[#This Row],[Scrapped]]*tblYield[[#This Row],[Scrap cost per unit]]))</f>
        <v>0</v>
      </c>
      <c r="Q157" s="41">
        <f>IF(tblYield[[#This Row],[Date]]="","",IF(AND(tblYield[[#This Row],[Date]]&gt;=FFrom,tblYield[[#This Row],[Date]]&lt;=FTo),tblYield[[#This Row],[Date]],""))</f>
        <v>46300</v>
      </c>
      <c r="R15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7" s="43" t="s">
        <v>104</v>
      </c>
    </row>
    <row r="158" spans="2:19" x14ac:dyDescent="0.25">
      <c r="B158" s="35">
        <v>46300</v>
      </c>
      <c r="C158" s="28" t="s">
        <v>78</v>
      </c>
      <c r="D158" s="36">
        <v>570</v>
      </c>
      <c r="E158" s="36">
        <v>556</v>
      </c>
      <c r="F158" s="36">
        <v>1</v>
      </c>
      <c r="G158" s="37">
        <f>IF(tblYield[[#This Row],[Date]]="","",tblYield[[#This Row],[Units in]]-tblYield[[#This Row],[Passed first time]])</f>
        <v>14</v>
      </c>
      <c r="H158" s="37">
        <f>IF(tblYield[[#This Row],[Date]]="","",tblYield[[#This Row],[Units in]]-tblYield[[#This Row],[Passed first time]]-tblYield[[#This Row],[Scrapped]])</f>
        <v>13</v>
      </c>
      <c r="I158" s="38">
        <f>IF(tblYield[[#This Row],[Date]]="","",IF(tblYield[[#This Row],[Units in]]&gt;0,tblYield[[#This Row],[Passed first time]]/tblYield[[#This Row],[Units in]],""))</f>
        <v>0.975438596491228</v>
      </c>
      <c r="J158" s="38">
        <f>IF(tblYield[[#This Row],[Date]]="","",IFERROR(INDEX(tblOperations[FPY target],MATCH(tblYield[[#This Row],[Operation]],tblOperations[Operation],0)),""))</f>
        <v>0.98</v>
      </c>
      <c r="K158" s="39" t="str">
        <f>IF(OR(NOT(ISNUMBER(tblYield[[#This Row],[FPY]])),NOT(ISNUMBER(tblYield[[#This Row],[FPY target]]))),"",IF(tblYield[[#This Row],[FPY]]&gt;=tblYield[[#This Row],[FPY target]],"On target",IF(tblYield[[#This Row],[FPY]]&gt;=tblYield[[#This Row],[FPY target]]-NearBand,"Near target","Below target")))</f>
        <v>Near target</v>
      </c>
      <c r="L158" s="38">
        <f>IF(tblYield[[#This Row],[Date]]="","",IF(tblYield[[#This Row],[Units in]]&gt;0,(tblYield[[#This Row],[Units in]]-tblYield[[#This Row],[Scrapped]])/tblYield[[#This Row],[Units in]],""))</f>
        <v>0.998245614035088</v>
      </c>
      <c r="M158" s="40">
        <f>IF(tblYield[[#This Row],[Date]]="","",IFERROR(INDEX(tblOperations[Rework cost],MATCH(tblYield[[#This Row],[Operation]],tblOperations[Operation],0)),""))</f>
        <v>3.8</v>
      </c>
      <c r="N158" s="40">
        <f>IF(tblYield[[#This Row],[Date]]="","",IFERROR(INDEX(tblOperations[Scrap cost],MATCH(tblYield[[#This Row],[Operation]],tblOperations[Operation],0)),""))</f>
        <v>31</v>
      </c>
      <c r="O158" s="40">
        <f>IF(tblYield[[#This Row],[Date]]="","",IF(tblYield[[#This Row],[Rework cost per unit]]="","",tblYield[[#This Row],[Reworked]]*tblYield[[#This Row],[Rework cost per unit]]))</f>
        <v>49.4</v>
      </c>
      <c r="P158" s="40">
        <f>IF(tblYield[[#This Row],[Date]]="","",IF(tblYield[[#This Row],[Scrap cost per unit]]="","",tblYield[[#This Row],[Scrapped]]*tblYield[[#This Row],[Scrap cost per unit]]))</f>
        <v>31</v>
      </c>
      <c r="Q158" s="41">
        <f>IF(tblYield[[#This Row],[Date]]="","",IF(AND(tblYield[[#This Row],[Date]]&gt;=FFrom,tblYield[[#This Row],[Date]]&lt;=FTo),tblYield[[#This Row],[Date]],""))</f>
        <v>46300</v>
      </c>
      <c r="R15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8" s="43" t="s">
        <v>104</v>
      </c>
    </row>
    <row r="159" spans="2:19" x14ac:dyDescent="0.25">
      <c r="B159" s="35">
        <v>46300</v>
      </c>
      <c r="C159" s="28" t="s">
        <v>80</v>
      </c>
      <c r="D159" s="36">
        <v>569</v>
      </c>
      <c r="E159" s="36">
        <v>541</v>
      </c>
      <c r="F159" s="36">
        <v>1</v>
      </c>
      <c r="G159" s="37">
        <f>IF(tblYield[[#This Row],[Date]]="","",tblYield[[#This Row],[Units in]]-tblYield[[#This Row],[Passed first time]])</f>
        <v>28</v>
      </c>
      <c r="H159" s="37">
        <f>IF(tblYield[[#This Row],[Date]]="","",tblYield[[#This Row],[Units in]]-tblYield[[#This Row],[Passed first time]]-tblYield[[#This Row],[Scrapped]])</f>
        <v>27</v>
      </c>
      <c r="I159" s="38">
        <f>IF(tblYield[[#This Row],[Date]]="","",IF(tblYield[[#This Row],[Units in]]&gt;0,tblYield[[#This Row],[Passed first time]]/tblYield[[#This Row],[Units in]],""))</f>
        <v>0.95079086115993</v>
      </c>
      <c r="J159" s="38">
        <f>IF(tblYield[[#This Row],[Date]]="","",IFERROR(INDEX(tblOperations[FPY target],MATCH(tblYield[[#This Row],[Operation]],tblOperations[Operation],0)),""))</f>
        <v>0.97</v>
      </c>
      <c r="K159" s="39" t="str">
        <f>IF(OR(NOT(ISNUMBER(tblYield[[#This Row],[FPY]])),NOT(ISNUMBER(tblYield[[#This Row],[FPY target]]))),"",IF(tblYield[[#This Row],[FPY]]&gt;=tblYield[[#This Row],[FPY target]],"On target",IF(tblYield[[#This Row],[FPY]]&gt;=tblYield[[#This Row],[FPY target]]-NearBand,"Near target","Below target")))</f>
        <v>Below target</v>
      </c>
      <c r="L159" s="38">
        <f>IF(tblYield[[#This Row],[Date]]="","",IF(tblYield[[#This Row],[Units in]]&gt;0,(tblYield[[#This Row],[Units in]]-tblYield[[#This Row],[Scrapped]])/tblYield[[#This Row],[Units in]],""))</f>
        <v>0.998242530755712</v>
      </c>
      <c r="M159" s="40">
        <f>IF(tblYield[[#This Row],[Date]]="","",IFERROR(INDEX(tblOperations[Rework cost],MATCH(tblYield[[#This Row],[Operation]],tblOperations[Operation],0)),""))</f>
        <v>2.9</v>
      </c>
      <c r="N159" s="40">
        <f>IF(tblYield[[#This Row],[Date]]="","",IFERROR(INDEX(tblOperations[Scrap cost],MATCH(tblYield[[#This Row],[Operation]],tblOperations[Operation],0)),""))</f>
        <v>34</v>
      </c>
      <c r="O159" s="40">
        <f>IF(tblYield[[#This Row],[Date]]="","",IF(tblYield[[#This Row],[Rework cost per unit]]="","",tblYield[[#This Row],[Reworked]]*tblYield[[#This Row],[Rework cost per unit]]))</f>
        <v>78.3</v>
      </c>
      <c r="P159" s="40">
        <f>IF(tblYield[[#This Row],[Date]]="","",IF(tblYield[[#This Row],[Scrap cost per unit]]="","",tblYield[[#This Row],[Scrapped]]*tblYield[[#This Row],[Scrap cost per unit]]))</f>
        <v>34</v>
      </c>
      <c r="Q159" s="41">
        <f>IF(tblYield[[#This Row],[Date]]="","",IF(AND(tblYield[[#This Row],[Date]]&gt;=FFrom,tblYield[[#This Row],[Date]]&lt;=FTo),tblYield[[#This Row],[Date]],""))</f>
        <v>46300</v>
      </c>
      <c r="R15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59" s="43" t="s">
        <v>104</v>
      </c>
    </row>
    <row r="160" spans="2:19" x14ac:dyDescent="0.25">
      <c r="B160" s="35">
        <v>46300</v>
      </c>
      <c r="C160" s="28" t="s">
        <v>82</v>
      </c>
      <c r="D160" s="36">
        <v>568</v>
      </c>
      <c r="E160" s="36">
        <v>559</v>
      </c>
      <c r="F160" s="36">
        <v>1</v>
      </c>
      <c r="G160" s="37">
        <f>IF(tblYield[[#This Row],[Date]]="","",tblYield[[#This Row],[Units in]]-tblYield[[#This Row],[Passed first time]])</f>
        <v>9</v>
      </c>
      <c r="H160" s="37">
        <f>IF(tblYield[[#This Row],[Date]]="","",tblYield[[#This Row],[Units in]]-tblYield[[#This Row],[Passed first time]]-tblYield[[#This Row],[Scrapped]])</f>
        <v>8</v>
      </c>
      <c r="I160" s="38">
        <f>IF(tblYield[[#This Row],[Date]]="","",IF(tblYield[[#This Row],[Units in]]&gt;0,tblYield[[#This Row],[Passed first time]]/tblYield[[#This Row],[Units in]],""))</f>
        <v>0.984154929577465</v>
      </c>
      <c r="J160" s="38">
        <f>IF(tblYield[[#This Row],[Date]]="","",IFERROR(INDEX(tblOperations[FPY target],MATCH(tblYield[[#This Row],[Operation]],tblOperations[Operation],0)),""))</f>
        <v>0.98</v>
      </c>
      <c r="K160" s="39" t="str">
        <f>IF(OR(NOT(ISNUMBER(tblYield[[#This Row],[FPY]])),NOT(ISNUMBER(tblYield[[#This Row],[FPY target]]))),"",IF(tblYield[[#This Row],[FPY]]&gt;=tblYield[[#This Row],[FPY target]],"On target",IF(tblYield[[#This Row],[FPY]]&gt;=tblYield[[#This Row],[FPY target]]-NearBand,"Near target","Below target")))</f>
        <v>On target</v>
      </c>
      <c r="L160" s="38">
        <f>IF(tblYield[[#This Row],[Date]]="","",IF(tblYield[[#This Row],[Units in]]&gt;0,(tblYield[[#This Row],[Units in]]-tblYield[[#This Row],[Scrapped]])/tblYield[[#This Row],[Units in]],""))</f>
        <v>0.998239436619718</v>
      </c>
      <c r="M160" s="40">
        <f>IF(tblYield[[#This Row],[Date]]="","",IFERROR(INDEX(tblOperations[Rework cost],MATCH(tblYield[[#This Row],[Operation]],tblOperations[Operation],0)),""))</f>
        <v>8.5</v>
      </c>
      <c r="N160" s="40">
        <f>IF(tblYield[[#This Row],[Date]]="","",IFERROR(INDEX(tblOperations[Scrap cost],MATCH(tblYield[[#This Row],[Operation]],tblOperations[Operation],0)),""))</f>
        <v>36.5</v>
      </c>
      <c r="O160" s="40">
        <f>IF(tblYield[[#This Row],[Date]]="","",IF(tblYield[[#This Row],[Rework cost per unit]]="","",tblYield[[#This Row],[Reworked]]*tblYield[[#This Row],[Rework cost per unit]]))</f>
        <v>68</v>
      </c>
      <c r="P160" s="40">
        <f>IF(tblYield[[#This Row],[Date]]="","",IF(tblYield[[#This Row],[Scrap cost per unit]]="","",tblYield[[#This Row],[Scrapped]]*tblYield[[#This Row],[Scrap cost per unit]]))</f>
        <v>36.5</v>
      </c>
      <c r="Q160" s="41">
        <f>IF(tblYield[[#This Row],[Date]]="","",IF(AND(tblYield[[#This Row],[Date]]&gt;=FFrom,tblYield[[#This Row],[Date]]&lt;=FTo),tblYield[[#This Row],[Date]],""))</f>
        <v>46300</v>
      </c>
      <c r="R16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0" s="43" t="s">
        <v>104</v>
      </c>
    </row>
    <row r="161" spans="2:19" x14ac:dyDescent="0.25">
      <c r="B161" s="35">
        <v>46300</v>
      </c>
      <c r="C161" s="28" t="s">
        <v>84</v>
      </c>
      <c r="D161" s="36">
        <v>567</v>
      </c>
      <c r="E161" s="36">
        <v>559</v>
      </c>
      <c r="F161" s="36">
        <v>1</v>
      </c>
      <c r="G161" s="37">
        <f>IF(tblYield[[#This Row],[Date]]="","",tblYield[[#This Row],[Units in]]-tblYield[[#This Row],[Passed first time]])</f>
        <v>8</v>
      </c>
      <c r="H161" s="37">
        <f>IF(tblYield[[#This Row],[Date]]="","",tblYield[[#This Row],[Units in]]-tblYield[[#This Row],[Passed first time]]-tblYield[[#This Row],[Scrapped]])</f>
        <v>7</v>
      </c>
      <c r="I161" s="38">
        <f>IF(tblYield[[#This Row],[Date]]="","",IF(tblYield[[#This Row],[Units in]]&gt;0,tblYield[[#This Row],[Passed first time]]/tblYield[[#This Row],[Units in]],""))</f>
        <v>0.985890652557319</v>
      </c>
      <c r="J161" s="38">
        <f>IF(tblYield[[#This Row],[Date]]="","",IFERROR(INDEX(tblOperations[FPY target],MATCH(tblYield[[#This Row],[Operation]],tblOperations[Operation],0)),""))</f>
        <v>0.985</v>
      </c>
      <c r="K161" s="39" t="str">
        <f>IF(OR(NOT(ISNUMBER(tblYield[[#This Row],[FPY]])),NOT(ISNUMBER(tblYield[[#This Row],[FPY target]]))),"",IF(tblYield[[#This Row],[FPY]]&gt;=tblYield[[#This Row],[FPY target]],"On target",IF(tblYield[[#This Row],[FPY]]&gt;=tblYield[[#This Row],[FPY target]]-NearBand,"Near target","Below target")))</f>
        <v>On target</v>
      </c>
      <c r="L161" s="38">
        <f>IF(tblYield[[#This Row],[Date]]="","",IF(tblYield[[#This Row],[Units in]]&gt;0,(tblYield[[#This Row],[Units in]]-tblYield[[#This Row],[Scrapped]])/tblYield[[#This Row],[Units in]],""))</f>
        <v>0.998236331569665</v>
      </c>
      <c r="M161" s="40">
        <f>IF(tblYield[[#This Row],[Date]]="","",IFERROR(INDEX(tblOperations[Rework cost],MATCH(tblYield[[#This Row],[Operation]],tblOperations[Operation],0)),""))</f>
        <v>12</v>
      </c>
      <c r="N161" s="40">
        <f>IF(tblYield[[#This Row],[Date]]="","",IFERROR(INDEX(tblOperations[Scrap cost],MATCH(tblYield[[#This Row],[Operation]],tblOperations[Operation],0)),""))</f>
        <v>38</v>
      </c>
      <c r="O161" s="40">
        <f>IF(tblYield[[#This Row],[Date]]="","",IF(tblYield[[#This Row],[Rework cost per unit]]="","",tblYield[[#This Row],[Reworked]]*tblYield[[#This Row],[Rework cost per unit]]))</f>
        <v>84</v>
      </c>
      <c r="P161" s="40">
        <f>IF(tblYield[[#This Row],[Date]]="","",IF(tblYield[[#This Row],[Scrap cost per unit]]="","",tblYield[[#This Row],[Scrapped]]*tblYield[[#This Row],[Scrap cost per unit]]))</f>
        <v>38</v>
      </c>
      <c r="Q161" s="41">
        <f>IF(tblYield[[#This Row],[Date]]="","",IF(AND(tblYield[[#This Row],[Date]]&gt;=FFrom,tblYield[[#This Row],[Date]]&lt;=FTo),tblYield[[#This Row],[Date]],""))</f>
        <v>46300</v>
      </c>
      <c r="R16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1" s="43" t="s">
        <v>104</v>
      </c>
    </row>
    <row r="162" spans="2:19" x14ac:dyDescent="0.25">
      <c r="B162" s="35">
        <v>46300</v>
      </c>
      <c r="C162" s="28" t="s">
        <v>86</v>
      </c>
      <c r="D162" s="36">
        <v>566</v>
      </c>
      <c r="E162" s="36">
        <v>561</v>
      </c>
      <c r="F162" s="36">
        <v>0</v>
      </c>
      <c r="G162" s="37">
        <f>IF(tblYield[[#This Row],[Date]]="","",tblYield[[#This Row],[Units in]]-tblYield[[#This Row],[Passed first time]])</f>
        <v>5</v>
      </c>
      <c r="H162" s="37">
        <f>IF(tblYield[[#This Row],[Date]]="","",tblYield[[#This Row],[Units in]]-tblYield[[#This Row],[Passed first time]]-tblYield[[#This Row],[Scrapped]])</f>
        <v>5</v>
      </c>
      <c r="I162" s="38">
        <f>IF(tblYield[[#This Row],[Date]]="","",IF(tblYield[[#This Row],[Units in]]&gt;0,tblYield[[#This Row],[Passed first time]]/tblYield[[#This Row],[Units in]],""))</f>
        <v>0.991166077738516</v>
      </c>
      <c r="J162" s="38">
        <f>IF(tblYield[[#This Row],[Date]]="","",IFERROR(INDEX(tblOperations[FPY target],MATCH(tblYield[[#This Row],[Operation]],tblOperations[Operation],0)),""))</f>
        <v>0.99</v>
      </c>
      <c r="K162" s="39" t="str">
        <f>IF(OR(NOT(ISNUMBER(tblYield[[#This Row],[FPY]])),NOT(ISNUMBER(tblYield[[#This Row],[FPY target]]))),"",IF(tblYield[[#This Row],[FPY]]&gt;=tblYield[[#This Row],[FPY target]],"On target",IF(tblYield[[#This Row],[FPY]]&gt;=tblYield[[#This Row],[FPY target]]-NearBand,"Near target","Below target")))</f>
        <v>On target</v>
      </c>
      <c r="L162" s="38">
        <f>IF(tblYield[[#This Row],[Date]]="","",IF(tblYield[[#This Row],[Units in]]&gt;0,(tblYield[[#This Row],[Units in]]-tblYield[[#This Row],[Scrapped]])/tblYield[[#This Row],[Units in]],""))</f>
        <v>1</v>
      </c>
      <c r="M162" s="40">
        <f>IF(tblYield[[#This Row],[Date]]="","",IFERROR(INDEX(tblOperations[Rework cost],MATCH(tblYield[[#This Row],[Operation]],tblOperations[Operation],0)),""))</f>
        <v>2.2</v>
      </c>
      <c r="N162" s="40">
        <f>IF(tblYield[[#This Row],[Date]]="","",IFERROR(INDEX(tblOperations[Scrap cost],MATCH(tblYield[[#This Row],[Operation]],tblOperations[Operation],0)),""))</f>
        <v>41</v>
      </c>
      <c r="O162" s="40">
        <f>IF(tblYield[[#This Row],[Date]]="","",IF(tblYield[[#This Row],[Rework cost per unit]]="","",tblYield[[#This Row],[Reworked]]*tblYield[[#This Row],[Rework cost per unit]]))</f>
        <v>11</v>
      </c>
      <c r="P162" s="40">
        <f>IF(tblYield[[#This Row],[Date]]="","",IF(tblYield[[#This Row],[Scrap cost per unit]]="","",tblYield[[#This Row],[Scrapped]]*tblYield[[#This Row],[Scrap cost per unit]]))</f>
        <v>0</v>
      </c>
      <c r="Q162" s="41">
        <f>IF(tblYield[[#This Row],[Date]]="","",IF(AND(tblYield[[#This Row],[Date]]&gt;=FFrom,tblYield[[#This Row],[Date]]&lt;=FTo),tblYield[[#This Row],[Date]],""))</f>
        <v>46300</v>
      </c>
      <c r="R16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2" s="43" t="s">
        <v>104</v>
      </c>
    </row>
    <row r="163" spans="2:19" x14ac:dyDescent="0.25">
      <c r="B163" s="35">
        <v>46301</v>
      </c>
      <c r="C163" s="28" t="s">
        <v>76</v>
      </c>
      <c r="D163" s="36">
        <v>600</v>
      </c>
      <c r="E163" s="36">
        <v>592</v>
      </c>
      <c r="F163" s="36">
        <v>0</v>
      </c>
      <c r="G163" s="37">
        <f>IF(tblYield[[#This Row],[Date]]="","",tblYield[[#This Row],[Units in]]-tblYield[[#This Row],[Passed first time]])</f>
        <v>8</v>
      </c>
      <c r="H163" s="37">
        <f>IF(tblYield[[#This Row],[Date]]="","",tblYield[[#This Row],[Units in]]-tblYield[[#This Row],[Passed first time]]-tblYield[[#This Row],[Scrapped]])</f>
        <v>8</v>
      </c>
      <c r="I163" s="38">
        <f>IF(tblYield[[#This Row],[Date]]="","",IF(tblYield[[#This Row],[Units in]]&gt;0,tblYield[[#This Row],[Passed first time]]/tblYield[[#This Row],[Units in]],""))</f>
        <v>0.986666666666667</v>
      </c>
      <c r="J163" s="38">
        <f>IF(tblYield[[#This Row],[Date]]="","",IFERROR(INDEX(tblOperations[FPY target],MATCH(tblYield[[#This Row],[Operation]],tblOperations[Operation],0)),""))</f>
        <v>0.99</v>
      </c>
      <c r="K163" s="39" t="str">
        <f>IF(OR(NOT(ISNUMBER(tblYield[[#This Row],[FPY]])),NOT(ISNUMBER(tblYield[[#This Row],[FPY target]]))),"",IF(tblYield[[#This Row],[FPY]]&gt;=tblYield[[#This Row],[FPY target]],"On target",IF(tblYield[[#This Row],[FPY]]&gt;=tblYield[[#This Row],[FPY target]]-NearBand,"Near target","Below target")))</f>
        <v>Near target</v>
      </c>
      <c r="L163" s="38">
        <f>IF(tblYield[[#This Row],[Date]]="","",IF(tblYield[[#This Row],[Units in]]&gt;0,(tblYield[[#This Row],[Units in]]-tblYield[[#This Row],[Scrapped]])/tblYield[[#This Row],[Units in]],""))</f>
        <v>1</v>
      </c>
      <c r="M163" s="40">
        <f>IF(tblYield[[#This Row],[Date]]="","",IFERROR(INDEX(tblOperations[Rework cost],MATCH(tblYield[[#This Row],[Operation]],tblOperations[Operation],0)),""))</f>
        <v>0.6</v>
      </c>
      <c r="N163" s="40">
        <f>IF(tblYield[[#This Row],[Date]]="","",IFERROR(INDEX(tblOperations[Scrap cost],MATCH(tblYield[[#This Row],[Operation]],tblOperations[Operation],0)),""))</f>
        <v>4.8</v>
      </c>
      <c r="O163" s="40">
        <f>IF(tblYield[[#This Row],[Date]]="","",IF(tblYield[[#This Row],[Rework cost per unit]]="","",tblYield[[#This Row],[Reworked]]*tblYield[[#This Row],[Rework cost per unit]]))</f>
        <v>4.8</v>
      </c>
      <c r="P163" s="40">
        <f>IF(tblYield[[#This Row],[Date]]="","",IF(tblYield[[#This Row],[Scrap cost per unit]]="","",tblYield[[#This Row],[Scrapped]]*tblYield[[#This Row],[Scrap cost per unit]]))</f>
        <v>0</v>
      </c>
      <c r="Q163" s="41">
        <f>IF(tblYield[[#This Row],[Date]]="","",IF(AND(tblYield[[#This Row],[Date]]&gt;=FFrom,tblYield[[#This Row],[Date]]&lt;=FTo),tblYield[[#This Row],[Date]],""))</f>
        <v>46301</v>
      </c>
      <c r="R16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3" s="43" t="s">
        <v>104</v>
      </c>
    </row>
    <row r="164" spans="2:19" x14ac:dyDescent="0.25">
      <c r="B164" s="35">
        <v>46301</v>
      </c>
      <c r="C164" s="28" t="s">
        <v>78</v>
      </c>
      <c r="D164" s="36">
        <v>600</v>
      </c>
      <c r="E164" s="36">
        <v>585</v>
      </c>
      <c r="F164" s="36">
        <v>1</v>
      </c>
      <c r="G164" s="37">
        <f>IF(tblYield[[#This Row],[Date]]="","",tblYield[[#This Row],[Units in]]-tblYield[[#This Row],[Passed first time]])</f>
        <v>15</v>
      </c>
      <c r="H164" s="37">
        <f>IF(tblYield[[#This Row],[Date]]="","",tblYield[[#This Row],[Units in]]-tblYield[[#This Row],[Passed first time]]-tblYield[[#This Row],[Scrapped]])</f>
        <v>14</v>
      </c>
      <c r="I164" s="38">
        <f>IF(tblYield[[#This Row],[Date]]="","",IF(tblYield[[#This Row],[Units in]]&gt;0,tblYield[[#This Row],[Passed first time]]/tblYield[[#This Row],[Units in]],""))</f>
        <v>0.975</v>
      </c>
      <c r="J164" s="38">
        <f>IF(tblYield[[#This Row],[Date]]="","",IFERROR(INDEX(tblOperations[FPY target],MATCH(tblYield[[#This Row],[Operation]],tblOperations[Operation],0)),""))</f>
        <v>0.98</v>
      </c>
      <c r="K164" s="39" t="str">
        <f>IF(OR(NOT(ISNUMBER(tblYield[[#This Row],[FPY]])),NOT(ISNUMBER(tblYield[[#This Row],[FPY target]]))),"",IF(tblYield[[#This Row],[FPY]]&gt;=tblYield[[#This Row],[FPY target]],"On target",IF(tblYield[[#This Row],[FPY]]&gt;=tblYield[[#This Row],[FPY target]]-NearBand,"Near target","Below target")))</f>
        <v>Near target</v>
      </c>
      <c r="L164" s="38">
        <f>IF(tblYield[[#This Row],[Date]]="","",IF(tblYield[[#This Row],[Units in]]&gt;0,(tblYield[[#This Row],[Units in]]-tblYield[[#This Row],[Scrapped]])/tblYield[[#This Row],[Units in]],""))</f>
        <v>0.998333333333333</v>
      </c>
      <c r="M164" s="40">
        <f>IF(tblYield[[#This Row],[Date]]="","",IFERROR(INDEX(tblOperations[Rework cost],MATCH(tblYield[[#This Row],[Operation]],tblOperations[Operation],0)),""))</f>
        <v>3.8</v>
      </c>
      <c r="N164" s="40">
        <f>IF(tblYield[[#This Row],[Date]]="","",IFERROR(INDEX(tblOperations[Scrap cost],MATCH(tblYield[[#This Row],[Operation]],tblOperations[Operation],0)),""))</f>
        <v>31</v>
      </c>
      <c r="O164" s="40">
        <f>IF(tblYield[[#This Row],[Date]]="","",IF(tblYield[[#This Row],[Rework cost per unit]]="","",tblYield[[#This Row],[Reworked]]*tblYield[[#This Row],[Rework cost per unit]]))</f>
        <v>53.2</v>
      </c>
      <c r="P164" s="40">
        <f>IF(tblYield[[#This Row],[Date]]="","",IF(tblYield[[#This Row],[Scrap cost per unit]]="","",tblYield[[#This Row],[Scrapped]]*tblYield[[#This Row],[Scrap cost per unit]]))</f>
        <v>31</v>
      </c>
      <c r="Q164" s="41">
        <f>IF(tblYield[[#This Row],[Date]]="","",IF(AND(tblYield[[#This Row],[Date]]&gt;=FFrom,tblYield[[#This Row],[Date]]&lt;=FTo),tblYield[[#This Row],[Date]],""))</f>
        <v>46301</v>
      </c>
      <c r="R16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4" s="43" t="s">
        <v>104</v>
      </c>
    </row>
    <row r="165" spans="2:19" x14ac:dyDescent="0.25">
      <c r="B165" s="35">
        <v>46301</v>
      </c>
      <c r="C165" s="28" t="s">
        <v>80</v>
      </c>
      <c r="D165" s="36">
        <v>599</v>
      </c>
      <c r="E165" s="36">
        <v>578</v>
      </c>
      <c r="F165" s="36">
        <v>2</v>
      </c>
      <c r="G165" s="37">
        <f>IF(tblYield[[#This Row],[Date]]="","",tblYield[[#This Row],[Units in]]-tblYield[[#This Row],[Passed first time]])</f>
        <v>21</v>
      </c>
      <c r="H165" s="37">
        <f>IF(tblYield[[#This Row],[Date]]="","",tblYield[[#This Row],[Units in]]-tblYield[[#This Row],[Passed first time]]-tblYield[[#This Row],[Scrapped]])</f>
        <v>19</v>
      </c>
      <c r="I165" s="38">
        <f>IF(tblYield[[#This Row],[Date]]="","",IF(tblYield[[#This Row],[Units in]]&gt;0,tblYield[[#This Row],[Passed first time]]/tblYield[[#This Row],[Units in]],""))</f>
        <v>0.964941569282137</v>
      </c>
      <c r="J165" s="38">
        <f>IF(tblYield[[#This Row],[Date]]="","",IFERROR(INDEX(tblOperations[FPY target],MATCH(tblYield[[#This Row],[Operation]],tblOperations[Operation],0)),""))</f>
        <v>0.97</v>
      </c>
      <c r="K165" s="39" t="str">
        <f>IF(OR(NOT(ISNUMBER(tblYield[[#This Row],[FPY]])),NOT(ISNUMBER(tblYield[[#This Row],[FPY target]]))),"",IF(tblYield[[#This Row],[FPY]]&gt;=tblYield[[#This Row],[FPY target]],"On target",IF(tblYield[[#This Row],[FPY]]&gt;=tblYield[[#This Row],[FPY target]]-NearBand,"Near target","Below target")))</f>
        <v>Near target</v>
      </c>
      <c r="L165" s="38">
        <f>IF(tblYield[[#This Row],[Date]]="","",IF(tblYield[[#This Row],[Units in]]&gt;0,(tblYield[[#This Row],[Units in]]-tblYield[[#This Row],[Scrapped]])/tblYield[[#This Row],[Units in]],""))</f>
        <v>0.996661101836394</v>
      </c>
      <c r="M165" s="40">
        <f>IF(tblYield[[#This Row],[Date]]="","",IFERROR(INDEX(tblOperations[Rework cost],MATCH(tblYield[[#This Row],[Operation]],tblOperations[Operation],0)),""))</f>
        <v>2.9</v>
      </c>
      <c r="N165" s="40">
        <f>IF(tblYield[[#This Row],[Date]]="","",IFERROR(INDEX(tblOperations[Scrap cost],MATCH(tblYield[[#This Row],[Operation]],tblOperations[Operation],0)),""))</f>
        <v>34</v>
      </c>
      <c r="O165" s="40">
        <f>IF(tblYield[[#This Row],[Date]]="","",IF(tblYield[[#This Row],[Rework cost per unit]]="","",tblYield[[#This Row],[Reworked]]*tblYield[[#This Row],[Rework cost per unit]]))</f>
        <v>55.1</v>
      </c>
      <c r="P165" s="40">
        <f>IF(tblYield[[#This Row],[Date]]="","",IF(tblYield[[#This Row],[Scrap cost per unit]]="","",tblYield[[#This Row],[Scrapped]]*tblYield[[#This Row],[Scrap cost per unit]]))</f>
        <v>68</v>
      </c>
      <c r="Q165" s="41">
        <f>IF(tblYield[[#This Row],[Date]]="","",IF(AND(tblYield[[#This Row],[Date]]&gt;=FFrom,tblYield[[#This Row],[Date]]&lt;=FTo),tblYield[[#This Row],[Date]],""))</f>
        <v>46301</v>
      </c>
      <c r="R16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5" s="43" t="s">
        <v>104</v>
      </c>
    </row>
    <row r="166" spans="2:19" x14ac:dyDescent="0.25">
      <c r="B166" s="35">
        <v>46301</v>
      </c>
      <c r="C166" s="28" t="s">
        <v>82</v>
      </c>
      <c r="D166" s="36">
        <v>597</v>
      </c>
      <c r="E166" s="36">
        <v>591</v>
      </c>
      <c r="F166" s="36">
        <v>1</v>
      </c>
      <c r="G166" s="37">
        <f>IF(tblYield[[#This Row],[Date]]="","",tblYield[[#This Row],[Units in]]-tblYield[[#This Row],[Passed first time]])</f>
        <v>6</v>
      </c>
      <c r="H166" s="37">
        <f>IF(tblYield[[#This Row],[Date]]="","",tblYield[[#This Row],[Units in]]-tblYield[[#This Row],[Passed first time]]-tblYield[[#This Row],[Scrapped]])</f>
        <v>5</v>
      </c>
      <c r="I166" s="38">
        <f>IF(tblYield[[#This Row],[Date]]="","",IF(tblYield[[#This Row],[Units in]]&gt;0,tblYield[[#This Row],[Passed first time]]/tblYield[[#This Row],[Units in]],""))</f>
        <v>0.989949748743719</v>
      </c>
      <c r="J166" s="38">
        <f>IF(tblYield[[#This Row],[Date]]="","",IFERROR(INDEX(tblOperations[FPY target],MATCH(tblYield[[#This Row],[Operation]],tblOperations[Operation],0)),""))</f>
        <v>0.98</v>
      </c>
      <c r="K166" s="39" t="str">
        <f>IF(OR(NOT(ISNUMBER(tblYield[[#This Row],[FPY]])),NOT(ISNUMBER(tblYield[[#This Row],[FPY target]]))),"",IF(tblYield[[#This Row],[FPY]]&gt;=tblYield[[#This Row],[FPY target]],"On target",IF(tblYield[[#This Row],[FPY]]&gt;=tblYield[[#This Row],[FPY target]]-NearBand,"Near target","Below target")))</f>
        <v>On target</v>
      </c>
      <c r="L166" s="38">
        <f>IF(tblYield[[#This Row],[Date]]="","",IF(tblYield[[#This Row],[Units in]]&gt;0,(tblYield[[#This Row],[Units in]]-tblYield[[#This Row],[Scrapped]])/tblYield[[#This Row],[Units in]],""))</f>
        <v>0.998324958123953</v>
      </c>
      <c r="M166" s="40">
        <f>IF(tblYield[[#This Row],[Date]]="","",IFERROR(INDEX(tblOperations[Rework cost],MATCH(tblYield[[#This Row],[Operation]],tblOperations[Operation],0)),""))</f>
        <v>8.5</v>
      </c>
      <c r="N166" s="40">
        <f>IF(tblYield[[#This Row],[Date]]="","",IFERROR(INDEX(tblOperations[Scrap cost],MATCH(tblYield[[#This Row],[Operation]],tblOperations[Operation],0)),""))</f>
        <v>36.5</v>
      </c>
      <c r="O166" s="40">
        <f>IF(tblYield[[#This Row],[Date]]="","",IF(tblYield[[#This Row],[Rework cost per unit]]="","",tblYield[[#This Row],[Reworked]]*tblYield[[#This Row],[Rework cost per unit]]))</f>
        <v>42.5</v>
      </c>
      <c r="P166" s="40">
        <f>IF(tblYield[[#This Row],[Date]]="","",IF(tblYield[[#This Row],[Scrap cost per unit]]="","",tblYield[[#This Row],[Scrapped]]*tblYield[[#This Row],[Scrap cost per unit]]))</f>
        <v>36.5</v>
      </c>
      <c r="Q166" s="41">
        <f>IF(tblYield[[#This Row],[Date]]="","",IF(AND(tblYield[[#This Row],[Date]]&gt;=FFrom,tblYield[[#This Row],[Date]]&lt;=FTo),tblYield[[#This Row],[Date]],""))</f>
        <v>46301</v>
      </c>
      <c r="R16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6" s="43" t="s">
        <v>104</v>
      </c>
    </row>
    <row r="167" spans="2:19" x14ac:dyDescent="0.25">
      <c r="B167" s="35">
        <v>46301</v>
      </c>
      <c r="C167" s="28" t="s">
        <v>84</v>
      </c>
      <c r="D167" s="36">
        <v>596</v>
      </c>
      <c r="E167" s="36">
        <v>588</v>
      </c>
      <c r="F167" s="36">
        <v>1</v>
      </c>
      <c r="G167" s="37">
        <f>IF(tblYield[[#This Row],[Date]]="","",tblYield[[#This Row],[Units in]]-tblYield[[#This Row],[Passed first time]])</f>
        <v>8</v>
      </c>
      <c r="H167" s="37">
        <f>IF(tblYield[[#This Row],[Date]]="","",tblYield[[#This Row],[Units in]]-tblYield[[#This Row],[Passed first time]]-tblYield[[#This Row],[Scrapped]])</f>
        <v>7</v>
      </c>
      <c r="I167" s="38">
        <f>IF(tblYield[[#This Row],[Date]]="","",IF(tblYield[[#This Row],[Units in]]&gt;0,tblYield[[#This Row],[Passed first time]]/tblYield[[#This Row],[Units in]],""))</f>
        <v>0.986577181208054</v>
      </c>
      <c r="J167" s="38">
        <f>IF(tblYield[[#This Row],[Date]]="","",IFERROR(INDEX(tblOperations[FPY target],MATCH(tblYield[[#This Row],[Operation]],tblOperations[Operation],0)),""))</f>
        <v>0.985</v>
      </c>
      <c r="K167" s="39" t="str">
        <f>IF(OR(NOT(ISNUMBER(tblYield[[#This Row],[FPY]])),NOT(ISNUMBER(tblYield[[#This Row],[FPY target]]))),"",IF(tblYield[[#This Row],[FPY]]&gt;=tblYield[[#This Row],[FPY target]],"On target",IF(tblYield[[#This Row],[FPY]]&gt;=tblYield[[#This Row],[FPY target]]-NearBand,"Near target","Below target")))</f>
        <v>On target</v>
      </c>
      <c r="L167" s="38">
        <f>IF(tblYield[[#This Row],[Date]]="","",IF(tblYield[[#This Row],[Units in]]&gt;0,(tblYield[[#This Row],[Units in]]-tblYield[[#This Row],[Scrapped]])/tblYield[[#This Row],[Units in]],""))</f>
        <v>0.998322147651007</v>
      </c>
      <c r="M167" s="40">
        <f>IF(tblYield[[#This Row],[Date]]="","",IFERROR(INDEX(tblOperations[Rework cost],MATCH(tblYield[[#This Row],[Operation]],tblOperations[Operation],0)),""))</f>
        <v>12</v>
      </c>
      <c r="N167" s="40">
        <f>IF(tblYield[[#This Row],[Date]]="","",IFERROR(INDEX(tblOperations[Scrap cost],MATCH(tblYield[[#This Row],[Operation]],tblOperations[Operation],0)),""))</f>
        <v>38</v>
      </c>
      <c r="O167" s="40">
        <f>IF(tblYield[[#This Row],[Date]]="","",IF(tblYield[[#This Row],[Rework cost per unit]]="","",tblYield[[#This Row],[Reworked]]*tblYield[[#This Row],[Rework cost per unit]]))</f>
        <v>84</v>
      </c>
      <c r="P167" s="40">
        <f>IF(tblYield[[#This Row],[Date]]="","",IF(tblYield[[#This Row],[Scrap cost per unit]]="","",tblYield[[#This Row],[Scrapped]]*tblYield[[#This Row],[Scrap cost per unit]]))</f>
        <v>38</v>
      </c>
      <c r="Q167" s="41">
        <f>IF(tblYield[[#This Row],[Date]]="","",IF(AND(tblYield[[#This Row],[Date]]&gt;=FFrom,tblYield[[#This Row],[Date]]&lt;=FTo),tblYield[[#This Row],[Date]],""))</f>
        <v>46301</v>
      </c>
      <c r="R16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7" s="43" t="s">
        <v>104</v>
      </c>
    </row>
    <row r="168" spans="2:19" x14ac:dyDescent="0.25">
      <c r="B168" s="35">
        <v>46301</v>
      </c>
      <c r="C168" s="28" t="s">
        <v>86</v>
      </c>
      <c r="D168" s="36">
        <v>595</v>
      </c>
      <c r="E168" s="36">
        <v>590</v>
      </c>
      <c r="F168" s="36">
        <v>0</v>
      </c>
      <c r="G168" s="37">
        <f>IF(tblYield[[#This Row],[Date]]="","",tblYield[[#This Row],[Units in]]-tblYield[[#This Row],[Passed first time]])</f>
        <v>5</v>
      </c>
      <c r="H168" s="37">
        <f>IF(tblYield[[#This Row],[Date]]="","",tblYield[[#This Row],[Units in]]-tblYield[[#This Row],[Passed first time]]-tblYield[[#This Row],[Scrapped]])</f>
        <v>5</v>
      </c>
      <c r="I168" s="38">
        <f>IF(tblYield[[#This Row],[Date]]="","",IF(tblYield[[#This Row],[Units in]]&gt;0,tblYield[[#This Row],[Passed first time]]/tblYield[[#This Row],[Units in]],""))</f>
        <v>0.991596638655462</v>
      </c>
      <c r="J168" s="38">
        <f>IF(tblYield[[#This Row],[Date]]="","",IFERROR(INDEX(tblOperations[FPY target],MATCH(tblYield[[#This Row],[Operation]],tblOperations[Operation],0)),""))</f>
        <v>0.99</v>
      </c>
      <c r="K168" s="39" t="str">
        <f>IF(OR(NOT(ISNUMBER(tblYield[[#This Row],[FPY]])),NOT(ISNUMBER(tblYield[[#This Row],[FPY target]]))),"",IF(tblYield[[#This Row],[FPY]]&gt;=tblYield[[#This Row],[FPY target]],"On target",IF(tblYield[[#This Row],[FPY]]&gt;=tblYield[[#This Row],[FPY target]]-NearBand,"Near target","Below target")))</f>
        <v>On target</v>
      </c>
      <c r="L168" s="38">
        <f>IF(tblYield[[#This Row],[Date]]="","",IF(tblYield[[#This Row],[Units in]]&gt;0,(tblYield[[#This Row],[Units in]]-tblYield[[#This Row],[Scrapped]])/tblYield[[#This Row],[Units in]],""))</f>
        <v>1</v>
      </c>
      <c r="M168" s="40">
        <f>IF(tblYield[[#This Row],[Date]]="","",IFERROR(INDEX(tblOperations[Rework cost],MATCH(tblYield[[#This Row],[Operation]],tblOperations[Operation],0)),""))</f>
        <v>2.2</v>
      </c>
      <c r="N168" s="40">
        <f>IF(tblYield[[#This Row],[Date]]="","",IFERROR(INDEX(tblOperations[Scrap cost],MATCH(tblYield[[#This Row],[Operation]],tblOperations[Operation],0)),""))</f>
        <v>41</v>
      </c>
      <c r="O168" s="40">
        <f>IF(tblYield[[#This Row],[Date]]="","",IF(tblYield[[#This Row],[Rework cost per unit]]="","",tblYield[[#This Row],[Reworked]]*tblYield[[#This Row],[Rework cost per unit]]))</f>
        <v>11</v>
      </c>
      <c r="P168" s="40">
        <f>IF(tblYield[[#This Row],[Date]]="","",IF(tblYield[[#This Row],[Scrap cost per unit]]="","",tblYield[[#This Row],[Scrapped]]*tblYield[[#This Row],[Scrap cost per unit]]))</f>
        <v>0</v>
      </c>
      <c r="Q168" s="41">
        <f>IF(tblYield[[#This Row],[Date]]="","",IF(AND(tblYield[[#This Row],[Date]]&gt;=FFrom,tblYield[[#This Row],[Date]]&lt;=FTo),tblYield[[#This Row],[Date]],""))</f>
        <v>46301</v>
      </c>
      <c r="R16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8" s="43" t="s">
        <v>104</v>
      </c>
    </row>
    <row r="169" spans="2:19" x14ac:dyDescent="0.25">
      <c r="B169" s="35">
        <v>46302</v>
      </c>
      <c r="C169" s="28" t="s">
        <v>76</v>
      </c>
      <c r="D169" s="36">
        <v>580</v>
      </c>
      <c r="E169" s="36">
        <v>574</v>
      </c>
      <c r="F169" s="36">
        <v>0</v>
      </c>
      <c r="G169" s="37">
        <f>IF(tblYield[[#This Row],[Date]]="","",tblYield[[#This Row],[Units in]]-tblYield[[#This Row],[Passed first time]])</f>
        <v>6</v>
      </c>
      <c r="H169" s="37">
        <f>IF(tblYield[[#This Row],[Date]]="","",tblYield[[#This Row],[Units in]]-tblYield[[#This Row],[Passed first time]]-tblYield[[#This Row],[Scrapped]])</f>
        <v>6</v>
      </c>
      <c r="I169" s="38">
        <f>IF(tblYield[[#This Row],[Date]]="","",IF(tblYield[[#This Row],[Units in]]&gt;0,tblYield[[#This Row],[Passed first time]]/tblYield[[#This Row],[Units in]],""))</f>
        <v>0.989655172413793</v>
      </c>
      <c r="J169" s="38">
        <f>IF(tblYield[[#This Row],[Date]]="","",IFERROR(INDEX(tblOperations[FPY target],MATCH(tblYield[[#This Row],[Operation]],tblOperations[Operation],0)),""))</f>
        <v>0.99</v>
      </c>
      <c r="K169" s="39" t="str">
        <f>IF(OR(NOT(ISNUMBER(tblYield[[#This Row],[FPY]])),NOT(ISNUMBER(tblYield[[#This Row],[FPY target]]))),"",IF(tblYield[[#This Row],[FPY]]&gt;=tblYield[[#This Row],[FPY target]],"On target",IF(tblYield[[#This Row],[FPY]]&gt;=tblYield[[#This Row],[FPY target]]-NearBand,"Near target","Below target")))</f>
        <v>Near target</v>
      </c>
      <c r="L169" s="38">
        <f>IF(tblYield[[#This Row],[Date]]="","",IF(tblYield[[#This Row],[Units in]]&gt;0,(tblYield[[#This Row],[Units in]]-tblYield[[#This Row],[Scrapped]])/tblYield[[#This Row],[Units in]],""))</f>
        <v>1</v>
      </c>
      <c r="M169" s="40">
        <f>IF(tblYield[[#This Row],[Date]]="","",IFERROR(INDEX(tblOperations[Rework cost],MATCH(tblYield[[#This Row],[Operation]],tblOperations[Operation],0)),""))</f>
        <v>0.6</v>
      </c>
      <c r="N169" s="40">
        <f>IF(tblYield[[#This Row],[Date]]="","",IFERROR(INDEX(tblOperations[Scrap cost],MATCH(tblYield[[#This Row],[Operation]],tblOperations[Operation],0)),""))</f>
        <v>4.8</v>
      </c>
      <c r="O169" s="40">
        <f>IF(tblYield[[#This Row],[Date]]="","",IF(tblYield[[#This Row],[Rework cost per unit]]="","",tblYield[[#This Row],[Reworked]]*tblYield[[#This Row],[Rework cost per unit]]))</f>
        <v>3.6</v>
      </c>
      <c r="P169" s="40">
        <f>IF(tblYield[[#This Row],[Date]]="","",IF(tblYield[[#This Row],[Scrap cost per unit]]="","",tblYield[[#This Row],[Scrapped]]*tblYield[[#This Row],[Scrap cost per unit]]))</f>
        <v>0</v>
      </c>
      <c r="Q169" s="41">
        <f>IF(tblYield[[#This Row],[Date]]="","",IF(AND(tblYield[[#This Row],[Date]]&gt;=FFrom,tblYield[[#This Row],[Date]]&lt;=FTo),tblYield[[#This Row],[Date]],""))</f>
        <v>46302</v>
      </c>
      <c r="R16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69" s="43" t="s">
        <v>104</v>
      </c>
    </row>
    <row r="170" spans="2:19" x14ac:dyDescent="0.25">
      <c r="B170" s="35">
        <v>46302</v>
      </c>
      <c r="C170" s="28" t="s">
        <v>78</v>
      </c>
      <c r="D170" s="36">
        <v>580</v>
      </c>
      <c r="E170" s="36">
        <v>567</v>
      </c>
      <c r="F170" s="36">
        <v>1</v>
      </c>
      <c r="G170" s="37">
        <f>IF(tblYield[[#This Row],[Date]]="","",tblYield[[#This Row],[Units in]]-tblYield[[#This Row],[Passed first time]])</f>
        <v>13</v>
      </c>
      <c r="H170" s="37">
        <f>IF(tblYield[[#This Row],[Date]]="","",tblYield[[#This Row],[Units in]]-tblYield[[#This Row],[Passed first time]]-tblYield[[#This Row],[Scrapped]])</f>
        <v>12</v>
      </c>
      <c r="I170" s="38">
        <f>IF(tblYield[[#This Row],[Date]]="","",IF(tblYield[[#This Row],[Units in]]&gt;0,tblYield[[#This Row],[Passed first time]]/tblYield[[#This Row],[Units in]],""))</f>
        <v>0.977586206896552</v>
      </c>
      <c r="J170" s="38">
        <f>IF(tblYield[[#This Row],[Date]]="","",IFERROR(INDEX(tblOperations[FPY target],MATCH(tblYield[[#This Row],[Operation]],tblOperations[Operation],0)),""))</f>
        <v>0.98</v>
      </c>
      <c r="K170" s="39" t="str">
        <f>IF(OR(NOT(ISNUMBER(tblYield[[#This Row],[FPY]])),NOT(ISNUMBER(tblYield[[#This Row],[FPY target]]))),"",IF(tblYield[[#This Row],[FPY]]&gt;=tblYield[[#This Row],[FPY target]],"On target",IF(tblYield[[#This Row],[FPY]]&gt;=tblYield[[#This Row],[FPY target]]-NearBand,"Near target","Below target")))</f>
        <v>Near target</v>
      </c>
      <c r="L170" s="38">
        <f>IF(tblYield[[#This Row],[Date]]="","",IF(tblYield[[#This Row],[Units in]]&gt;0,(tblYield[[#This Row],[Units in]]-tblYield[[#This Row],[Scrapped]])/tblYield[[#This Row],[Units in]],""))</f>
        <v>0.998275862068966</v>
      </c>
      <c r="M170" s="40">
        <f>IF(tblYield[[#This Row],[Date]]="","",IFERROR(INDEX(tblOperations[Rework cost],MATCH(tblYield[[#This Row],[Operation]],tblOperations[Operation],0)),""))</f>
        <v>3.8</v>
      </c>
      <c r="N170" s="40">
        <f>IF(tblYield[[#This Row],[Date]]="","",IFERROR(INDEX(tblOperations[Scrap cost],MATCH(tblYield[[#This Row],[Operation]],tblOperations[Operation],0)),""))</f>
        <v>31</v>
      </c>
      <c r="O170" s="40">
        <f>IF(tblYield[[#This Row],[Date]]="","",IF(tblYield[[#This Row],[Rework cost per unit]]="","",tblYield[[#This Row],[Reworked]]*tblYield[[#This Row],[Rework cost per unit]]))</f>
        <v>45.6</v>
      </c>
      <c r="P170" s="40">
        <f>IF(tblYield[[#This Row],[Date]]="","",IF(tblYield[[#This Row],[Scrap cost per unit]]="","",tblYield[[#This Row],[Scrapped]]*tblYield[[#This Row],[Scrap cost per unit]]))</f>
        <v>31</v>
      </c>
      <c r="Q170" s="41">
        <f>IF(tblYield[[#This Row],[Date]]="","",IF(AND(tblYield[[#This Row],[Date]]&gt;=FFrom,tblYield[[#This Row],[Date]]&lt;=FTo),tblYield[[#This Row],[Date]],""))</f>
        <v>46302</v>
      </c>
      <c r="R17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0" s="43" t="s">
        <v>104</v>
      </c>
    </row>
    <row r="171" spans="2:19" x14ac:dyDescent="0.25">
      <c r="B171" s="35">
        <v>46302</v>
      </c>
      <c r="C171" s="28" t="s">
        <v>80</v>
      </c>
      <c r="D171" s="36">
        <v>579</v>
      </c>
      <c r="E171" s="36">
        <v>554</v>
      </c>
      <c r="F171" s="36">
        <v>2</v>
      </c>
      <c r="G171" s="37">
        <f>IF(tblYield[[#This Row],[Date]]="","",tblYield[[#This Row],[Units in]]-tblYield[[#This Row],[Passed first time]])</f>
        <v>25</v>
      </c>
      <c r="H171" s="37">
        <f>IF(tblYield[[#This Row],[Date]]="","",tblYield[[#This Row],[Units in]]-tblYield[[#This Row],[Passed first time]]-tblYield[[#This Row],[Scrapped]])</f>
        <v>23</v>
      </c>
      <c r="I171" s="38">
        <f>IF(tblYield[[#This Row],[Date]]="","",IF(tblYield[[#This Row],[Units in]]&gt;0,tblYield[[#This Row],[Passed first time]]/tblYield[[#This Row],[Units in]],""))</f>
        <v>0.956822107081174</v>
      </c>
      <c r="J171" s="38">
        <f>IF(tblYield[[#This Row],[Date]]="","",IFERROR(INDEX(tblOperations[FPY target],MATCH(tblYield[[#This Row],[Operation]],tblOperations[Operation],0)),""))</f>
        <v>0.97</v>
      </c>
      <c r="K171" s="39" t="str">
        <f>IF(OR(NOT(ISNUMBER(tblYield[[#This Row],[FPY]])),NOT(ISNUMBER(tblYield[[#This Row],[FPY target]]))),"",IF(tblYield[[#This Row],[FPY]]&gt;=tblYield[[#This Row],[FPY target]],"On target",IF(tblYield[[#This Row],[FPY]]&gt;=tblYield[[#This Row],[FPY target]]-NearBand,"Near target","Below target")))</f>
        <v>Below target</v>
      </c>
      <c r="L171" s="38">
        <f>IF(tblYield[[#This Row],[Date]]="","",IF(tblYield[[#This Row],[Units in]]&gt;0,(tblYield[[#This Row],[Units in]]-tblYield[[#This Row],[Scrapped]])/tblYield[[#This Row],[Units in]],""))</f>
        <v>0.996545768566494</v>
      </c>
      <c r="M171" s="40">
        <f>IF(tblYield[[#This Row],[Date]]="","",IFERROR(INDEX(tblOperations[Rework cost],MATCH(tblYield[[#This Row],[Operation]],tblOperations[Operation],0)),""))</f>
        <v>2.9</v>
      </c>
      <c r="N171" s="40">
        <f>IF(tblYield[[#This Row],[Date]]="","",IFERROR(INDEX(tblOperations[Scrap cost],MATCH(tblYield[[#This Row],[Operation]],tblOperations[Operation],0)),""))</f>
        <v>34</v>
      </c>
      <c r="O171" s="40">
        <f>IF(tblYield[[#This Row],[Date]]="","",IF(tblYield[[#This Row],[Rework cost per unit]]="","",tblYield[[#This Row],[Reworked]]*tblYield[[#This Row],[Rework cost per unit]]))</f>
        <v>66.7</v>
      </c>
      <c r="P171" s="40">
        <f>IF(tblYield[[#This Row],[Date]]="","",IF(tblYield[[#This Row],[Scrap cost per unit]]="","",tblYield[[#This Row],[Scrapped]]*tblYield[[#This Row],[Scrap cost per unit]]))</f>
        <v>68</v>
      </c>
      <c r="Q171" s="41">
        <f>IF(tblYield[[#This Row],[Date]]="","",IF(AND(tblYield[[#This Row],[Date]]&gt;=FFrom,tblYield[[#This Row],[Date]]&lt;=FTo),tblYield[[#This Row],[Date]],""))</f>
        <v>46302</v>
      </c>
      <c r="R17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1" s="43" t="s">
        <v>104</v>
      </c>
    </row>
    <row r="172" spans="2:19" x14ac:dyDescent="0.25">
      <c r="B172" s="35">
        <v>46302</v>
      </c>
      <c r="C172" s="28" t="s">
        <v>82</v>
      </c>
      <c r="D172" s="36">
        <v>577</v>
      </c>
      <c r="E172" s="36">
        <v>565</v>
      </c>
      <c r="F172" s="36">
        <v>1</v>
      </c>
      <c r="G172" s="37">
        <f>IF(tblYield[[#This Row],[Date]]="","",tblYield[[#This Row],[Units in]]-tblYield[[#This Row],[Passed first time]])</f>
        <v>12</v>
      </c>
      <c r="H172" s="37">
        <f>IF(tblYield[[#This Row],[Date]]="","",tblYield[[#This Row],[Units in]]-tblYield[[#This Row],[Passed first time]]-tblYield[[#This Row],[Scrapped]])</f>
        <v>11</v>
      </c>
      <c r="I172" s="38">
        <f>IF(tblYield[[#This Row],[Date]]="","",IF(tblYield[[#This Row],[Units in]]&gt;0,tblYield[[#This Row],[Passed first time]]/tblYield[[#This Row],[Units in]],""))</f>
        <v>0.979202772963605</v>
      </c>
      <c r="J172" s="38">
        <f>IF(tblYield[[#This Row],[Date]]="","",IFERROR(INDEX(tblOperations[FPY target],MATCH(tblYield[[#This Row],[Operation]],tblOperations[Operation],0)),""))</f>
        <v>0.98</v>
      </c>
      <c r="K172" s="39" t="str">
        <f>IF(OR(NOT(ISNUMBER(tblYield[[#This Row],[FPY]])),NOT(ISNUMBER(tblYield[[#This Row],[FPY target]]))),"",IF(tblYield[[#This Row],[FPY]]&gt;=tblYield[[#This Row],[FPY target]],"On target",IF(tblYield[[#This Row],[FPY]]&gt;=tblYield[[#This Row],[FPY target]]-NearBand,"Near target","Below target")))</f>
        <v>Near target</v>
      </c>
      <c r="L172" s="38">
        <f>IF(tblYield[[#This Row],[Date]]="","",IF(tblYield[[#This Row],[Units in]]&gt;0,(tblYield[[#This Row],[Units in]]-tblYield[[#This Row],[Scrapped]])/tblYield[[#This Row],[Units in]],""))</f>
        <v>0.998266897746967</v>
      </c>
      <c r="M172" s="40">
        <f>IF(tblYield[[#This Row],[Date]]="","",IFERROR(INDEX(tblOperations[Rework cost],MATCH(tblYield[[#This Row],[Operation]],tblOperations[Operation],0)),""))</f>
        <v>8.5</v>
      </c>
      <c r="N172" s="40">
        <f>IF(tblYield[[#This Row],[Date]]="","",IFERROR(INDEX(tblOperations[Scrap cost],MATCH(tblYield[[#This Row],[Operation]],tblOperations[Operation],0)),""))</f>
        <v>36.5</v>
      </c>
      <c r="O172" s="40">
        <f>IF(tblYield[[#This Row],[Date]]="","",IF(tblYield[[#This Row],[Rework cost per unit]]="","",tblYield[[#This Row],[Reworked]]*tblYield[[#This Row],[Rework cost per unit]]))</f>
        <v>93.5</v>
      </c>
      <c r="P172" s="40">
        <f>IF(tblYield[[#This Row],[Date]]="","",IF(tblYield[[#This Row],[Scrap cost per unit]]="","",tblYield[[#This Row],[Scrapped]]*tblYield[[#This Row],[Scrap cost per unit]]))</f>
        <v>36.5</v>
      </c>
      <c r="Q172" s="41">
        <f>IF(tblYield[[#This Row],[Date]]="","",IF(AND(tblYield[[#This Row],[Date]]&gt;=FFrom,tblYield[[#This Row],[Date]]&lt;=FTo),tblYield[[#This Row],[Date]],""))</f>
        <v>46302</v>
      </c>
      <c r="R17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2" s="43" t="s">
        <v>104</v>
      </c>
    </row>
    <row r="173" spans="2:19" x14ac:dyDescent="0.25">
      <c r="B173" s="35">
        <v>46302</v>
      </c>
      <c r="C173" s="28" t="s">
        <v>84</v>
      </c>
      <c r="D173" s="36">
        <v>576</v>
      </c>
      <c r="E173" s="36">
        <v>572</v>
      </c>
      <c r="F173" s="36">
        <v>0</v>
      </c>
      <c r="G173" s="37">
        <f>IF(tblYield[[#This Row],[Date]]="","",tblYield[[#This Row],[Units in]]-tblYield[[#This Row],[Passed first time]])</f>
        <v>4</v>
      </c>
      <c r="H173" s="37">
        <f>IF(tblYield[[#This Row],[Date]]="","",tblYield[[#This Row],[Units in]]-tblYield[[#This Row],[Passed first time]]-tblYield[[#This Row],[Scrapped]])</f>
        <v>4</v>
      </c>
      <c r="I173" s="38">
        <f>IF(tblYield[[#This Row],[Date]]="","",IF(tblYield[[#This Row],[Units in]]&gt;0,tblYield[[#This Row],[Passed first time]]/tblYield[[#This Row],[Units in]],""))</f>
        <v>0.993055555555556</v>
      </c>
      <c r="J173" s="38">
        <f>IF(tblYield[[#This Row],[Date]]="","",IFERROR(INDEX(tblOperations[FPY target],MATCH(tblYield[[#This Row],[Operation]],tblOperations[Operation],0)),""))</f>
        <v>0.985</v>
      </c>
      <c r="K173" s="39" t="str">
        <f>IF(OR(NOT(ISNUMBER(tblYield[[#This Row],[FPY]])),NOT(ISNUMBER(tblYield[[#This Row],[FPY target]]))),"",IF(tblYield[[#This Row],[FPY]]&gt;=tblYield[[#This Row],[FPY target]],"On target",IF(tblYield[[#This Row],[FPY]]&gt;=tblYield[[#This Row],[FPY target]]-NearBand,"Near target","Below target")))</f>
        <v>On target</v>
      </c>
      <c r="L173" s="38">
        <f>IF(tblYield[[#This Row],[Date]]="","",IF(tblYield[[#This Row],[Units in]]&gt;0,(tblYield[[#This Row],[Units in]]-tblYield[[#This Row],[Scrapped]])/tblYield[[#This Row],[Units in]],""))</f>
        <v>1</v>
      </c>
      <c r="M173" s="40">
        <f>IF(tblYield[[#This Row],[Date]]="","",IFERROR(INDEX(tblOperations[Rework cost],MATCH(tblYield[[#This Row],[Operation]],tblOperations[Operation],0)),""))</f>
        <v>12</v>
      </c>
      <c r="N173" s="40">
        <f>IF(tblYield[[#This Row],[Date]]="","",IFERROR(INDEX(tblOperations[Scrap cost],MATCH(tblYield[[#This Row],[Operation]],tblOperations[Operation],0)),""))</f>
        <v>38</v>
      </c>
      <c r="O173" s="40">
        <f>IF(tblYield[[#This Row],[Date]]="","",IF(tblYield[[#This Row],[Rework cost per unit]]="","",tblYield[[#This Row],[Reworked]]*tblYield[[#This Row],[Rework cost per unit]]))</f>
        <v>48</v>
      </c>
      <c r="P173" s="40">
        <f>IF(tblYield[[#This Row],[Date]]="","",IF(tblYield[[#This Row],[Scrap cost per unit]]="","",tblYield[[#This Row],[Scrapped]]*tblYield[[#This Row],[Scrap cost per unit]]))</f>
        <v>0</v>
      </c>
      <c r="Q173" s="41">
        <f>IF(tblYield[[#This Row],[Date]]="","",IF(AND(tblYield[[#This Row],[Date]]&gt;=FFrom,tblYield[[#This Row],[Date]]&lt;=FTo),tblYield[[#This Row],[Date]],""))</f>
        <v>46302</v>
      </c>
      <c r="R17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3" s="43" t="s">
        <v>104</v>
      </c>
    </row>
    <row r="174" spans="2:19" x14ac:dyDescent="0.25">
      <c r="B174" s="35">
        <v>46302</v>
      </c>
      <c r="C174" s="28" t="s">
        <v>86</v>
      </c>
      <c r="D174" s="36">
        <v>576</v>
      </c>
      <c r="E174" s="36">
        <v>569</v>
      </c>
      <c r="F174" s="36">
        <v>0</v>
      </c>
      <c r="G174" s="37">
        <f>IF(tblYield[[#This Row],[Date]]="","",tblYield[[#This Row],[Units in]]-tblYield[[#This Row],[Passed first time]])</f>
        <v>7</v>
      </c>
      <c r="H174" s="37">
        <f>IF(tblYield[[#This Row],[Date]]="","",tblYield[[#This Row],[Units in]]-tblYield[[#This Row],[Passed first time]]-tblYield[[#This Row],[Scrapped]])</f>
        <v>7</v>
      </c>
      <c r="I174" s="38">
        <f>IF(tblYield[[#This Row],[Date]]="","",IF(tblYield[[#This Row],[Units in]]&gt;0,tblYield[[#This Row],[Passed first time]]/tblYield[[#This Row],[Units in]],""))</f>
        <v>0.987847222222222</v>
      </c>
      <c r="J174" s="38">
        <f>IF(tblYield[[#This Row],[Date]]="","",IFERROR(INDEX(tblOperations[FPY target],MATCH(tblYield[[#This Row],[Operation]],tblOperations[Operation],0)),""))</f>
        <v>0.99</v>
      </c>
      <c r="K174" s="39" t="str">
        <f>IF(OR(NOT(ISNUMBER(tblYield[[#This Row],[FPY]])),NOT(ISNUMBER(tblYield[[#This Row],[FPY target]]))),"",IF(tblYield[[#This Row],[FPY]]&gt;=tblYield[[#This Row],[FPY target]],"On target",IF(tblYield[[#This Row],[FPY]]&gt;=tblYield[[#This Row],[FPY target]]-NearBand,"Near target","Below target")))</f>
        <v>Near target</v>
      </c>
      <c r="L174" s="38">
        <f>IF(tblYield[[#This Row],[Date]]="","",IF(tblYield[[#This Row],[Units in]]&gt;0,(tblYield[[#This Row],[Units in]]-tblYield[[#This Row],[Scrapped]])/tblYield[[#This Row],[Units in]],""))</f>
        <v>1</v>
      </c>
      <c r="M174" s="40">
        <f>IF(tblYield[[#This Row],[Date]]="","",IFERROR(INDEX(tblOperations[Rework cost],MATCH(tblYield[[#This Row],[Operation]],tblOperations[Operation],0)),""))</f>
        <v>2.2</v>
      </c>
      <c r="N174" s="40">
        <f>IF(tblYield[[#This Row],[Date]]="","",IFERROR(INDEX(tblOperations[Scrap cost],MATCH(tblYield[[#This Row],[Operation]],tblOperations[Operation],0)),""))</f>
        <v>41</v>
      </c>
      <c r="O174" s="40">
        <f>IF(tblYield[[#This Row],[Date]]="","",IF(tblYield[[#This Row],[Rework cost per unit]]="","",tblYield[[#This Row],[Reworked]]*tblYield[[#This Row],[Rework cost per unit]]))</f>
        <v>15.4</v>
      </c>
      <c r="P174" s="40">
        <f>IF(tblYield[[#This Row],[Date]]="","",IF(tblYield[[#This Row],[Scrap cost per unit]]="","",tblYield[[#This Row],[Scrapped]]*tblYield[[#This Row],[Scrap cost per unit]]))</f>
        <v>0</v>
      </c>
      <c r="Q174" s="41">
        <f>IF(tblYield[[#This Row],[Date]]="","",IF(AND(tblYield[[#This Row],[Date]]&gt;=FFrom,tblYield[[#This Row],[Date]]&lt;=FTo),tblYield[[#This Row],[Date]],""))</f>
        <v>46302</v>
      </c>
      <c r="R17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4" s="43" t="s">
        <v>104</v>
      </c>
    </row>
    <row r="175" spans="2:19" x14ac:dyDescent="0.25">
      <c r="B175" s="35">
        <v>46303</v>
      </c>
      <c r="C175" s="28" t="s">
        <v>76</v>
      </c>
      <c r="D175" s="36">
        <v>620</v>
      </c>
      <c r="E175" s="36">
        <v>614</v>
      </c>
      <c r="F175" s="36">
        <v>0</v>
      </c>
      <c r="G175" s="37">
        <f>IF(tblYield[[#This Row],[Date]]="","",tblYield[[#This Row],[Units in]]-tblYield[[#This Row],[Passed first time]])</f>
        <v>6</v>
      </c>
      <c r="H175" s="37">
        <f>IF(tblYield[[#This Row],[Date]]="","",tblYield[[#This Row],[Units in]]-tblYield[[#This Row],[Passed first time]]-tblYield[[#This Row],[Scrapped]])</f>
        <v>6</v>
      </c>
      <c r="I175" s="38">
        <f>IF(tblYield[[#This Row],[Date]]="","",IF(tblYield[[#This Row],[Units in]]&gt;0,tblYield[[#This Row],[Passed first time]]/tblYield[[#This Row],[Units in]],""))</f>
        <v>0.990322580645161</v>
      </c>
      <c r="J175" s="38">
        <f>IF(tblYield[[#This Row],[Date]]="","",IFERROR(INDEX(tblOperations[FPY target],MATCH(tblYield[[#This Row],[Operation]],tblOperations[Operation],0)),""))</f>
        <v>0.99</v>
      </c>
      <c r="K175" s="39" t="str">
        <f>IF(OR(NOT(ISNUMBER(tblYield[[#This Row],[FPY]])),NOT(ISNUMBER(tblYield[[#This Row],[FPY target]]))),"",IF(tblYield[[#This Row],[FPY]]&gt;=tblYield[[#This Row],[FPY target]],"On target",IF(tblYield[[#This Row],[FPY]]&gt;=tblYield[[#This Row],[FPY target]]-NearBand,"Near target","Below target")))</f>
        <v>On target</v>
      </c>
      <c r="L175" s="38">
        <f>IF(tblYield[[#This Row],[Date]]="","",IF(tblYield[[#This Row],[Units in]]&gt;0,(tblYield[[#This Row],[Units in]]-tblYield[[#This Row],[Scrapped]])/tblYield[[#This Row],[Units in]],""))</f>
        <v>1</v>
      </c>
      <c r="M175" s="40">
        <f>IF(tblYield[[#This Row],[Date]]="","",IFERROR(INDEX(tblOperations[Rework cost],MATCH(tblYield[[#This Row],[Operation]],tblOperations[Operation],0)),""))</f>
        <v>0.6</v>
      </c>
      <c r="N175" s="40">
        <f>IF(tblYield[[#This Row],[Date]]="","",IFERROR(INDEX(tblOperations[Scrap cost],MATCH(tblYield[[#This Row],[Operation]],tblOperations[Operation],0)),""))</f>
        <v>4.8</v>
      </c>
      <c r="O175" s="40">
        <f>IF(tblYield[[#This Row],[Date]]="","",IF(tblYield[[#This Row],[Rework cost per unit]]="","",tblYield[[#This Row],[Reworked]]*tblYield[[#This Row],[Rework cost per unit]]))</f>
        <v>3.6</v>
      </c>
      <c r="P175" s="40">
        <f>IF(tblYield[[#This Row],[Date]]="","",IF(tblYield[[#This Row],[Scrap cost per unit]]="","",tblYield[[#This Row],[Scrapped]]*tblYield[[#This Row],[Scrap cost per unit]]))</f>
        <v>0</v>
      </c>
      <c r="Q175" s="41">
        <f>IF(tblYield[[#This Row],[Date]]="","",IF(AND(tblYield[[#This Row],[Date]]&gt;=FFrom,tblYield[[#This Row],[Date]]&lt;=FTo),tblYield[[#This Row],[Date]],""))</f>
        <v>46303</v>
      </c>
      <c r="R17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5" s="43" t="s">
        <v>104</v>
      </c>
    </row>
    <row r="176" spans="2:19" x14ac:dyDescent="0.25">
      <c r="B176" s="35">
        <v>46303</v>
      </c>
      <c r="C176" s="28" t="s">
        <v>78</v>
      </c>
      <c r="D176" s="36">
        <v>620</v>
      </c>
      <c r="E176" s="36">
        <v>607</v>
      </c>
      <c r="F176" s="36">
        <v>1</v>
      </c>
      <c r="G176" s="37">
        <f>IF(tblYield[[#This Row],[Date]]="","",tblYield[[#This Row],[Units in]]-tblYield[[#This Row],[Passed first time]])</f>
        <v>13</v>
      </c>
      <c r="H176" s="37">
        <f>IF(tblYield[[#This Row],[Date]]="","",tblYield[[#This Row],[Units in]]-tblYield[[#This Row],[Passed first time]]-tblYield[[#This Row],[Scrapped]])</f>
        <v>12</v>
      </c>
      <c r="I176" s="38">
        <f>IF(tblYield[[#This Row],[Date]]="","",IF(tblYield[[#This Row],[Units in]]&gt;0,tblYield[[#This Row],[Passed first time]]/tblYield[[#This Row],[Units in]],""))</f>
        <v>0.979032258064516</v>
      </c>
      <c r="J176" s="38">
        <f>IF(tblYield[[#This Row],[Date]]="","",IFERROR(INDEX(tblOperations[FPY target],MATCH(tblYield[[#This Row],[Operation]],tblOperations[Operation],0)),""))</f>
        <v>0.98</v>
      </c>
      <c r="K176" s="39" t="str">
        <f>IF(OR(NOT(ISNUMBER(tblYield[[#This Row],[FPY]])),NOT(ISNUMBER(tblYield[[#This Row],[FPY target]]))),"",IF(tblYield[[#This Row],[FPY]]&gt;=tblYield[[#This Row],[FPY target]],"On target",IF(tblYield[[#This Row],[FPY]]&gt;=tblYield[[#This Row],[FPY target]]-NearBand,"Near target","Below target")))</f>
        <v>Near target</v>
      </c>
      <c r="L176" s="38">
        <f>IF(tblYield[[#This Row],[Date]]="","",IF(tblYield[[#This Row],[Units in]]&gt;0,(tblYield[[#This Row],[Units in]]-tblYield[[#This Row],[Scrapped]])/tblYield[[#This Row],[Units in]],""))</f>
        <v>0.998387096774194</v>
      </c>
      <c r="M176" s="40">
        <f>IF(tblYield[[#This Row],[Date]]="","",IFERROR(INDEX(tblOperations[Rework cost],MATCH(tblYield[[#This Row],[Operation]],tblOperations[Operation],0)),""))</f>
        <v>3.8</v>
      </c>
      <c r="N176" s="40">
        <f>IF(tblYield[[#This Row],[Date]]="","",IFERROR(INDEX(tblOperations[Scrap cost],MATCH(tblYield[[#This Row],[Operation]],tblOperations[Operation],0)),""))</f>
        <v>31</v>
      </c>
      <c r="O176" s="40">
        <f>IF(tblYield[[#This Row],[Date]]="","",IF(tblYield[[#This Row],[Rework cost per unit]]="","",tblYield[[#This Row],[Reworked]]*tblYield[[#This Row],[Rework cost per unit]]))</f>
        <v>45.6</v>
      </c>
      <c r="P176" s="40">
        <f>IF(tblYield[[#This Row],[Date]]="","",IF(tblYield[[#This Row],[Scrap cost per unit]]="","",tblYield[[#This Row],[Scrapped]]*tblYield[[#This Row],[Scrap cost per unit]]))</f>
        <v>31</v>
      </c>
      <c r="Q176" s="41">
        <f>IF(tblYield[[#This Row],[Date]]="","",IF(AND(tblYield[[#This Row],[Date]]&gt;=FFrom,tblYield[[#This Row],[Date]]&lt;=FTo),tblYield[[#This Row],[Date]],""))</f>
        <v>46303</v>
      </c>
      <c r="R17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6" s="43" t="s">
        <v>104</v>
      </c>
    </row>
    <row r="177" spans="2:19" x14ac:dyDescent="0.25">
      <c r="B177" s="35">
        <v>46303</v>
      </c>
      <c r="C177" s="28" t="s">
        <v>80</v>
      </c>
      <c r="D177" s="36">
        <v>619</v>
      </c>
      <c r="E177" s="36">
        <v>597</v>
      </c>
      <c r="F177" s="36">
        <v>1</v>
      </c>
      <c r="G177" s="37">
        <f>IF(tblYield[[#This Row],[Date]]="","",tblYield[[#This Row],[Units in]]-tblYield[[#This Row],[Passed first time]])</f>
        <v>22</v>
      </c>
      <c r="H177" s="37">
        <f>IF(tblYield[[#This Row],[Date]]="","",tblYield[[#This Row],[Units in]]-tblYield[[#This Row],[Passed first time]]-tblYield[[#This Row],[Scrapped]])</f>
        <v>21</v>
      </c>
      <c r="I177" s="38">
        <f>IF(tblYield[[#This Row],[Date]]="","",IF(tblYield[[#This Row],[Units in]]&gt;0,tblYield[[#This Row],[Passed first time]]/tblYield[[#This Row],[Units in]],""))</f>
        <v>0.964458804523425</v>
      </c>
      <c r="J177" s="38">
        <f>IF(tblYield[[#This Row],[Date]]="","",IFERROR(INDEX(tblOperations[FPY target],MATCH(tblYield[[#This Row],[Operation]],tblOperations[Operation],0)),""))</f>
        <v>0.97</v>
      </c>
      <c r="K177" s="39" t="str">
        <f>IF(OR(NOT(ISNUMBER(tblYield[[#This Row],[FPY]])),NOT(ISNUMBER(tblYield[[#This Row],[FPY target]]))),"",IF(tblYield[[#This Row],[FPY]]&gt;=tblYield[[#This Row],[FPY target]],"On target",IF(tblYield[[#This Row],[FPY]]&gt;=tblYield[[#This Row],[FPY target]]-NearBand,"Near target","Below target")))</f>
        <v>Near target</v>
      </c>
      <c r="L177" s="38">
        <f>IF(tblYield[[#This Row],[Date]]="","",IF(tblYield[[#This Row],[Units in]]&gt;0,(tblYield[[#This Row],[Units in]]-tblYield[[#This Row],[Scrapped]])/tblYield[[#This Row],[Units in]],""))</f>
        <v>0.998384491114701</v>
      </c>
      <c r="M177" s="40">
        <f>IF(tblYield[[#This Row],[Date]]="","",IFERROR(INDEX(tblOperations[Rework cost],MATCH(tblYield[[#This Row],[Operation]],tblOperations[Operation],0)),""))</f>
        <v>2.9</v>
      </c>
      <c r="N177" s="40">
        <f>IF(tblYield[[#This Row],[Date]]="","",IFERROR(INDEX(tblOperations[Scrap cost],MATCH(tblYield[[#This Row],[Operation]],tblOperations[Operation],0)),""))</f>
        <v>34</v>
      </c>
      <c r="O177" s="40">
        <f>IF(tblYield[[#This Row],[Date]]="","",IF(tblYield[[#This Row],[Rework cost per unit]]="","",tblYield[[#This Row],[Reworked]]*tblYield[[#This Row],[Rework cost per unit]]))</f>
        <v>60.9</v>
      </c>
      <c r="P177" s="40">
        <f>IF(tblYield[[#This Row],[Date]]="","",IF(tblYield[[#This Row],[Scrap cost per unit]]="","",tblYield[[#This Row],[Scrapped]]*tblYield[[#This Row],[Scrap cost per unit]]))</f>
        <v>34</v>
      </c>
      <c r="Q177" s="41">
        <f>IF(tblYield[[#This Row],[Date]]="","",IF(AND(tblYield[[#This Row],[Date]]&gt;=FFrom,tblYield[[#This Row],[Date]]&lt;=FTo),tblYield[[#This Row],[Date]],""))</f>
        <v>46303</v>
      </c>
      <c r="R177"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7" s="43" t="s">
        <v>104</v>
      </c>
    </row>
    <row r="178" spans="2:19" x14ac:dyDescent="0.25">
      <c r="B178" s="35">
        <v>46303</v>
      </c>
      <c r="C178" s="28" t="s">
        <v>82</v>
      </c>
      <c r="D178" s="36">
        <v>618</v>
      </c>
      <c r="E178" s="36">
        <v>606</v>
      </c>
      <c r="F178" s="36">
        <v>1</v>
      </c>
      <c r="G178" s="37">
        <f>IF(tblYield[[#This Row],[Date]]="","",tblYield[[#This Row],[Units in]]-tblYield[[#This Row],[Passed first time]])</f>
        <v>12</v>
      </c>
      <c r="H178" s="37">
        <f>IF(tblYield[[#This Row],[Date]]="","",tblYield[[#This Row],[Units in]]-tblYield[[#This Row],[Passed first time]]-tblYield[[#This Row],[Scrapped]])</f>
        <v>11</v>
      </c>
      <c r="I178" s="38">
        <f>IF(tblYield[[#This Row],[Date]]="","",IF(tblYield[[#This Row],[Units in]]&gt;0,tblYield[[#This Row],[Passed first time]]/tblYield[[#This Row],[Units in]],""))</f>
        <v>0.980582524271845</v>
      </c>
      <c r="J178" s="38">
        <f>IF(tblYield[[#This Row],[Date]]="","",IFERROR(INDEX(tblOperations[FPY target],MATCH(tblYield[[#This Row],[Operation]],tblOperations[Operation],0)),""))</f>
        <v>0.98</v>
      </c>
      <c r="K178" s="39" t="str">
        <f>IF(OR(NOT(ISNUMBER(tblYield[[#This Row],[FPY]])),NOT(ISNUMBER(tblYield[[#This Row],[FPY target]]))),"",IF(tblYield[[#This Row],[FPY]]&gt;=tblYield[[#This Row],[FPY target]],"On target",IF(tblYield[[#This Row],[FPY]]&gt;=tblYield[[#This Row],[FPY target]]-NearBand,"Near target","Below target")))</f>
        <v>On target</v>
      </c>
      <c r="L178" s="38">
        <f>IF(tblYield[[#This Row],[Date]]="","",IF(tblYield[[#This Row],[Units in]]&gt;0,(tblYield[[#This Row],[Units in]]-tblYield[[#This Row],[Scrapped]])/tblYield[[#This Row],[Units in]],""))</f>
        <v>0.998381877022654</v>
      </c>
      <c r="M178" s="40">
        <f>IF(tblYield[[#This Row],[Date]]="","",IFERROR(INDEX(tblOperations[Rework cost],MATCH(tblYield[[#This Row],[Operation]],tblOperations[Operation],0)),""))</f>
        <v>8.5</v>
      </c>
      <c r="N178" s="40">
        <f>IF(tblYield[[#This Row],[Date]]="","",IFERROR(INDEX(tblOperations[Scrap cost],MATCH(tblYield[[#This Row],[Operation]],tblOperations[Operation],0)),""))</f>
        <v>36.5</v>
      </c>
      <c r="O178" s="40">
        <f>IF(tblYield[[#This Row],[Date]]="","",IF(tblYield[[#This Row],[Rework cost per unit]]="","",tblYield[[#This Row],[Reworked]]*tblYield[[#This Row],[Rework cost per unit]]))</f>
        <v>93.5</v>
      </c>
      <c r="P178" s="40">
        <f>IF(tblYield[[#This Row],[Date]]="","",IF(tblYield[[#This Row],[Scrap cost per unit]]="","",tblYield[[#This Row],[Scrapped]]*tblYield[[#This Row],[Scrap cost per unit]]))</f>
        <v>36.5</v>
      </c>
      <c r="Q178" s="41">
        <f>IF(tblYield[[#This Row],[Date]]="","",IF(AND(tblYield[[#This Row],[Date]]&gt;=FFrom,tblYield[[#This Row],[Date]]&lt;=FTo),tblYield[[#This Row],[Date]],""))</f>
        <v>46303</v>
      </c>
      <c r="R178"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8" s="43" t="s">
        <v>104</v>
      </c>
    </row>
    <row r="179" spans="2:19" x14ac:dyDescent="0.25">
      <c r="B179" s="35">
        <v>46303</v>
      </c>
      <c r="C179" s="28" t="s">
        <v>84</v>
      </c>
      <c r="D179" s="36">
        <v>617</v>
      </c>
      <c r="E179" s="36">
        <v>605</v>
      </c>
      <c r="F179" s="36">
        <v>2</v>
      </c>
      <c r="G179" s="37">
        <f>IF(tblYield[[#This Row],[Date]]="","",tblYield[[#This Row],[Units in]]-tblYield[[#This Row],[Passed first time]])</f>
        <v>12</v>
      </c>
      <c r="H179" s="37">
        <f>IF(tblYield[[#This Row],[Date]]="","",tblYield[[#This Row],[Units in]]-tblYield[[#This Row],[Passed first time]]-tblYield[[#This Row],[Scrapped]])</f>
        <v>10</v>
      </c>
      <c r="I179" s="38">
        <f>IF(tblYield[[#This Row],[Date]]="","",IF(tblYield[[#This Row],[Units in]]&gt;0,tblYield[[#This Row],[Passed first time]]/tblYield[[#This Row],[Units in]],""))</f>
        <v>0.980551053484603</v>
      </c>
      <c r="J179" s="38">
        <f>IF(tblYield[[#This Row],[Date]]="","",IFERROR(INDEX(tblOperations[FPY target],MATCH(tblYield[[#This Row],[Operation]],tblOperations[Operation],0)),""))</f>
        <v>0.985</v>
      </c>
      <c r="K179" s="39" t="str">
        <f>IF(OR(NOT(ISNUMBER(tblYield[[#This Row],[FPY]])),NOT(ISNUMBER(tblYield[[#This Row],[FPY target]]))),"",IF(tblYield[[#This Row],[FPY]]&gt;=tblYield[[#This Row],[FPY target]],"On target",IF(tblYield[[#This Row],[FPY]]&gt;=tblYield[[#This Row],[FPY target]]-NearBand,"Near target","Below target")))</f>
        <v>Near target</v>
      </c>
      <c r="L179" s="38">
        <f>IF(tblYield[[#This Row],[Date]]="","",IF(tblYield[[#This Row],[Units in]]&gt;0,(tblYield[[#This Row],[Units in]]-tblYield[[#This Row],[Scrapped]])/tblYield[[#This Row],[Units in]],""))</f>
        <v>0.9967585089141</v>
      </c>
      <c r="M179" s="40">
        <f>IF(tblYield[[#This Row],[Date]]="","",IFERROR(INDEX(tblOperations[Rework cost],MATCH(tblYield[[#This Row],[Operation]],tblOperations[Operation],0)),""))</f>
        <v>12</v>
      </c>
      <c r="N179" s="40">
        <f>IF(tblYield[[#This Row],[Date]]="","",IFERROR(INDEX(tblOperations[Scrap cost],MATCH(tblYield[[#This Row],[Operation]],tblOperations[Operation],0)),""))</f>
        <v>38</v>
      </c>
      <c r="O179" s="40">
        <f>IF(tblYield[[#This Row],[Date]]="","",IF(tblYield[[#This Row],[Rework cost per unit]]="","",tblYield[[#This Row],[Reworked]]*tblYield[[#This Row],[Rework cost per unit]]))</f>
        <v>120</v>
      </c>
      <c r="P179" s="40">
        <f>IF(tblYield[[#This Row],[Date]]="","",IF(tblYield[[#This Row],[Scrap cost per unit]]="","",tblYield[[#This Row],[Scrapped]]*tblYield[[#This Row],[Scrap cost per unit]]))</f>
        <v>76</v>
      </c>
      <c r="Q179" s="41">
        <f>IF(tblYield[[#This Row],[Date]]="","",IF(AND(tblYield[[#This Row],[Date]]&gt;=FFrom,tblYield[[#This Row],[Date]]&lt;=FTo),tblYield[[#This Row],[Date]],""))</f>
        <v>46303</v>
      </c>
      <c r="R179"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79" s="43" t="s">
        <v>104</v>
      </c>
    </row>
    <row r="180" spans="2:19" x14ac:dyDescent="0.25">
      <c r="B180" s="35">
        <v>46303</v>
      </c>
      <c r="C180" s="28" t="s">
        <v>86</v>
      </c>
      <c r="D180" s="36">
        <v>615</v>
      </c>
      <c r="E180" s="36">
        <v>614</v>
      </c>
      <c r="F180" s="36">
        <v>0</v>
      </c>
      <c r="G180" s="37">
        <f>IF(tblYield[[#This Row],[Date]]="","",tblYield[[#This Row],[Units in]]-tblYield[[#This Row],[Passed first time]])</f>
        <v>1</v>
      </c>
      <c r="H180" s="37">
        <f>IF(tblYield[[#This Row],[Date]]="","",tblYield[[#This Row],[Units in]]-tblYield[[#This Row],[Passed first time]]-tblYield[[#This Row],[Scrapped]])</f>
        <v>1</v>
      </c>
      <c r="I180" s="38">
        <f>IF(tblYield[[#This Row],[Date]]="","",IF(tblYield[[#This Row],[Units in]]&gt;0,tblYield[[#This Row],[Passed first time]]/tblYield[[#This Row],[Units in]],""))</f>
        <v>0.998373983739837</v>
      </c>
      <c r="J180" s="38">
        <f>IF(tblYield[[#This Row],[Date]]="","",IFERROR(INDEX(tblOperations[FPY target],MATCH(tblYield[[#This Row],[Operation]],tblOperations[Operation],0)),""))</f>
        <v>0.99</v>
      </c>
      <c r="K180" s="39" t="str">
        <f>IF(OR(NOT(ISNUMBER(tblYield[[#This Row],[FPY]])),NOT(ISNUMBER(tblYield[[#This Row],[FPY target]]))),"",IF(tblYield[[#This Row],[FPY]]&gt;=tblYield[[#This Row],[FPY target]],"On target",IF(tblYield[[#This Row],[FPY]]&gt;=tblYield[[#This Row],[FPY target]]-NearBand,"Near target","Below target")))</f>
        <v>On target</v>
      </c>
      <c r="L180" s="38">
        <f>IF(tblYield[[#This Row],[Date]]="","",IF(tblYield[[#This Row],[Units in]]&gt;0,(tblYield[[#This Row],[Units in]]-tblYield[[#This Row],[Scrapped]])/tblYield[[#This Row],[Units in]],""))</f>
        <v>1</v>
      </c>
      <c r="M180" s="40">
        <f>IF(tblYield[[#This Row],[Date]]="","",IFERROR(INDEX(tblOperations[Rework cost],MATCH(tblYield[[#This Row],[Operation]],tblOperations[Operation],0)),""))</f>
        <v>2.2</v>
      </c>
      <c r="N180" s="40">
        <f>IF(tblYield[[#This Row],[Date]]="","",IFERROR(INDEX(tblOperations[Scrap cost],MATCH(tblYield[[#This Row],[Operation]],tblOperations[Operation],0)),""))</f>
        <v>41</v>
      </c>
      <c r="O180" s="40">
        <f>IF(tblYield[[#This Row],[Date]]="","",IF(tblYield[[#This Row],[Rework cost per unit]]="","",tblYield[[#This Row],[Reworked]]*tblYield[[#This Row],[Rework cost per unit]]))</f>
        <v>2.2</v>
      </c>
      <c r="P180" s="40">
        <f>IF(tblYield[[#This Row],[Date]]="","",IF(tblYield[[#This Row],[Scrap cost per unit]]="","",tblYield[[#This Row],[Scrapped]]*tblYield[[#This Row],[Scrap cost per unit]]))</f>
        <v>0</v>
      </c>
      <c r="Q180" s="41">
        <f>IF(tblYield[[#This Row],[Date]]="","",IF(AND(tblYield[[#This Row],[Date]]&gt;=FFrom,tblYield[[#This Row],[Date]]&lt;=FTo),tblYield[[#This Row],[Date]],""))</f>
        <v>46303</v>
      </c>
      <c r="R180"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0" s="43" t="s">
        <v>104</v>
      </c>
    </row>
    <row r="181" spans="2:19" x14ac:dyDescent="0.25">
      <c r="B181" s="35">
        <v>46304</v>
      </c>
      <c r="C181" s="28" t="s">
        <v>76</v>
      </c>
      <c r="D181" s="36">
        <v>590</v>
      </c>
      <c r="E181" s="36">
        <v>587</v>
      </c>
      <c r="F181" s="36">
        <v>0</v>
      </c>
      <c r="G181" s="37">
        <f>IF(tblYield[[#This Row],[Date]]="","",tblYield[[#This Row],[Units in]]-tblYield[[#This Row],[Passed first time]])</f>
        <v>3</v>
      </c>
      <c r="H181" s="37">
        <f>IF(tblYield[[#This Row],[Date]]="","",tblYield[[#This Row],[Units in]]-tblYield[[#This Row],[Passed first time]]-tblYield[[#This Row],[Scrapped]])</f>
        <v>3</v>
      </c>
      <c r="I181" s="38">
        <f>IF(tblYield[[#This Row],[Date]]="","",IF(tblYield[[#This Row],[Units in]]&gt;0,tblYield[[#This Row],[Passed first time]]/tblYield[[#This Row],[Units in]],""))</f>
        <v>0.994915254237288</v>
      </c>
      <c r="J181" s="38">
        <f>IF(tblYield[[#This Row],[Date]]="","",IFERROR(INDEX(tblOperations[FPY target],MATCH(tblYield[[#This Row],[Operation]],tblOperations[Operation],0)),""))</f>
        <v>0.99</v>
      </c>
      <c r="K181" s="39" t="str">
        <f>IF(OR(NOT(ISNUMBER(tblYield[[#This Row],[FPY]])),NOT(ISNUMBER(tblYield[[#This Row],[FPY target]]))),"",IF(tblYield[[#This Row],[FPY]]&gt;=tblYield[[#This Row],[FPY target]],"On target",IF(tblYield[[#This Row],[FPY]]&gt;=tblYield[[#This Row],[FPY target]]-NearBand,"Near target","Below target")))</f>
        <v>On target</v>
      </c>
      <c r="L181" s="38">
        <f>IF(tblYield[[#This Row],[Date]]="","",IF(tblYield[[#This Row],[Units in]]&gt;0,(tblYield[[#This Row],[Units in]]-tblYield[[#This Row],[Scrapped]])/tblYield[[#This Row],[Units in]],""))</f>
        <v>1</v>
      </c>
      <c r="M181" s="40">
        <f>IF(tblYield[[#This Row],[Date]]="","",IFERROR(INDEX(tblOperations[Rework cost],MATCH(tblYield[[#This Row],[Operation]],tblOperations[Operation],0)),""))</f>
        <v>0.6</v>
      </c>
      <c r="N181" s="40">
        <f>IF(tblYield[[#This Row],[Date]]="","",IFERROR(INDEX(tblOperations[Scrap cost],MATCH(tblYield[[#This Row],[Operation]],tblOperations[Operation],0)),""))</f>
        <v>4.8</v>
      </c>
      <c r="O181" s="40">
        <f>IF(tblYield[[#This Row],[Date]]="","",IF(tblYield[[#This Row],[Rework cost per unit]]="","",tblYield[[#This Row],[Reworked]]*tblYield[[#This Row],[Rework cost per unit]]))</f>
        <v>1.8</v>
      </c>
      <c r="P181" s="40">
        <f>IF(tblYield[[#This Row],[Date]]="","",IF(tblYield[[#This Row],[Scrap cost per unit]]="","",tblYield[[#This Row],[Scrapped]]*tblYield[[#This Row],[Scrap cost per unit]]))</f>
        <v>0</v>
      </c>
      <c r="Q181" s="41">
        <f>IF(tblYield[[#This Row],[Date]]="","",IF(AND(tblYield[[#This Row],[Date]]&gt;=FFrom,tblYield[[#This Row],[Date]]&lt;=FTo),tblYield[[#This Row],[Date]],""))</f>
        <v>46304</v>
      </c>
      <c r="R181"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1" s="43" t="s">
        <v>104</v>
      </c>
    </row>
    <row r="182" spans="2:19" x14ac:dyDescent="0.25">
      <c r="B182" s="35">
        <v>46304</v>
      </c>
      <c r="C182" s="28" t="s">
        <v>78</v>
      </c>
      <c r="D182" s="36">
        <v>590</v>
      </c>
      <c r="E182" s="36">
        <v>573</v>
      </c>
      <c r="F182" s="36">
        <v>1</v>
      </c>
      <c r="G182" s="37">
        <f>IF(tblYield[[#This Row],[Date]]="","",tblYield[[#This Row],[Units in]]-tblYield[[#This Row],[Passed first time]])</f>
        <v>17</v>
      </c>
      <c r="H182" s="37">
        <f>IF(tblYield[[#This Row],[Date]]="","",tblYield[[#This Row],[Units in]]-tblYield[[#This Row],[Passed first time]]-tblYield[[#This Row],[Scrapped]])</f>
        <v>16</v>
      </c>
      <c r="I182" s="38">
        <f>IF(tblYield[[#This Row],[Date]]="","",IF(tblYield[[#This Row],[Units in]]&gt;0,tblYield[[#This Row],[Passed first time]]/tblYield[[#This Row],[Units in]],""))</f>
        <v>0.971186440677966</v>
      </c>
      <c r="J182" s="38">
        <f>IF(tblYield[[#This Row],[Date]]="","",IFERROR(INDEX(tblOperations[FPY target],MATCH(tblYield[[#This Row],[Operation]],tblOperations[Operation],0)),""))</f>
        <v>0.98</v>
      </c>
      <c r="K182" s="39" t="str">
        <f>IF(OR(NOT(ISNUMBER(tblYield[[#This Row],[FPY]])),NOT(ISNUMBER(tblYield[[#This Row],[FPY target]]))),"",IF(tblYield[[#This Row],[FPY]]&gt;=tblYield[[#This Row],[FPY target]],"On target",IF(tblYield[[#This Row],[FPY]]&gt;=tblYield[[#This Row],[FPY target]]-NearBand,"Near target","Below target")))</f>
        <v>Near target</v>
      </c>
      <c r="L182" s="38">
        <f>IF(tblYield[[#This Row],[Date]]="","",IF(tblYield[[#This Row],[Units in]]&gt;0,(tblYield[[#This Row],[Units in]]-tblYield[[#This Row],[Scrapped]])/tblYield[[#This Row],[Units in]],""))</f>
        <v>0.998305084745763</v>
      </c>
      <c r="M182" s="40">
        <f>IF(tblYield[[#This Row],[Date]]="","",IFERROR(INDEX(tblOperations[Rework cost],MATCH(tblYield[[#This Row],[Operation]],tblOperations[Operation],0)),""))</f>
        <v>3.8</v>
      </c>
      <c r="N182" s="40">
        <f>IF(tblYield[[#This Row],[Date]]="","",IFERROR(INDEX(tblOperations[Scrap cost],MATCH(tblYield[[#This Row],[Operation]],tblOperations[Operation],0)),""))</f>
        <v>31</v>
      </c>
      <c r="O182" s="40">
        <f>IF(tblYield[[#This Row],[Date]]="","",IF(tblYield[[#This Row],[Rework cost per unit]]="","",tblYield[[#This Row],[Reworked]]*tblYield[[#This Row],[Rework cost per unit]]))</f>
        <v>60.8</v>
      </c>
      <c r="P182" s="40">
        <f>IF(tblYield[[#This Row],[Date]]="","",IF(tblYield[[#This Row],[Scrap cost per unit]]="","",tblYield[[#This Row],[Scrapped]]*tblYield[[#This Row],[Scrap cost per unit]]))</f>
        <v>31</v>
      </c>
      <c r="Q182" s="41">
        <f>IF(tblYield[[#This Row],[Date]]="","",IF(AND(tblYield[[#This Row],[Date]]&gt;=FFrom,tblYield[[#This Row],[Date]]&lt;=FTo),tblYield[[#This Row],[Date]],""))</f>
        <v>46304</v>
      </c>
      <c r="R182"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2" s="43" t="s">
        <v>104</v>
      </c>
    </row>
    <row r="183" spans="2:19" x14ac:dyDescent="0.25">
      <c r="B183" s="35">
        <v>46304</v>
      </c>
      <c r="C183" s="28" t="s">
        <v>80</v>
      </c>
      <c r="D183" s="36">
        <v>589</v>
      </c>
      <c r="E183" s="36">
        <v>562</v>
      </c>
      <c r="F183" s="36">
        <v>2</v>
      </c>
      <c r="G183" s="37">
        <f>IF(tblYield[[#This Row],[Date]]="","",tblYield[[#This Row],[Units in]]-tblYield[[#This Row],[Passed first time]])</f>
        <v>27</v>
      </c>
      <c r="H183" s="37">
        <f>IF(tblYield[[#This Row],[Date]]="","",tblYield[[#This Row],[Units in]]-tblYield[[#This Row],[Passed first time]]-tblYield[[#This Row],[Scrapped]])</f>
        <v>25</v>
      </c>
      <c r="I183" s="38">
        <f>IF(tblYield[[#This Row],[Date]]="","",IF(tblYield[[#This Row],[Units in]]&gt;0,tblYield[[#This Row],[Passed first time]]/tblYield[[#This Row],[Units in]],""))</f>
        <v>0.954159592529711</v>
      </c>
      <c r="J183" s="38">
        <f>IF(tblYield[[#This Row],[Date]]="","",IFERROR(INDEX(tblOperations[FPY target],MATCH(tblYield[[#This Row],[Operation]],tblOperations[Operation],0)),""))</f>
        <v>0.97</v>
      </c>
      <c r="K183" s="39" t="str">
        <f>IF(OR(NOT(ISNUMBER(tblYield[[#This Row],[FPY]])),NOT(ISNUMBER(tblYield[[#This Row],[FPY target]]))),"",IF(tblYield[[#This Row],[FPY]]&gt;=tblYield[[#This Row],[FPY target]],"On target",IF(tblYield[[#This Row],[FPY]]&gt;=tblYield[[#This Row],[FPY target]]-NearBand,"Near target","Below target")))</f>
        <v>Below target</v>
      </c>
      <c r="L183" s="38">
        <f>IF(tblYield[[#This Row],[Date]]="","",IF(tblYield[[#This Row],[Units in]]&gt;0,(tblYield[[#This Row],[Units in]]-tblYield[[#This Row],[Scrapped]])/tblYield[[#This Row],[Units in]],""))</f>
        <v>0.99660441426146</v>
      </c>
      <c r="M183" s="40">
        <f>IF(tblYield[[#This Row],[Date]]="","",IFERROR(INDEX(tblOperations[Rework cost],MATCH(tblYield[[#This Row],[Operation]],tblOperations[Operation],0)),""))</f>
        <v>2.9</v>
      </c>
      <c r="N183" s="40">
        <f>IF(tblYield[[#This Row],[Date]]="","",IFERROR(INDEX(tblOperations[Scrap cost],MATCH(tblYield[[#This Row],[Operation]],tblOperations[Operation],0)),""))</f>
        <v>34</v>
      </c>
      <c r="O183" s="40">
        <f>IF(tblYield[[#This Row],[Date]]="","",IF(tblYield[[#This Row],[Rework cost per unit]]="","",tblYield[[#This Row],[Reworked]]*tblYield[[#This Row],[Rework cost per unit]]))</f>
        <v>72.5</v>
      </c>
      <c r="P183" s="40">
        <f>IF(tblYield[[#This Row],[Date]]="","",IF(tblYield[[#This Row],[Scrap cost per unit]]="","",tblYield[[#This Row],[Scrapped]]*tblYield[[#This Row],[Scrap cost per unit]]))</f>
        <v>68</v>
      </c>
      <c r="Q183" s="41">
        <f>IF(tblYield[[#This Row],[Date]]="","",IF(AND(tblYield[[#This Row],[Date]]&gt;=FFrom,tblYield[[#This Row],[Date]]&lt;=FTo),tblYield[[#This Row],[Date]],""))</f>
        <v>46304</v>
      </c>
      <c r="R183"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3" s="43" t="s">
        <v>104</v>
      </c>
    </row>
    <row r="184" spans="2:19" x14ac:dyDescent="0.25">
      <c r="B184" s="35">
        <v>46304</v>
      </c>
      <c r="C184" s="28" t="s">
        <v>82</v>
      </c>
      <c r="D184" s="36">
        <v>587</v>
      </c>
      <c r="E184" s="36">
        <v>576</v>
      </c>
      <c r="F184" s="36">
        <v>1</v>
      </c>
      <c r="G184" s="37">
        <f>IF(tblYield[[#This Row],[Date]]="","",tblYield[[#This Row],[Units in]]-tblYield[[#This Row],[Passed first time]])</f>
        <v>11</v>
      </c>
      <c r="H184" s="37">
        <f>IF(tblYield[[#This Row],[Date]]="","",tblYield[[#This Row],[Units in]]-tblYield[[#This Row],[Passed first time]]-tblYield[[#This Row],[Scrapped]])</f>
        <v>10</v>
      </c>
      <c r="I184" s="38">
        <f>IF(tblYield[[#This Row],[Date]]="","",IF(tblYield[[#This Row],[Units in]]&gt;0,tblYield[[#This Row],[Passed first time]]/tblYield[[#This Row],[Units in]],""))</f>
        <v>0.981260647359455</v>
      </c>
      <c r="J184" s="38">
        <f>IF(tblYield[[#This Row],[Date]]="","",IFERROR(INDEX(tblOperations[FPY target],MATCH(tblYield[[#This Row],[Operation]],tblOperations[Operation],0)),""))</f>
        <v>0.98</v>
      </c>
      <c r="K184" s="39" t="str">
        <f>IF(OR(NOT(ISNUMBER(tblYield[[#This Row],[FPY]])),NOT(ISNUMBER(tblYield[[#This Row],[FPY target]]))),"",IF(tblYield[[#This Row],[FPY]]&gt;=tblYield[[#This Row],[FPY target]],"On target",IF(tblYield[[#This Row],[FPY]]&gt;=tblYield[[#This Row],[FPY target]]-NearBand,"Near target","Below target")))</f>
        <v>On target</v>
      </c>
      <c r="L184" s="38">
        <f>IF(tblYield[[#This Row],[Date]]="","",IF(tblYield[[#This Row],[Units in]]&gt;0,(tblYield[[#This Row],[Units in]]-tblYield[[#This Row],[Scrapped]])/tblYield[[#This Row],[Units in]],""))</f>
        <v>0.998296422487223</v>
      </c>
      <c r="M184" s="40">
        <f>IF(tblYield[[#This Row],[Date]]="","",IFERROR(INDEX(tblOperations[Rework cost],MATCH(tblYield[[#This Row],[Operation]],tblOperations[Operation],0)),""))</f>
        <v>8.5</v>
      </c>
      <c r="N184" s="40">
        <f>IF(tblYield[[#This Row],[Date]]="","",IFERROR(INDEX(tblOperations[Scrap cost],MATCH(tblYield[[#This Row],[Operation]],tblOperations[Operation],0)),""))</f>
        <v>36.5</v>
      </c>
      <c r="O184" s="40">
        <f>IF(tblYield[[#This Row],[Date]]="","",IF(tblYield[[#This Row],[Rework cost per unit]]="","",tblYield[[#This Row],[Reworked]]*tblYield[[#This Row],[Rework cost per unit]]))</f>
        <v>85</v>
      </c>
      <c r="P184" s="40">
        <f>IF(tblYield[[#This Row],[Date]]="","",IF(tblYield[[#This Row],[Scrap cost per unit]]="","",tblYield[[#This Row],[Scrapped]]*tblYield[[#This Row],[Scrap cost per unit]]))</f>
        <v>36.5</v>
      </c>
      <c r="Q184" s="41">
        <f>IF(tblYield[[#This Row],[Date]]="","",IF(AND(tblYield[[#This Row],[Date]]&gt;=FFrom,tblYield[[#This Row],[Date]]&lt;=FTo),tblYield[[#This Row],[Date]],""))</f>
        <v>46304</v>
      </c>
      <c r="R184"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4" s="43" t="s">
        <v>104</v>
      </c>
    </row>
    <row r="185" spans="2:19" x14ac:dyDescent="0.25">
      <c r="B185" s="35">
        <v>46304</v>
      </c>
      <c r="C185" s="28" t="s">
        <v>84</v>
      </c>
      <c r="D185" s="36">
        <v>586</v>
      </c>
      <c r="E185" s="36">
        <v>578</v>
      </c>
      <c r="F185" s="36">
        <v>1</v>
      </c>
      <c r="G185" s="37">
        <f>IF(tblYield[[#This Row],[Date]]="","",tblYield[[#This Row],[Units in]]-tblYield[[#This Row],[Passed first time]])</f>
        <v>8</v>
      </c>
      <c r="H185" s="37">
        <f>IF(tblYield[[#This Row],[Date]]="","",tblYield[[#This Row],[Units in]]-tblYield[[#This Row],[Passed first time]]-tblYield[[#This Row],[Scrapped]])</f>
        <v>7</v>
      </c>
      <c r="I185" s="38">
        <f>IF(tblYield[[#This Row],[Date]]="","",IF(tblYield[[#This Row],[Units in]]&gt;0,tblYield[[#This Row],[Passed first time]]/tblYield[[#This Row],[Units in]],""))</f>
        <v>0.986348122866894</v>
      </c>
      <c r="J185" s="38">
        <f>IF(tblYield[[#This Row],[Date]]="","",IFERROR(INDEX(tblOperations[FPY target],MATCH(tblYield[[#This Row],[Operation]],tblOperations[Operation],0)),""))</f>
        <v>0.985</v>
      </c>
      <c r="K185" s="39" t="str">
        <f>IF(OR(NOT(ISNUMBER(tblYield[[#This Row],[FPY]])),NOT(ISNUMBER(tblYield[[#This Row],[FPY target]]))),"",IF(tblYield[[#This Row],[FPY]]&gt;=tblYield[[#This Row],[FPY target]],"On target",IF(tblYield[[#This Row],[FPY]]&gt;=tblYield[[#This Row],[FPY target]]-NearBand,"Near target","Below target")))</f>
        <v>On target</v>
      </c>
      <c r="L185" s="38">
        <f>IF(tblYield[[#This Row],[Date]]="","",IF(tblYield[[#This Row],[Units in]]&gt;0,(tblYield[[#This Row],[Units in]]-tblYield[[#This Row],[Scrapped]])/tblYield[[#This Row],[Units in]],""))</f>
        <v>0.998293515358362</v>
      </c>
      <c r="M185" s="40">
        <f>IF(tblYield[[#This Row],[Date]]="","",IFERROR(INDEX(tblOperations[Rework cost],MATCH(tblYield[[#This Row],[Operation]],tblOperations[Operation],0)),""))</f>
        <v>12</v>
      </c>
      <c r="N185" s="40">
        <f>IF(tblYield[[#This Row],[Date]]="","",IFERROR(INDEX(tblOperations[Scrap cost],MATCH(tblYield[[#This Row],[Operation]],tblOperations[Operation],0)),""))</f>
        <v>38</v>
      </c>
      <c r="O185" s="40">
        <f>IF(tblYield[[#This Row],[Date]]="","",IF(tblYield[[#This Row],[Rework cost per unit]]="","",tblYield[[#This Row],[Reworked]]*tblYield[[#This Row],[Rework cost per unit]]))</f>
        <v>84</v>
      </c>
      <c r="P185" s="40">
        <f>IF(tblYield[[#This Row],[Date]]="","",IF(tblYield[[#This Row],[Scrap cost per unit]]="","",tblYield[[#This Row],[Scrapped]]*tblYield[[#This Row],[Scrap cost per unit]]))</f>
        <v>38</v>
      </c>
      <c r="Q185" s="41">
        <f>IF(tblYield[[#This Row],[Date]]="","",IF(AND(tblYield[[#This Row],[Date]]&gt;=FFrom,tblYield[[#This Row],[Date]]&lt;=FTo),tblYield[[#This Row],[Date]],""))</f>
        <v>46304</v>
      </c>
      <c r="R185"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5" s="43" t="s">
        <v>104</v>
      </c>
    </row>
    <row r="186" spans="2:19" x14ac:dyDescent="0.25">
      <c r="B186" s="35">
        <v>46304</v>
      </c>
      <c r="C186" s="28" t="s">
        <v>86</v>
      </c>
      <c r="D186" s="36">
        <v>585</v>
      </c>
      <c r="E186" s="36">
        <v>581</v>
      </c>
      <c r="F186" s="36">
        <v>0</v>
      </c>
      <c r="G186" s="37">
        <f>IF(tblYield[[#This Row],[Date]]="","",tblYield[[#This Row],[Units in]]-tblYield[[#This Row],[Passed first time]])</f>
        <v>4</v>
      </c>
      <c r="H186" s="37">
        <f>IF(tblYield[[#This Row],[Date]]="","",tblYield[[#This Row],[Units in]]-tblYield[[#This Row],[Passed first time]]-tblYield[[#This Row],[Scrapped]])</f>
        <v>4</v>
      </c>
      <c r="I186" s="38">
        <f>IF(tblYield[[#This Row],[Date]]="","",IF(tblYield[[#This Row],[Units in]]&gt;0,tblYield[[#This Row],[Passed first time]]/tblYield[[#This Row],[Units in]],""))</f>
        <v>0.993162393162393</v>
      </c>
      <c r="J186" s="38">
        <f>IF(tblYield[[#This Row],[Date]]="","",IFERROR(INDEX(tblOperations[FPY target],MATCH(tblYield[[#This Row],[Operation]],tblOperations[Operation],0)),""))</f>
        <v>0.99</v>
      </c>
      <c r="K186" s="39" t="str">
        <f>IF(OR(NOT(ISNUMBER(tblYield[[#This Row],[FPY]])),NOT(ISNUMBER(tblYield[[#This Row],[FPY target]]))),"",IF(tblYield[[#This Row],[FPY]]&gt;=tblYield[[#This Row],[FPY target]],"On target",IF(tblYield[[#This Row],[FPY]]&gt;=tblYield[[#This Row],[FPY target]]-NearBand,"Near target","Below target")))</f>
        <v>On target</v>
      </c>
      <c r="L186" s="38">
        <f>IF(tblYield[[#This Row],[Date]]="","",IF(tblYield[[#This Row],[Units in]]&gt;0,(tblYield[[#This Row],[Units in]]-tblYield[[#This Row],[Scrapped]])/tblYield[[#This Row],[Units in]],""))</f>
        <v>1</v>
      </c>
      <c r="M186" s="40">
        <f>IF(tblYield[[#This Row],[Date]]="","",IFERROR(INDEX(tblOperations[Rework cost],MATCH(tblYield[[#This Row],[Operation]],tblOperations[Operation],0)),""))</f>
        <v>2.2</v>
      </c>
      <c r="N186" s="40">
        <f>IF(tblYield[[#This Row],[Date]]="","",IFERROR(INDEX(tblOperations[Scrap cost],MATCH(tblYield[[#This Row],[Operation]],tblOperations[Operation],0)),""))</f>
        <v>41</v>
      </c>
      <c r="O186" s="40">
        <f>IF(tblYield[[#This Row],[Date]]="","",IF(tblYield[[#This Row],[Rework cost per unit]]="","",tblYield[[#This Row],[Reworked]]*tblYield[[#This Row],[Rework cost per unit]]))</f>
        <v>8.8</v>
      </c>
      <c r="P186" s="40">
        <f>IF(tblYield[[#This Row],[Date]]="","",IF(tblYield[[#This Row],[Scrap cost per unit]]="","",tblYield[[#This Row],[Scrapped]]*tblYield[[#This Row],[Scrap cost per unit]]))</f>
        <v>0</v>
      </c>
      <c r="Q186" s="41">
        <f>IF(tblYield[[#This Row],[Date]]="","",IF(AND(tblYield[[#This Row],[Date]]&gt;=FFrom,tblYield[[#This Row],[Date]]&lt;=FTo),tblYield[[#This Row],[Date]],""))</f>
        <v>46304</v>
      </c>
      <c r="R186" s="42" t="str">
        <f>IF(tblYield[[#This Row],[Date]]="","",IF(tblYield[[#This Row],[Operation]]="","Missing operation",IF(tblYield[[#This Row],[Units in]]="","Missing units in",IF(tblYield[[#This Row],[Passed first time]]="","Missing passed first time",IF(tblYield[[#This Row],[Scrapped]]="","Missing scrapped",IF(tblYield[[#This Row],[FPY target]]="","Operation not on Setup list",IF(tblYield[[#This Row],[Passed first time]]&gt;tblYield[[#This Row],[Units in]],"Passed &gt; units in",IF(tblYield[[#This Row],[Passed first time]]+tblYield[[#This Row],[Scrapped]]&gt;tblYield[[#This Row],[Units in]],"Passed + scrapped &gt; units in",IF(COUNTIFS(tblYield[Date],tblYield[[#This Row],[Date]],tblYield[Operation],tblYield[[#This Row],[Operation]])&gt;1,"Duplicate row for this date and operation","OK")))))))))</f>
        <v>OK</v>
      </c>
      <c r="S186" s="43" t="s">
        <v>104</v>
      </c>
    </row>
  </sheetData>
  <mergeCells count="3">
    <mergeCell ref="A1:S1"/>
    <mergeCell ref="B2:R2"/>
    <mergeCell ref="B4:S4"/>
  </mergeCells>
  <conditionalFormatting sqref="I7:I68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K7:K686">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R7:R686">
    <cfRule type="expression" dxfId="3" priority="22">
      <formula>$R7="OK"</formula>
    </cfRule>
    <cfRule type="expression" dxfId="1" priority="23">
      <formula>AND($R7&lt;&gt;"",$R7&lt;&gt;"OK")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7:B686">
      <formula1>36526</formula1>
      <formula2>73415</formula2>
    </dataValidation>
    <dataValidation type="list" allowBlank="1" showInputMessage="1" showErrorMessage="1" errorTitle="Check this entry" error="Pick from the list (edit the list on Setup: Operations)." promptTitle="Operation" prompt="Pick from the list (edit the list on Setup: Operations)." sqref="C7:C686">
      <formula1>Operations</formula1>
    </dataValidation>
    <dataValidation type="whole" allowBlank="1" showInputMessage="1" showErrorMessage="1" errorTitle="Check this entry" error="Enter a whole number from 0 to 100,000,000." promptTitle="Units in" prompt="Units that reached this operation and were processed and checked. Enter a whole number from 0 to 100,000,000." sqref="D7:D686">
      <formula1>0</formula1>
      <formula2>100000000</formula2>
    </dataValidation>
    <dataValidation type="whole" allowBlank="1" showInputMessage="1" showErrorMessage="1" errorTitle="Check this entry" error="Enter a whole number from 0 to 100,000,000." promptTitle="Passed first time" prompt="Units that passed this operation's check on the first attempt, with no repair, retest or rework. Enter a whole number from 0 to 100,000,000." sqref="E7:E686">
      <formula1>0</formula1>
      <formula2>100000000</formula2>
    </dataValidation>
    <dataValidation type="whole" allowBlank="1" showInputMessage="1" showErrorMessage="1" errorTitle="Check this entry" error="Enter a whole number from 0 to 100,000,000." promptTitle="Scrapped" prompt="Units scrapped at this operation, whether straight away or after a failed repair. Enter 0 if none. Enter a whole number from 0 to 100,000,000." sqref="F7:F686">
      <formula1>0</formula1>
      <formula2>100000000</formula2>
    </dataValidation>
    <dataValidation type="textLength" allowBlank="1" showInputMessage="1" showErrorMessage="1" errorTitle="Check this entry" error="Text up to 255 characters." promptTitle="Notes" prompt="Text up to 255 characters." sqref="S7:S686">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First Pass Yield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I7:I686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9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107</v>
      </c>
      <c r="C4" s="44"/>
      <c r="D4" s="44"/>
      <c r="F4" s="27" t="s">
        <v>108</v>
      </c>
      <c r="G4" s="44"/>
      <c r="H4" s="44"/>
    </row>
    <row r="5" spans="1:12" x14ac:dyDescent="0.25">
      <c r="B5" s="45" t="str">
        <f>"Showing "&amp;COUNTIFS(tblYield[View date],"&gt;0")&amp;" log rows. Leave the filters blank to include everything; dates are inclusive."</f>
        <v>Showing 180 log rows. Leave the filters blank to include everything; dates are inclusive.</v>
      </c>
      <c r="C5" s="45"/>
      <c r="D5" s="45"/>
      <c r="E5" s="45"/>
      <c r="F5" s="45"/>
      <c r="G5" s="45"/>
      <c r="H5" s="45"/>
      <c r="I5" s="45"/>
      <c r="J5" s="45"/>
      <c r="K5" s="45"/>
      <c r="L5" s="45"/>
    </row>
    <row r="7" spans="1:12" ht="18" customHeight="1" x14ac:dyDescent="0.25">
      <c r="B7" s="46" t="s">
        <v>109</v>
      </c>
      <c r="C7" s="46"/>
      <c r="D7" s="46" t="s">
        <v>110</v>
      </c>
      <c r="E7" s="46"/>
      <c r="F7" s="46"/>
      <c r="G7" s="46" t="s">
        <v>111</v>
      </c>
      <c r="H7" s="46"/>
      <c r="I7" s="46"/>
      <c r="J7" s="46" t="str">
        <f>"REWORK AND SCRAP COST ("&amp;Currency&amp;")"</f>
        <v>REWORK AND SCRAP COST (USD)</v>
      </c>
      <c r="K7" s="46"/>
      <c r="L7" s="46"/>
    </row>
    <row r="8" spans="1:12" ht="21" customHeight="1" x14ac:dyDescent="0.25">
      <c r="B8" s="47">
        <f>IF(COUNT($G$54:$G$59)=0,"",PRODUCT($G$54:$G$59))</f>
        <v>0.878649198096602</v>
      </c>
      <c r="C8" s="47"/>
      <c r="D8" s="47">
        <f>IF(COUNT($K$54:$K$59)=0,"",PRODUCT($K$54:$K$59))</f>
        <v>0.990709180868609</v>
      </c>
      <c r="E8" s="47"/>
      <c r="F8" s="47"/>
      <c r="G8" s="48" t="str">
        <f>IF(COUNT($G$54:$G$59)=0,"No data",INDEX($B$54:$B$59,MATCH(MIN($G$54:$G$59),$G$54:$G$59,0)))</f>
        <v>30 Wave solder</v>
      </c>
      <c r="H8" s="48"/>
      <c r="I8" s="48"/>
      <c r="J8" s="49">
        <f>SUMIFS(tblYield[Rework cost],tblYield[View date],"&gt;0")+SUMIFS(tblYield[Scrap cost],tblYield[View date],"&gt;0")</f>
        <v>16987</v>
      </c>
      <c r="K8" s="49"/>
      <c r="L8" s="49"/>
    </row>
    <row r="9" spans="1:12" ht="21" customHeight="1" x14ac:dyDescent="0.25">
      <c r="B9" s="47"/>
      <c r="C9" s="47"/>
      <c r="D9" s="47"/>
      <c r="E9" s="47"/>
      <c r="F9" s="47"/>
      <c r="G9" s="48"/>
      <c r="H9" s="48"/>
      <c r="I9" s="48"/>
      <c r="J9" s="49"/>
      <c r="K9" s="49"/>
      <c r="L9" s="49"/>
    </row>
    <row r="10" spans="1:12" x14ac:dyDescent="0.25">
      <c r="B10" s="50">
        <f>TargetRTY</f>
        <v>0.9</v>
      </c>
      <c r="C10" s="50"/>
      <c r="D10" s="51" t="s">
        <v>112</v>
      </c>
      <c r="E10" s="51"/>
      <c r="F10" s="51"/>
      <c r="G10" s="51" t="s">
        <v>113</v>
      </c>
      <c r="H10" s="51"/>
      <c r="I10" s="51"/>
      <c r="J10" s="51" t="s">
        <v>114</v>
      </c>
      <c r="K10" s="51"/>
      <c r="L10" s="51"/>
    </row>
    <row r="11" spans="1:12" ht="18" customHeight="1" x14ac:dyDescent="0.25">
      <c r="B11" s="52" t="str">
        <f>IF(NOT(ISNUMBER(KpiRTY)),"No data",IF(KpiRTY&gt;=(TargetRTY),"On target",IF(KpiRTY&gt;=(TargetRTY-NearBand),"Near target","Below target")))</f>
        <v>Below target</v>
      </c>
      <c r="C11" s="52"/>
      <c r="D11" s="52"/>
      <c r="E11" s="52"/>
      <c r="F11" s="52"/>
      <c r="G11" s="52"/>
      <c r="H11" s="52"/>
      <c r="I11" s="52"/>
      <c r="J11" s="52"/>
      <c r="K11" s="52"/>
      <c r="L11" s="52"/>
    </row>
    <row r="29" spans="2:12" ht="18" customHeight="1" x14ac:dyDescent="0.25">
      <c r="B29" s="46" t="s">
        <v>115</v>
      </c>
      <c r="C29" s="46"/>
      <c r="D29" s="46" t="s">
        <v>116</v>
      </c>
      <c r="E29" s="46"/>
      <c r="F29" s="46"/>
      <c r="G29" s="46" t="s">
        <v>117</v>
      </c>
      <c r="H29" s="46"/>
      <c r="I29" s="46"/>
      <c r="J29" s="46" t="s">
        <v>118</v>
      </c>
      <c r="K29" s="46"/>
      <c r="L29" s="46"/>
    </row>
    <row r="30" spans="2:12" ht="21" customHeight="1" x14ac:dyDescent="0.25">
      <c r="B30" s="49">
        <f>SUMIFS(tblYield[Units in],tblYield[Operation],INDEX(tblOperations[Operation],1),tblYield[View date],"&gt;0")</f>
        <v>18190</v>
      </c>
      <c r="C30" s="49"/>
      <c r="D30" s="49">
        <f>SUMIFS(tblYield[Reworked],tblYield[View date],"&gt;0")</f>
        <v>2142</v>
      </c>
      <c r="E30" s="49"/>
      <c r="F30" s="49"/>
      <c r="G30" s="49">
        <f>SUMIFS(tblYield[Scrapped],tblYield[View date],"&gt;0")</f>
        <v>169</v>
      </c>
      <c r="H30" s="49"/>
      <c r="I30" s="49"/>
      <c r="J30" s="48" t="str">
        <f>IF(MAX($E$64:$E$69)&gt;0,INDEX($B$64:$B$69,MATCH(MAX($E$64:$E$69),$E$64:$E$69,0)),"None logged")</f>
        <v>50 Functional test</v>
      </c>
      <c r="K30" s="48"/>
      <c r="L30" s="48"/>
    </row>
    <row r="31" spans="2:12" ht="21" customHeight="1" x14ac:dyDescent="0.25">
      <c r="B31" s="49"/>
      <c r="C31" s="49"/>
      <c r="D31" s="49"/>
      <c r="E31" s="49"/>
      <c r="F31" s="49"/>
      <c r="G31" s="49"/>
      <c r="H31" s="49"/>
      <c r="I31" s="49"/>
      <c r="J31" s="48"/>
      <c r="K31" s="48"/>
      <c r="L31" s="48"/>
    </row>
    <row r="32" spans="2:12" x14ac:dyDescent="0.25">
      <c r="B32" s="51" t="s">
        <v>119</v>
      </c>
      <c r="C32" s="51"/>
      <c r="D32" s="51" t="s">
        <v>120</v>
      </c>
      <c r="E32" s="51"/>
      <c r="F32" s="51"/>
      <c r="G32" s="51" t="s">
        <v>121</v>
      </c>
      <c r="H32" s="51"/>
      <c r="I32" s="51"/>
      <c r="J32" s="51" t="s">
        <v>122</v>
      </c>
      <c r="K32" s="51"/>
      <c r="L32" s="51"/>
    </row>
    <row r="33" spans="2:12" ht="18" customHeight="1" x14ac:dyDescent="0.25">
      <c r="B33" s="52"/>
      <c r="C33" s="52"/>
      <c r="D33" s="52"/>
      <c r="E33" s="52"/>
      <c r="F33" s="52"/>
      <c r="G33" s="52"/>
      <c r="H33" s="52"/>
      <c r="I33" s="52"/>
      <c r="J33" s="52"/>
      <c r="K33" s="52"/>
      <c r="L33" s="52"/>
    </row>
    <row r="51" spans="2:12" x14ac:dyDescent="0.25">
      <c r="B51" s="30" t="s">
        <v>123</v>
      </c>
      <c r="C51" s="30"/>
      <c r="D51" s="30"/>
      <c r="E51" s="30"/>
      <c r="F51" s="30"/>
      <c r="G51" s="30"/>
      <c r="H51" s="30"/>
      <c r="I51" s="30"/>
      <c r="J51" s="30"/>
      <c r="K51" s="30"/>
      <c r="L51" s="30"/>
    </row>
    <row r="52" spans="2:12" ht="32" customHeight="1" x14ac:dyDescent="0.25">
      <c r="B52" s="53" t="s">
        <v>60</v>
      </c>
      <c r="C52" s="32" t="s">
        <v>89</v>
      </c>
      <c r="D52" s="32" t="s">
        <v>90</v>
      </c>
      <c r="E52" s="32" t="s">
        <v>93</v>
      </c>
      <c r="F52" s="32" t="s">
        <v>91</v>
      </c>
      <c r="G52" s="32" t="s">
        <v>94</v>
      </c>
      <c r="H52" s="32" t="s">
        <v>62</v>
      </c>
      <c r="I52" s="32" t="s">
        <v>95</v>
      </c>
      <c r="J52" s="32"/>
      <c r="K52" s="32" t="s">
        <v>96</v>
      </c>
      <c r="L52" s="32" t="s">
        <v>124</v>
      </c>
    </row>
    <row r="53" spans="2:12" ht="14" customHeight="1" x14ac:dyDescent="0.25">
      <c r="B53" s="31"/>
      <c r="C53" s="31" t="s">
        <v>103</v>
      </c>
      <c r="D53" s="31" t="s">
        <v>103</v>
      </c>
      <c r="E53" s="31" t="s">
        <v>103</v>
      </c>
      <c r="F53" s="31" t="s">
        <v>103</v>
      </c>
      <c r="G53" s="31" t="s">
        <v>125</v>
      </c>
      <c r="H53" s="31" t="s">
        <v>125</v>
      </c>
      <c r="I53" s="31"/>
      <c r="J53" s="31"/>
      <c r="K53" s="31" t="s">
        <v>125</v>
      </c>
      <c r="L53" s="31" t="s">
        <v>125</v>
      </c>
    </row>
    <row r="54" spans="2:12" x14ac:dyDescent="0.25">
      <c r="B54" s="54" t="str">
        <f>IFERROR(INDEX(tblOperations[Operation],1)&amp;"","")</f>
        <v>10 Paste print</v>
      </c>
      <c r="C54" s="37">
        <f>IF($B$54="","",SUMIFS(tblYield[Units in],tblYield[Operation],$B$54,tblYield[View date],"&gt;0"))</f>
        <v>18190</v>
      </c>
      <c r="D54" s="37">
        <f>IF($B$54="","",SUMIFS(tblYield[Passed first time],tblYield[Operation],$B$54,tblYield[View date],"&gt;0"))</f>
        <v>18034</v>
      </c>
      <c r="E54" s="37">
        <f>IF($B$54="","",SUMIFS(tblYield[Reworked],tblYield[Operation],$B$54,tblYield[View date],"&gt;0"))</f>
        <v>156</v>
      </c>
      <c r="F54" s="37">
        <f>IF($B$54="","",SUMIFS(tblYield[Scrapped],tblYield[Operation],$B$54,tblYield[View date],"&gt;0"))</f>
        <v>0</v>
      </c>
      <c r="G54" s="38">
        <f>IF($B$54="","",IF((SUMIFS(tblYield[Units in],tblYield[Operation],$B$54,tblYield[View date],"&gt;0"))=0,"",(SUMIFS(tblYield[Passed first time],tblYield[Operation],$B$54,tblYield[View date],"&gt;0"))/(SUMIFS(tblYield[Units in],tblYield[Operation],$B$54,tblYield[View date],"&gt;0"))))</f>
        <v>0.991423859263332</v>
      </c>
      <c r="H54" s="55">
        <f>IF($B$54="","",IFERROR(INDEX(tblOperations[FPY target],MATCH($B$54,tblOperations[Operation],0)),""))</f>
        <v>0.99</v>
      </c>
      <c r="I54" s="39" t="str">
        <f>IF($B$54="","",IF(OR(NOT(ISNUMBER($G$54)),NOT(ISNUMBER($H$54))),"",IF($G$54&gt;=$H$54,"On target",IF($G$54&gt;=$H$54-NearBand,"Near target","Below target"))))</f>
        <v>On target</v>
      </c>
      <c r="J54" s="39"/>
      <c r="K54" s="38">
        <f>IF($B$54="","",IF((SUMIFS(tblYield[Units in],tblYield[Operation],$B$54,tblYield[View date],"&gt;0"))=0,"",(SUMIFS(tblYield[Units in],tblYield[Operation],$B$54,tblYield[View date],"&gt;0")-SUMIFS(tblYield[Scrapped],tblYield[Operation],$B$54,tblYield[View date],"&gt;0"))/(SUMIFS(tblYield[Units in],tblYield[Operation],$B$54,tblYield[View date],"&gt;0"))))</f>
        <v>1</v>
      </c>
      <c r="L54" s="38">
        <f>IF($B$54="","",IF(NOT(ISNUMBER($G$54)),"",PRODUCT(INDEX($G$54:$G$59,1):$G$54)))</f>
        <v>0.991423859263332</v>
      </c>
    </row>
    <row r="55" spans="2:12" x14ac:dyDescent="0.25">
      <c r="B55" s="54" t="str">
        <f>IFERROR(INDEX(tblOperations[Operation],2)&amp;"","")</f>
        <v>20 SMT and reflow</v>
      </c>
      <c r="C55" s="37">
        <f>IF($B$55="","",SUMIFS(tblYield[Units in],tblYield[Operation],$B$55,tblYield[View date],"&gt;0"))</f>
        <v>18190</v>
      </c>
      <c r="D55" s="37">
        <f>IF($B$55="","",SUMIFS(tblYield[Passed first time],tblYield[Operation],$B$55,tblYield[View date],"&gt;0"))</f>
        <v>17768</v>
      </c>
      <c r="E55" s="37">
        <f>IF($B$55="","",SUMIFS(tblYield[Reworked],tblYield[Operation],$B$55,tblYield[View date],"&gt;0"))</f>
        <v>392</v>
      </c>
      <c r="F55" s="37">
        <f>IF($B$55="","",SUMIFS(tblYield[Scrapped],tblYield[Operation],$B$55,tblYield[View date],"&gt;0"))</f>
        <v>30</v>
      </c>
      <c r="G55" s="38">
        <f>IF($B$55="","",IF((SUMIFS(tblYield[Units in],tblYield[Operation],$B$55,tblYield[View date],"&gt;0"))=0,"",(SUMIFS(tblYield[Passed first time],tblYield[Operation],$B$55,tblYield[View date],"&gt;0"))/(SUMIFS(tblYield[Units in],tblYield[Operation],$B$55,tblYield[View date],"&gt;0"))))</f>
        <v>0.976800439802089</v>
      </c>
      <c r="H55" s="55">
        <f>IF($B$55="","",IFERROR(INDEX(tblOperations[FPY target],MATCH($B$55,tblOperations[Operation],0)),""))</f>
        <v>0.98</v>
      </c>
      <c r="I55" s="39" t="str">
        <f>IF($B$55="","",IF(OR(NOT(ISNUMBER($G$55)),NOT(ISNUMBER($H$55))),"",IF($G$55&gt;=$H$55,"On target",IF($G$55&gt;=$H$55-NearBand,"Near target","Below target"))))</f>
        <v>Near target</v>
      </c>
      <c r="J55" s="39"/>
      <c r="K55" s="38">
        <f>IF($B$55="","",IF((SUMIFS(tblYield[Units in],tblYield[Operation],$B$55,tblYield[View date],"&gt;0"))=0,"",(SUMIFS(tblYield[Units in],tblYield[Operation],$B$55,tblYield[View date],"&gt;0")-SUMIFS(tblYield[Scrapped],tblYield[Operation],$B$55,tblYield[View date],"&gt;0"))/(SUMIFS(tblYield[Units in],tblYield[Operation],$B$55,tblYield[View date],"&gt;0"))))</f>
        <v>0.998350742166025</v>
      </c>
      <c r="L55" s="38">
        <f>IF($B$55="","",IF(NOT(ISNUMBER($G$55)),"",PRODUCT(INDEX($G$54:$G$59,1):$G$55)))</f>
        <v>0.968423261758707</v>
      </c>
    </row>
    <row r="56" spans="2:12" x14ac:dyDescent="0.25">
      <c r="B56" s="54" t="str">
        <f>IFERROR(INDEX(tblOperations[Operation],3)&amp;"","")</f>
        <v>30 Wave solder</v>
      </c>
      <c r="C56" s="37">
        <f>IF($B$56="","",SUMIFS(tblYield[Units in],tblYield[Operation],$B$56,tblYield[View date],"&gt;0"))</f>
        <v>18160</v>
      </c>
      <c r="D56" s="37">
        <f>IF($B$56="","",SUMIFS(tblYield[Passed first time],tblYield[Operation],$B$56,tblYield[View date],"&gt;0"))</f>
        <v>17293</v>
      </c>
      <c r="E56" s="37">
        <f>IF($B$56="","",SUMIFS(tblYield[Reworked],tblYield[Operation],$B$56,tblYield[View date],"&gt;0"))</f>
        <v>810</v>
      </c>
      <c r="F56" s="37">
        <f>IF($B$56="","",SUMIFS(tblYield[Scrapped],tblYield[Operation],$B$56,tblYield[View date],"&gt;0"))</f>
        <v>57</v>
      </c>
      <c r="G56" s="38">
        <f>IF($B$56="","",IF((SUMIFS(tblYield[Units in],tblYield[Operation],$B$56,tblYield[View date],"&gt;0"))=0,"",(SUMIFS(tblYield[Passed first time],tblYield[Operation],$B$56,tblYield[View date],"&gt;0"))/(SUMIFS(tblYield[Units in],tblYield[Operation],$B$56,tblYield[View date],"&gt;0"))))</f>
        <v>0.952257709251101</v>
      </c>
      <c r="H56" s="55">
        <f>IF($B$56="","",IFERROR(INDEX(tblOperations[FPY target],MATCH($B$56,tblOperations[Operation],0)),""))</f>
        <v>0.97</v>
      </c>
      <c r="I56" s="39" t="str">
        <f>IF($B$56="","",IF(OR(NOT(ISNUMBER($G$56)),NOT(ISNUMBER($H$56))),"",IF($G$56&gt;=$H$56,"On target",IF($G$56&gt;=$H$56-NearBand,"Near target","Below target"))))</f>
        <v>Below target</v>
      </c>
      <c r="J56" s="39"/>
      <c r="K56" s="38">
        <f>IF($B$56="","",IF((SUMIFS(tblYield[Units in],tblYield[Operation],$B$56,tblYield[View date],"&gt;0"))=0,"",(SUMIFS(tblYield[Units in],tblYield[Operation],$B$56,tblYield[View date],"&gt;0")-SUMIFS(tblYield[Scrapped],tblYield[Operation],$B$56,tblYield[View date],"&gt;0"))/(SUMIFS(tblYield[Units in],tblYield[Operation],$B$56,tblYield[View date],"&gt;0"))))</f>
        <v>0.996861233480176</v>
      </c>
      <c r="L56" s="38">
        <f>IF($B$56="","",IF(NOT(ISNUMBER($G$56)),"",PRODUCT(INDEX($G$54:$G$59,1):$G$56)))</f>
        <v>0.922188516827826</v>
      </c>
    </row>
    <row r="57" spans="2:12" x14ac:dyDescent="0.25">
      <c r="B57" s="54" t="str">
        <f>IFERROR(INDEX(tblOperations[Operation],4)&amp;"","")</f>
        <v>40 In-circuit test</v>
      </c>
      <c r="C57" s="37">
        <f>IF($B$57="","",SUMIFS(tblYield[Units in],tblYield[Operation],$B$57,tblYield[View date],"&gt;0"))</f>
        <v>18103</v>
      </c>
      <c r="D57" s="37">
        <f>IF($B$57="","",SUMIFS(tblYield[Passed first time],tblYield[Operation],$B$57,tblYield[View date],"&gt;0"))</f>
        <v>17763</v>
      </c>
      <c r="E57" s="37">
        <f>IF($B$57="","",SUMIFS(tblYield[Reworked],tblYield[Operation],$B$57,tblYield[View date],"&gt;0"))</f>
        <v>306</v>
      </c>
      <c r="F57" s="37">
        <f>IF($B$57="","",SUMIFS(tblYield[Scrapped],tblYield[Operation],$B$57,tblYield[View date],"&gt;0"))</f>
        <v>34</v>
      </c>
      <c r="G57" s="38">
        <f>IF($B$57="","",IF((SUMIFS(tblYield[Units in],tblYield[Operation],$B$57,tblYield[View date],"&gt;0"))=0,"",(SUMIFS(tblYield[Passed first time],tblYield[Operation],$B$57,tblYield[View date],"&gt;0"))/(SUMIFS(tblYield[Units in],tblYield[Operation],$B$57,tblYield[View date],"&gt;0"))))</f>
        <v>0.981218582555378</v>
      </c>
      <c r="H57" s="55">
        <f>IF($B$57="","",IFERROR(INDEX(tblOperations[FPY target],MATCH($B$57,tblOperations[Operation],0)),""))</f>
        <v>0.98</v>
      </c>
      <c r="I57" s="39" t="str">
        <f>IF($B$57="","",IF(OR(NOT(ISNUMBER($G$57)),NOT(ISNUMBER($H$57))),"",IF($G$57&gt;=$H$57,"On target",IF($G$57&gt;=$H$57-NearBand,"Near target","Below target"))))</f>
        <v>On target</v>
      </c>
      <c r="J57" s="39"/>
      <c r="K57" s="38">
        <f>IF($B$57="","",IF((SUMIFS(tblYield[Units in],tblYield[Operation],$B$57,tblYield[View date],"&gt;0"))=0,"",(SUMIFS(tblYield[Units in],tblYield[Operation],$B$57,tblYield[View date],"&gt;0")-SUMIFS(tblYield[Scrapped],tblYield[Operation],$B$57,tblYield[View date],"&gt;0"))/(SUMIFS(tblYield[Units in],tblYield[Operation],$B$57,tblYield[View date],"&gt;0"))))</f>
        <v>0.998121858255538</v>
      </c>
      <c r="L57" s="38">
        <f>IF($B$57="","",IF(NOT(ISNUMBER($G$57)),"",PRODUCT(INDEX($G$54:$G$59,1):$G$57)))</f>
        <v>0.904868509330645</v>
      </c>
    </row>
    <row r="58" spans="2:12" x14ac:dyDescent="0.25">
      <c r="B58" s="54" t="str">
        <f>IFERROR(INDEX(tblOperations[Operation],5)&amp;"","")</f>
        <v>50 Functional test</v>
      </c>
      <c r="C58" s="37">
        <f>IF($B$58="","",SUMIFS(tblYield[Units in],tblYield[Operation],$B$58,tblYield[View date],"&gt;0"))</f>
        <v>18069</v>
      </c>
      <c r="D58" s="37">
        <f>IF($B$58="","",SUMIFS(tblYield[Passed first time],tblYield[Operation],$B$58,tblYield[View date],"&gt;0"))</f>
        <v>17667</v>
      </c>
      <c r="E58" s="37">
        <f>IF($B$58="","",SUMIFS(tblYield[Reworked],tblYield[Operation],$B$58,tblYield[View date],"&gt;0"))</f>
        <v>354</v>
      </c>
      <c r="F58" s="37">
        <f>IF($B$58="","",SUMIFS(tblYield[Scrapped],tblYield[Operation],$B$58,tblYield[View date],"&gt;0"))</f>
        <v>48</v>
      </c>
      <c r="G58" s="38">
        <f>IF($B$58="","",IF((SUMIFS(tblYield[Units in],tblYield[Operation],$B$58,tblYield[View date],"&gt;0"))=0,"",(SUMIFS(tblYield[Passed first time],tblYield[Operation],$B$58,tblYield[View date],"&gt;0"))/(SUMIFS(tblYield[Units in],tblYield[Operation],$B$58,tblYield[View date],"&gt;0"))))</f>
        <v>0.977751950855056</v>
      </c>
      <c r="H58" s="55">
        <f>IF($B$58="","",IFERROR(INDEX(tblOperations[FPY target],MATCH($B$58,tblOperations[Operation],0)),""))</f>
        <v>0.985</v>
      </c>
      <c r="I58" s="39" t="str">
        <f>IF($B$58="","",IF(OR(NOT(ISNUMBER($G$58)),NOT(ISNUMBER($H$58))),"",IF($G$58&gt;=$H$58,"On target",IF($G$58&gt;=$H$58-NearBand,"Near target","Below target"))))</f>
        <v>Near target</v>
      </c>
      <c r="J58" s="39"/>
      <c r="K58" s="38">
        <f>IF($B$58="","",IF((SUMIFS(tblYield[Units in],tblYield[Operation],$B$58,tblYield[View date],"&gt;0"))=0,"",(SUMIFS(tblYield[Units in],tblYield[Operation],$B$58,tblYield[View date],"&gt;0")-SUMIFS(tblYield[Scrapped],tblYield[Operation],$B$58,tblYield[View date],"&gt;0"))/(SUMIFS(tblYield[Units in],tblYield[Operation],$B$58,tblYield[View date],"&gt;0"))))</f>
        <v>0.997343516520007</v>
      </c>
      <c r="L58" s="38">
        <f>IF($B$58="","",IF(NOT(ISNUMBER($G$58)),"",PRODUCT(INDEX($G$54:$G$59,1):$G$58)))</f>
        <v>0.884736950265344</v>
      </c>
    </row>
    <row r="59" spans="2:12" x14ac:dyDescent="0.25">
      <c r="B59" s="54" t="str">
        <f>IFERROR(INDEX(tblOperations[Operation],6)&amp;"","")</f>
        <v>60 Coat and inspect</v>
      </c>
      <c r="C59" s="37">
        <f>IF($B$59="","",SUMIFS(tblYield[Units in],tblYield[Operation],$B$59,tblYield[View date],"&gt;0"))</f>
        <v>18021</v>
      </c>
      <c r="D59" s="37">
        <f>IF($B$59="","",SUMIFS(tblYield[Passed first time],tblYield[Operation],$B$59,tblYield[View date],"&gt;0"))</f>
        <v>17897</v>
      </c>
      <c r="E59" s="37">
        <f>IF($B$59="","",SUMIFS(tblYield[Reworked],tblYield[Operation],$B$59,tblYield[View date],"&gt;0"))</f>
        <v>124</v>
      </c>
      <c r="F59" s="37">
        <f>IF($B$59="","",SUMIFS(tblYield[Scrapped],tblYield[Operation],$B$59,tblYield[View date],"&gt;0"))</f>
        <v>0</v>
      </c>
      <c r="G59" s="38">
        <f>IF($B$59="","",IF((SUMIFS(tblYield[Units in],tblYield[Operation],$B$59,tblYield[View date],"&gt;0"))=0,"",(SUMIFS(tblYield[Passed first time],tblYield[Operation],$B$59,tblYield[View date],"&gt;0"))/(SUMIFS(tblYield[Units in],tblYield[Operation],$B$59,tblYield[View date],"&gt;0"))))</f>
        <v>0.993119138782531</v>
      </c>
      <c r="H59" s="55">
        <f>IF($B$59="","",IFERROR(INDEX(tblOperations[FPY target],MATCH($B$59,tblOperations[Operation],0)),""))</f>
        <v>0.99</v>
      </c>
      <c r="I59" s="39" t="str">
        <f>IF($B$59="","",IF(OR(NOT(ISNUMBER($G$59)),NOT(ISNUMBER($H$59))),"",IF($G$59&gt;=$H$59,"On target",IF($G$59&gt;=$H$59-NearBand,"Near target","Below target"))))</f>
        <v>On target</v>
      </c>
      <c r="J59" s="39"/>
      <c r="K59" s="38">
        <f>IF($B$59="","",IF((SUMIFS(tblYield[Units in],tblYield[Operation],$B$59,tblYield[View date],"&gt;0"))=0,"",(SUMIFS(tblYield[Units in],tblYield[Operation],$B$59,tblYield[View date],"&gt;0")-SUMIFS(tblYield[Scrapped],tblYield[Operation],$B$59,tblYield[View date],"&gt;0"))/(SUMIFS(tblYield[Units in],tblYield[Operation],$B$59,tblYield[View date],"&gt;0"))))</f>
        <v>1</v>
      </c>
      <c r="L59" s="38">
        <f>IF($B$59="","",IF(NOT(ISNUMBER($G$59)),"",PRODUCT(INDEX($G$54:$G$59,1):$G$59)))</f>
        <v>0.878649198096602</v>
      </c>
    </row>
    <row r="61" spans="2:12" x14ac:dyDescent="0.25">
      <c r="B61" s="30" t="s">
        <v>126</v>
      </c>
      <c r="C61" s="30"/>
      <c r="D61" s="30"/>
      <c r="E61" s="30"/>
      <c r="F61" s="30"/>
      <c r="G61" s="30"/>
      <c r="H61" s="30"/>
    </row>
    <row r="62" spans="2:12" ht="45.5" customHeight="1" x14ac:dyDescent="0.25">
      <c r="B62" s="53" t="s">
        <v>60</v>
      </c>
      <c r="C62" s="32" t="s">
        <v>63</v>
      </c>
      <c r="D62" s="32" t="s">
        <v>64</v>
      </c>
      <c r="E62" s="32" t="s">
        <v>127</v>
      </c>
      <c r="F62" s="32" t="s">
        <v>128</v>
      </c>
      <c r="G62" s="32" t="s">
        <v>129</v>
      </c>
      <c r="H62" s="32" t="s">
        <v>130</v>
      </c>
    </row>
    <row r="63" spans="2:12" ht="14" customHeight="1" x14ac:dyDescent="0.25">
      <c r="B63" s="31"/>
      <c r="C63" s="31" t="str">
        <f>Currency</f>
        <v>USD</v>
      </c>
      <c r="D63" s="31" t="str">
        <f>Currency</f>
        <v>USD</v>
      </c>
      <c r="E63" s="31" t="str">
        <f>Currency</f>
        <v>USD</v>
      </c>
      <c r="F63" s="31" t="s">
        <v>125</v>
      </c>
      <c r="G63" s="31" t="s">
        <v>125</v>
      </c>
      <c r="H63" s="31" t="s">
        <v>125</v>
      </c>
    </row>
    <row r="64" spans="2:12" x14ac:dyDescent="0.25">
      <c r="B64" s="54" t="str">
        <f>INDEX($B$54:$B$59,1)</f>
        <v>10 Paste print</v>
      </c>
      <c r="C64" s="37">
        <f>IF($B$64="","",SUMIFS(tblYield[Rework cost],tblYield[Operation],$B$64,tblYield[View date],"&gt;0"))</f>
        <v>93.6</v>
      </c>
      <c r="D64" s="37">
        <f>IF($B$64="","",SUMIFS(tblYield[Scrap cost],tblYield[Operation],$B$64,tblYield[View date],"&gt;0"))</f>
        <v>0</v>
      </c>
      <c r="E64" s="37">
        <f>IF($B$64="","",$C$64+$D$64)</f>
        <v>93.6</v>
      </c>
      <c r="F64" s="38">
        <f>IF($B$64="","",IF(ISNUMBER($G$54),1-$G$54,""))</f>
        <v>0.00857614073666846</v>
      </c>
      <c r="G64" s="38">
        <f>IF($B$64="","",IF(ISNUMBER($H$54),1-$H$54,""))</f>
        <v>0.01</v>
      </c>
      <c r="H64" s="55">
        <f>PRODUCT(INDEX($H$54:$H$59,1):$H$54)</f>
        <v>0.99</v>
      </c>
    </row>
    <row r="65" spans="2:8" x14ac:dyDescent="0.25">
      <c r="B65" s="54" t="str">
        <f>INDEX($B$54:$B$59,2)</f>
        <v>20 SMT and reflow</v>
      </c>
      <c r="C65" s="37">
        <f>IF($B$65="","",SUMIFS(tblYield[Rework cost],tblYield[Operation],$B$65,tblYield[View date],"&gt;0"))</f>
        <v>1489.6</v>
      </c>
      <c r="D65" s="37">
        <f>IF($B$65="","",SUMIFS(tblYield[Scrap cost],tblYield[Operation],$B$65,tblYield[View date],"&gt;0"))</f>
        <v>930</v>
      </c>
      <c r="E65" s="37">
        <f>IF($B$65="","",$C$65+$D$65)</f>
        <v>2419.6</v>
      </c>
      <c r="F65" s="38">
        <f>IF($B$65="","",IF(ISNUMBER($G$55),1-$G$55,""))</f>
        <v>0.0231995601979109</v>
      </c>
      <c r="G65" s="38">
        <f>IF($B$65="","",IF(ISNUMBER($H$55),1-$H$55,""))</f>
        <v>0.02</v>
      </c>
      <c r="H65" s="55">
        <f>PRODUCT(INDEX($H$54:$H$59,1):$H$55)</f>
        <v>0.9702</v>
      </c>
    </row>
    <row r="66" spans="2:8" x14ac:dyDescent="0.25">
      <c r="B66" s="54" t="str">
        <f>INDEX($B$54:$B$59,3)</f>
        <v>30 Wave solder</v>
      </c>
      <c r="C66" s="37">
        <f>IF($B$66="","",SUMIFS(tblYield[Rework cost],tblYield[Operation],$B$66,tblYield[View date],"&gt;0"))</f>
        <v>2349</v>
      </c>
      <c r="D66" s="37">
        <f>IF($B$66="","",SUMIFS(tblYield[Scrap cost],tblYield[Operation],$B$66,tblYield[View date],"&gt;0"))</f>
        <v>1938</v>
      </c>
      <c r="E66" s="37">
        <f>IF($B$66="","",$C$66+$D$66)</f>
        <v>4287</v>
      </c>
      <c r="F66" s="38">
        <f>IF($B$66="","",IF(ISNUMBER($G$56),1-$G$56,""))</f>
        <v>0.0477422907488987</v>
      </c>
      <c r="G66" s="38">
        <f>IF($B$66="","",IF(ISNUMBER($H$56),1-$H$56,""))</f>
        <v>0.03</v>
      </c>
      <c r="H66" s="55">
        <f>PRODUCT(INDEX($H$54:$H$59,1):$H$56)</f>
        <v>0.941094</v>
      </c>
    </row>
    <row r="67" spans="2:8" x14ac:dyDescent="0.25">
      <c r="B67" s="54" t="str">
        <f>INDEX($B$54:$B$59,4)</f>
        <v>40 In-circuit test</v>
      </c>
      <c r="C67" s="37">
        <f>IF($B$67="","",SUMIFS(tblYield[Rework cost],tblYield[Operation],$B$67,tblYield[View date],"&gt;0"))</f>
        <v>2601</v>
      </c>
      <c r="D67" s="37">
        <f>IF($B$67="","",SUMIFS(tblYield[Scrap cost],tblYield[Operation],$B$67,tblYield[View date],"&gt;0"))</f>
        <v>1241</v>
      </c>
      <c r="E67" s="37">
        <f>IF($B$67="","",$C$67+$D$67)</f>
        <v>3842</v>
      </c>
      <c r="F67" s="38">
        <f>IF($B$67="","",IF(ISNUMBER($G$57),1-$G$57,""))</f>
        <v>0.0187814174446225</v>
      </c>
      <c r="G67" s="38">
        <f>IF($B$67="","",IF(ISNUMBER($H$57),1-$H$57,""))</f>
        <v>0.02</v>
      </c>
      <c r="H67" s="55">
        <f>PRODUCT(INDEX($H$54:$H$59,1):$H$57)</f>
        <v>0.92227212</v>
      </c>
    </row>
    <row r="68" spans="2:8" x14ac:dyDescent="0.25">
      <c r="B68" s="54" t="str">
        <f>INDEX($B$54:$B$59,5)</f>
        <v>50 Functional test</v>
      </c>
      <c r="C68" s="37">
        <f>IF($B$68="","",SUMIFS(tblYield[Rework cost],tblYield[Operation],$B$68,tblYield[View date],"&gt;0"))</f>
        <v>4248</v>
      </c>
      <c r="D68" s="37">
        <f>IF($B$68="","",SUMIFS(tblYield[Scrap cost],tblYield[Operation],$B$68,tblYield[View date],"&gt;0"))</f>
        <v>1824</v>
      </c>
      <c r="E68" s="37">
        <f>IF($B$68="","",$C$68+$D$68)</f>
        <v>6072</v>
      </c>
      <c r="F68" s="38">
        <f>IF($B$68="","",IF(ISNUMBER($G$58),1-$G$58,""))</f>
        <v>0.0222480491449444</v>
      </c>
      <c r="G68" s="38">
        <f>IF($B$68="","",IF(ISNUMBER($H$58),1-$H$58,""))</f>
        <v>0.015</v>
      </c>
      <c r="H68" s="55">
        <f>PRODUCT(INDEX($H$54:$H$59,1):$H$58)</f>
        <v>0.9084380382</v>
      </c>
    </row>
    <row r="69" spans="2:8" x14ac:dyDescent="0.25">
      <c r="B69" s="54" t="str">
        <f>INDEX($B$54:$B$59,6)</f>
        <v>60 Coat and inspect</v>
      </c>
      <c r="C69" s="37">
        <f>IF($B$69="","",SUMIFS(tblYield[Rework cost],tblYield[Operation],$B$69,tblYield[View date],"&gt;0"))</f>
        <v>272.8</v>
      </c>
      <c r="D69" s="37">
        <f>IF($B$69="","",SUMIFS(tblYield[Scrap cost],tblYield[Operation],$B$69,tblYield[View date],"&gt;0"))</f>
        <v>0</v>
      </c>
      <c r="E69" s="37">
        <f>IF($B$69="","",$C$69+$D$69)</f>
        <v>272.8</v>
      </c>
      <c r="F69" s="38">
        <f>IF($B$69="","",IF(ISNUMBER($G$59),1-$G$59,""))</f>
        <v>0.00688086121746856</v>
      </c>
      <c r="G69" s="38">
        <f>IF($B$69="","",IF(ISNUMBER($H$59),1-$H$59,""))</f>
        <v>0.01</v>
      </c>
      <c r="H69" s="55">
        <f>PRODUCT(INDEX($H$54:$H$59,1):$H$59)</f>
        <v>0.899353657818</v>
      </c>
    </row>
    <row r="71" spans="2:8" x14ac:dyDescent="0.25">
      <c r="B71" s="30" t="s">
        <v>131</v>
      </c>
      <c r="C71" s="30"/>
      <c r="D71" s="30"/>
      <c r="E71" s="30"/>
      <c r="F71" s="30"/>
      <c r="G71" s="30"/>
      <c r="H71" s="30"/>
    </row>
    <row r="72" spans="2:8" ht="32" customHeight="1" x14ac:dyDescent="0.25">
      <c r="B72" s="53" t="s">
        <v>132</v>
      </c>
      <c r="C72" s="32" t="s">
        <v>133</v>
      </c>
      <c r="D72" s="32" t="s">
        <v>93</v>
      </c>
      <c r="E72" s="32" t="s">
        <v>91</v>
      </c>
      <c r="F72" s="32" t="s">
        <v>134</v>
      </c>
      <c r="G72" s="32" t="s">
        <v>135</v>
      </c>
      <c r="H72" s="32" t="s">
        <v>136</v>
      </c>
    </row>
    <row r="73" spans="2:8" ht="14" customHeight="1" x14ac:dyDescent="0.25">
      <c r="B73" s="31"/>
      <c r="C73" s="31" t="s">
        <v>103</v>
      </c>
      <c r="D73" s="31" t="s">
        <v>103</v>
      </c>
      <c r="E73" s="31" t="s">
        <v>103</v>
      </c>
      <c r="F73" s="31" t="str">
        <f>Currency</f>
        <v>USD</v>
      </c>
      <c r="G73" s="31" t="s">
        <v>125</v>
      </c>
      <c r="H73" s="31" t="s">
        <v>125</v>
      </c>
    </row>
    <row r="74" spans="2:8" x14ac:dyDescent="0.25">
      <c r="B74" s="56">
        <f>IF($B$75="","",IF($B$75-1&lt;MIN(tblYield[View date]),"",$B$75-7))</f>
        <v>46265</v>
      </c>
      <c r="C74" s="37">
        <f>IF($B$74="","",SUMIFS(tblYield[Units in],tblYield[Operation],INDEX(tblOperations[Operation],1),tblYield[View date],"&gt;="&amp;$B$74,tblYield[View date],"&lt;"&amp;$B$74+7))</f>
        <v>3020</v>
      </c>
      <c r="D74" s="37">
        <f>IF($B$74="","",SUMIFS(tblYield[Reworked],tblYield[View date],"&gt;="&amp;$B$74,tblYield[View date],"&lt;"&amp;$B$74+7))</f>
        <v>348</v>
      </c>
      <c r="E74" s="37">
        <f>IF($B$74="","",SUMIFS(tblYield[Scrapped],tblYield[View date],"&gt;="&amp;$B$74,tblYield[View date],"&lt;"&amp;$B$74+7))</f>
        <v>27</v>
      </c>
      <c r="F74" s="37">
        <f>IF($B$74="","",SUMIFS(tblYield[Rework cost],tblYield[View date],"&gt;="&amp;$B$74,tblYield[View date],"&lt;"&amp;$B$74+7)+SUMIFS(tblYield[Scrap cost],tblYield[View date],"&gt;="&amp;$B$74,tblYield[View date],"&lt;"&amp;$B$74+7))</f>
        <v>2656.3</v>
      </c>
      <c r="G74" s="38">
        <f>IF($B$74="","",INDEX($I$83:$I$88,1))</f>
        <v>0.881170533713383</v>
      </c>
      <c r="H74" s="55">
        <f>TargetRTY</f>
        <v>0.9</v>
      </c>
    </row>
    <row r="75" spans="2:8" x14ac:dyDescent="0.25">
      <c r="B75" s="56">
        <f>IF($B$76="","",IF($B$76-1&lt;MIN(tblYield[View date]),"",$B$76-7))</f>
        <v>46272</v>
      </c>
      <c r="C75" s="37">
        <f>IF($B$75="","",SUMIFS(tblYield[Units in],tblYield[Operation],INDEX(tblOperations[Operation],1),tblYield[View date],"&gt;="&amp;$B$75,tblYield[View date],"&lt;"&amp;$B$75+7))</f>
        <v>3120</v>
      </c>
      <c r="D75" s="37">
        <f>IF($B$75="","",SUMIFS(tblYield[Reworked],tblYield[View date],"&gt;="&amp;$B$75,tblYield[View date],"&lt;"&amp;$B$75+7))</f>
        <v>375</v>
      </c>
      <c r="E75" s="37">
        <f>IF($B$75="","",SUMIFS(tblYield[Scrapped],tblYield[View date],"&gt;="&amp;$B$75,tblYield[View date],"&lt;"&amp;$B$75+7))</f>
        <v>25</v>
      </c>
      <c r="F75" s="37">
        <f>IF($B$75="","",SUMIFS(tblYield[Rework cost],tblYield[View date],"&gt;="&amp;$B$75,tblYield[View date],"&lt;"&amp;$B$75+7)+SUMIFS(tblYield[Scrap cost],tblYield[View date],"&gt;="&amp;$B$75,tblYield[View date],"&lt;"&amp;$B$75+7))</f>
        <v>2616.8</v>
      </c>
      <c r="G75" s="38">
        <f>IF($B$75="","",INDEX($I$83:$I$88,2))</f>
        <v>0.877491166734617</v>
      </c>
      <c r="H75" s="55">
        <f>TargetRTY</f>
        <v>0.9</v>
      </c>
    </row>
    <row r="76" spans="2:8" x14ac:dyDescent="0.25">
      <c r="B76" s="56">
        <f>IF($B$77="","",IF($B$77-1&lt;MIN(tblYield[View date]),"",$B$77-7))</f>
        <v>46279</v>
      </c>
      <c r="C76" s="37">
        <f>IF($B$76="","",SUMIFS(tblYield[Units in],tblYield[Operation],INDEX(tblOperations[Operation],1),tblYield[View date],"&gt;="&amp;$B$76,tblYield[View date],"&lt;"&amp;$B$76+7))</f>
        <v>3010</v>
      </c>
      <c r="D76" s="37">
        <f>IF($B$76="","",SUMIFS(tblYield[Reworked],tblYield[View date],"&gt;="&amp;$B$76,tblYield[View date],"&lt;"&amp;$B$76+7))</f>
        <v>458</v>
      </c>
      <c r="E76" s="37">
        <f>IF($B$76="","",SUMIFS(tblYield[Scrapped],tblYield[View date],"&gt;="&amp;$B$76,tblYield[View date],"&lt;"&amp;$B$76+7))</f>
        <v>47</v>
      </c>
      <c r="F76" s="37">
        <f>IF($B$76="","",SUMIFS(tblYield[Rework cost],tblYield[View date],"&gt;="&amp;$B$76,tblYield[View date],"&lt;"&amp;$B$76+7)+SUMIFS(tblYield[Scrap cost],tblYield[View date],"&gt;="&amp;$B$76,tblYield[View date],"&lt;"&amp;$B$76+7))</f>
        <v>4791.2</v>
      </c>
      <c r="G76" s="38">
        <f>IF($B$76="","",INDEX($I$83:$I$88,3))</f>
        <v>0.841684486843059</v>
      </c>
      <c r="H76" s="55">
        <f>TargetRTY</f>
        <v>0.9</v>
      </c>
    </row>
    <row r="77" spans="2:8" x14ac:dyDescent="0.25">
      <c r="B77" s="56">
        <f>IF($B$78="","",IF($B$78-1&lt;MIN(tblYield[View date]),"",$B$78-7))</f>
        <v>46286</v>
      </c>
      <c r="C77" s="37">
        <f>IF($B$77="","",SUMIFS(tblYield[Units in],tblYield[Operation],INDEX(tblOperations[Operation],1),tblYield[View date],"&gt;="&amp;$B$77,tblYield[View date],"&lt;"&amp;$B$77+7))</f>
        <v>3110</v>
      </c>
      <c r="D77" s="37">
        <f>IF($B$77="","",SUMIFS(tblYield[Reworked],tblYield[View date],"&gt;="&amp;$B$77,tblYield[View date],"&lt;"&amp;$B$77+7))</f>
        <v>309</v>
      </c>
      <c r="E77" s="37">
        <f>IF($B$77="","",SUMIFS(tblYield[Scrapped],tblYield[View date],"&gt;="&amp;$B$77,tblYield[View date],"&lt;"&amp;$B$77+7))</f>
        <v>20</v>
      </c>
      <c r="F77" s="37">
        <f>IF($B$77="","",SUMIFS(tblYield[Rework cost],tblYield[View date],"&gt;="&amp;$B$77,tblYield[View date],"&lt;"&amp;$B$77+7)+SUMIFS(tblYield[Scrap cost],tblYield[View date],"&gt;="&amp;$B$77,tblYield[View date],"&lt;"&amp;$B$77+7))</f>
        <v>2154.6</v>
      </c>
      <c r="G77" s="38">
        <f>IF($B$77="","",INDEX($I$83:$I$88,4))</f>
        <v>0.898107365509496</v>
      </c>
      <c r="H77" s="55">
        <f>TargetRTY</f>
        <v>0.9</v>
      </c>
    </row>
    <row r="78" spans="2:8" x14ac:dyDescent="0.25">
      <c r="B78" s="56">
        <f>IF($B$79="","",IF($B$79-1&lt;MIN(tblYield[View date]),"",$B$79-7))</f>
        <v>46293</v>
      </c>
      <c r="C78" s="37">
        <f>IF($B$78="","",SUMIFS(tblYield[Units in],tblYield[Operation],INDEX(tblOperations[Operation],1),tblYield[View date],"&gt;="&amp;$B$78,tblYield[View date],"&lt;"&amp;$B$78+7))</f>
        <v>2970</v>
      </c>
      <c r="D78" s="37">
        <f>IF($B$78="","",SUMIFS(tblYield[Reworked],tblYield[View date],"&gt;="&amp;$B$78,tblYield[View date],"&lt;"&amp;$B$78+7))</f>
        <v>337</v>
      </c>
      <c r="E78" s="37">
        <f>IF($B$78="","",SUMIFS(tblYield[Scrapped],tblYield[View date],"&gt;="&amp;$B$78,tblYield[View date],"&lt;"&amp;$B$78+7))</f>
        <v>27</v>
      </c>
      <c r="F78" s="37">
        <f>IF($B$78="","",SUMIFS(tblYield[Rework cost],tblYield[View date],"&gt;="&amp;$B$78,tblYield[View date],"&lt;"&amp;$B$78+7)+SUMIFS(tblYield[Scrap cost],tblYield[View date],"&gt;="&amp;$B$78,tblYield[View date],"&lt;"&amp;$B$78+7))</f>
        <v>2511</v>
      </c>
      <c r="G78" s="38">
        <f>IF($B$78="","",INDEX($I$83:$I$88,5))</f>
        <v>0.882595175302588</v>
      </c>
      <c r="H78" s="55">
        <f>TargetRTY</f>
        <v>0.9</v>
      </c>
    </row>
    <row r="79" spans="2:8" x14ac:dyDescent="0.25">
      <c r="B79" s="56">
        <f>IF(COUNT(tblYield[View date])=0,"",MAX(tblYield[View date])-WEEKDAY(MAX(tblYield[View date]),2)+1)</f>
        <v>46300</v>
      </c>
      <c r="C79" s="37">
        <f>IF($B$79="","",SUMIFS(tblYield[Units in],tblYield[Operation],INDEX(tblOperations[Operation],1),tblYield[View date],"&gt;="&amp;$B$79,tblYield[View date],"&lt;"&amp;$B$79+7))</f>
        <v>2960</v>
      </c>
      <c r="D79" s="37">
        <f>IF($B$79="","",SUMIFS(tblYield[Reworked],tblYield[View date],"&gt;="&amp;$B$79,tblYield[View date],"&lt;"&amp;$B$79+7))</f>
        <v>315</v>
      </c>
      <c r="E79" s="37">
        <f>IF($B$79="","",SUMIFS(tblYield[Scrapped],tblYield[View date],"&gt;="&amp;$B$79,tblYield[View date],"&lt;"&amp;$B$79+7))</f>
        <v>23</v>
      </c>
      <c r="F79" s="37">
        <f>IF($B$79="","",SUMIFS(tblYield[Rework cost],tblYield[View date],"&gt;="&amp;$B$79,tblYield[View date],"&lt;"&amp;$B$79+7)+SUMIFS(tblYield[Scrap cost],tblYield[View date],"&gt;="&amp;$B$79,tblYield[View date],"&lt;"&amp;$B$79+7))</f>
        <v>2257.1</v>
      </c>
      <c r="G79" s="38">
        <f>IF($B$79="","",INDEX($I$83:$I$88,6))</f>
        <v>0.890485011524406</v>
      </c>
      <c r="H79" s="55">
        <f>TargetRTY</f>
        <v>0.9</v>
      </c>
    </row>
    <row r="81" spans="2:12" x14ac:dyDescent="0.25">
      <c r="B81" s="30" t="s">
        <v>137</v>
      </c>
      <c r="C81" s="30"/>
      <c r="D81" s="30"/>
      <c r="E81" s="30"/>
      <c r="F81" s="30"/>
      <c r="G81" s="30"/>
      <c r="H81" s="30"/>
      <c r="I81" s="30"/>
    </row>
    <row r="82" spans="2:12" ht="30" customHeight="1" x14ac:dyDescent="0.25">
      <c r="B82" s="53" t="s">
        <v>138</v>
      </c>
      <c r="C82" s="32" t="str">
        <f>IFERROR(INDEX(tblOperations[Operation],1)&amp;"","")</f>
        <v>10 Paste print</v>
      </c>
      <c r="D82" s="32" t="str">
        <f>IFERROR(INDEX(tblOperations[Operation],2)&amp;"","")</f>
        <v>20 SMT and reflow</v>
      </c>
      <c r="E82" s="32" t="str">
        <f>IFERROR(INDEX(tblOperations[Operation],3)&amp;"","")</f>
        <v>30 Wave solder</v>
      </c>
      <c r="F82" s="32" t="str">
        <f>IFERROR(INDEX(tblOperations[Operation],4)&amp;"","")</f>
        <v>40 In-circuit test</v>
      </c>
      <c r="G82" s="32" t="str">
        <f>IFERROR(INDEX(tblOperations[Operation],5)&amp;"","")</f>
        <v>50 Functional test</v>
      </c>
      <c r="H82" s="32" t="str">
        <f>IFERROR(INDEX(tblOperations[Operation],6)&amp;"","")</f>
        <v>60 Coat and inspect</v>
      </c>
      <c r="I82" s="32" t="s">
        <v>135</v>
      </c>
    </row>
    <row r="83" spans="2:12" x14ac:dyDescent="0.25">
      <c r="B83" s="56">
        <f>INDEX($B$74:$B$79,1)</f>
        <v>46265</v>
      </c>
      <c r="C83" s="57">
        <f>IF(OR($B$83="",$C$82=""),"",IF((SUMIFS(tblYield[Units in],tblYield[Operation],$C$82,tblYield[View date],"&gt;="&amp;$B$83,tblYield[View date],"&lt;"&amp;$B$83+7))=0,"",(SUMIFS(tblYield[Passed first time],tblYield[Operation],$C$82,tblYield[View date],"&gt;="&amp;$B$83,tblYield[View date],"&lt;"&amp;$B$83+7))/(SUMIFS(tblYield[Units in],tblYield[Operation],$C$82,tblYield[View date],"&gt;="&amp;$B$83,tblYield[View date],"&lt;"&amp;$B$83+7))))</f>
        <v>0.992384105960265</v>
      </c>
      <c r="D83" s="57">
        <f>IF(OR($B$83="",$D$82=""),"",IF((SUMIFS(tblYield[Units in],tblYield[Operation],$D$82,tblYield[View date],"&gt;="&amp;$B$83,tblYield[View date],"&lt;"&amp;$B$83+7))=0,"",(SUMIFS(tblYield[Passed first time],tblYield[Operation],$D$82,tblYield[View date],"&gt;="&amp;$B$83,tblYield[View date],"&lt;"&amp;$B$83+7))/(SUMIFS(tblYield[Units in],tblYield[Operation],$D$82,tblYield[View date],"&gt;="&amp;$B$83,tblYield[View date],"&lt;"&amp;$B$83+7))))</f>
        <v>0.974503311258278</v>
      </c>
      <c r="E83" s="57">
        <f>IF(OR($B$83="",$E$82=""),"",IF((SUMIFS(tblYield[Units in],tblYield[Operation],$E$82,tblYield[View date],"&gt;="&amp;$B$83,tblYield[View date],"&lt;"&amp;$B$83+7))=0,"",(SUMIFS(tblYield[Passed first time],tblYield[Operation],$E$82,tblYield[View date],"&gt;="&amp;$B$83,tblYield[View date],"&lt;"&amp;$B$83+7))/(SUMIFS(tblYield[Units in],tblYield[Operation],$E$82,tblYield[View date],"&gt;="&amp;$B$83,tblYield[View date],"&lt;"&amp;$B$83+7))))</f>
        <v>0.951243781094527</v>
      </c>
      <c r="F83" s="57">
        <f>IF(OR($B$83="",$F$82=""),"",IF((SUMIFS(tblYield[Units in],tblYield[Operation],$F$82,tblYield[View date],"&gt;="&amp;$B$83,tblYield[View date],"&lt;"&amp;$B$83+7))=0,"",(SUMIFS(tblYield[Passed first time],tblYield[Operation],$F$82,tblYield[View date],"&gt;="&amp;$B$83,tblYield[View date],"&lt;"&amp;$B$83+7))/(SUMIFS(tblYield[Units in],tblYield[Operation],$F$82,tblYield[View date],"&gt;="&amp;$B$83,tblYield[View date],"&lt;"&amp;$B$83+7))))</f>
        <v>0.977030625832224</v>
      </c>
      <c r="G83" s="57">
        <f>IF(OR($B$83="",$G$82=""),"",IF((SUMIFS(tblYield[Units in],tblYield[Operation],$G$82,tblYield[View date],"&gt;="&amp;$B$83,tblYield[View date],"&lt;"&amp;$B$83+7))=0,"",(SUMIFS(tblYield[Passed first time],tblYield[Operation],$G$82,tblYield[View date],"&gt;="&amp;$B$83,tblYield[View date],"&lt;"&amp;$B$83+7))/(SUMIFS(tblYield[Units in],tblYield[Operation],$G$82,tblYield[View date],"&gt;="&amp;$B$83,tblYield[View date],"&lt;"&amp;$B$83+7))))</f>
        <v>0.985323549032689</v>
      </c>
      <c r="H83" s="57">
        <f>IF(OR($B$83="",$H$82=""),"",IF((SUMIFS(tblYield[Units in],tblYield[Operation],$H$82,tblYield[View date],"&gt;="&amp;$B$83,tblYield[View date],"&lt;"&amp;$B$83+7))=0,"",(SUMIFS(tblYield[Passed first time],tblYield[Operation],$H$82,tblYield[View date],"&gt;="&amp;$B$83,tblYield[View date],"&lt;"&amp;$B$83+7))/(SUMIFS(tblYield[Units in],tblYield[Operation],$H$82,tblYield[View date],"&gt;="&amp;$B$83,tblYield[View date],"&lt;"&amp;$B$83+7))))</f>
        <v>0.994988306047444</v>
      </c>
      <c r="I83" s="58">
        <f>IF($B$83="","",IF(COUNT($C$83:$H$83)=0,"",PRODUCT($C$83:$H$83)))</f>
        <v>0.881170533713383</v>
      </c>
    </row>
    <row r="84" spans="2:12" x14ac:dyDescent="0.25">
      <c r="B84" s="56">
        <f>INDEX($B$74:$B$79,2)</f>
        <v>46272</v>
      </c>
      <c r="C84" s="57">
        <f>IF(OR($B$84="",$C$82=""),"",IF((SUMIFS(tblYield[Units in],tblYield[Operation],$C$82,tblYield[View date],"&gt;="&amp;$B$84,tblYield[View date],"&lt;"&amp;$B$84+7))=0,"",(SUMIFS(tblYield[Passed first time],tblYield[Operation],$C$82,tblYield[View date],"&gt;="&amp;$B$84,tblYield[View date],"&lt;"&amp;$B$84+7))/(SUMIFS(tblYield[Units in],tblYield[Operation],$C$82,tblYield[View date],"&gt;="&amp;$B$84,tblYield[View date],"&lt;"&amp;$B$84+7))))</f>
        <v>0.99198717948718</v>
      </c>
      <c r="D84" s="57">
        <f>IF(OR($B$84="",$D$82=""),"",IF((SUMIFS(tblYield[Units in],tblYield[Operation],$D$82,tblYield[View date],"&gt;="&amp;$B$84,tblYield[View date],"&lt;"&amp;$B$84+7))=0,"",(SUMIFS(tblYield[Passed first time],tblYield[Operation],$D$82,tblYield[View date],"&gt;="&amp;$B$84,tblYield[View date],"&lt;"&amp;$B$84+7))/(SUMIFS(tblYield[Units in],tblYield[Operation],$D$82,tblYield[View date],"&gt;="&amp;$B$84,tblYield[View date],"&lt;"&amp;$B$84+7))))</f>
        <v>0.975320512820513</v>
      </c>
      <c r="E84" s="57">
        <f>IF(OR($B$84="",$E$82=""),"",IF((SUMIFS(tblYield[Units in],tblYield[Operation],$E$82,tblYield[View date],"&gt;="&amp;$B$84,tblYield[View date],"&lt;"&amp;$B$84+7))=0,"",(SUMIFS(tblYield[Passed first time],tblYield[Operation],$E$82,tblYield[View date],"&gt;="&amp;$B$84,tblYield[View date],"&lt;"&amp;$B$84+7))/(SUMIFS(tblYield[Units in],tblYield[Operation],$E$82,tblYield[View date],"&gt;="&amp;$B$84,tblYield[View date],"&lt;"&amp;$B$84+7))))</f>
        <v>0.946709470304976</v>
      </c>
      <c r="F84" s="57">
        <f>IF(OR($B$84="",$F$82=""),"",IF((SUMIFS(tblYield[Units in],tblYield[Operation],$F$82,tblYield[View date],"&gt;="&amp;$B$84,tblYield[View date],"&lt;"&amp;$B$84+7))=0,"",(SUMIFS(tblYield[Passed first time],tblYield[Operation],$F$82,tblYield[View date],"&gt;="&amp;$B$84,tblYield[View date],"&lt;"&amp;$B$84+7))/(SUMIFS(tblYield[Units in],tblYield[Operation],$F$82,tblYield[View date],"&gt;="&amp;$B$84,tblYield[View date],"&lt;"&amp;$B$84+7))))</f>
        <v>0.982608695652174</v>
      </c>
      <c r="G84" s="57">
        <f>IF(OR($B$84="",$G$82=""),"",IF((SUMIFS(tblYield[Units in],tblYield[Operation],$G$82,tblYield[View date],"&gt;="&amp;$B$84,tblYield[View date],"&lt;"&amp;$B$84+7))=0,"",(SUMIFS(tblYield[Passed first time],tblYield[Operation],$G$82,tblYield[View date],"&gt;="&amp;$B$84,tblYield[View date],"&lt;"&amp;$B$84+7))/(SUMIFS(tblYield[Units in],tblYield[Operation],$G$82,tblYield[View date],"&gt;="&amp;$B$84,tblYield[View date],"&lt;"&amp;$B$84+7))))</f>
        <v>0.984193548387097</v>
      </c>
      <c r="H84" s="57">
        <f>IF(OR($B$84="",$H$82=""),"",IF((SUMIFS(tblYield[Units in],tblYield[Operation],$H$82,tblYield[View date],"&gt;="&amp;$B$84,tblYield[View date],"&lt;"&amp;$B$84+7))=0,"",(SUMIFS(tblYield[Passed first time],tblYield[Operation],$H$82,tblYield[View date],"&gt;="&amp;$B$84,tblYield[View date],"&lt;"&amp;$B$84+7))/(SUMIFS(tblYield[Units in],tblYield[Operation],$H$82,tblYield[View date],"&gt;="&amp;$B$84,tblYield[View date],"&lt;"&amp;$B$84+7))))</f>
        <v>0.990630048465267</v>
      </c>
      <c r="I84" s="58">
        <f>IF($B$84="","",IF(COUNT($C$84:$H$84)=0,"",PRODUCT($C$84:$H$84)))</f>
        <v>0.877491166734617</v>
      </c>
    </row>
    <row r="85" spans="2:12" x14ac:dyDescent="0.25">
      <c r="B85" s="56">
        <f>INDEX($B$74:$B$79,3)</f>
        <v>46279</v>
      </c>
      <c r="C85" s="57">
        <f>IF(OR($B$85="",$C$82=""),"",IF((SUMIFS(tblYield[Units in],tblYield[Operation],$C$82,tblYield[View date],"&gt;="&amp;$B$85,tblYield[View date],"&lt;"&amp;$B$85+7))=0,"",(SUMIFS(tblYield[Passed first time],tblYield[Operation],$C$82,tblYield[View date],"&gt;="&amp;$B$85,tblYield[View date],"&lt;"&amp;$B$85+7))/(SUMIFS(tblYield[Units in],tblYield[Operation],$C$82,tblYield[View date],"&gt;="&amp;$B$85,tblYield[View date],"&lt;"&amp;$B$85+7))))</f>
        <v>0.989700996677741</v>
      </c>
      <c r="D85" s="57">
        <f>IF(OR($B$85="",$D$82=""),"",IF((SUMIFS(tblYield[Units in],tblYield[Operation],$D$82,tblYield[View date],"&gt;="&amp;$B$85,tblYield[View date],"&lt;"&amp;$B$85+7))=0,"",(SUMIFS(tblYield[Passed first time],tblYield[Operation],$D$82,tblYield[View date],"&gt;="&amp;$B$85,tblYield[View date],"&lt;"&amp;$B$85+7))/(SUMIFS(tblYield[Units in],tblYield[Operation],$D$82,tblYield[View date],"&gt;="&amp;$B$85,tblYield[View date],"&lt;"&amp;$B$85+7))))</f>
        <v>0.977076411960133</v>
      </c>
      <c r="E85" s="57">
        <f>IF(OR($B$85="",$E$82=""),"",IF((SUMIFS(tblYield[Units in],tblYield[Operation],$E$82,tblYield[View date],"&gt;="&amp;$B$85,tblYield[View date],"&lt;"&amp;$B$85+7))=0,"",(SUMIFS(tblYield[Passed first time],tblYield[Operation],$E$82,tblYield[View date],"&gt;="&amp;$B$85,tblYield[View date],"&lt;"&amp;$B$85+7))/(SUMIFS(tblYield[Units in],tblYield[Operation],$E$82,tblYield[View date],"&gt;="&amp;$B$85,tblYield[View date],"&lt;"&amp;$B$85+7))))</f>
        <v>0.951747088186356</v>
      </c>
      <c r="F85" s="57">
        <f>IF(OR($B$85="",$F$82=""),"",IF((SUMIFS(tblYield[Units in],tblYield[Operation],$F$82,tblYield[View date],"&gt;="&amp;$B$85,tblYield[View date],"&lt;"&amp;$B$85+7))=0,"",(SUMIFS(tblYield[Passed first time],tblYield[Operation],$F$82,tblYield[View date],"&gt;="&amp;$B$85,tblYield[View date],"&lt;"&amp;$B$85+7))/(SUMIFS(tblYield[Units in],tblYield[Operation],$F$82,tblYield[View date],"&gt;="&amp;$B$85,tblYield[View date],"&lt;"&amp;$B$85+7))))</f>
        <v>0.981963927855711</v>
      </c>
      <c r="G85" s="57">
        <f>IF(OR($B$85="",$G$82=""),"",IF((SUMIFS(tblYield[Units in],tblYield[Operation],$G$82,tblYield[View date],"&gt;="&amp;$B$85,tblYield[View date],"&lt;"&amp;$B$85+7))=0,"",(SUMIFS(tblYield[Passed first time],tblYield[Operation],$G$82,tblYield[View date],"&gt;="&amp;$B$85,tblYield[View date],"&lt;"&amp;$B$85+7))/(SUMIFS(tblYield[Units in],tblYield[Operation],$G$82,tblYield[View date],"&gt;="&amp;$B$85,tblYield[View date],"&lt;"&amp;$B$85+7))))</f>
        <v>0.93574297188755</v>
      </c>
      <c r="H85" s="57">
        <f>IF(OR($B$85="",$H$82=""),"",IF((SUMIFS(tblYield[Units in],tblYield[Operation],$H$82,tblYield[View date],"&gt;="&amp;$B$85,tblYield[View date],"&lt;"&amp;$B$85+7))=0,"",(SUMIFS(tblYield[Passed first time],tblYield[Operation],$H$82,tblYield[View date],"&gt;="&amp;$B$85,tblYield[View date],"&lt;"&amp;$B$85+7))/(SUMIFS(tblYield[Units in],tblYield[Operation],$H$82,tblYield[View date],"&gt;="&amp;$B$85,tblYield[View date],"&lt;"&amp;$B$85+7))))</f>
        <v>0.995275059061762</v>
      </c>
      <c r="I85" s="58">
        <f>IF($B$85="","",IF(COUNT($C$85:$H$85)=0,"",PRODUCT($C$85:$H$85)))</f>
        <v>0.841684486843059</v>
      </c>
    </row>
    <row r="86" spans="2:12" x14ac:dyDescent="0.25">
      <c r="B86" s="56">
        <f>INDEX($B$74:$B$79,4)</f>
        <v>46286</v>
      </c>
      <c r="C86" s="57">
        <f>IF(OR($B$86="",$C$82=""),"",IF((SUMIFS(tblYield[Units in],tblYield[Operation],$C$82,tblYield[View date],"&gt;="&amp;$B$86,tblYield[View date],"&lt;"&amp;$B$86+7))=0,"",(SUMIFS(tblYield[Passed first time],tblYield[Operation],$C$82,tblYield[View date],"&gt;="&amp;$B$86,tblYield[View date],"&lt;"&amp;$B$86+7))/(SUMIFS(tblYield[Units in],tblYield[Operation],$C$82,tblYield[View date],"&gt;="&amp;$B$86,tblYield[View date],"&lt;"&amp;$B$86+7))))</f>
        <v>0.993890675241158</v>
      </c>
      <c r="D86" s="57">
        <f>IF(OR($B$86="",$D$82=""),"",IF((SUMIFS(tblYield[Units in],tblYield[Operation],$D$82,tblYield[View date],"&gt;="&amp;$B$86,tblYield[View date],"&lt;"&amp;$B$86+7))=0,"",(SUMIFS(tblYield[Passed first time],tblYield[Operation],$D$82,tblYield[View date],"&gt;="&amp;$B$86,tblYield[View date],"&lt;"&amp;$B$86+7))/(SUMIFS(tblYield[Units in],tblYield[Operation],$D$82,tblYield[View date],"&gt;="&amp;$B$86,tblYield[View date],"&lt;"&amp;$B$86+7))))</f>
        <v>0.981350482315113</v>
      </c>
      <c r="E86" s="57">
        <f>IF(OR($B$86="",$E$82=""),"",IF((SUMIFS(tblYield[Units in],tblYield[Operation],$E$82,tblYield[View date],"&gt;="&amp;$B$86,tblYield[View date],"&lt;"&amp;$B$86+7))=0,"",(SUMIFS(tblYield[Passed first time],tblYield[Operation],$E$82,tblYield[View date],"&gt;="&amp;$B$86,tblYield[View date],"&lt;"&amp;$B$86+7))/(SUMIFS(tblYield[Units in],tblYield[Operation],$E$82,tblYield[View date],"&gt;="&amp;$B$86,tblYield[View date],"&lt;"&amp;$B$86+7))))</f>
        <v>0.956535737282679</v>
      </c>
      <c r="F86" s="57">
        <f>IF(OR($B$86="",$F$82=""),"",IF((SUMIFS(tblYield[Units in],tblYield[Operation],$F$82,tblYield[View date],"&gt;="&amp;$B$86,tblYield[View date],"&lt;"&amp;$B$86+7))=0,"",(SUMIFS(tblYield[Passed first time],tblYield[Operation],$F$82,tblYield[View date],"&gt;="&amp;$B$86,tblYield[View date],"&lt;"&amp;$B$86+7))/(SUMIFS(tblYield[Units in],tblYield[Operation],$F$82,tblYield[View date],"&gt;="&amp;$B$86,tblYield[View date],"&lt;"&amp;$B$86+7))))</f>
        <v>0.980638915779284</v>
      </c>
      <c r="G86" s="57">
        <f>IF(OR($B$86="",$G$82=""),"",IF((SUMIFS(tblYield[Units in],tblYield[Operation],$G$82,tblYield[View date],"&gt;="&amp;$B$86,tblYield[View date],"&lt;"&amp;$B$86+7))=0,"",(SUMIFS(tblYield[Passed first time],tblYield[Operation],$G$82,tblYield[View date],"&gt;="&amp;$B$86,tblYield[View date],"&lt;"&amp;$B$86+7))/(SUMIFS(tblYield[Units in],tblYield[Operation],$G$82,tblYield[View date],"&gt;="&amp;$B$86,tblYield[View date],"&lt;"&amp;$B$86+7))))</f>
        <v>0.989330746847721</v>
      </c>
      <c r="H86" s="57">
        <f>IF(OR($B$86="",$H$82=""),"",IF((SUMIFS(tblYield[Units in],tblYield[Operation],$H$82,tblYield[View date],"&gt;="&amp;$B$86,tblYield[View date],"&lt;"&amp;$B$86+7))=0,"",(SUMIFS(tblYield[Passed first time],tblYield[Operation],$H$82,tblYield[View date],"&gt;="&amp;$B$86,tblYield[View date],"&lt;"&amp;$B$86+7))/(SUMIFS(tblYield[Units in],tblYield[Operation],$H$82,tblYield[View date],"&gt;="&amp;$B$86,tblYield[View date],"&lt;"&amp;$B$86+7))))</f>
        <v>0.992233009708738</v>
      </c>
      <c r="I86" s="58">
        <f>IF($B$86="","",IF(COUNT($C$86:$H$86)=0,"",PRODUCT($C$86:$H$86)))</f>
        <v>0.898107365509496</v>
      </c>
    </row>
    <row r="87" spans="2:12" x14ac:dyDescent="0.25">
      <c r="B87" s="56">
        <f>INDEX($B$74:$B$79,5)</f>
        <v>46293</v>
      </c>
      <c r="C87" s="57">
        <f>IF(OR($B$87="",$C$82=""),"",IF((SUMIFS(tblYield[Units in],tblYield[Operation],$C$82,tblYield[View date],"&gt;="&amp;$B$87,tblYield[View date],"&lt;"&amp;$B$87+7))=0,"",(SUMIFS(tblYield[Passed first time],tblYield[Operation],$C$82,tblYield[View date],"&gt;="&amp;$B$87,tblYield[View date],"&lt;"&amp;$B$87+7))/(SUMIFS(tblYield[Units in],tblYield[Operation],$C$82,tblYield[View date],"&gt;="&amp;$B$87,tblYield[View date],"&lt;"&amp;$B$87+7))))</f>
        <v>0.990909090909091</v>
      </c>
      <c r="D87" s="57">
        <f>IF(OR($B$87="",$D$82=""),"",IF((SUMIFS(tblYield[Units in],tblYield[Operation],$D$82,tblYield[View date],"&gt;="&amp;$B$87,tblYield[View date],"&lt;"&amp;$B$87+7))=0,"",(SUMIFS(tblYield[Passed first time],tblYield[Operation],$D$82,tblYield[View date],"&gt;="&amp;$B$87,tblYield[View date],"&lt;"&amp;$B$87+7))/(SUMIFS(tblYield[Units in],tblYield[Operation],$D$82,tblYield[View date],"&gt;="&amp;$B$87,tblYield[View date],"&lt;"&amp;$B$87+7))))</f>
        <v>0.976767676767677</v>
      </c>
      <c r="E87" s="57">
        <f>IF(OR($B$87="",$E$82=""),"",IF((SUMIFS(tblYield[Units in],tblYield[Operation],$E$82,tblYield[View date],"&gt;="&amp;$B$87,tblYield[View date],"&lt;"&amp;$B$87+7))=0,"",(SUMIFS(tblYield[Passed first time],tblYield[Operation],$E$82,tblYield[View date],"&gt;="&amp;$B$87,tblYield[View date],"&lt;"&amp;$B$87+7))/(SUMIFS(tblYield[Units in],tblYield[Operation],$E$82,tblYield[View date],"&gt;="&amp;$B$87,tblYield[View date],"&lt;"&amp;$B$87+7))))</f>
        <v>0.949055330634278</v>
      </c>
      <c r="F87" s="57">
        <f>IF(OR($B$87="",$F$82=""),"",IF((SUMIFS(tblYield[Units in],tblYield[Operation],$F$82,tblYield[View date],"&gt;="&amp;$B$87,tblYield[View date],"&lt;"&amp;$B$87+7))=0,"",(SUMIFS(tblYield[Passed first time],tblYield[Operation],$F$82,tblYield[View date],"&gt;="&amp;$B$87,tblYield[View date],"&lt;"&amp;$B$87+7))/(SUMIFS(tblYield[Units in],tblYield[Operation],$F$82,tblYield[View date],"&gt;="&amp;$B$87,tblYield[View date],"&lt;"&amp;$B$87+7))))</f>
        <v>0.982058226134056</v>
      </c>
      <c r="G87" s="57">
        <f>IF(OR($B$87="",$G$82=""),"",IF((SUMIFS(tblYield[Units in],tblYield[Operation],$G$82,tblYield[View date],"&gt;="&amp;$B$87,tblYield[View date],"&lt;"&amp;$B$87+7))=0,"",(SUMIFS(tblYield[Passed first time],tblYield[Operation],$G$82,tblYield[View date],"&gt;="&amp;$B$87,tblYield[View date],"&lt;"&amp;$B$87+7))/(SUMIFS(tblYield[Units in],tblYield[Operation],$G$82,tblYield[View date],"&gt;="&amp;$B$87,tblYield[View date],"&lt;"&amp;$B$87+7))))</f>
        <v>0.985074626865672</v>
      </c>
      <c r="H87" s="57">
        <f>IF(OR($B$87="",$H$82=""),"",IF((SUMIFS(tblYield[Units in],tblYield[Operation],$H$82,tblYield[View date],"&gt;="&amp;$B$87,tblYield[View date],"&lt;"&amp;$B$87+7))=0,"",(SUMIFS(tblYield[Passed first time],tblYield[Operation],$H$82,tblYield[View date],"&gt;="&amp;$B$87,tblYield[View date],"&lt;"&amp;$B$87+7))/(SUMIFS(tblYield[Units in],tblYield[Operation],$H$82,tblYield[View date],"&gt;="&amp;$B$87,tblYield[View date],"&lt;"&amp;$B$87+7))))</f>
        <v>0.9932042133877</v>
      </c>
      <c r="I87" s="58">
        <f>IF($B$87="","",IF(COUNT($C$87:$H$87)=0,"",PRODUCT($C$87:$H$87)))</f>
        <v>0.882595175302588</v>
      </c>
    </row>
    <row r="88" spans="2:12" x14ac:dyDescent="0.25">
      <c r="B88" s="56">
        <f>INDEX($B$74:$B$79,6)</f>
        <v>46300</v>
      </c>
      <c r="C88" s="57">
        <f>IF(OR($B$88="",$C$82=""),"",IF((SUMIFS(tblYield[Units in],tblYield[Operation],$C$82,tblYield[View date],"&gt;="&amp;$B$88,tblYield[View date],"&lt;"&amp;$B$88+7))=0,"",(SUMIFS(tblYield[Passed first time],tblYield[Operation],$C$82,tblYield[View date],"&gt;="&amp;$B$88,tblYield[View date],"&lt;"&amp;$B$88+7))/(SUMIFS(tblYield[Units in],tblYield[Operation],$C$82,tblYield[View date],"&gt;="&amp;$B$88,tblYield[View date],"&lt;"&amp;$B$88+7))))</f>
        <v>0.989527027027027</v>
      </c>
      <c r="D88" s="57">
        <f>IF(OR($B$88="",$D$82=""),"",IF((SUMIFS(tblYield[Units in],tblYield[Operation],$D$82,tblYield[View date],"&gt;="&amp;$B$88,tblYield[View date],"&lt;"&amp;$B$88+7))=0,"",(SUMIFS(tblYield[Passed first time],tblYield[Operation],$D$82,tblYield[View date],"&gt;="&amp;$B$88,tblYield[View date],"&lt;"&amp;$B$88+7))/(SUMIFS(tblYield[Units in],tblYield[Operation],$D$82,tblYield[View date],"&gt;="&amp;$B$88,tblYield[View date],"&lt;"&amp;$B$88+7))))</f>
        <v>0.975675675675676</v>
      </c>
      <c r="E88" s="57">
        <f>IF(OR($B$88="",$E$82=""),"",IF((SUMIFS(tblYield[Units in],tblYield[Operation],$E$82,tblYield[View date],"&gt;="&amp;$B$88,tblYield[View date],"&lt;"&amp;$B$88+7))=0,"",(SUMIFS(tblYield[Passed first time],tblYield[Operation],$E$82,tblYield[View date],"&gt;="&amp;$B$88,tblYield[View date],"&lt;"&amp;$B$88+7))/(SUMIFS(tblYield[Units in],tblYield[Operation],$E$82,tblYield[View date],"&gt;="&amp;$B$88,tblYield[View date],"&lt;"&amp;$B$88+7))))</f>
        <v>0.958375634517767</v>
      </c>
      <c r="F88" s="57">
        <f>IF(OR($B$88="",$F$82=""),"",IF((SUMIFS(tblYield[Units in],tblYield[Operation],$F$82,tblYield[View date],"&gt;="&amp;$B$88,tblYield[View date],"&lt;"&amp;$B$88+7))=0,"",(SUMIFS(tblYield[Passed first time],tblYield[Operation],$F$82,tblYield[View date],"&gt;="&amp;$B$88,tblYield[View date],"&lt;"&amp;$B$88+7))/(SUMIFS(tblYield[Units in],tblYield[Operation],$F$82,tblYield[View date],"&gt;="&amp;$B$88,tblYield[View date],"&lt;"&amp;$B$88+7))))</f>
        <v>0.9830335934849</v>
      </c>
      <c r="G88" s="57">
        <f>IF(OR($B$88="",$G$82=""),"",IF((SUMIFS(tblYield[Units in],tblYield[Operation],$G$82,tblYield[View date],"&gt;="&amp;$B$88,tblYield[View date],"&lt;"&amp;$B$88+7))=0,"",(SUMIFS(tblYield[Passed first time],tblYield[Operation],$G$82,tblYield[View date],"&gt;="&amp;$B$88,tblYield[View date],"&lt;"&amp;$B$88+7))/(SUMIFS(tblYield[Units in],tblYield[Operation],$G$82,tblYield[View date],"&gt;="&amp;$B$88,tblYield[View date],"&lt;"&amp;$B$88+7))))</f>
        <v>0.986403806934059</v>
      </c>
      <c r="H88" s="57">
        <f>IF(OR($B$88="",$H$82=""),"",IF((SUMIFS(tblYield[Units in],tblYield[Operation],$H$82,tblYield[View date],"&gt;="&amp;$B$88,tblYield[View date],"&lt;"&amp;$B$88+7))=0,"",(SUMIFS(tblYield[Passed first time],tblYield[Operation],$H$82,tblYield[View date],"&gt;="&amp;$B$88,tblYield[View date],"&lt;"&amp;$B$88+7))/(SUMIFS(tblYield[Units in],tblYield[Operation],$H$82,tblYield[View date],"&gt;="&amp;$B$88,tblYield[View date],"&lt;"&amp;$B$88+7))))</f>
        <v>0.99250936329588</v>
      </c>
      <c r="I88" s="58">
        <f>IF($B$88="","",IF(COUNT($C$88:$H$88)=0,"",PRODUCT($C$88:$H$88)))</f>
        <v>0.890485011524406</v>
      </c>
    </row>
    <row r="89" spans="2:12" ht="8" customHeight="1" x14ac:dyDescent="0.25"/>
    <row r="90" spans="2:12" ht="26.76" customHeight="1" x14ac:dyDescent="0.25">
      <c r="B90" s="21" t="s">
        <v>139</v>
      </c>
      <c r="C90" s="21"/>
      <c r="D90" s="21"/>
      <c r="E90" s="21"/>
      <c r="F90" s="21"/>
      <c r="G90" s="21"/>
      <c r="H90" s="21"/>
      <c r="I90" s="21"/>
      <c r="J90" s="21"/>
      <c r="K90" s="21"/>
      <c r="L90" s="21"/>
    </row>
    <row r="91" spans="2:12" x14ac:dyDescent="0.25">
      <c r="B91" s="59">
        <f>IF(COUNTA(tblOperations[Operation])&gt;6,"The Setup list has more operations than the Dashboard blocks: RTY leaves the extra operations out.","")</f>
        <v/>
      </c>
      <c r="C91" s="59"/>
      <c r="D91" s="59"/>
      <c r="E91" s="59"/>
      <c r="F91" s="59"/>
      <c r="G91" s="59"/>
      <c r="H91" s="59"/>
      <c r="I91" s="59"/>
      <c r="J91" s="59"/>
      <c r="K91" s="59"/>
      <c r="L91" s="59"/>
    </row>
  </sheetData>
  <sheetProtection sheet="1" formatColumns="0" formatRows="0"/>
  <mergeCells count="52">
    <mergeCell ref="A1:L1"/>
    <mergeCell ref="B2:J2"/>
    <mergeCell ref="K2:L2"/>
    <mergeCell ref="C4:D4"/>
    <mergeCell ref="G4:H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L51"/>
    <mergeCell ref="I52:J52"/>
    <mergeCell ref="I53:J53"/>
    <mergeCell ref="I54:J54"/>
    <mergeCell ref="I55:J55"/>
    <mergeCell ref="I56:J56"/>
    <mergeCell ref="I57:J57"/>
    <mergeCell ref="I58:J58"/>
    <mergeCell ref="I59:J59"/>
    <mergeCell ref="B61:H61"/>
    <mergeCell ref="B71:H71"/>
    <mergeCell ref="B81:I81"/>
    <mergeCell ref="B90:L90"/>
    <mergeCell ref="B91:L91"/>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64:E69">
    <cfRule type="dataBar" priority="4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74:G79">
    <cfRule type="expression" dxfId="3" priority="42" stopIfTrue="1">
      <formula>AND(ISNUMBER(G74),G74&gt;=(TargetRTY))</formula>
    </cfRule>
    <cfRule type="expression" dxfId="4" priority="43" stopIfTrue="1">
      <formula>AND(ISNUMBER(G74),G74&gt;=(TargetRTY)*(1-NearBand/TargetRTY))</formula>
    </cfRule>
    <cfRule type="expression" dxfId="5" priority="44">
      <formula>ISNUMBER(G74)</formula>
    </cfRule>
  </conditionalFormatting>
  <conditionalFormatting sqref="I54:I5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dataValidations count="2">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G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First Pass Yield Tracker&amp;R&amp;8&amp;A</oddHeader>
    <oddFooter>&amp;L&amp;8mfgcalcs.com - free manufacturing templates&amp;R&amp;8Page &amp;P of &amp;N</oddFooter>
  </headerFooter>
  <rowBreaks count="3" manualBreakCount="3">
    <brk id="28" max="16383" man="1"/>
    <brk id="50" max="16383" man="1"/>
    <brk id="70"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E64:E69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140</v>
      </c>
      <c r="C4" s="8"/>
      <c r="D4" s="8"/>
    </row>
    <row r="5" spans="1:4" ht="5" customHeight="1"/>
    <row r="6" spans="1:4" ht="55.8" customHeight="1">
      <c r="B6" s="10" t="s">
        <v>141</v>
      </c>
      <c r="C6" s="10"/>
      <c r="D6" s="10"/>
    </row>
    <row r="8" spans="1:4" ht="21" customHeight="1">
      <c r="B8" s="8" t="s">
        <v>142</v>
      </c>
      <c r="C8" s="8"/>
      <c r="D8" s="8"/>
    </row>
    <row r="9" spans="1:4" ht="5" customHeight="1"/>
    <row r="10" spans="1:4" ht="20" customHeight="1">
      <c r="B10" s="53" t="s">
        <v>143</v>
      </c>
      <c r="C10" s="53" t="s">
        <v>144</v>
      </c>
      <c r="D10" s="32" t="s">
        <v>145</v>
      </c>
    </row>
    <row r="11" spans="1:4" ht="17.2" customHeight="1">
      <c r="B11" s="60" t="s">
        <v>92</v>
      </c>
      <c r="C11" s="61" t="s">
        <v>146</v>
      </c>
      <c r="D11" s="62" t="s">
        <v>103</v>
      </c>
    </row>
    <row r="12" spans="1:4" ht="17.2" customHeight="1">
      <c r="B12" s="60" t="s">
        <v>93</v>
      </c>
      <c r="C12" s="61" t="s">
        <v>147</v>
      </c>
      <c r="D12" s="62" t="s">
        <v>103</v>
      </c>
    </row>
    <row r="13" spans="1:4" ht="17.2" customHeight="1">
      <c r="B13" s="60" t="s">
        <v>94</v>
      </c>
      <c r="C13" s="61" t="s">
        <v>148</v>
      </c>
      <c r="D13" s="62" t="s">
        <v>125</v>
      </c>
    </row>
    <row r="14" spans="1:4" ht="17.2" customHeight="1">
      <c r="B14" s="60" t="s">
        <v>96</v>
      </c>
      <c r="C14" s="61" t="s">
        <v>149</v>
      </c>
      <c r="D14" s="62" t="s">
        <v>125</v>
      </c>
    </row>
    <row r="15" spans="1:4" ht="30.4" customHeight="1">
      <c r="B15" s="60" t="s">
        <v>95</v>
      </c>
      <c r="C15" s="61" t="s">
        <v>150</v>
      </c>
      <c r="D15" s="62" t="s">
        <v>151</v>
      </c>
    </row>
    <row r="16" spans="1:4" ht="30.4" customHeight="1">
      <c r="B16" s="60" t="s">
        <v>152</v>
      </c>
      <c r="C16" s="61" t="s">
        <v>153</v>
      </c>
      <c r="D16" s="62" t="s">
        <v>154</v>
      </c>
    </row>
    <row r="17" spans="2:4" ht="43.6" customHeight="1">
      <c r="B17" s="60" t="s">
        <v>135</v>
      </c>
      <c r="C17" s="61" t="s">
        <v>155</v>
      </c>
      <c r="D17" s="62" t="s">
        <v>125</v>
      </c>
    </row>
    <row r="18" spans="2:4" ht="17.2" customHeight="1">
      <c r="B18" s="60" t="s">
        <v>156</v>
      </c>
      <c r="C18" s="61" t="s">
        <v>157</v>
      </c>
      <c r="D18" s="62" t="s">
        <v>125</v>
      </c>
    </row>
    <row r="19" spans="2:4" ht="30.4" customHeight="1">
      <c r="B19" s="60" t="s">
        <v>158</v>
      </c>
      <c r="C19" s="61" t="s">
        <v>159</v>
      </c>
      <c r="D19" s="62" t="s">
        <v>125</v>
      </c>
    </row>
    <row r="20" spans="2:4" ht="30.4" customHeight="1">
      <c r="B20" s="60" t="s">
        <v>160</v>
      </c>
      <c r="C20" s="61" t="s">
        <v>161</v>
      </c>
      <c r="D20" s="62" t="s">
        <v>151</v>
      </c>
    </row>
    <row r="22" spans="2:4" ht="21" customHeight="1">
      <c r="B22" s="8" t="s">
        <v>162</v>
      </c>
      <c r="C22" s="8"/>
      <c r="D22" s="8"/>
    </row>
    <row r="23" spans="2:4" ht="5" customHeight="1"/>
    <row r="24" spans="2:4" ht="29.4" customHeight="1">
      <c r="B24" s="26" t="s">
        <v>53</v>
      </c>
      <c r="C24" s="10" t="s">
        <v>163</v>
      </c>
      <c r="D24" s="10"/>
    </row>
    <row r="25" spans="2:4" ht="29.4" customHeight="1">
      <c r="B25" s="26" t="s">
        <v>53</v>
      </c>
      <c r="C25" s="10" t="s">
        <v>164</v>
      </c>
      <c r="D25" s="10"/>
    </row>
    <row r="26" spans="2:4" ht="29.4" customHeight="1">
      <c r="B26" s="26" t="s">
        <v>53</v>
      </c>
      <c r="C26" s="10" t="s">
        <v>165</v>
      </c>
      <c r="D26" s="10"/>
    </row>
    <row r="27" spans="2:4" ht="16.2" customHeight="1">
      <c r="B27" s="26" t="s">
        <v>53</v>
      </c>
      <c r="C27" s="10" t="s">
        <v>166</v>
      </c>
      <c r="D27" s="10"/>
    </row>
    <row r="29" spans="2:4" ht="21" customHeight="1">
      <c r="B29" s="8" t="s">
        <v>167</v>
      </c>
      <c r="C29" s="8"/>
      <c r="D29" s="8"/>
    </row>
    <row r="30" spans="2:4" ht="5" customHeight="1"/>
    <row r="31" spans="2:4" ht="29.4" customHeight="1">
      <c r="B31" s="26" t="s">
        <v>53</v>
      </c>
      <c r="C31" s="10" t="s">
        <v>168</v>
      </c>
      <c r="D31" s="10"/>
    </row>
    <row r="32" spans="2:4" ht="16.2" customHeight="1">
      <c r="B32" s="26" t="s">
        <v>53</v>
      </c>
      <c r="C32" s="10" t="s">
        <v>169</v>
      </c>
      <c r="D32" s="10"/>
    </row>
    <row r="33" spans="2:4" ht="16.2" customHeight="1">
      <c r="B33" s="26" t="s">
        <v>53</v>
      </c>
      <c r="C33" s="10" t="s">
        <v>170</v>
      </c>
      <c r="D33" s="10"/>
    </row>
    <row r="34" spans="2:4" ht="29.4" customHeight="1">
      <c r="B34" s="26" t="s">
        <v>53</v>
      </c>
      <c r="C34" s="10" t="s">
        <v>171</v>
      </c>
      <c r="D34" s="10"/>
    </row>
    <row r="36" spans="2:4" ht="21" customHeight="1">
      <c r="B36" s="8" t="s">
        <v>172</v>
      </c>
      <c r="C36" s="8"/>
      <c r="D36" s="8"/>
    </row>
    <row r="37" spans="2:4" ht="5" customHeight="1"/>
    <row r="38" spans="2:4" ht="69" customHeight="1">
      <c r="B38" s="10" t="s">
        <v>173</v>
      </c>
      <c r="C38" s="10"/>
      <c r="D38" s="10"/>
    </row>
    <row r="39" spans="2:4">
      <c r="B39" s="24" t="s">
        <v>174</v>
      </c>
      <c r="C39" s="24"/>
      <c r="D39" s="24"/>
    </row>
    <row r="41" spans="2:4" ht="21" customHeight="1">
      <c r="B41" s="8" t="s">
        <v>40</v>
      </c>
      <c r="C41" s="8"/>
      <c r="D41" s="8"/>
    </row>
    <row r="42" spans="2:4" ht="5" customHeight="1"/>
    <row r="43" spans="2:4" ht="42.6" customHeight="1">
      <c r="B43" s="10" t="s">
        <v>175</v>
      </c>
      <c r="C43" s="10"/>
      <c r="D43" s="10"/>
    </row>
    <row r="45" spans="2:4" ht="21" customHeight="1">
      <c r="B45" s="8" t="s">
        <v>176</v>
      </c>
      <c r="C45" s="8"/>
      <c r="D45" s="8"/>
    </row>
    <row r="46" spans="2:4" ht="5" customHeight="1"/>
    <row r="47" spans="2:4" ht="16.2" customHeight="1">
      <c r="B47" s="26" t="s">
        <v>53</v>
      </c>
      <c r="C47" s="10" t="s">
        <v>177</v>
      </c>
      <c r="D47" s="10"/>
    </row>
    <row r="48" spans="2:4" ht="29.4" customHeight="1">
      <c r="B48" s="26" t="s">
        <v>53</v>
      </c>
      <c r="C48" s="10" t="s">
        <v>178</v>
      </c>
      <c r="D48" s="10"/>
    </row>
    <row r="49" spans="2:4" ht="16.2" customHeight="1">
      <c r="B49" s="26" t="s">
        <v>53</v>
      </c>
      <c r="C49" s="10" t="s">
        <v>179</v>
      </c>
      <c r="D49" s="10"/>
    </row>
    <row r="50" spans="2:4">
      <c r="B50" s="21" t="s">
        <v>180</v>
      </c>
      <c r="C50" s="21"/>
      <c r="D50" s="21"/>
    </row>
    <row r="52" spans="2:4" ht="21" customHeight="1">
      <c r="B52" s="8" t="s">
        <v>181</v>
      </c>
      <c r="C52" s="8"/>
      <c r="D52" s="8"/>
    </row>
    <row r="53" spans="2:4" ht="5" customHeight="1"/>
    <row r="54" spans="2:4">
      <c r="B54" s="53" t="s">
        <v>48</v>
      </c>
      <c r="C54" s="53" t="s">
        <v>182</v>
      </c>
      <c r="D54" s="32" t="s">
        <v>88</v>
      </c>
    </row>
    <row r="55" spans="2:4" ht="16.2" customHeight="1">
      <c r="B55" s="63" t="s">
        <v>183</v>
      </c>
      <c r="C55" s="64" t="s">
        <v>184</v>
      </c>
      <c r="D55" s="65" t="s">
        <v>185</v>
      </c>
    </row>
    <row r="57" spans="2:4">
      <c r="B57" s="21" t="s">
        <v>59</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First Pass Yield Tracker&amp;R&amp;8&amp;A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S71"/>
  <sheetViews>
    <sheetView showGridLines="0" workbookViewId="0"/>
  </sheetViews>
  <sheetFormatPr defaultRowHeight="15" x14ac:dyDescent="0.25"/>
  <cols>
    <col min="1" max="1" width="2.7109375" customWidth="1"/>
    <col min="2" max="19" width="12.7109375" customWidth="1"/>
  </cols>
  <sheetData>
    <row r="1" spans="1:19" ht="30" customHeight="1" x14ac:dyDescent="0.25">
      <c r="A1" s="1" t="s">
        <v>0</v>
      </c>
      <c r="B1" s="1"/>
      <c r="C1" s="1"/>
      <c r="D1" s="1"/>
      <c r="E1" s="1"/>
      <c r="F1" s="1"/>
      <c r="G1" s="1"/>
      <c r="H1" s="1"/>
      <c r="I1" s="1"/>
      <c r="J1" s="1"/>
      <c r="K1" s="1"/>
      <c r="L1" s="1"/>
      <c r="M1" s="1"/>
      <c r="N1" s="1"/>
      <c r="O1" s="1"/>
      <c r="P1" s="1"/>
      <c r="Q1" s="1"/>
      <c r="R1" s="1"/>
      <c r="S1" s="1"/>
    </row>
    <row r="2" spans="1:19" ht="21" customHeight="1" x14ac:dyDescent="0.25">
      <c r="B2" s="2" t="s">
        <v>26</v>
      </c>
      <c r="C2" s="2"/>
      <c r="D2" s="2"/>
      <c r="E2" s="2"/>
      <c r="F2" s="2"/>
      <c r="G2" s="2"/>
      <c r="H2" s="2"/>
      <c r="I2" s="2"/>
      <c r="J2" s="2"/>
      <c r="K2" s="2"/>
      <c r="L2" s="2"/>
      <c r="M2" s="2"/>
      <c r="N2" s="2"/>
      <c r="O2" s="2"/>
      <c r="P2" s="2"/>
      <c r="Q2" s="2"/>
      <c r="R2" s="2"/>
      <c r="S2" s="3" t="s">
        <v>2</v>
      </c>
    </row>
    <row r="3" spans="1:19" ht="6" customHeight="1" x14ac:dyDescent="0.25"/>
    <row r="4" spans="1:19" ht="30" customHeight="1" x14ac:dyDescent="0.25">
      <c r="B4" s="66" t="s">
        <v>186</v>
      </c>
      <c r="C4" s="66"/>
      <c r="D4" s="22" t="str">
        <f>IF(COUNTIF($K$11:$K$26,"PASS")=16,"PASS","FAIL")</f>
        <v>PASS</v>
      </c>
      <c r="E4" s="22"/>
      <c r="F4" s="23" t="str">
        <f>COUNTIF($K$11:$K$26,"PASS")&amp;" of 16 checks pass"</f>
        <v>16 of 16 checks pass</v>
      </c>
      <c r="G4" s="23"/>
      <c r="H4" s="23"/>
      <c r="I4" s="23"/>
      <c r="J4" s="23"/>
    </row>
    <row r="6" spans="1:19" ht="29.4" customHeight="1" x14ac:dyDescent="0.25">
      <c r="B6" s="10" t="s">
        <v>187</v>
      </c>
      <c r="C6" s="10"/>
      <c r="D6" s="10"/>
      <c r="E6" s="10"/>
      <c r="F6" s="10"/>
      <c r="G6" s="10"/>
      <c r="H6" s="10"/>
      <c r="I6" s="10"/>
      <c r="J6" s="10"/>
      <c r="K6" s="10"/>
      <c r="L6" s="10"/>
    </row>
    <row r="8" spans="1:19" ht="21" customHeight="1" x14ac:dyDescent="0.25">
      <c r="B8" s="8" t="s">
        <v>188</v>
      </c>
      <c r="C8" s="8"/>
      <c r="D8" s="8"/>
      <c r="E8" s="8"/>
      <c r="F8" s="8"/>
      <c r="G8" s="8"/>
      <c r="H8" s="8"/>
      <c r="I8" s="8"/>
      <c r="J8" s="8"/>
      <c r="K8" s="8"/>
      <c r="L8" s="8"/>
    </row>
    <row r="9" spans="1:19" ht="5" customHeight="1" x14ac:dyDescent="0.25"/>
    <row r="10" spans="1:19" ht="30" customHeight="1" x14ac:dyDescent="0.25">
      <c r="B10" s="32" t="s">
        <v>189</v>
      </c>
      <c r="C10" s="53" t="s">
        <v>100</v>
      </c>
      <c r="D10" s="53"/>
      <c r="E10" s="53"/>
      <c r="F10" s="53"/>
      <c r="G10" s="32" t="s">
        <v>190</v>
      </c>
      <c r="H10" s="32" t="s">
        <v>191</v>
      </c>
      <c r="I10" s="32" t="s">
        <v>192</v>
      </c>
      <c r="J10" s="32" t="s">
        <v>193</v>
      </c>
      <c r="K10" s="32" t="s">
        <v>194</v>
      </c>
    </row>
    <row r="11" spans="1:19" ht="16.2" customHeight="1" x14ac:dyDescent="0.25">
      <c r="B11" s="67">
        <v>1</v>
      </c>
      <c r="C11" s="64" t="s">
        <v>195</v>
      </c>
      <c r="D11" s="64"/>
      <c r="E11" s="64"/>
      <c r="F11" s="64"/>
      <c r="G11" s="68">
        <v>110</v>
      </c>
      <c r="H11" s="37">
        <f>$G$47</f>
        <v>110</v>
      </c>
      <c r="I11" s="69">
        <f>IF(AND(ISNUMBER($G$11),ISNUMBER($H$11)),ABS($H$11-$G$11),"")</f>
        <v>0</v>
      </c>
      <c r="J11" s="70">
        <v>1E-09</v>
      </c>
      <c r="K11" s="39" t="str">
        <f>IF(AND(ISNUMBER($G$11),ISNUMBER($H$11)),IF(ABS($H$11-$G$11)&lt;=$J$11,"PASS","FAIL"),"FAIL")</f>
        <v>PASS</v>
      </c>
    </row>
    <row r="12" spans="1:19" ht="16.2" customHeight="1" x14ac:dyDescent="0.25">
      <c r="B12" s="67">
        <v>2</v>
      </c>
      <c r="C12" s="64" t="s">
        <v>196</v>
      </c>
      <c r="D12" s="64"/>
      <c r="E12" s="64"/>
      <c r="F12" s="64"/>
      <c r="G12" s="68">
        <v>80</v>
      </c>
      <c r="H12" s="37">
        <f>$H$47</f>
        <v>80</v>
      </c>
      <c r="I12" s="69">
        <f>IF(AND(ISNUMBER($G$12),ISNUMBER($H$12)),ABS($H$12-$G$12),"")</f>
        <v>0</v>
      </c>
      <c r="J12" s="70">
        <v>1E-09</v>
      </c>
      <c r="K12" s="39" t="str">
        <f>IF(AND(ISNUMBER($G$12),ISNUMBER($H$12)),IF(ABS($H$12-$G$12)&lt;=$J$12,"PASS","FAIL"),"FAIL")</f>
        <v>PASS</v>
      </c>
    </row>
    <row r="13" spans="1:19" ht="16.2" customHeight="1" x14ac:dyDescent="0.25">
      <c r="B13" s="67">
        <v>3</v>
      </c>
      <c r="C13" s="64" t="s">
        <v>197</v>
      </c>
      <c r="D13" s="64"/>
      <c r="E13" s="64"/>
      <c r="F13" s="64"/>
      <c r="G13" s="71">
        <v>0.9083333333333333</v>
      </c>
      <c r="H13" s="72">
        <f>$I$47</f>
        <v>0.908333333333333</v>
      </c>
      <c r="I13" s="69">
        <f>IF(AND(ISNUMBER($G$13),ISNUMBER($H$13)),ABS($H$13-$G$13),"")</f>
        <v>0</v>
      </c>
      <c r="J13" s="70">
        <v>1E-09</v>
      </c>
      <c r="K13" s="39" t="str">
        <f>IF(AND(ISNUMBER($G$13),ISNUMBER($H$13)),IF(ABS($H$13-$G$13)&lt;=$J$13,"PASS","FAIL"),"FAIL")</f>
        <v>PASS</v>
      </c>
    </row>
    <row r="14" spans="1:19" ht="16.2" customHeight="1" x14ac:dyDescent="0.25">
      <c r="B14" s="67">
        <v>4</v>
      </c>
      <c r="C14" s="64" t="s">
        <v>198</v>
      </c>
      <c r="D14" s="64"/>
      <c r="E14" s="64"/>
      <c r="F14" s="64"/>
      <c r="G14" s="71">
        <v>0.975</v>
      </c>
      <c r="H14" s="72">
        <f>$L$47</f>
        <v>0.975</v>
      </c>
      <c r="I14" s="69">
        <f>IF(AND(ISNUMBER($G$14),ISNUMBER($H$14)),ABS($H$14-$G$14),"")</f>
        <v>0</v>
      </c>
      <c r="J14" s="70">
        <v>1E-09</v>
      </c>
      <c r="K14" s="39" t="str">
        <f>IF(AND(ISNUMBER($G$14),ISNUMBER($H$14)),IF(ABS($H$14-$G$14)&lt;=$J$14,"PASS","FAIL"),"FAIL")</f>
        <v>PASS</v>
      </c>
    </row>
    <row r="15" spans="1:19" ht="29.4" customHeight="1" x14ac:dyDescent="0.25">
      <c r="B15" s="67">
        <v>5</v>
      </c>
      <c r="C15" s="64" t="s">
        <v>199</v>
      </c>
      <c r="D15" s="64"/>
      <c r="E15" s="64"/>
      <c r="F15" s="64"/>
      <c r="G15" s="63" t="s">
        <v>200</v>
      </c>
      <c r="H15" s="73" t="str">
        <f>$K$47</f>
        <v>Below target</v>
      </c>
      <c r="I15" s="73"/>
      <c r="J15" s="65" t="s">
        <v>201</v>
      </c>
      <c r="K15" s="39" t="str">
        <f>IF($H$15&amp;""=$G$15&amp;"","PASS","FAIL")</f>
        <v>PASS</v>
      </c>
    </row>
    <row r="16" spans="1:19" ht="16.2" customHeight="1" x14ac:dyDescent="0.25">
      <c r="B16" s="67">
        <v>6</v>
      </c>
      <c r="C16" s="64" t="s">
        <v>202</v>
      </c>
      <c r="D16" s="64"/>
      <c r="E16" s="64"/>
      <c r="F16" s="64"/>
      <c r="G16" s="74">
        <v>400</v>
      </c>
      <c r="H16" s="40">
        <f>$O$47</f>
        <v>400</v>
      </c>
      <c r="I16" s="69">
        <f>IF(AND(ISNUMBER($G$16),ISNUMBER($H$16)),ABS($H$16-$G$16),"")</f>
        <v>0</v>
      </c>
      <c r="J16" s="70">
        <v>1E-09</v>
      </c>
      <c r="K16" s="39" t="str">
        <f>IF(AND(ISNUMBER($G$16),ISNUMBER($H$16)),IF(ABS($H$16-$G$16)&lt;=$J$16,"PASS","FAIL"),"FAIL")</f>
        <v>PASS</v>
      </c>
    </row>
    <row r="17" spans="2:12" ht="16.2" customHeight="1" x14ac:dyDescent="0.25">
      <c r="B17" s="67">
        <v>7</v>
      </c>
      <c r="C17" s="64" t="s">
        <v>203</v>
      </c>
      <c r="D17" s="64"/>
      <c r="E17" s="64"/>
      <c r="F17" s="64"/>
      <c r="G17" s="74">
        <v>600</v>
      </c>
      <c r="H17" s="40">
        <f>$P$47</f>
        <v>600</v>
      </c>
      <c r="I17" s="69">
        <f>IF(AND(ISNUMBER($G$17),ISNUMBER($H$17)),ABS($H$17-$G$17),"")</f>
        <v>0</v>
      </c>
      <c r="J17" s="70">
        <v>1E-09</v>
      </c>
      <c r="K17" s="39" t="str">
        <f>IF(AND(ISNUMBER($G$17),ISNUMBER($H$17)),IF(ABS($H$17-$G$17)&lt;=$J$17,"PASS","FAIL"),"FAIL")</f>
        <v>PASS</v>
      </c>
    </row>
    <row r="18" spans="2:12" ht="16.2" customHeight="1" x14ac:dyDescent="0.25">
      <c r="B18" s="67">
        <v>8</v>
      </c>
      <c r="C18" s="64" t="s">
        <v>204</v>
      </c>
      <c r="D18" s="64"/>
      <c r="E18" s="64"/>
      <c r="F18" s="64"/>
      <c r="G18" s="63" t="s">
        <v>205</v>
      </c>
      <c r="H18" s="73" t="str">
        <f>$K$48</f>
        <v>On target</v>
      </c>
      <c r="I18" s="73"/>
      <c r="J18" s="65" t="s">
        <v>201</v>
      </c>
      <c r="K18" s="39" t="str">
        <f>IF($H$18&amp;""=$G$18&amp;"","PASS","FAIL")</f>
        <v>PASS</v>
      </c>
    </row>
    <row r="19" spans="2:12" ht="16.2" customHeight="1" x14ac:dyDescent="0.25">
      <c r="B19" s="67">
        <v>9</v>
      </c>
      <c r="C19" s="64" t="s">
        <v>206</v>
      </c>
      <c r="D19" s="64"/>
      <c r="E19" s="64"/>
      <c r="F19" s="64"/>
      <c r="G19" s="63" t="s">
        <v>207</v>
      </c>
      <c r="H19" s="73" t="str">
        <f>$R$50</f>
        <v>Operation not on Setup list</v>
      </c>
      <c r="I19" s="73"/>
      <c r="J19" s="65" t="s">
        <v>201</v>
      </c>
      <c r="K19" s="39" t="str">
        <f>IF($H$19&amp;""=$G$19&amp;"","PASS","FAIL")</f>
        <v>PASS</v>
      </c>
    </row>
    <row r="20" spans="2:12" ht="16.2" customHeight="1" x14ac:dyDescent="0.25">
      <c r="B20" s="67">
        <v>10</v>
      </c>
      <c r="C20" s="64" t="s">
        <v>208</v>
      </c>
      <c r="D20" s="64"/>
      <c r="E20" s="64"/>
      <c r="F20" s="64"/>
      <c r="G20" s="63" t="s">
        <v>209</v>
      </c>
      <c r="H20" s="73" t="str">
        <f>$R$51</f>
        <v>Passed + scrapped &gt; units in</v>
      </c>
      <c r="I20" s="73"/>
      <c r="J20" s="65" t="s">
        <v>201</v>
      </c>
      <c r="K20" s="39" t="str">
        <f>IF($H$20&amp;""=$G$20&amp;"","PASS","FAIL")</f>
        <v>PASS</v>
      </c>
    </row>
    <row r="21" spans="2:12" ht="16.2" customHeight="1" x14ac:dyDescent="0.25">
      <c r="B21" s="67">
        <v>11</v>
      </c>
      <c r="C21" s="64" t="s">
        <v>210</v>
      </c>
      <c r="D21" s="64"/>
      <c r="E21" s="64"/>
      <c r="F21" s="64"/>
      <c r="G21" s="71">
        <v>0.9908637873754153</v>
      </c>
      <c r="H21" s="72">
        <f>$G$58</f>
        <v>0.990863787375415</v>
      </c>
      <c r="I21" s="69">
        <f>IF(AND(ISNUMBER($G$21),ISNUMBER($H$21)),ABS($H$21-$G$21),"")</f>
        <v>0</v>
      </c>
      <c r="J21" s="70">
        <v>1E-09</v>
      </c>
      <c r="K21" s="39" t="str">
        <f>IF(AND(ISNUMBER($G$21),ISNUMBER($H$21)),IF(ABS($H$21-$G$21)&lt;=$J$21,"PASS","FAIL"),"FAIL")</f>
        <v>PASS</v>
      </c>
    </row>
    <row r="22" spans="2:12" ht="16.2" customHeight="1" x14ac:dyDescent="0.25">
      <c r="B22" s="67">
        <v>12</v>
      </c>
      <c r="C22" s="64" t="s">
        <v>211</v>
      </c>
      <c r="D22" s="64"/>
      <c r="E22" s="64"/>
      <c r="F22" s="64"/>
      <c r="G22" s="71">
        <v>0.885042735042735</v>
      </c>
      <c r="H22" s="72">
        <f>$L$57</f>
        <v>0.885042735042735</v>
      </c>
      <c r="I22" s="69">
        <f>IF(AND(ISNUMBER($G$22),ISNUMBER($H$22)),ABS($H$22-$G$22),"")</f>
        <v>0</v>
      </c>
      <c r="J22" s="70">
        <v>1E-09</v>
      </c>
      <c r="K22" s="39" t="str">
        <f>IF(AND(ISNUMBER($G$22),ISNUMBER($H$22)),IF(ABS($H$22-$G$22)&lt;=$J$22,"PASS","FAIL"),"FAIL")</f>
        <v>PASS</v>
      </c>
    </row>
    <row r="23" spans="2:12" ht="16.2" customHeight="1" x14ac:dyDescent="0.25">
      <c r="B23" s="67">
        <v>13</v>
      </c>
      <c r="C23" s="64" t="s">
        <v>212</v>
      </c>
      <c r="D23" s="64"/>
      <c r="E23" s="64"/>
      <c r="F23" s="64"/>
      <c r="G23" s="71">
        <v>0.8769567964335405</v>
      </c>
      <c r="H23" s="72">
        <f>IF(COUNT($G$56:$G$61)=0,"",PRODUCT($G$56:$G$61))</f>
        <v>0.876956796433541</v>
      </c>
      <c r="I23" s="69">
        <f>IF(AND(ISNUMBER($G$23),ISNUMBER($H$23)),ABS($H$23-$G$23),"")</f>
        <v>0</v>
      </c>
      <c r="J23" s="70">
        <v>1E-09</v>
      </c>
      <c r="K23" s="39" t="str">
        <f>IF(AND(ISNUMBER($G$23),ISNUMBER($H$23)),IF(ABS($H$23-$G$23)&lt;=$J$23,"PASS","FAIL"),"FAIL")</f>
        <v>PASS</v>
      </c>
    </row>
    <row r="24" spans="2:12" ht="16.2" customHeight="1" x14ac:dyDescent="0.25">
      <c r="B24" s="67">
        <v>14</v>
      </c>
      <c r="C24" s="64" t="s">
        <v>213</v>
      </c>
      <c r="D24" s="64"/>
      <c r="E24" s="64"/>
      <c r="F24" s="64"/>
      <c r="G24" s="71">
        <v>0.9659717607973421</v>
      </c>
      <c r="H24" s="72">
        <f>IF(COUNT($K$56:$K$61)=0,"",PRODUCT($K$56:$K$61))</f>
        <v>0.965971760797342</v>
      </c>
      <c r="I24" s="69">
        <f>IF(AND(ISNUMBER($G$24),ISNUMBER($H$24)),ABS($H$24-$G$24),"")</f>
        <v>0</v>
      </c>
      <c r="J24" s="70">
        <v>1E-09</v>
      </c>
      <c r="K24" s="39" t="str">
        <f>IF(AND(ISNUMBER($G$24),ISNUMBER($H$24)),IF(ABS($H$24-$G$24)&lt;=$J$24,"PASS","FAIL"),"FAIL")</f>
        <v>PASS</v>
      </c>
    </row>
    <row r="25" spans="2:12" ht="16.2" customHeight="1" x14ac:dyDescent="0.25">
      <c r="B25" s="67">
        <v>15</v>
      </c>
      <c r="C25" s="64" t="s">
        <v>214</v>
      </c>
      <c r="D25" s="64"/>
      <c r="E25" s="64"/>
      <c r="F25" s="64"/>
      <c r="G25" s="74">
        <v>1559</v>
      </c>
      <c r="H25" s="40">
        <f>SUMIFS(tblVerifyYield[Rework cost],tblVerifyYield[View date],"&gt;0")+SUMIFS(tblVerifyYield[Scrap cost],tblVerifyYield[View date],"&gt;0")</f>
        <v>1559</v>
      </c>
      <c r="I25" s="69">
        <f>IF(AND(ISNUMBER($G$25),ISNUMBER($H$25)),ABS($H$25-$G$25),"")</f>
        <v>0</v>
      </c>
      <c r="J25" s="70">
        <v>1E-06</v>
      </c>
      <c r="K25" s="39" t="str">
        <f>IF(AND(ISNUMBER($G$25),ISNUMBER($H$25)),IF(ABS($H$25-$G$25)&lt;=$J$25,"PASS","FAIL"),"FAIL")</f>
        <v>PASS</v>
      </c>
    </row>
    <row r="26" spans="2:12" ht="16.2" customHeight="1" x14ac:dyDescent="0.25">
      <c r="B26" s="67">
        <v>16</v>
      </c>
      <c r="C26" s="64" t="s">
        <v>215</v>
      </c>
      <c r="D26" s="64"/>
      <c r="E26" s="64"/>
      <c r="F26" s="64"/>
      <c r="G26" s="68">
        <v>1200</v>
      </c>
      <c r="H26" s="37">
        <f>SUMIFS(tblVerifyYield[Units in],tblVerifyYield[Operation],INDEX(tblVerifyOperations[Operation],1),tblVerifyYield[View date],"&gt;0")</f>
        <v>1200</v>
      </c>
      <c r="I26" s="69">
        <f>IF(AND(ISNUMBER($G$26),ISNUMBER($H$26)),ABS($H$26-$G$26),"")</f>
        <v>0</v>
      </c>
      <c r="J26" s="70">
        <v>1E-09</v>
      </c>
      <c r="K26" s="39" t="str">
        <f>IF(AND(ISNUMBER($G$26),ISNUMBER($H$26)),IF(ABS($H$26-$G$26)&lt;=$J$26,"PASS","FAIL"),"FAIL")</f>
        <v>PASS</v>
      </c>
    </row>
    <row r="28" spans="2:12" ht="21" customHeight="1" x14ac:dyDescent="0.25">
      <c r="B28" s="8" t="s">
        <v>216</v>
      </c>
      <c r="C28" s="8"/>
      <c r="D28" s="8"/>
      <c r="E28" s="8"/>
      <c r="F28" s="8"/>
      <c r="G28" s="8"/>
      <c r="H28" s="8"/>
      <c r="I28" s="8"/>
      <c r="J28" s="8"/>
      <c r="K28" s="8"/>
      <c r="L28" s="8"/>
    </row>
    <row r="29" spans="2:12" ht="5" customHeight="1" x14ac:dyDescent="0.25"/>
    <row r="30" spans="2:12" x14ac:dyDescent="0.25">
      <c r="B30" s="21" t="s">
        <v>217</v>
      </c>
      <c r="C30" s="21"/>
      <c r="D30" s="21"/>
      <c r="E30" s="21"/>
      <c r="F30" s="21"/>
      <c r="G30" s="21"/>
      <c r="H30" s="21"/>
      <c r="I30" s="21"/>
      <c r="J30" s="21"/>
      <c r="K30" s="21"/>
      <c r="L30" s="21"/>
    </row>
    <row r="31" spans="2:12" x14ac:dyDescent="0.25">
      <c r="B31" s="30" t="s">
        <v>218</v>
      </c>
      <c r="C31" s="30"/>
      <c r="D31" s="30"/>
      <c r="E31" s="30"/>
      <c r="F31" s="30"/>
    </row>
    <row r="32" spans="2:12" x14ac:dyDescent="0.25">
      <c r="B32" s="27" t="s">
        <v>219</v>
      </c>
      <c r="C32" s="27"/>
      <c r="D32" s="27"/>
      <c r="E32" s="68">
        <v>0</v>
      </c>
      <c r="F32" s="7"/>
    </row>
    <row r="33" spans="2:19" x14ac:dyDescent="0.25">
      <c r="B33" s="27" t="s">
        <v>220</v>
      </c>
      <c r="C33" s="27"/>
      <c r="D33" s="27"/>
      <c r="E33" s="68">
        <v>2958465</v>
      </c>
      <c r="F33" s="7"/>
    </row>
    <row r="34" spans="2:19" x14ac:dyDescent="0.25">
      <c r="B34" s="27" t="s">
        <v>136</v>
      </c>
      <c r="C34" s="27"/>
      <c r="D34" s="27"/>
      <c r="E34" s="55">
        <v>0.9</v>
      </c>
      <c r="F34" s="7"/>
    </row>
    <row r="35" spans="2:19" x14ac:dyDescent="0.25">
      <c r="B35" s="27" t="s">
        <v>71</v>
      </c>
      <c r="C35" s="27"/>
      <c r="D35" s="27"/>
      <c r="E35" s="55">
        <v>0.01</v>
      </c>
      <c r="F35" s="7"/>
    </row>
    <row r="37" spans="2:19" x14ac:dyDescent="0.25">
      <c r="B37" s="30" t="s">
        <v>221</v>
      </c>
      <c r="C37" s="30"/>
      <c r="D37" s="30"/>
      <c r="E37" s="30"/>
      <c r="F37" s="30"/>
      <c r="G37" s="30"/>
      <c r="H37" s="30"/>
      <c r="I37" s="30"/>
      <c r="J37" s="30"/>
      <c r="K37" s="30"/>
      <c r="L37" s="30"/>
    </row>
    <row r="38" spans="2:19" ht="14" customHeight="1" x14ac:dyDescent="0.25">
      <c r="B38" s="31"/>
      <c r="C38" s="31"/>
      <c r="D38" s="31"/>
      <c r="E38" s="31" t="str">
        <f>Currency&amp;"/unit"</f>
        <v>USD/unit</v>
      </c>
      <c r="F38" s="31" t="str">
        <f>Currency&amp;"/unit"</f>
        <v>USD/unit</v>
      </c>
    </row>
    <row r="39" spans="2:19" ht="20" customHeight="1" x14ac:dyDescent="0.25">
      <c r="B39" s="32" t="s">
        <v>60</v>
      </c>
      <c r="C39" s="32" t="s">
        <v>61</v>
      </c>
      <c r="D39" s="32" t="s">
        <v>62</v>
      </c>
      <c r="E39" s="32" t="s">
        <v>63</v>
      </c>
      <c r="F39" s="32" t="s">
        <v>64</v>
      </c>
    </row>
    <row r="40" spans="2:19" x14ac:dyDescent="0.25">
      <c r="B40" s="63" t="s">
        <v>222</v>
      </c>
      <c r="C40" s="63" t="s">
        <v>223</v>
      </c>
      <c r="D40" s="55">
        <v>0.92</v>
      </c>
      <c r="E40" s="74">
        <v>5</v>
      </c>
      <c r="F40" s="74">
        <v>20</v>
      </c>
    </row>
    <row r="41" spans="2:19" x14ac:dyDescent="0.25">
      <c r="B41" s="63" t="s">
        <v>224</v>
      </c>
      <c r="C41" s="63" t="s">
        <v>223</v>
      </c>
      <c r="D41" s="55">
        <v>0.97</v>
      </c>
      <c r="E41" s="74">
        <v>8</v>
      </c>
      <c r="F41" s="74">
        <v>30</v>
      </c>
    </row>
    <row r="42" spans="2:19" x14ac:dyDescent="0.25">
      <c r="B42" s="63" t="s">
        <v>225</v>
      </c>
      <c r="C42" s="63" t="s">
        <v>223</v>
      </c>
      <c r="D42" s="55">
        <v>0.99</v>
      </c>
      <c r="E42" s="74">
        <v>2</v>
      </c>
      <c r="F42" s="74">
        <v>35</v>
      </c>
    </row>
    <row r="44" spans="2:19" x14ac:dyDescent="0.25">
      <c r="B44" s="30" t="s">
        <v>226</v>
      </c>
      <c r="C44" s="30"/>
      <c r="D44" s="30"/>
      <c r="E44" s="30"/>
      <c r="F44" s="30"/>
      <c r="G44" s="30"/>
      <c r="H44" s="30"/>
      <c r="I44" s="30"/>
      <c r="J44" s="30"/>
      <c r="K44" s="30"/>
      <c r="L44" s="30"/>
    </row>
    <row r="45" spans="2:19" ht="14" customHeight="1" x14ac:dyDescent="0.25">
      <c r="B45" s="31"/>
      <c r="C45" s="31"/>
      <c r="D45" s="31" t="s">
        <v>103</v>
      </c>
      <c r="E45" s="31" t="s">
        <v>103</v>
      </c>
      <c r="F45" s="31" t="s">
        <v>103</v>
      </c>
      <c r="G45" s="31" t="s">
        <v>103</v>
      </c>
      <c r="H45" s="31" t="s">
        <v>103</v>
      </c>
      <c r="I45" s="31"/>
      <c r="J45" s="31"/>
      <c r="K45" s="31"/>
      <c r="L45" s="31"/>
      <c r="M45" s="31" t="str">
        <f>Currency&amp;"/unit"</f>
        <v>USD/unit</v>
      </c>
      <c r="N45" s="31" t="str">
        <f>Currency&amp;"/unit"</f>
        <v>USD/unit</v>
      </c>
      <c r="O45" s="31" t="str">
        <f>Currency</f>
        <v>USD</v>
      </c>
      <c r="P45" s="31" t="str">
        <f>Currency</f>
        <v>USD</v>
      </c>
      <c r="Q45" s="31"/>
      <c r="R45" s="31"/>
      <c r="S45" s="31"/>
    </row>
    <row r="46" spans="2:19" ht="32" customHeight="1" x14ac:dyDescent="0.25">
      <c r="B46" s="32" t="s">
        <v>88</v>
      </c>
      <c r="C46" s="32" t="s">
        <v>60</v>
      </c>
      <c r="D46" s="32" t="s">
        <v>89</v>
      </c>
      <c r="E46" s="32" t="s">
        <v>90</v>
      </c>
      <c r="F46" s="32" t="s">
        <v>91</v>
      </c>
      <c r="G46" s="32" t="s">
        <v>92</v>
      </c>
      <c r="H46" s="32" t="s">
        <v>93</v>
      </c>
      <c r="I46" s="32" t="s">
        <v>94</v>
      </c>
      <c r="J46" s="32" t="s">
        <v>62</v>
      </c>
      <c r="K46" s="32" t="s">
        <v>95</v>
      </c>
      <c r="L46" s="32" t="s">
        <v>96</v>
      </c>
      <c r="M46" s="32" t="s">
        <v>97</v>
      </c>
      <c r="N46" s="32" t="s">
        <v>98</v>
      </c>
      <c r="O46" s="32" t="s">
        <v>63</v>
      </c>
      <c r="P46" s="32" t="s">
        <v>64</v>
      </c>
      <c r="Q46" s="32" t="s">
        <v>99</v>
      </c>
      <c r="R46" s="32" t="s">
        <v>100</v>
      </c>
      <c r="S46" s="32" t="s">
        <v>101</v>
      </c>
    </row>
    <row r="47" spans="2:19" x14ac:dyDescent="0.25">
      <c r="B47" s="75">
        <v>46027</v>
      </c>
      <c r="C47" s="63" t="s">
        <v>222</v>
      </c>
      <c r="D47" s="68">
        <v>1200</v>
      </c>
      <c r="E47" s="68">
        <v>1090</v>
      </c>
      <c r="F47" s="68">
        <v>30</v>
      </c>
      <c r="G47" s="37">
        <f>IF(tblVerifyYield[[#This Row],[Date]]="","",tblVerifyYield[[#This Row],[Units in]]-tblVerifyYield[[#This Row],[Passed first time]])</f>
        <v>110</v>
      </c>
      <c r="H47" s="37">
        <f>IF(tblVerifyYield[[#This Row],[Date]]="","",tblVerifyYield[[#This Row],[Units in]]-tblVerifyYield[[#This Row],[Passed first time]]-tblVerifyYield[[#This Row],[Scrapped]])</f>
        <v>80</v>
      </c>
      <c r="I47" s="38">
        <f>IF(tblVerifyYield[[#This Row],[Date]]="","",IF(tblVerifyYield[[#This Row],[Units in]]&gt;0,tblVerifyYield[[#This Row],[Passed first time]]/tblVerifyYield[[#This Row],[Units in]],""))</f>
        <v>0.908333333333333</v>
      </c>
      <c r="J47" s="55">
        <v>0.92</v>
      </c>
      <c r="K47" s="39" t="str">
        <f>IF(OR(NOT(ISNUMBER(tblVerifyYield[[#This Row],[FPY]])),NOT(ISNUMBER(tblVerifyYield[[#This Row],[FPY target]]))),"",IF(tblVerifyYield[[#This Row],[FPY]]&gt;=tblVerifyYield[[#This Row],[FPY target]],"On target",IF(tblVerifyYield[[#This Row],[FPY]]&gt;=tblVerifyYield[[#This Row],[FPY target]]-$E$35,"Near target","Below target")))</f>
        <v>Below target</v>
      </c>
      <c r="L47" s="38">
        <f>IF(tblVerifyYield[[#This Row],[Date]]="","",IF(tblVerifyYield[[#This Row],[Units in]]&gt;0,(tblVerifyYield[[#This Row],[Units in]]-tblVerifyYield[[#This Row],[Scrapped]])/tblVerifyYield[[#This Row],[Units in]],""))</f>
        <v>0.975</v>
      </c>
      <c r="M47" s="74">
        <v>5</v>
      </c>
      <c r="N47" s="74">
        <v>20</v>
      </c>
      <c r="O47" s="40">
        <f>IF(tblVerifyYield[[#This Row],[Date]]="","",IF(tblVerifyYield[[#This Row],[Rework cost per unit]]="","",tblVerifyYield[[#This Row],[Reworked]]*tblVerifyYield[[#This Row],[Rework cost per unit]]))</f>
        <v>400</v>
      </c>
      <c r="P47" s="40">
        <f>IF(tblVerifyYield[[#This Row],[Date]]="","",IF(tblVerifyYield[[#This Row],[Scrap cost per unit]]="","",tblVerifyYield[[#This Row],[Scrapped]]*tblVerifyYield[[#This Row],[Scrap cost per unit]]))</f>
        <v>600</v>
      </c>
      <c r="Q47" s="41">
        <f>IF(tblVerifyYield[[#This Row],[Date]]="","",IF(AND(tblVerifyYield[[#This Row],[Date]]&gt;=$E$32,tblVerifyYield[[#This Row],[Date]]&lt;=$E$33),tblVerifyYield[[#This Row],[Date]],""))</f>
        <v>46027</v>
      </c>
      <c r="R47" s="42" t="str">
        <f>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f>
        <v>OK</v>
      </c>
      <c r="S47" s="63"/>
    </row>
    <row r="48" spans="2:19" x14ac:dyDescent="0.25">
      <c r="B48" s="75">
        <v>46027</v>
      </c>
      <c r="C48" s="63" t="s">
        <v>224</v>
      </c>
      <c r="D48" s="68">
        <v>1170</v>
      </c>
      <c r="E48" s="68">
        <v>1140</v>
      </c>
      <c r="F48" s="68">
        <v>6</v>
      </c>
      <c r="G48" s="37">
        <f>IF(tblVerifyYield[[#This Row],[Date]]="","",tblVerifyYield[[#This Row],[Units in]]-tblVerifyYield[[#This Row],[Passed first time]])</f>
        <v>30</v>
      </c>
      <c r="H48" s="37">
        <f>IF(tblVerifyYield[[#This Row],[Date]]="","",tblVerifyYield[[#This Row],[Units in]]-tblVerifyYield[[#This Row],[Passed first time]]-tblVerifyYield[[#This Row],[Scrapped]])</f>
        <v>24</v>
      </c>
      <c r="I48" s="38">
        <f>IF(tblVerifyYield[[#This Row],[Date]]="","",IF(tblVerifyYield[[#This Row],[Units in]]&gt;0,tblVerifyYield[[#This Row],[Passed first time]]/tblVerifyYield[[#This Row],[Units in]],""))</f>
        <v>0.974358974358974</v>
      </c>
      <c r="J48" s="55">
        <v>0.97</v>
      </c>
      <c r="K48" s="39" t="str">
        <f>IF(OR(NOT(ISNUMBER(tblVerifyYield[[#This Row],[FPY]])),NOT(ISNUMBER(tblVerifyYield[[#This Row],[FPY target]]))),"",IF(tblVerifyYield[[#This Row],[FPY]]&gt;=tblVerifyYield[[#This Row],[FPY target]],"On target",IF(tblVerifyYield[[#This Row],[FPY]]&gt;=tblVerifyYield[[#This Row],[FPY target]]-$E$35,"Near target","Below target")))</f>
        <v>On target</v>
      </c>
      <c r="L48" s="38">
        <f>IF(tblVerifyYield[[#This Row],[Date]]="","",IF(tblVerifyYield[[#This Row],[Units in]]&gt;0,(tblVerifyYield[[#This Row],[Units in]]-tblVerifyYield[[#This Row],[Scrapped]])/tblVerifyYield[[#This Row],[Units in]],""))</f>
        <v>0.994871794871795</v>
      </c>
      <c r="M48" s="74">
        <v>8</v>
      </c>
      <c r="N48" s="74">
        <v>30</v>
      </c>
      <c r="O48" s="40">
        <f>IF(tblVerifyYield[[#This Row],[Date]]="","",IF(tblVerifyYield[[#This Row],[Rework cost per unit]]="","",tblVerifyYield[[#This Row],[Reworked]]*tblVerifyYield[[#This Row],[Rework cost per unit]]))</f>
        <v>192</v>
      </c>
      <c r="P48" s="40">
        <f>IF(tblVerifyYield[[#This Row],[Date]]="","",IF(tblVerifyYield[[#This Row],[Scrap cost per unit]]="","",tblVerifyYield[[#This Row],[Scrapped]]*tblVerifyYield[[#This Row],[Scrap cost per unit]]))</f>
        <v>180</v>
      </c>
      <c r="Q48" s="41">
        <f>IF(tblVerifyYield[[#This Row],[Date]]="","",IF(AND(tblVerifyYield[[#This Row],[Date]]&gt;=$E$32,tblVerifyYield[[#This Row],[Date]]&lt;=$E$33),tblVerifyYield[[#This Row],[Date]],""))</f>
        <v>46027</v>
      </c>
      <c r="R48" s="42" t="str">
        <f>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f>
        <v>OK</v>
      </c>
      <c r="S48" s="63"/>
    </row>
    <row r="49" spans="2:19" x14ac:dyDescent="0.25">
      <c r="B49" s="75">
        <v>46027</v>
      </c>
      <c r="C49" s="63" t="s">
        <v>225</v>
      </c>
      <c r="D49" s="68">
        <v>1164</v>
      </c>
      <c r="E49" s="68">
        <v>1155</v>
      </c>
      <c r="F49" s="68">
        <v>2</v>
      </c>
      <c r="G49" s="37">
        <f>IF(tblVerifyYield[[#This Row],[Date]]="","",tblVerifyYield[[#This Row],[Units in]]-tblVerifyYield[[#This Row],[Passed first time]])</f>
        <v>9</v>
      </c>
      <c r="H49" s="37">
        <f>IF(tblVerifyYield[[#This Row],[Date]]="","",tblVerifyYield[[#This Row],[Units in]]-tblVerifyYield[[#This Row],[Passed first time]]-tblVerifyYield[[#This Row],[Scrapped]])</f>
        <v>7</v>
      </c>
      <c r="I49" s="38">
        <f>IF(tblVerifyYield[[#This Row],[Date]]="","",IF(tblVerifyYield[[#This Row],[Units in]]&gt;0,tblVerifyYield[[#This Row],[Passed first time]]/tblVerifyYield[[#This Row],[Units in]],""))</f>
        <v>0.992268041237113</v>
      </c>
      <c r="J49" s="55">
        <v>0.99</v>
      </c>
      <c r="K49" s="39" t="str">
        <f>IF(OR(NOT(ISNUMBER(tblVerifyYield[[#This Row],[FPY]])),NOT(ISNUMBER(tblVerifyYield[[#This Row],[FPY target]]))),"",IF(tblVerifyYield[[#This Row],[FPY]]&gt;=tblVerifyYield[[#This Row],[FPY target]],"On target",IF(tblVerifyYield[[#This Row],[FPY]]&gt;=tblVerifyYield[[#This Row],[FPY target]]-$E$35,"Near target","Below target")))</f>
        <v>On target</v>
      </c>
      <c r="L49" s="38">
        <f>IF(tblVerifyYield[[#This Row],[Date]]="","",IF(tblVerifyYield[[#This Row],[Units in]]&gt;0,(tblVerifyYield[[#This Row],[Units in]]-tblVerifyYield[[#This Row],[Scrapped]])/tblVerifyYield[[#This Row],[Units in]],""))</f>
        <v>0.998281786941581</v>
      </c>
      <c r="M49" s="74">
        <v>2</v>
      </c>
      <c r="N49" s="74">
        <v>35</v>
      </c>
      <c r="O49" s="40">
        <f>IF(tblVerifyYield[[#This Row],[Date]]="","",IF(tblVerifyYield[[#This Row],[Rework cost per unit]]="","",tblVerifyYield[[#This Row],[Reworked]]*tblVerifyYield[[#This Row],[Rework cost per unit]]))</f>
        <v>14</v>
      </c>
      <c r="P49" s="40">
        <f>IF(tblVerifyYield[[#This Row],[Date]]="","",IF(tblVerifyYield[[#This Row],[Scrap cost per unit]]="","",tblVerifyYield[[#This Row],[Scrapped]]*tblVerifyYield[[#This Row],[Scrap cost per unit]]))</f>
        <v>70</v>
      </c>
      <c r="Q49" s="41">
        <f>IF(tblVerifyYield[[#This Row],[Date]]="","",IF(AND(tblVerifyYield[[#This Row],[Date]]&gt;=$E$32,tblVerifyYield[[#This Row],[Date]]&lt;=$E$33),tblVerifyYield[[#This Row],[Date]],""))</f>
        <v>46027</v>
      </c>
      <c r="R49" s="42" t="str">
        <f>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f>
        <v>OK</v>
      </c>
      <c r="S49" s="63"/>
    </row>
    <row r="50" spans="2:19" x14ac:dyDescent="0.25">
      <c r="B50" s="75">
        <v>46028</v>
      </c>
      <c r="C50" s="63" t="s">
        <v>227</v>
      </c>
      <c r="D50" s="68">
        <v>50</v>
      </c>
      <c r="E50" s="68">
        <v>49</v>
      </c>
      <c r="F50" s="68">
        <v>0</v>
      </c>
      <c r="G50" s="37">
        <f>IF(tblVerifyYield[[#This Row],[Date]]="","",tblVerifyYield[[#This Row],[Units in]]-tblVerifyYield[[#This Row],[Passed first time]])</f>
        <v>1</v>
      </c>
      <c r="H50" s="37">
        <f>IF(tblVerifyYield[[#This Row],[Date]]="","",tblVerifyYield[[#This Row],[Units in]]-tblVerifyYield[[#This Row],[Passed first time]]-tblVerifyYield[[#This Row],[Scrapped]])</f>
        <v>1</v>
      </c>
      <c r="I50" s="38">
        <f>IF(tblVerifyYield[[#This Row],[Date]]="","",IF(tblVerifyYield[[#This Row],[Units in]]&gt;0,tblVerifyYield[[#This Row],[Passed first time]]/tblVerifyYield[[#This Row],[Units in]],""))</f>
        <v>0.98</v>
      </c>
      <c r="J50" s="55" t="s">
        <v>104</v>
      </c>
      <c r="K50" s="39">
        <f>IF(OR(NOT(ISNUMBER(tblVerifyYield[[#This Row],[FPY]])),NOT(ISNUMBER(tblVerifyYield[[#This Row],[FPY target]]))),"",IF(tblVerifyYield[[#This Row],[FPY]]&gt;=tblVerifyYield[[#This Row],[FPY target]],"On target",IF(tblVerifyYield[[#This Row],[FPY]]&gt;=tblVerifyYield[[#This Row],[FPY target]]-$E$35,"Near target","Below target")))</f>
        <v/>
      </c>
      <c r="L50" s="38">
        <f>IF(tblVerifyYield[[#This Row],[Date]]="","",IF(tblVerifyYield[[#This Row],[Units in]]&gt;0,(tblVerifyYield[[#This Row],[Units in]]-tblVerifyYield[[#This Row],[Scrapped]])/tblVerifyYield[[#This Row],[Units in]],""))</f>
        <v>1</v>
      </c>
      <c r="M50" s="74" t="s">
        <v>104</v>
      </c>
      <c r="N50" s="74" t="s">
        <v>104</v>
      </c>
      <c r="O50" s="40">
        <f>IF(tblVerifyYield[[#This Row],[Date]]="","",IF(tblVerifyYield[[#This Row],[Rework cost per unit]]="","",tblVerifyYield[[#This Row],[Reworked]]*tblVerifyYield[[#This Row],[Rework cost per unit]]))</f>
        <v/>
      </c>
      <c r="P50" s="40">
        <f>IF(tblVerifyYield[[#This Row],[Date]]="","",IF(tblVerifyYield[[#This Row],[Scrap cost per unit]]="","",tblVerifyYield[[#This Row],[Scrapped]]*tblVerifyYield[[#This Row],[Scrap cost per unit]]))</f>
        <v/>
      </c>
      <c r="Q50" s="41">
        <f>IF(tblVerifyYield[[#This Row],[Date]]="","",IF(AND(tblVerifyYield[[#This Row],[Date]]&gt;=$E$32,tblVerifyYield[[#This Row],[Date]]&lt;=$E$33),tblVerifyYield[[#This Row],[Date]],""))</f>
        <v>46028</v>
      </c>
      <c r="R50" s="42" t="str">
        <f>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f>
        <v>Operation not on Setup list</v>
      </c>
      <c r="S50" s="63"/>
    </row>
    <row r="51" spans="2:19" x14ac:dyDescent="0.25">
      <c r="B51" s="75">
        <v>46028</v>
      </c>
      <c r="C51" s="63" t="s">
        <v>225</v>
      </c>
      <c r="D51" s="68">
        <v>40</v>
      </c>
      <c r="E51" s="68">
        <v>38</v>
      </c>
      <c r="F51" s="68">
        <v>3</v>
      </c>
      <c r="G51" s="37">
        <f>IF(tblVerifyYield[[#This Row],[Date]]="","",tblVerifyYield[[#This Row],[Units in]]-tblVerifyYield[[#This Row],[Passed first time]])</f>
        <v>2</v>
      </c>
      <c r="H51" s="37">
        <f>IF(tblVerifyYield[[#This Row],[Date]]="","",tblVerifyYield[[#This Row],[Units in]]-tblVerifyYield[[#This Row],[Passed first time]]-tblVerifyYield[[#This Row],[Scrapped]])</f>
        <v>-1</v>
      </c>
      <c r="I51" s="38">
        <f>IF(tblVerifyYield[[#This Row],[Date]]="","",IF(tblVerifyYield[[#This Row],[Units in]]&gt;0,tblVerifyYield[[#This Row],[Passed first time]]/tblVerifyYield[[#This Row],[Units in]],""))</f>
        <v>0.95</v>
      </c>
      <c r="J51" s="55">
        <v>0.99</v>
      </c>
      <c r="K51" s="39" t="str">
        <f>IF(OR(NOT(ISNUMBER(tblVerifyYield[[#This Row],[FPY]])),NOT(ISNUMBER(tblVerifyYield[[#This Row],[FPY target]]))),"",IF(tblVerifyYield[[#This Row],[FPY]]&gt;=tblVerifyYield[[#This Row],[FPY target]],"On target",IF(tblVerifyYield[[#This Row],[FPY]]&gt;=tblVerifyYield[[#This Row],[FPY target]]-$E$35,"Near target","Below target")))</f>
        <v>Below target</v>
      </c>
      <c r="L51" s="38">
        <f>IF(tblVerifyYield[[#This Row],[Date]]="","",IF(tblVerifyYield[[#This Row],[Units in]]&gt;0,(tblVerifyYield[[#This Row],[Units in]]-tblVerifyYield[[#This Row],[Scrapped]])/tblVerifyYield[[#This Row],[Units in]],""))</f>
        <v>0.925</v>
      </c>
      <c r="M51" s="74">
        <v>2</v>
      </c>
      <c r="N51" s="74">
        <v>35</v>
      </c>
      <c r="O51" s="40">
        <f>IF(tblVerifyYield[[#This Row],[Date]]="","",IF(tblVerifyYield[[#This Row],[Rework cost per unit]]="","",tblVerifyYield[[#This Row],[Reworked]]*tblVerifyYield[[#This Row],[Rework cost per unit]]))</f>
        <v>-2</v>
      </c>
      <c r="P51" s="40">
        <f>IF(tblVerifyYield[[#This Row],[Date]]="","",IF(tblVerifyYield[[#This Row],[Scrap cost per unit]]="","",tblVerifyYield[[#This Row],[Scrapped]]*tblVerifyYield[[#This Row],[Scrap cost per unit]]))</f>
        <v>105</v>
      </c>
      <c r="Q51" s="41">
        <f>IF(tblVerifyYield[[#This Row],[Date]]="","",IF(AND(tblVerifyYield[[#This Row],[Date]]&gt;=$E$32,tblVerifyYield[[#This Row],[Date]]&lt;=$E$33),tblVerifyYield[[#This Row],[Date]],""))</f>
        <v>46028</v>
      </c>
      <c r="R51" s="42" t="str">
        <f>IF(tblVerifyYield[[#This Row],[Date]]="","",IF(tblVerifyYield[[#This Row],[Operation]]="","Missing operation",IF(tblVerifyYield[[#This Row],[Units in]]="","Missing units in",IF(tblVerifyYield[[#This Row],[Passed first time]]="","Missing passed first time",IF(tblVerifyYield[[#This Row],[Scrapped]]="","Missing scrapped",IF(tblVerifyYield[[#This Row],[FPY target]]="","Operation not on Setup list",IF(tblVerifyYield[[#This Row],[Passed first time]]&gt;tblVerifyYield[[#This Row],[Units in]],"Passed &gt; units in",IF(tblVerifyYield[[#This Row],[Passed first time]]+tblVerifyYield[[#This Row],[Scrapped]]&gt;tblVerifyYield[[#This Row],[Units in]],"Passed + scrapped &gt; units in",IF(COUNTIFS(tblVerifyYield[Date],tblVerifyYield[[#This Row],[Date]],tblVerifyYield[Operation],tblVerifyYield[[#This Row],[Operation]])&gt;1,"Duplicate row for this date and operation","OK")))))))))</f>
        <v>Passed + scrapped &gt; units in</v>
      </c>
      <c r="S51" s="63"/>
    </row>
    <row r="53" spans="2:19" x14ac:dyDescent="0.25">
      <c r="B53" s="30" t="s">
        <v>228</v>
      </c>
      <c r="C53" s="30"/>
      <c r="D53" s="30"/>
      <c r="E53" s="30"/>
      <c r="F53" s="30"/>
      <c r="G53" s="30"/>
      <c r="H53" s="30"/>
      <c r="I53" s="30"/>
      <c r="J53" s="30"/>
      <c r="K53" s="30"/>
      <c r="L53" s="30"/>
    </row>
    <row r="54" spans="2:19" ht="32" customHeight="1" x14ac:dyDescent="0.25">
      <c r="B54" s="53" t="s">
        <v>60</v>
      </c>
      <c r="C54" s="32" t="s">
        <v>89</v>
      </c>
      <c r="D54" s="32" t="s">
        <v>90</v>
      </c>
      <c r="E54" s="32" t="s">
        <v>93</v>
      </c>
      <c r="F54" s="32" t="s">
        <v>91</v>
      </c>
      <c r="G54" s="32" t="s">
        <v>94</v>
      </c>
      <c r="H54" s="32" t="s">
        <v>62</v>
      </c>
      <c r="I54" s="32" t="s">
        <v>95</v>
      </c>
      <c r="J54" s="32"/>
      <c r="K54" s="32" t="s">
        <v>96</v>
      </c>
      <c r="L54" s="32" t="s">
        <v>124</v>
      </c>
    </row>
    <row r="55" spans="2:19" ht="14" customHeight="1" x14ac:dyDescent="0.25">
      <c r="B55" s="31"/>
      <c r="C55" s="31" t="s">
        <v>103</v>
      </c>
      <c r="D55" s="31" t="s">
        <v>103</v>
      </c>
      <c r="E55" s="31" t="s">
        <v>103</v>
      </c>
      <c r="F55" s="31" t="s">
        <v>103</v>
      </c>
      <c r="G55" s="31" t="s">
        <v>125</v>
      </c>
      <c r="H55" s="31" t="s">
        <v>125</v>
      </c>
      <c r="I55" s="31"/>
      <c r="J55" s="31"/>
      <c r="K55" s="31" t="s">
        <v>125</v>
      </c>
      <c r="L55" s="31" t="s">
        <v>125</v>
      </c>
    </row>
    <row r="56" spans="2:19" x14ac:dyDescent="0.25">
      <c r="B56" s="54" t="str">
        <f>IFERROR(INDEX(tblVerifyOperations[Operation],1)&amp;"","")</f>
        <v>Op A</v>
      </c>
      <c r="C56" s="37">
        <f>IF($B$56="","",SUMIFS(tblVerifyYield[Units in],tblVerifyYield[Operation],$B$56,tblVerifyYield[View date],"&gt;0"))</f>
        <v>1200</v>
      </c>
      <c r="D56" s="37">
        <f>IF($B$56="","",SUMIFS(tblVerifyYield[Passed first time],tblVerifyYield[Operation],$B$56,tblVerifyYield[View date],"&gt;0"))</f>
        <v>1090</v>
      </c>
      <c r="E56" s="37">
        <f>IF($B$56="","",SUMIFS(tblVerifyYield[Reworked],tblVerifyYield[Operation],$B$56,tblVerifyYield[View date],"&gt;0"))</f>
        <v>80</v>
      </c>
      <c r="F56" s="37">
        <f>IF($B$56="","",SUMIFS(tblVerifyYield[Scrapped],tblVerifyYield[Operation],$B$56,tblVerifyYield[View date],"&gt;0"))</f>
        <v>30</v>
      </c>
      <c r="G56" s="38">
        <f>IF($B$56="","",IF((SUMIFS(tblVerifyYield[Units in],tblVerifyYield[Operation],$B$56,tblVerifyYield[View date],"&gt;0"))=0,"",(SUMIFS(tblVerifyYield[Passed first time],tblVerifyYield[Operation],$B$56,tblVerifyYield[View date],"&gt;0"))/(SUMIFS(tblVerifyYield[Units in],tblVerifyYield[Operation],$B$56,tblVerifyYield[View date],"&gt;0"))))</f>
        <v>0.908333333333333</v>
      </c>
      <c r="H56" s="55">
        <f>IF($B$56="","",IFERROR(INDEX(tblVerifyOperations[FPY target],MATCH($B$56,tblVerifyOperations[Operation],0)),""))</f>
        <v>0.92</v>
      </c>
      <c r="I56" s="39" t="str">
        <f>IF($B$56="","",IF(OR(NOT(ISNUMBER($G$56)),NOT(ISNUMBER($H$56))),"",IF($G$56&gt;=$H$56,"On target",IF($G$56&gt;=$H$56-$E$35,"Near target","Below target"))))</f>
        <v>Below target</v>
      </c>
      <c r="J56" s="39"/>
      <c r="K56" s="38">
        <f>IF($B$56="","",IF((SUMIFS(tblVerifyYield[Units in],tblVerifyYield[Operation],$B$56,tblVerifyYield[View date],"&gt;0"))=0,"",(SUMIFS(tblVerifyYield[Units in],tblVerifyYield[Operation],$B$56,tblVerifyYield[View date],"&gt;0")-SUMIFS(tblVerifyYield[Scrapped],tblVerifyYield[Operation],$B$56,tblVerifyYield[View date],"&gt;0"))/(SUMIFS(tblVerifyYield[Units in],tblVerifyYield[Operation],$B$56,tblVerifyYield[View date],"&gt;0"))))</f>
        <v>0.975</v>
      </c>
      <c r="L56" s="38">
        <f>IF($B$56="","",IF(NOT(ISNUMBER($G$56)),"",PRODUCT(INDEX($G$56:$G$61,1):$G$56)))</f>
        <v>0.908333333333333</v>
      </c>
    </row>
    <row r="57" spans="2:19" x14ac:dyDescent="0.25">
      <c r="B57" s="54" t="str">
        <f>IFERROR(INDEX(tblVerifyOperations[Operation],2)&amp;"","")</f>
        <v>Op B</v>
      </c>
      <c r="C57" s="37">
        <f>IF($B$57="","",SUMIFS(tblVerifyYield[Units in],tblVerifyYield[Operation],$B$57,tblVerifyYield[View date],"&gt;0"))</f>
        <v>1170</v>
      </c>
      <c r="D57" s="37">
        <f>IF($B$57="","",SUMIFS(tblVerifyYield[Passed first time],tblVerifyYield[Operation],$B$57,tblVerifyYield[View date],"&gt;0"))</f>
        <v>1140</v>
      </c>
      <c r="E57" s="37">
        <f>IF($B$57="","",SUMIFS(tblVerifyYield[Reworked],tblVerifyYield[Operation],$B$57,tblVerifyYield[View date],"&gt;0"))</f>
        <v>24</v>
      </c>
      <c r="F57" s="37">
        <f>IF($B$57="","",SUMIFS(tblVerifyYield[Scrapped],tblVerifyYield[Operation],$B$57,tblVerifyYield[View date],"&gt;0"))</f>
        <v>6</v>
      </c>
      <c r="G57" s="38">
        <f>IF($B$57="","",IF((SUMIFS(tblVerifyYield[Units in],tblVerifyYield[Operation],$B$57,tblVerifyYield[View date],"&gt;0"))=0,"",(SUMIFS(tblVerifyYield[Passed first time],tblVerifyYield[Operation],$B$57,tblVerifyYield[View date],"&gt;0"))/(SUMIFS(tblVerifyYield[Units in],tblVerifyYield[Operation],$B$57,tblVerifyYield[View date],"&gt;0"))))</f>
        <v>0.974358974358974</v>
      </c>
      <c r="H57" s="55">
        <f>IF($B$57="","",IFERROR(INDEX(tblVerifyOperations[FPY target],MATCH($B$57,tblVerifyOperations[Operation],0)),""))</f>
        <v>0.97</v>
      </c>
      <c r="I57" s="39" t="str">
        <f>IF($B$57="","",IF(OR(NOT(ISNUMBER($G$57)),NOT(ISNUMBER($H$57))),"",IF($G$57&gt;=$H$57,"On target",IF($G$57&gt;=$H$57-$E$35,"Near target","Below target"))))</f>
        <v>On target</v>
      </c>
      <c r="J57" s="39"/>
      <c r="K57" s="38">
        <f>IF($B$57="","",IF((SUMIFS(tblVerifyYield[Units in],tblVerifyYield[Operation],$B$57,tblVerifyYield[View date],"&gt;0"))=0,"",(SUMIFS(tblVerifyYield[Units in],tblVerifyYield[Operation],$B$57,tblVerifyYield[View date],"&gt;0")-SUMIFS(tblVerifyYield[Scrapped],tblVerifyYield[Operation],$B$57,tblVerifyYield[View date],"&gt;0"))/(SUMIFS(tblVerifyYield[Units in],tblVerifyYield[Operation],$B$57,tblVerifyYield[View date],"&gt;0"))))</f>
        <v>0.994871794871795</v>
      </c>
      <c r="L57" s="38">
        <f>IF($B$57="","",IF(NOT(ISNUMBER($G$57)),"",PRODUCT(INDEX($G$56:$G$61,1):$G$57)))</f>
        <v>0.885042735042735</v>
      </c>
    </row>
    <row r="58" spans="2:19" x14ac:dyDescent="0.25">
      <c r="B58" s="54" t="str">
        <f>IFERROR(INDEX(tblVerifyOperations[Operation],3)&amp;"","")</f>
        <v>Op C</v>
      </c>
      <c r="C58" s="37">
        <f>IF($B$58="","",SUMIFS(tblVerifyYield[Units in],tblVerifyYield[Operation],$B$58,tblVerifyYield[View date],"&gt;0"))</f>
        <v>1204</v>
      </c>
      <c r="D58" s="37">
        <f>IF($B$58="","",SUMIFS(tblVerifyYield[Passed first time],tblVerifyYield[Operation],$B$58,tblVerifyYield[View date],"&gt;0"))</f>
        <v>1193</v>
      </c>
      <c r="E58" s="37">
        <f>IF($B$58="","",SUMIFS(tblVerifyYield[Reworked],tblVerifyYield[Operation],$B$58,tblVerifyYield[View date],"&gt;0"))</f>
        <v>6</v>
      </c>
      <c r="F58" s="37">
        <f>IF($B$58="","",SUMIFS(tblVerifyYield[Scrapped],tblVerifyYield[Operation],$B$58,tblVerifyYield[View date],"&gt;0"))</f>
        <v>5</v>
      </c>
      <c r="G58" s="38">
        <f>IF($B$58="","",IF((SUMIFS(tblVerifyYield[Units in],tblVerifyYield[Operation],$B$58,tblVerifyYield[View date],"&gt;0"))=0,"",(SUMIFS(tblVerifyYield[Passed first time],tblVerifyYield[Operation],$B$58,tblVerifyYield[View date],"&gt;0"))/(SUMIFS(tblVerifyYield[Units in],tblVerifyYield[Operation],$B$58,tblVerifyYield[View date],"&gt;0"))))</f>
        <v>0.990863787375415</v>
      </c>
      <c r="H58" s="55">
        <f>IF($B$58="","",IFERROR(INDEX(tblVerifyOperations[FPY target],MATCH($B$58,tblVerifyOperations[Operation],0)),""))</f>
        <v>0.99</v>
      </c>
      <c r="I58" s="39" t="str">
        <f>IF($B$58="","",IF(OR(NOT(ISNUMBER($G$58)),NOT(ISNUMBER($H$58))),"",IF($G$58&gt;=$H$58,"On target",IF($G$58&gt;=$H$58-$E$35,"Near target","Below target"))))</f>
        <v>On target</v>
      </c>
      <c r="J58" s="39"/>
      <c r="K58" s="38">
        <f>IF($B$58="","",IF((SUMIFS(tblVerifyYield[Units in],tblVerifyYield[Operation],$B$58,tblVerifyYield[View date],"&gt;0"))=0,"",(SUMIFS(tblVerifyYield[Units in],tblVerifyYield[Operation],$B$58,tblVerifyYield[View date],"&gt;0")-SUMIFS(tblVerifyYield[Scrapped],tblVerifyYield[Operation],$B$58,tblVerifyYield[View date],"&gt;0"))/(SUMIFS(tblVerifyYield[Units in],tblVerifyYield[Operation],$B$58,tblVerifyYield[View date],"&gt;0"))))</f>
        <v>0.995847176079734</v>
      </c>
      <c r="L58" s="38">
        <f>IF($B$58="","",IF(NOT(ISNUMBER($G$58)),"",PRODUCT(INDEX($G$56:$G$61,1):$G$58)))</f>
        <v>0.876956796433541</v>
      </c>
    </row>
    <row r="59" spans="2:19" x14ac:dyDescent="0.25">
      <c r="B59" s="54">
        <f>IFERROR(INDEX(tblVerifyOperations[Operation],4)&amp;"","")</f>
        <v/>
      </c>
      <c r="C59" s="37">
        <f>IF($B$59="","",SUMIFS(tblVerifyYield[Units in],tblVerifyYield[Operation],$B$59,tblVerifyYield[View date],"&gt;0"))</f>
        <v/>
      </c>
      <c r="D59" s="37">
        <f>IF($B$59="","",SUMIFS(tblVerifyYield[Passed first time],tblVerifyYield[Operation],$B$59,tblVerifyYield[View date],"&gt;0"))</f>
        <v/>
      </c>
      <c r="E59" s="37">
        <f>IF($B$59="","",SUMIFS(tblVerifyYield[Reworked],tblVerifyYield[Operation],$B$59,tblVerifyYield[View date],"&gt;0"))</f>
        <v/>
      </c>
      <c r="F59" s="37">
        <f>IF($B$59="","",SUMIFS(tblVerifyYield[Scrapped],tblVerifyYield[Operation],$B$59,tblVerifyYield[View date],"&gt;0"))</f>
        <v/>
      </c>
      <c r="G59" s="38">
        <f>IF($B$59="","",IF((SUMIFS(tblVerifyYield[Units in],tblVerifyYield[Operation],$B$59,tblVerifyYield[View date],"&gt;0"))=0,"",(SUMIFS(tblVerifyYield[Passed first time],tblVerifyYield[Operation],$B$59,tblVerifyYield[View date],"&gt;0"))/(SUMIFS(tblVerifyYield[Units in],tblVerifyYield[Operation],$B$59,tblVerifyYield[View date],"&gt;0"))))</f>
        <v/>
      </c>
      <c r="H59" s="55">
        <f>IF($B$59="","",IFERROR(INDEX(tblVerifyOperations[FPY target],MATCH($B$59,tblVerifyOperations[Operation],0)),""))</f>
        <v/>
      </c>
      <c r="I59" s="39">
        <f>IF($B$59="","",IF(OR(NOT(ISNUMBER($G$59)),NOT(ISNUMBER($H$59))),"",IF($G$59&gt;=$H$59,"On target",IF($G$59&gt;=$H$59-$E$35,"Near target","Below target"))))</f>
        <v/>
      </c>
      <c r="J59" s="39"/>
      <c r="K59" s="38">
        <f>IF($B$59="","",IF((SUMIFS(tblVerifyYield[Units in],tblVerifyYield[Operation],$B$59,tblVerifyYield[View date],"&gt;0"))=0,"",(SUMIFS(tblVerifyYield[Units in],tblVerifyYield[Operation],$B$59,tblVerifyYield[View date],"&gt;0")-SUMIFS(tblVerifyYield[Scrapped],tblVerifyYield[Operation],$B$59,tblVerifyYield[View date],"&gt;0"))/(SUMIFS(tblVerifyYield[Units in],tblVerifyYield[Operation],$B$59,tblVerifyYield[View date],"&gt;0"))))</f>
        <v/>
      </c>
      <c r="L59" s="38">
        <f>IF($B$59="","",IF(NOT(ISNUMBER($G$59)),"",PRODUCT(INDEX($G$56:$G$61,1):$G$59)))</f>
        <v/>
      </c>
    </row>
    <row r="60" spans="2:19" x14ac:dyDescent="0.25">
      <c r="B60" s="54">
        <f>IFERROR(INDEX(tblVerifyOperations[Operation],5)&amp;"","")</f>
        <v/>
      </c>
      <c r="C60" s="37">
        <f>IF($B$60="","",SUMIFS(tblVerifyYield[Units in],tblVerifyYield[Operation],$B$60,tblVerifyYield[View date],"&gt;0"))</f>
        <v/>
      </c>
      <c r="D60" s="37">
        <f>IF($B$60="","",SUMIFS(tblVerifyYield[Passed first time],tblVerifyYield[Operation],$B$60,tblVerifyYield[View date],"&gt;0"))</f>
        <v/>
      </c>
      <c r="E60" s="37">
        <f>IF($B$60="","",SUMIFS(tblVerifyYield[Reworked],tblVerifyYield[Operation],$B$60,tblVerifyYield[View date],"&gt;0"))</f>
        <v/>
      </c>
      <c r="F60" s="37">
        <f>IF($B$60="","",SUMIFS(tblVerifyYield[Scrapped],tblVerifyYield[Operation],$B$60,tblVerifyYield[View date],"&gt;0"))</f>
        <v/>
      </c>
      <c r="G60" s="38">
        <f>IF($B$60="","",IF((SUMIFS(tblVerifyYield[Units in],tblVerifyYield[Operation],$B$60,tblVerifyYield[View date],"&gt;0"))=0,"",(SUMIFS(tblVerifyYield[Passed first time],tblVerifyYield[Operation],$B$60,tblVerifyYield[View date],"&gt;0"))/(SUMIFS(tblVerifyYield[Units in],tblVerifyYield[Operation],$B$60,tblVerifyYield[View date],"&gt;0"))))</f>
        <v/>
      </c>
      <c r="H60" s="55">
        <f>IF($B$60="","",IFERROR(INDEX(tblVerifyOperations[FPY target],MATCH($B$60,tblVerifyOperations[Operation],0)),""))</f>
        <v/>
      </c>
      <c r="I60" s="39">
        <f>IF($B$60="","",IF(OR(NOT(ISNUMBER($G$60)),NOT(ISNUMBER($H$60))),"",IF($G$60&gt;=$H$60,"On target",IF($G$60&gt;=$H$60-$E$35,"Near target","Below target"))))</f>
        <v/>
      </c>
      <c r="J60" s="39"/>
      <c r="K60" s="38">
        <f>IF($B$60="","",IF((SUMIFS(tblVerifyYield[Units in],tblVerifyYield[Operation],$B$60,tblVerifyYield[View date],"&gt;0"))=0,"",(SUMIFS(tblVerifyYield[Units in],tblVerifyYield[Operation],$B$60,tblVerifyYield[View date],"&gt;0")-SUMIFS(tblVerifyYield[Scrapped],tblVerifyYield[Operation],$B$60,tblVerifyYield[View date],"&gt;0"))/(SUMIFS(tblVerifyYield[Units in],tblVerifyYield[Operation],$B$60,tblVerifyYield[View date],"&gt;0"))))</f>
        <v/>
      </c>
      <c r="L60" s="38">
        <f>IF($B$60="","",IF(NOT(ISNUMBER($G$60)),"",PRODUCT(INDEX($G$56:$G$61,1):$G$60)))</f>
        <v/>
      </c>
    </row>
    <row r="61" spans="2:19" x14ac:dyDescent="0.25">
      <c r="B61" s="54">
        <f>IFERROR(INDEX(tblVerifyOperations[Operation],6)&amp;"","")</f>
        <v/>
      </c>
      <c r="C61" s="37">
        <f>IF($B$61="","",SUMIFS(tblVerifyYield[Units in],tblVerifyYield[Operation],$B$61,tblVerifyYield[View date],"&gt;0"))</f>
        <v/>
      </c>
      <c r="D61" s="37">
        <f>IF($B$61="","",SUMIFS(tblVerifyYield[Passed first time],tblVerifyYield[Operation],$B$61,tblVerifyYield[View date],"&gt;0"))</f>
        <v/>
      </c>
      <c r="E61" s="37">
        <f>IF($B$61="","",SUMIFS(tblVerifyYield[Reworked],tblVerifyYield[Operation],$B$61,tblVerifyYield[View date],"&gt;0"))</f>
        <v/>
      </c>
      <c r="F61" s="37">
        <f>IF($B$61="","",SUMIFS(tblVerifyYield[Scrapped],tblVerifyYield[Operation],$B$61,tblVerifyYield[View date],"&gt;0"))</f>
        <v/>
      </c>
      <c r="G61" s="38">
        <f>IF($B$61="","",IF((SUMIFS(tblVerifyYield[Units in],tblVerifyYield[Operation],$B$61,tblVerifyYield[View date],"&gt;0"))=0,"",(SUMIFS(tblVerifyYield[Passed first time],tblVerifyYield[Operation],$B$61,tblVerifyYield[View date],"&gt;0"))/(SUMIFS(tblVerifyYield[Units in],tblVerifyYield[Operation],$B$61,tblVerifyYield[View date],"&gt;0"))))</f>
        <v/>
      </c>
      <c r="H61" s="55">
        <f>IF($B$61="","",IFERROR(INDEX(tblVerifyOperations[FPY target],MATCH($B$61,tblVerifyOperations[Operation],0)),""))</f>
        <v/>
      </c>
      <c r="I61" s="39">
        <f>IF($B$61="","",IF(OR(NOT(ISNUMBER($G$61)),NOT(ISNUMBER($H$61))),"",IF($G$61&gt;=$H$61,"On target",IF($G$61&gt;=$H$61-$E$35,"Near target","Below target"))))</f>
        <v/>
      </c>
      <c r="J61" s="39"/>
      <c r="K61" s="38">
        <f>IF($B$61="","",IF((SUMIFS(tblVerifyYield[Units in],tblVerifyYield[Operation],$B$61,tblVerifyYield[View date],"&gt;0"))=0,"",(SUMIFS(tblVerifyYield[Units in],tblVerifyYield[Operation],$B$61,tblVerifyYield[View date],"&gt;0")-SUMIFS(tblVerifyYield[Scrapped],tblVerifyYield[Operation],$B$61,tblVerifyYield[View date],"&gt;0"))/(SUMIFS(tblVerifyYield[Units in],tblVerifyYield[Operation],$B$61,tblVerifyYield[View date],"&gt;0"))))</f>
        <v/>
      </c>
      <c r="L61" s="38">
        <f>IF($B$61="","",IF(NOT(ISNUMBER($G$61)),"",PRODUCT(INDEX($G$56:$G$61,1):$G$61)))</f>
        <v/>
      </c>
    </row>
    <row r="63" spans="2:19" x14ac:dyDescent="0.25">
      <c r="B63" s="30" t="s">
        <v>229</v>
      </c>
      <c r="C63" s="30"/>
      <c r="D63" s="30"/>
      <c r="E63" s="30"/>
      <c r="F63" s="30"/>
      <c r="G63" s="30"/>
      <c r="H63" s="30"/>
      <c r="I63" s="30"/>
      <c r="J63" s="30"/>
      <c r="K63" s="30"/>
      <c r="L63" s="30"/>
    </row>
    <row r="64" spans="2:19" ht="32" customHeight="1" x14ac:dyDescent="0.25">
      <c r="B64" s="53" t="s">
        <v>60</v>
      </c>
      <c r="C64" s="32" t="s">
        <v>63</v>
      </c>
      <c r="D64" s="32" t="s">
        <v>64</v>
      </c>
      <c r="E64" s="32" t="s">
        <v>127</v>
      </c>
      <c r="F64" s="32" t="s">
        <v>128</v>
      </c>
      <c r="G64" s="32" t="s">
        <v>129</v>
      </c>
      <c r="H64" s="32" t="s">
        <v>130</v>
      </c>
    </row>
    <row r="65" spans="2:8" ht="14" customHeight="1" x14ac:dyDescent="0.25">
      <c r="B65" s="31"/>
      <c r="C65" s="31" t="str">
        <f>Currency</f>
        <v>USD</v>
      </c>
      <c r="D65" s="31" t="str">
        <f>Currency</f>
        <v>USD</v>
      </c>
      <c r="E65" s="31" t="str">
        <f>Currency</f>
        <v>USD</v>
      </c>
      <c r="F65" s="31" t="s">
        <v>125</v>
      </c>
      <c r="G65" s="31" t="s">
        <v>125</v>
      </c>
      <c r="H65" s="31" t="s">
        <v>125</v>
      </c>
    </row>
    <row r="66" spans="2:8" x14ac:dyDescent="0.25">
      <c r="B66" s="54" t="str">
        <f>INDEX($B$56:$B$61,1)</f>
        <v>Op A</v>
      </c>
      <c r="C66" s="37">
        <f>IF($B$66="","",SUMIFS(tblVerifyYield[Rework cost],tblVerifyYield[Operation],$B$66,tblVerifyYield[View date],"&gt;0"))</f>
        <v>400</v>
      </c>
      <c r="D66" s="37">
        <f>IF($B$66="","",SUMIFS(tblVerifyYield[Scrap cost],tblVerifyYield[Operation],$B$66,tblVerifyYield[View date],"&gt;0"))</f>
        <v>600</v>
      </c>
      <c r="E66" s="37">
        <f>IF($B$66="","",$C$66+$D$66)</f>
        <v>1000</v>
      </c>
      <c r="F66" s="38">
        <f>IF($B$66="","",IF(ISNUMBER($G$56),1-$G$56,""))</f>
        <v>0.0916666666666667</v>
      </c>
      <c r="G66" s="38">
        <f>IF($B$66="","",IF(ISNUMBER($H$56),1-$H$56,""))</f>
        <v>0.08</v>
      </c>
      <c r="H66" s="55">
        <f>PRODUCT(INDEX($H$56:$H$61,1):$H$56)</f>
        <v>0.92</v>
      </c>
    </row>
    <row r="67" spans="2:8" x14ac:dyDescent="0.25">
      <c r="B67" s="54" t="str">
        <f>INDEX($B$56:$B$61,2)</f>
        <v>Op B</v>
      </c>
      <c r="C67" s="37">
        <f>IF($B$67="","",SUMIFS(tblVerifyYield[Rework cost],tblVerifyYield[Operation],$B$67,tblVerifyYield[View date],"&gt;0"))</f>
        <v>192</v>
      </c>
      <c r="D67" s="37">
        <f>IF($B$67="","",SUMIFS(tblVerifyYield[Scrap cost],tblVerifyYield[Operation],$B$67,tblVerifyYield[View date],"&gt;0"))</f>
        <v>180</v>
      </c>
      <c r="E67" s="37">
        <f>IF($B$67="","",$C$67+$D$67)</f>
        <v>372</v>
      </c>
      <c r="F67" s="38">
        <f>IF($B$67="","",IF(ISNUMBER($G$57),1-$G$57,""))</f>
        <v>0.0256410256410257</v>
      </c>
      <c r="G67" s="38">
        <f>IF($B$67="","",IF(ISNUMBER($H$57),1-$H$57,""))</f>
        <v>0.03</v>
      </c>
      <c r="H67" s="55">
        <f>PRODUCT(INDEX($H$56:$H$61,1):$H$57)</f>
        <v>0.8924</v>
      </c>
    </row>
    <row r="68" spans="2:8" x14ac:dyDescent="0.25">
      <c r="B68" s="54" t="str">
        <f>INDEX($B$56:$B$61,3)</f>
        <v>Op C</v>
      </c>
      <c r="C68" s="37">
        <f>IF($B$68="","",SUMIFS(tblVerifyYield[Rework cost],tblVerifyYield[Operation],$B$68,tblVerifyYield[View date],"&gt;0"))</f>
        <v>12</v>
      </c>
      <c r="D68" s="37">
        <f>IF($B$68="","",SUMIFS(tblVerifyYield[Scrap cost],tblVerifyYield[Operation],$B$68,tblVerifyYield[View date],"&gt;0"))</f>
        <v>175</v>
      </c>
      <c r="E68" s="37">
        <f>IF($B$68="","",$C$68+$D$68)</f>
        <v>187</v>
      </c>
      <c r="F68" s="38">
        <f>IF($B$68="","",IF(ISNUMBER($G$58),1-$G$58,""))</f>
        <v>0.00913621262458475</v>
      </c>
      <c r="G68" s="38">
        <f>IF($B$68="","",IF(ISNUMBER($H$58),1-$H$58,""))</f>
        <v>0.01</v>
      </c>
      <c r="H68" s="55">
        <f>PRODUCT(INDEX($H$56:$H$61,1):$H$58)</f>
        <v>0.883476</v>
      </c>
    </row>
    <row r="69" spans="2:8" x14ac:dyDescent="0.25">
      <c r="B69" s="54">
        <f>INDEX($B$56:$B$61,4)</f>
        <v/>
      </c>
      <c r="C69" s="37">
        <f>IF($B$69="","",SUMIFS(tblVerifyYield[Rework cost],tblVerifyYield[Operation],$B$69,tblVerifyYield[View date],"&gt;0"))</f>
        <v/>
      </c>
      <c r="D69" s="37">
        <f>IF($B$69="","",SUMIFS(tblVerifyYield[Scrap cost],tblVerifyYield[Operation],$B$69,tblVerifyYield[View date],"&gt;0"))</f>
        <v/>
      </c>
      <c r="E69" s="37">
        <f>IF($B$69="","",$C$69+$D$69)</f>
        <v/>
      </c>
      <c r="F69" s="38">
        <f>IF($B$69="","",IF(ISNUMBER($G$59),1-$G$59,""))</f>
        <v/>
      </c>
      <c r="G69" s="38">
        <f>IF($B$69="","",IF(ISNUMBER($H$59),1-$H$59,""))</f>
        <v/>
      </c>
      <c r="H69" s="55">
        <f>PRODUCT(INDEX($H$56:$H$61,1):$H$59)</f>
        <v>0.883476</v>
      </c>
    </row>
    <row r="70" spans="2:8" x14ac:dyDescent="0.25">
      <c r="B70" s="54">
        <f>INDEX($B$56:$B$61,5)</f>
        <v/>
      </c>
      <c r="C70" s="37">
        <f>IF($B$70="","",SUMIFS(tblVerifyYield[Rework cost],tblVerifyYield[Operation],$B$70,tblVerifyYield[View date],"&gt;0"))</f>
        <v/>
      </c>
      <c r="D70" s="37">
        <f>IF($B$70="","",SUMIFS(tblVerifyYield[Scrap cost],tblVerifyYield[Operation],$B$70,tblVerifyYield[View date],"&gt;0"))</f>
        <v/>
      </c>
      <c r="E70" s="37">
        <f>IF($B$70="","",$C$70+$D$70)</f>
        <v/>
      </c>
      <c r="F70" s="38">
        <f>IF($B$70="","",IF(ISNUMBER($G$60),1-$G$60,""))</f>
        <v/>
      </c>
      <c r="G70" s="38">
        <f>IF($B$70="","",IF(ISNUMBER($H$60),1-$H$60,""))</f>
        <v/>
      </c>
      <c r="H70" s="55">
        <f>PRODUCT(INDEX($H$56:$H$61,1):$H$60)</f>
        <v>0.883476</v>
      </c>
    </row>
    <row r="71" spans="2:8" x14ac:dyDescent="0.25">
      <c r="B71" s="54">
        <f>INDEX($B$56:$B$61,6)</f>
        <v/>
      </c>
      <c r="C71" s="37">
        <f>IF($B$71="","",SUMIFS(tblVerifyYield[Rework cost],tblVerifyYield[Operation],$B$71,tblVerifyYield[View date],"&gt;0"))</f>
        <v/>
      </c>
      <c r="D71" s="37">
        <f>IF($B$71="","",SUMIFS(tblVerifyYield[Scrap cost],tblVerifyYield[Operation],$B$71,tblVerifyYield[View date],"&gt;0"))</f>
        <v/>
      </c>
      <c r="E71" s="37">
        <f>IF($B$71="","",$C$71+$D$71)</f>
        <v/>
      </c>
      <c r="F71" s="38">
        <f>IF($B$71="","",IF(ISNUMBER($G$61),1-$G$61,""))</f>
        <v/>
      </c>
      <c r="G71" s="38">
        <f>IF($B$71="","",IF(ISNUMBER($H$61),1-$H$61,""))</f>
        <v/>
      </c>
      <c r="H71" s="55">
        <f>PRODUCT(INDEX($H$56:$H$61,1):$H$61)</f>
        <v>0.883476</v>
      </c>
    </row>
  </sheetData>
  <sheetProtection sheet="1" formatColumns="0" formatRows="0"/>
  <mergeCells count="43">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B35:D35"/>
    <mergeCell ref="B37:L37"/>
    <mergeCell ref="B44:L44"/>
    <mergeCell ref="B53:L53"/>
    <mergeCell ref="I54:J54"/>
    <mergeCell ref="I55:J55"/>
    <mergeCell ref="I56:J56"/>
    <mergeCell ref="I57:J57"/>
    <mergeCell ref="I58:J58"/>
    <mergeCell ref="I59:J59"/>
    <mergeCell ref="I60:J60"/>
    <mergeCell ref="I61:J61"/>
    <mergeCell ref="B63:L6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66:E71">
    <cfRule type="dataBar" priority="63">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I56:I61">
    <cfRule type="cellIs" dxfId="0" priority="43" operator="equal">
      <formula>"On target"</formula>
    </cfRule>
    <cfRule type="cellIs" dxfId="0" priority="44" operator="equal">
      <formula>"PASS"</formula>
    </cfRule>
    <cfRule type="cellIs" dxfId="0" priority="45" operator="equal">
      <formula>"OK"</formula>
    </cfRule>
    <cfRule type="cellIs" dxfId="0" priority="46" operator="equal">
      <formula>"Within limits"</formula>
    </cfRule>
    <cfRule type="cellIs" dxfId="0" priority="47" operator="equal">
      <formula>"Under capacity"</formula>
    </cfRule>
    <cfRule type="cellIs" dxfId="0" priority="48" operator="equal">
      <formula>"Complete"</formula>
    </cfRule>
    <cfRule type="cellIs" dxfId="0" priority="49" operator="equal">
      <formula>"Yes"</formula>
    </cfRule>
    <cfRule type="cellIs" dxfId="1" priority="50" operator="equal">
      <formula>"Near target"</formula>
    </cfRule>
    <cfRule type="cellIs" dxfId="1" priority="51" operator="equal">
      <formula>"Check"</formula>
    </cfRule>
    <cfRule type="cellIs" dxfId="1" priority="52" operator="equal">
      <formula>"Due soon"</formula>
    </cfRule>
    <cfRule type="cellIs" dxfId="1" priority="53" operator="equal">
      <formula>"Near capacity"</formula>
    </cfRule>
    <cfRule type="cellIs" dxfId="1" priority="54" operator="equal">
      <formula>"In progress"</formula>
    </cfRule>
    <cfRule type="cellIs" dxfId="1" priority="55" operator="equal">
      <formula>"Partial"</formula>
    </cfRule>
    <cfRule type="cellIs" dxfId="2" priority="56" operator="equal">
      <formula>"Below target"</formula>
    </cfRule>
    <cfRule type="cellIs" dxfId="2" priority="57" operator="equal">
      <formula>"Above target"</formula>
    </cfRule>
    <cfRule type="cellIs" dxfId="2" priority="58" operator="equal">
      <formula>"FAIL"</formula>
    </cfRule>
    <cfRule type="cellIs" dxfId="2" priority="59" operator="equal">
      <formula>"Over capacity"</formula>
    </cfRule>
    <cfRule type="cellIs" dxfId="2" priority="60" operator="equal">
      <formula>"Overdue"</formula>
    </cfRule>
    <cfRule type="cellIs" dxfId="2" priority="61" operator="equal">
      <formula>"Out of limits"</formula>
    </cfRule>
    <cfRule type="cellIs" dxfId="2" priority="62"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47:R51">
    <cfRule type="expression" dxfId="3" priority="41">
      <formula>$R47="OK"</formula>
    </cfRule>
    <cfRule type="expression" dxfId="1" priority="42">
      <formula>AND($R47&lt;&gt;"",$R47&lt;&gt;"OK")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First Pass Yield Tracker&amp;R&amp;8&amp;A</oddHeader>
    <oddFooter>&amp;L&amp;8mfgcalcs.com - free manufacturing templates&amp;R&amp;8Page &amp;P of &amp;N</oddFooter>
  </headerFooter>
  <rowBreaks count="1" manualBreakCount="1">
    <brk id="43" max="16383" man="1"/>
  </rowBreaks>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E66:E71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Start Here</vt:lpstr>
      <vt:lpstr>Setup</vt:lpstr>
      <vt:lpstr>Yield Log</vt:lpstr>
      <vt:lpstr>Dashboard</vt:lpstr>
      <vt:lpstr>Method</vt:lpstr>
      <vt:lpstr>Verify</vt:lpstr>
      <vt:lpstr>Currency</vt:lpstr>
      <vt:lpstr>DashFrom</vt:lpstr>
      <vt:lpstr>DashTo</vt:lpstr>
      <vt:lpstr>KpiAfter</vt:lpstr>
      <vt:lpstr>KpiCost</vt:lpstr>
      <vt:lpstr>KpiCostly</vt:lpstr>
      <vt:lpstr>KpiLow</vt:lpstr>
      <vt:lpstr>KpiReworked</vt:lpstr>
      <vt:lpstr>KpiRTY</vt:lpstr>
      <vt:lpstr>KpiScrapped</vt:lpstr>
      <vt:lpstr>KpiStarted</vt:lpstr>
      <vt:lpstr>NearBand</vt:lpstr>
      <vt:lpstr>PlantName</vt:lpstr>
      <vt:lpstr>Dashboard!Print_Area</vt:lpstr>
      <vt:lpstr>Method!Print_Area</vt:lpstr>
      <vt:lpstr>Setup!Print_Area</vt:lpstr>
      <vt:lpstr>'Start Here'!Print_Area</vt:lpstr>
      <vt:lpstr>Verify!Print_Area</vt:lpstr>
      <vt:lpstr>'Yield Log'!Print_Area</vt:lpstr>
      <vt:lpstr>Method!Print_Titles</vt:lpstr>
      <vt:lpstr>'Yield Log'!Print_Titles</vt:lpstr>
      <vt:lpstr>SelfCheck</vt:lpstr>
      <vt:lpstr>SelfCheckSummary</vt:lpstr>
      <vt:lpstr>TargetRTY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Pass Yield Tracker - free Excel template from MFG Calcs</dc:title>
  <dc:subject>Log each operation's first-pass results and see FPY, rolled throughput yield and the cost of rework and scrap as you type.</dc:subject>
  <dc:creator>MFG Calcs</dc:creator>
  <cp:keywords>first pass yield, FPY, rolled throughput yield, RTY, hidden factory, rework, yield, Six Sigma</cp:keywords>
  <dc:description>https://www.mfgcalcs.com/templates/first-pass-yield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first-pass-yield</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https://www.mfgcalcs.com/templates/first-pass-yield</vt:lpwstr>
  </property>
  <property fmtid="{D5CDD505-2E9C-101B-9397-08002B2CF9AE}" pid="7" name="Template sheet roles">
    <vt:lpwstr>Start Here=start;Setup=setup;Yield Log=work;Dashboard=dashboard;Method=method;Verify=verify</vt:lpwstr>
  </property>
</Properties>
</file>