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Checklist" sheetId="3" r:id="rId3"/>
    <sheet name="Audit Log" sheetId="4" r:id="rId4"/>
    <sheet name="Actions" sheetId="5" r:id="rId5"/>
    <sheet name="Dashboard" sheetId="6" r:id="rId6"/>
    <sheet name="Method" sheetId="7" r:id="rId7"/>
    <sheet name="Verify" sheetId="8" r:id="rId8"/>
  </sheets>
  <definedNames>
    <definedName name="Areas">tblAreas[Area]</definedName>
    <definedName name="AreaUnit">Setup!$C$35</definedName>
    <definedName name="AsOf">Setup!$C$8</definedName>
    <definedName name="AuditMax">Setup!$C$15</definedName>
    <definedName name="Currency">Setup!$C$34</definedName>
    <definedName name="DueSoonDays">Setup!$C$9</definedName>
    <definedName name="KpiBelow">Dashboard!$G$7</definedName>
    <definedName name="KpiChange">Dashboard!$D$7</definedName>
    <definedName name="KpiOnTime">Dashboard!$G$30</definedName>
    <definedName name="KpiOpen">Dashboard!$B$30</definedName>
    <definedName name="KpiOverdue">Dashboard!$D$30</definedName>
    <definedName name="KpiScore">Dashboard!$B$7</definedName>
    <definedName name="KpiSpaceValue">Dashboard!$J$30</definedName>
    <definedName name="KpiWeak">Dashboard!$J$7</definedName>
    <definedName name="MaxSet">Setup!$C$17</definedName>
    <definedName name="MaxShine">Setup!$C$18</definedName>
    <definedName name="MaxSort">Setup!$C$16</definedName>
    <definedName name="MaxStd">Setup!$C$19</definedName>
    <definedName name="MaxSustain">Setup!$C$20</definedName>
    <definedName name="PlantName">Setup!$C$6</definedName>
    <definedName name="PointsPerItem">Setup!$C$14</definedName>
    <definedName name="_xlnm.Print_Area" localSheetId="4">Actions!$A$1:$N$116</definedName>
    <definedName name="_xlnm.Print_Area" localSheetId="3">'Audit Log'!$A$1:$R$41</definedName>
    <definedName name="_xlnm.Print_Area" localSheetId="2">Checklist!$A$1:$G$30</definedName>
    <definedName name="_xlnm.Print_Area" localSheetId="5">Dashboard!$A$1:$M$88</definedName>
    <definedName name="_xlnm.Print_Area" localSheetId="6">Method!$A$1:$D$59</definedName>
    <definedName name="_xlnm.Print_Area" localSheetId="1">Setup!$A$1:$E$48</definedName>
    <definedName name="_xlnm.Print_Area" localSheetId="0">'Start Here'!$A$1:$F$58</definedName>
    <definedName name="_xlnm.Print_Area" localSheetId="7">Verify!$A$1:$R$75</definedName>
    <definedName name="_xlnm.Print_Titles" localSheetId="4">Actions!$1:$6</definedName>
    <definedName name="_xlnm.Print_Titles" localSheetId="3">'Audit Log'!$1:$5</definedName>
    <definedName name="_xlnm.Print_Titles" localSheetId="2">Checklist!$1:$5</definedName>
    <definedName name="_xlnm.Print_Titles" localSheetId="6">Method!$1:$2</definedName>
    <definedName name="Scale">tblScale[Score]</definedName>
    <definedName name="SelfCheck">Verify!$D$4</definedName>
    <definedName name="SelfCheckSummary">Verify!$F$4</definedName>
    <definedName name="SpaceCost">Setup!$C$36</definedName>
    <definedName name="TargetOnTime">Setup!$C$10</definedName>
    <definedName name="TargetScore">Setup!$C$7</definedName>
  </definedNames>
  <calcPr calcId="124519" fullCalcOnLoad="1"/>
</workbook>
</file>

<file path=xl/sharedStrings.xml><?xml version="1.0" encoding="utf-8"?>
<sst xmlns="http://schemas.openxmlformats.org/spreadsheetml/2006/main" count="1324" uniqueCount="441">
  <si>
    <t>5S Audit Checklist</t>
  </si>
  <si>
    <t>Read this first: what the workbook does and how to use it.</t>
  </si>
  <si>
    <t>mfgcalcs.com</t>
  </si>
  <si>
    <t>Score each area against a 25-point 5S checklist every month, track the findings to closure, and see the 5S score by area, by S and by month against your target.</t>
  </si>
  <si>
    <t>For: Plant and area managers, 5S and lean coordinators, team leaders and the auditors who walk the floor.</t>
  </si>
  <si>
    <t>Version 1.0.0  ·  updated 15 October 2026</t>
  </si>
  <si>
    <t>Quick start</t>
  </si>
  <si>
    <t>1.</t>
  </si>
  <si>
    <t>On Setup, type your plant name, target score and status date, then replace the example areas with your own (each with its owner).</t>
  </si>
  <si>
    <t>2.</t>
  </si>
  <si>
    <t>On Checklist, keep or edit the 25 criteria, then print it as the walk sheet for each audit.</t>
  </si>
  <si>
    <t>3.</t>
  </si>
  <si>
    <t>On Audit Log, add one row per area audit with the five section subtotals from the walk sheet.</t>
  </si>
  <si>
    <t>4.</t>
  </si>
  <si>
    <t>On Actions, add each finding with its owner and due date; type the closed date when it is done.</t>
  </si>
  <si>
    <t>5.</t>
  </si>
  <si>
    <t>Open the Dashboard to see the score by month, by S and by area, and the open and overdue actions.</t>
  </si>
  <si>
    <t>What is in this workbook</t>
  </si>
  <si>
    <t>Start Here</t>
  </si>
  <si>
    <t>Setup</t>
  </si>
  <si>
    <t>Targets, status date, scoring, floor space cost and the area list.</t>
  </si>
  <si>
    <t>Checklist</t>
  </si>
  <si>
    <t>The 25 criteria the auditor scores, five per S, with what a 4 looks like. Print it as the walk sheet.</t>
  </si>
  <si>
    <t>Audit Log</t>
  </si>
  <si>
    <t>One row per area audit: the five section subtotals from the walk sheet. Total, score and status are calculated.</t>
  </si>
  <si>
    <t>Actions</t>
  </si>
  <si>
    <t>One row per finding: owner, due date and closing date. Days open and due status are measured to the status date.</t>
  </si>
  <si>
    <t>Dashboard</t>
  </si>
  <si>
    <t>5S score by month, by S and by area against your target, and the actions raised, open and overdue.</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</si>
  <si>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</si>
  <si>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</si>
  <si>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</si>
  <si>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</si>
  <si>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</si>
  <si>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</si>
  <si>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</si>
  <si>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</si>
  <si>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</si>
  <si>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</si>
  <si>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</si>
  <si>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</si>
  <si>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</si>
  <si>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</si>
  <si>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</si>
  <si>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</si>
  <si>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</si>
  <si>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</si>
  <si>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</si>
  <si>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</si>
  <si>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Floor Space Cost Calculator on mfgcalcs.com</t>
  </si>
  <si>
    <t>Latest version</t>
  </si>
  <si>
    <t>mfgcalcs.com/templates/five-s-audit</t>
  </si>
  <si>
    <t>More free templates</t>
  </si>
  <si>
    <t>mfgcalcs.com/templates</t>
  </si>
  <si>
    <t>Version</t>
  </si>
  <si>
    <t>1.0.0 (updated 15 October 2026)</t>
  </si>
  <si>
    <t>About the example data</t>
  </si>
  <si>
    <t>Every number already in this workbook is example data for Kestrel Fabrication, a fictional business invented for this template, so the dashboard and charts show something meaningful on day one. It covers six areas of a sheet-metal fabricator audited monthly from April to September 2026 and the actions raised, generated from a fixed seed. To clear it: on each working sheet, select the example rows of the table, right-click and choose Delete &gt; Table Rows. The formulas stay, and every new row you type below the table picks them up.</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</si>
  <si>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</si>
  <si>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</si>
  <si>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</si>
  <si>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</si>
  <si>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</si>
  <si>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</si>
  <si>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</si>
  <si>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</si>
  <si>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Score</t>
  </si>
  <si>
    <t>Meaning</t>
  </si>
  <si>
    <t>Evidence</t>
  </si>
  <si>
    <t>Area</t>
  </si>
  <si>
    <t>Owner</t>
  </si>
  <si>
    <t>Description</t>
  </si>
  <si>
    <t>Plant, target and status date</t>
  </si>
  <si>
    <t>Plant or site name</t>
  </si>
  <si>
    <t>Kestrel Fabrication (example)</t>
  </si>
  <si>
    <t>5S score target</t>
  </si>
  <si>
    <t>Status date</t>
  </si>
  <si>
    <t>Due soon window</t>
  </si>
  <si>
    <t>days</t>
  </si>
  <si>
    <t>Actions closed on time target</t>
  </si>
  <si>
    <t>Scoring</t>
  </si>
  <si>
    <t>Points per criterion (top score)</t>
  </si>
  <si>
    <t>pts</t>
  </si>
  <si>
    <t>Maximum audit score</t>
  </si>
  <si>
    <t>Maximum for Sort</t>
  </si>
  <si>
    <t>Maximum for Set in order</t>
  </si>
  <si>
    <t>Maximum for Shine</t>
  </si>
  <si>
    <t>Maximum for Standardize</t>
  </si>
  <si>
    <t>Maximum for Sustain</t>
  </si>
  <si>
    <t>The maximum for each S is the number of criteria for that S on the Checklist sheet x the points per criterion: add or remove criteria there and the maxima follow. 'Near target' means within 5% of the target (76% to 80% against 80%).</t>
  </si>
  <si>
    <t>Scoring scale for one criterion (score each criterion against its 'what a 4 looks like')</t>
  </si>
  <si>
    <t>Not started</t>
  </si>
  <si>
    <t>Nothing in place</t>
  </si>
  <si>
    <t>Started</t>
  </si>
  <si>
    <t>Some effort; most of the criterion is missing</t>
  </si>
  <si>
    <t>Partly in place</t>
  </si>
  <si>
    <t>About half in place, or in place on some shifts only</t>
  </si>
  <si>
    <t>Mostly in place</t>
  </si>
  <si>
    <t>In place with minor gaps</t>
  </si>
  <si>
    <t>Sustained</t>
  </si>
  <si>
    <t>Fully in place and kept that way over time</t>
  </si>
  <si>
    <t>Floor space value (for Sort actions)</t>
  </si>
  <si>
    <t>Currency label</t>
  </si>
  <si>
    <t>GBP</t>
  </si>
  <si>
    <t>Floor area unit</t>
  </si>
  <si>
    <t>m²</t>
  </si>
  <si>
    <t>Facility cost per unit area per year</t>
  </si>
  <si>
    <t>Areas (feed the dropdowns)</t>
  </si>
  <si>
    <t>Areas and owners</t>
  </si>
  <si>
    <t>Keep names unique. Rows on the logs that use a renamed area stop matching, and their Check column says so.</t>
  </si>
  <si>
    <t>Laser cutting</t>
  </si>
  <si>
    <t>R. Okafor</t>
  </si>
  <si>
    <t>Two fibre lasers, sheet store and part sorting</t>
  </si>
  <si>
    <t>Press brake</t>
  </si>
  <si>
    <t>M. Lindqvist</t>
  </si>
  <si>
    <t>Four press brakes and tooling racks</t>
  </si>
  <si>
    <t>Welding</t>
  </si>
  <si>
    <t>J. Patel</t>
  </si>
  <si>
    <t>Six MIG/TIG bays and the robot cell</t>
  </si>
  <si>
    <t>Paint line</t>
  </si>
  <si>
    <t>S. Moreau</t>
  </si>
  <si>
    <t>Pre-treatment, powder booth and cure oven</t>
  </si>
  <si>
    <t>Assembly</t>
  </si>
  <si>
    <t>T. Nguyen</t>
  </si>
  <si>
    <t>Hardware insertion, assembly benches and pack</t>
  </si>
  <si>
    <t>Stores</t>
  </si>
  <si>
    <t>A. Kowalski</t>
  </si>
  <si>
    <t>Raw material, hardware and consumables stores</t>
  </si>
  <si>
    <t>No.</t>
  </si>
  <si>
    <t>S</t>
  </si>
  <si>
    <t>Criterion</t>
  </si>
  <si>
    <t>What a 4 looks like</t>
  </si>
  <si>
    <t>Max (pts)</t>
  </si>
  <si>
    <t>Score on the walk</t>
  </si>
  <si>
    <t>Example checklist written for this template; edit the criteria to suit your areas. The maximum for each S on Setup follows this list. Print the sheet for each audit and add up the scores per S for the Audit Log.</t>
  </si>
  <si>
    <t>1.1</t>
  </si>
  <si>
    <t>Sort</t>
  </si>
  <si>
    <t>Only items needed for current work are in the area</t>
  </si>
  <si>
    <t>Nothing kept that is not used at least weekly; the rest is red-tagged or gone</t>
  </si>
  <si>
    <t>1.2</t>
  </si>
  <si>
    <t>Red-tag area used and cleared on schedule</t>
  </si>
  <si>
    <t>Every red-tagged item decided within the holding period; red-tag area not overflowing</t>
  </si>
  <si>
    <t>1.3</t>
  </si>
  <si>
    <t>No excess stock, WIP or consumables at the workplace</t>
  </si>
  <si>
    <t>Quantities at point of use within the agreed maximum</t>
  </si>
  <si>
    <t>1.4</t>
  </si>
  <si>
    <t>Aisles, exits and safety equipment unobstructed</t>
  </si>
  <si>
    <t>Nothing in aisles or in front of exits, extinguishers, eyewash or panels</t>
  </si>
  <si>
    <t>1.5</t>
  </si>
  <si>
    <t>Personal items only in their agreed place</t>
  </si>
  <si>
    <t>Coats, bags and cups in lockers or the marked spot</t>
  </si>
  <si>
    <t>2.1</t>
  </si>
  <si>
    <t>Set in order</t>
  </si>
  <si>
    <t>Every tool, fixture and gauge has a marked home</t>
  </si>
  <si>
    <t>Shadow boards, outlines or labels show where each item goes</t>
  </si>
  <si>
    <t>2.2</t>
  </si>
  <si>
    <t>Items are in their home when not in use</t>
  </si>
  <si>
    <t>Spot check finds nothing missing without a card saying where it is</t>
  </si>
  <si>
    <t>2.3</t>
  </si>
  <si>
    <t>Floor markings and aisle lines clear and intact</t>
  </si>
  <si>
    <t>Walkways, WIP squares and cart parking visible and unbroken</t>
  </si>
  <si>
    <t>2.4</t>
  </si>
  <si>
    <t>Racks, bins and shelves labelled and labels match</t>
  </si>
  <si>
    <t>Every location addressed; contents match the label</t>
  </si>
  <si>
    <t>2.5</t>
  </si>
  <si>
    <t>Most-used items closest to the point of use</t>
  </si>
  <si>
    <t>No walking or searching for items used every cycle</t>
  </si>
  <si>
    <t>3.1</t>
  </si>
  <si>
    <t>Shine</t>
  </si>
  <si>
    <t>Floors, machines and benches clean</t>
  </si>
  <si>
    <t>No chips, oil, dust or scrap beyond the current shift's work</t>
  </si>
  <si>
    <t>3.2</t>
  </si>
  <si>
    <t>Cleaning is used as inspection</t>
  </si>
  <si>
    <t>Leaks, loose guards and damage found while cleaning are tagged</t>
  </si>
  <si>
    <t>3.3</t>
  </si>
  <si>
    <t>Sources of dirt known and being removed</t>
  </si>
  <si>
    <t>Each known source (leak, spatter, overspray) has an action</t>
  </si>
  <si>
    <t>3.4</t>
  </si>
  <si>
    <t>Cleaning materials stocked and stored at a marked home</t>
  </si>
  <si>
    <t>Brooms, wipes and absorbent in place and replenished</t>
  </si>
  <si>
    <t>3.5</t>
  </si>
  <si>
    <t>Lighting, ventilation and signs clean and working</t>
  </si>
  <si>
    <t>No dead lights, blocked vents or unreadable signs</t>
  </si>
  <si>
    <t>4.1</t>
  </si>
  <si>
    <t>Standardize</t>
  </si>
  <si>
    <t>Area 5S standard posted and current</t>
  </si>
  <si>
    <t>A photo standard shows what good looks like for this area</t>
  </si>
  <si>
    <t>4.2</t>
  </si>
  <si>
    <t>5S routines have a schedule and an owner</t>
  </si>
  <si>
    <t>Daily and weekly tasks say who, what and when</t>
  </si>
  <si>
    <t>4.3</t>
  </si>
  <si>
    <t>Visual controls show normal versus abnormal</t>
  </si>
  <si>
    <t>Min-max marks, gauge ranges and status signs readable at a glance</t>
  </si>
  <si>
    <t>4.4</t>
  </si>
  <si>
    <t>Same standard on every shift and similar area</t>
  </si>
  <si>
    <t>No shift-to-shift differences in layout, labels or locations</t>
  </si>
  <si>
    <t>4.5</t>
  </si>
  <si>
    <t>Last audit's fixes built into the standard</t>
  </si>
  <si>
    <t>Fixes became the standard, not one-off clean-ups</t>
  </si>
  <si>
    <t>5.1</t>
  </si>
  <si>
    <t>Sustain</t>
  </si>
  <si>
    <t>Daily 5S routine done on every shift</t>
  </si>
  <si>
    <t>Routine signed off; the area looks the same at any hour</t>
  </si>
  <si>
    <t>5.2</t>
  </si>
  <si>
    <t>Score, trend and open actions on the team board</t>
  </si>
  <si>
    <t>Latest audit, trend and open actions posted and current</t>
  </si>
  <si>
    <t>5.3</t>
  </si>
  <si>
    <t>Actions from previous audits closed on time</t>
  </si>
  <si>
    <t>Owners and dates kept; overdue actions escalated</t>
  </si>
  <si>
    <t>5.4</t>
  </si>
  <si>
    <t>Team members can explain the area standard</t>
  </si>
  <si>
    <t>Ask two people; both explain it the same way</t>
  </si>
  <si>
    <t>5.5</t>
  </si>
  <si>
    <t>Leaders take part in audits and walks</t>
  </si>
  <si>
    <t>Supervisor or manager joins audits and does their own walks</t>
  </si>
  <si>
    <t>Audit date</t>
  </si>
  <si>
    <t>Auditor</t>
  </si>
  <si>
    <t>Sort (pts)</t>
  </si>
  <si>
    <t>Set in order (pts)</t>
  </si>
  <si>
    <t>Shine (pts)</t>
  </si>
  <si>
    <t>Standardize (pts)</t>
  </si>
  <si>
    <t>Sustain (pts)</t>
  </si>
  <si>
    <t>Total (pts)</t>
  </si>
  <si>
    <t>Status</t>
  </si>
  <si>
    <t>Actions raised</t>
  </si>
  <si>
    <t>Month</t>
  </si>
  <si>
    <t>Check</t>
  </si>
  <si>
    <t>Notes</t>
  </si>
  <si>
    <t>Example data for Kestrel Fabrication (fictional). Replace it with your own: select the example rows, right-click, Delete &gt; Table Rows. Yellow = you type; blue = calculated; Check names any problem.</t>
  </si>
  <si>
    <t>L. Brandt</t>
  </si>
  <si>
    <t/>
  </si>
  <si>
    <t>K. Osei</t>
  </si>
  <si>
    <t>P. Ruiz</t>
  </si>
  <si>
    <t>Red-tag event in the stores since the last audit</t>
  </si>
  <si>
    <t>Raised</t>
  </si>
  <si>
    <t>Finding</t>
  </si>
  <si>
    <t>Action</t>
  </si>
  <si>
    <t>Due</t>
  </si>
  <si>
    <t>Closed</t>
  </si>
  <si>
    <t>Space freed</t>
  </si>
  <si>
    <t>Days open</t>
  </si>
  <si>
    <t>Closed on time</t>
  </si>
  <si>
    <t>Example data for Kestrel Fabrication (fictional). Days open and overdue are measured to the status date on Setup; an action counts as raised by the audit with the same date and area.</t>
  </si>
  <si>
    <t>Broken pallets and stillages in the area</t>
  </si>
  <si>
    <t>Remove them and agree a pallet return point</t>
  </si>
  <si>
    <t>Dead lights over the workstation</t>
  </si>
  <si>
    <t>Replace the lamps and add them to the weekly check</t>
  </si>
  <si>
    <t>Area 5S standard not posted</t>
  </si>
  <si>
    <t>Take photos of the agreed state and post the standard</t>
  </si>
  <si>
    <t>Team could not explain the area standard</t>
  </si>
  <si>
    <t>Run a 15-minute briefing on the standard</t>
  </si>
  <si>
    <t>Gauges kept in drawers with no layout</t>
  </si>
  <si>
    <t>Make a foam layout for the gauge drawer</t>
  </si>
  <si>
    <t>Cleaning routine has no owner</t>
  </si>
  <si>
    <t>Add owners and times to the cleaning schedule</t>
  </si>
  <si>
    <t>Team board shows last quarter's score</t>
  </si>
  <si>
    <t>Update the board after every audit</t>
  </si>
  <si>
    <t>Overspray on floor and walls</t>
  </si>
  <si>
    <t>Clean, then fix the booth filter seal causing it</t>
  </si>
  <si>
    <t>No min-max marks on consumable racks</t>
  </si>
  <si>
    <t>Mark minimum and maximum levels on the racks</t>
  </si>
  <si>
    <t>Previous audit actions not reviewed</t>
  </si>
  <si>
    <t>Review open actions at the weekly team meeting</t>
  </si>
  <si>
    <t>Obsolete racking and dead stock fill two bays</t>
  </si>
  <si>
    <t>Run a red-tag event and clear the two bays</t>
  </si>
  <si>
    <t>Obsolete parts and offcuts in the rack</t>
  </si>
  <si>
    <t>Clear the rack and return or scrap the parts</t>
  </si>
  <si>
    <t>Floor lines worn at cart parking</t>
  </si>
  <si>
    <t>Repaint the floor lines and cart parking squares</t>
  </si>
  <si>
    <t>Bins at line side not labelled</t>
  </si>
  <si>
    <t>Label every bin with part number and maximum</t>
  </si>
  <si>
    <t>Night shift layout differs from day shift</t>
  </si>
  <si>
    <t>Agree one layout with both shift leaders</t>
  </si>
  <si>
    <t>Tooling has no marked home</t>
  </si>
  <si>
    <t>Make a shadow board or labelled rack for the tooling</t>
  </si>
  <si>
    <t>Daily 5S routine not signed off</t>
  </si>
  <si>
    <t>Restart the daily sign-off and check it at handover</t>
  </si>
  <si>
    <t>Spatter and dust build-up on tables</t>
  </si>
  <si>
    <t>Add table cleaning to the end-of-shift routine</t>
  </si>
  <si>
    <t>Excess consumables at point of use</t>
  </si>
  <si>
    <t>Set a maximum and move the surplus back to stores</t>
  </si>
  <si>
    <t>Oil leak under the machine not tagged</t>
  </si>
  <si>
    <t>Tag the leak and raise a maintenance request</t>
  </si>
  <si>
    <t>5S SCORE, LATEST MONTH</t>
  </si>
  <si>
    <t>CHANGE VS PREVIOUS MONTH</t>
  </si>
  <si>
    <t>AREAS BELOW TARGET</t>
  </si>
  <si>
    <t>WEAKEST S, LATEST MONTH</t>
  </si>
  <si>
    <t>Percentage points, all areas</t>
  </si>
  <si>
    <t>At each area's latest audit</t>
  </si>
  <si>
    <t>Lowest share of its maximum</t>
  </si>
  <si>
    <t>OPEN ACTIONS</t>
  </si>
  <si>
    <t>OVERDUE ACTIONS</t>
  </si>
  <si>
    <t>ACTIONS CLOSED ON TIME</t>
  </si>
  <si>
    <t>Not yet closed at the status date</t>
  </si>
  <si>
    <t>Open past their due date</t>
  </si>
  <si>
    <t>Closed Sort actions x facility cost</t>
  </si>
  <si>
    <t>Score by area and month (green at or above target, amber within 5%, red below)</t>
  </si>
  <si>
    <t>By area (latest audit of each area)</t>
  </si>
  <si>
    <t>Latest audit</t>
  </si>
  <si>
    <t>vs previous</t>
  </si>
  <si>
    <t>Open actions</t>
  </si>
  <si>
    <t>Overdue</t>
  </si>
  <si>
    <t>Open, not overdue</t>
  </si>
  <si>
    <t>Target</t>
  </si>
  <si>
    <t>By S: first and latest month (share of each S's maximum)</t>
  </si>
  <si>
    <t>Criteria</t>
  </si>
  <si>
    <t>Max per audit (pts)</t>
  </si>
  <si>
    <t>First month</t>
  </si>
  <si>
    <t>Latest month</t>
  </si>
  <si>
    <t>Change</t>
  </si>
  <si>
    <t>Overdue actions</t>
  </si>
  <si>
    <t>By month (last 6 months with audits)</t>
  </si>
  <si>
    <t>Audits</t>
  </si>
  <si>
    <t>Plant score</t>
  </si>
  <si>
    <t>Actions closed</t>
  </si>
  <si>
    <t>The Dashboard shows the 6 areas of the Setup list and the last 6 months with audits. If you add areas, extend the 'By area' block and the area-month map (see Method) or they will not appear here.</t>
  </si>
  <si>
    <t>What this workbook calculates</t>
  </si>
  <si>
    <t>A 5S audit scores how well an area applies Sort, Set in order, Shine, Standardize and Sustain. The auditor scores each criterion on the Checklist from 0 to the top of the scale, adds the scores per S on the walk sheet and types the five subtotals into the Audit Log. Every score is points earned over points possible, so a change to the checklist or the scale changes the maximum, not the meaning. Actions are tracked to closure against a status date you type, so the file never changes by itself.</t>
  </si>
  <si>
    <t>Calculations</t>
  </si>
  <si>
    <t>Quantity</t>
  </si>
  <si>
    <t>How it is calculated</t>
  </si>
  <si>
    <t>Units</t>
  </si>
  <si>
    <t>Section maximum</t>
  </si>
  <si>
    <t>Number of criteria for that S on the Checklist x points per criterion (Setup).
Excel: =COUNTIFS(tblCriteria[S],"Sort")*PointsPerItem</t>
  </si>
  <si>
    <t>Number of criteria x points per criterion: 25 x 4 = 100 in the example.</t>
  </si>
  <si>
    <t>Total</t>
  </si>
  <si>
    <t>Sort + Set in order + Shine + Standardize + Sustain points for one audit.</t>
  </si>
  <si>
    <t>Total / maximum audit score for one audit. Status: On target at or above the target, Near target within 5% below it, otherwise Below target.</t>
  </si>
  <si>
    <t>%</t>
  </si>
  <si>
    <t>Count of Actions rows with the audit's date and area.</t>
  </si>
  <si>
    <t>count</t>
  </si>
  <si>
    <t>Closed date - raised date; for an open action, status date - raised date.</t>
  </si>
  <si>
    <t>Action status</t>
  </si>
  <si>
    <t>Complete when closed; Overdue when open past its due date; Due soon when due within the window on Setup; otherwise In progress.</t>
  </si>
  <si>
    <t>-</t>
  </si>
  <si>
    <t>Yes when the closed date is on or before the due date; the KPI is Yes / (Yes + No).</t>
  </si>
  <si>
    <t>Plant score by month</t>
  </si>
  <si>
    <t>Sum of the totals of the month's audits / (number of audits x maximum audit score): every audit weighs the same.</t>
  </si>
  <si>
    <t>Score by S</t>
  </si>
  <si>
    <t>Points for that S in the month / (audits x that S's maximum). Change = latest month - first month.</t>
  </si>
  <si>
    <t>Area latest score and change</t>
  </si>
  <si>
    <t>The area's audit with the latest date (SUMPRODUCT of MAX), and its score minus the score at the area's previous audit.</t>
  </si>
  <si>
    <t>%, points</t>
  </si>
  <si>
    <t>Floor space value (est.)</t>
  </si>
  <si>
    <t>Space freed by closed actions x facility cost per unit area per year (Setup): the yearly cost of the space now free for other use. Not a cash saving unless the space is used or given up.</t>
  </si>
  <si>
    <t>currency/yr</t>
  </si>
  <si>
    <t>Assumptions</t>
  </si>
  <si>
    <t>One audit per area per day; the five subtotals are typed from the walk sheet, so a criterion-level score is kept on paper.</t>
  </si>
  <si>
    <t>All areas use the same checklist and scale, so their scores compare like with like.</t>
  </si>
  <si>
    <t>Plant and monthly scores weigh every audit equally, whatever the size of the area.</t>
  </si>
  <si>
    <t>An action is counted for the audit with the same date and area; actions raised between audits are still tracked.</t>
  </si>
  <si>
    <t>Limitations</t>
  </si>
  <si>
    <t>A score measures the auditor's judgement against the criteria; rotate auditors and calibrate them together to keep scores comparable.</t>
  </si>
  <si>
    <t>The Dashboard has fixed blocks for six areas and six months; longer lists need the blocks extended (a warning appears on the Dashboard).</t>
  </si>
  <si>
    <t>The Verify sheet tests the formulas as built; it cannot see later edits to them.</t>
  </si>
  <si>
    <t>The floor space value is an estimate of occupancy cost, not a saving the accounts will show by itself.</t>
  </si>
  <si>
    <t>Agreement with the live calculator</t>
  </si>
  <si>
    <t>The value of floor space freed uses the live Floor Space Cost calculator's annual space cost: occupied floor area x facility cost per unit area per year. The calculator then spreads that cost over output and hours; this workbook only values the space that Sort actions released. The reference implementation is checked against the calculator's engine for the calculator's own example (850 ft² at 18 per ft² per year = 15,300 per year) and for the example data's total.</t>
  </si>
  <si>
    <t>Open the Floor Space Cost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</si>
  <si>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</si>
  <si>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</si>
  <si>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Hirano, H., 5 Pillars of the Visual Workplace: The Sourcebook for 5S Implementation, Productivity Press, 1995 (the five S and their purpose; the checklist here is written for this template, not copied).</t>
  </si>
  <si>
    <t>Osada, T., The 5S's: Five Keys to a Total Quality Environment, Asian Productivity Organization, 1991.</t>
  </si>
  <si>
    <t>MFG Calcs Floor Space Cost calculator (floor-space-cost): annual space cost = floor area x facility cost per unit area per year.</t>
  </si>
  <si>
    <t>Standards are cited by name so you can look them up; no copyrighted standard text or tables are reproduced. Statistical constants used are public.</t>
  </si>
  <si>
    <t>Version history</t>
  </si>
  <si>
    <t>Date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</si>
  <si>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</si>
  <si>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</si>
  <si>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</si>
  <si>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</si>
  <si>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</si>
  <si>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</si>
  <si>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Expected (reference)</t>
  </si>
  <si>
    <t>Workbook result</t>
  </si>
  <si>
    <t>Difference</t>
  </si>
  <si>
    <t>Tolerance</t>
  </si>
  <si>
    <t>Result</t>
  </si>
  <si>
    <t>Audit 1 (Aug, area A): total</t>
  </si>
  <si>
    <t>Audit 1 (Aug, area A): score</t>
  </si>
  <si>
    <t>Audit 1 (Aug, area A): status against 80%</t>
  </si>
  <si>
    <t>Below target</t>
  </si>
  <si>
    <t>exact</t>
  </si>
  <si>
    <t>Audit 4 (Sep, area B): total</t>
  </si>
  <si>
    <t>Audit 4 (Sep, area B): score</t>
  </si>
  <si>
    <t>Audit 4 (Sep, area B): status against 80%</t>
  </si>
  <si>
    <t>On target</t>
  </si>
  <si>
    <t>Audit 3: status near target</t>
  </si>
  <si>
    <t>Audit 5: Check names Sort above its maximum</t>
  </si>
  <si>
    <t>Sort above its maximum</t>
  </si>
  <si>
    <t>Action 1 (closed early): days open</t>
  </si>
  <si>
    <t>Action 1 (closed early): status</t>
  </si>
  <si>
    <t>Complete</t>
  </si>
  <si>
    <t>Action 2 (closed late): days open</t>
  </si>
  <si>
    <t>Action 2 (closed late): status</t>
  </si>
  <si>
    <t>Action 3 (open, past due): days open</t>
  </si>
  <si>
    <t>Action 3 (open, past due): status</t>
  </si>
  <si>
    <t>Action 4 (open, due within 7 days): days open</t>
  </si>
  <si>
    <t>Action 4 (open, due within 7 days): status</t>
  </si>
  <si>
    <t>In progress</t>
  </si>
  <si>
    <t>Action 5 (open, due later): days open</t>
  </si>
  <si>
    <t>Action 5 (open, due later): status</t>
  </si>
  <si>
    <t>Action 2: closed on time</t>
  </si>
  <si>
    <t>No</t>
  </si>
  <si>
    <t>Action 6: Check names due before raised</t>
  </si>
  <si>
    <t>Due before raised</t>
  </si>
  <si>
    <t>Plant score, latest month (Dashboard formula)</t>
  </si>
  <si>
    <t>Change vs previous month (Dashboard formula)</t>
  </si>
  <si>
    <t>Open actions (Dashboard formula)</t>
  </si>
  <si>
    <t>Overdue actions (Dashboard formula)</t>
  </si>
  <si>
    <t>Actions closed on time (Dashboard formula)</t>
  </si>
  <si>
    <t>Floor space value, 6.5 x 18 (Dashboard formula)</t>
  </si>
  <si>
    <t>Fixed test inputs</t>
  </si>
  <si>
    <t>White cells are fixed test inputs; blue cells are the workbook's formulas evaluated on them.</t>
  </si>
  <si>
    <t>Parameters</t>
  </si>
  <si>
    <t>Points per criterion</t>
  </si>
  <si>
    <t>Due soon window (days)</t>
  </si>
  <si>
    <t>Test table: Audits</t>
  </si>
  <si>
    <t>Area A</t>
  </si>
  <si>
    <t>X</t>
  </si>
  <si>
    <t>Owner A</t>
  </si>
  <si>
    <t>Area B</t>
  </si>
  <si>
    <t>Y</t>
  </si>
  <si>
    <t>Owner B</t>
  </si>
  <si>
    <t>Area C</t>
  </si>
  <si>
    <t>Owner C</t>
  </si>
  <si>
    <t>Test table: Areas</t>
  </si>
  <si>
    <t>Test table: Actions</t>
  </si>
  <si>
    <t>F1</t>
  </si>
  <si>
    <t>A1</t>
  </si>
  <si>
    <t>O</t>
  </si>
  <si>
    <t>F2</t>
  </si>
  <si>
    <t>A2</t>
  </si>
  <si>
    <t>F3</t>
  </si>
  <si>
    <t>A3</t>
  </si>
  <si>
    <t>F4</t>
  </si>
  <si>
    <t>A4</t>
  </si>
  <si>
    <t>F5</t>
  </si>
  <si>
    <t>A5</t>
  </si>
  <si>
    <t>F6</t>
  </si>
  <si>
    <t>A6</t>
  </si>
</sst>
</file>

<file path=xl/styles.xml><?xml version="1.0" encoding="utf-8"?>
<styleSheet xmlns="http://schemas.openxmlformats.org/spreadsheetml/2006/main">
  <numFmts count="10">
    <numFmt numFmtId="164" formatCode="0.0%"/>
    <numFmt numFmtId="165" formatCode="d mmm yyyy"/>
    <numFmt numFmtId="166" formatCode="#,##0"/>
    <numFmt numFmtId="167" formatCode="#,##0.00"/>
    <numFmt numFmtId="168" formatCode="mmm yyyy"/>
    <numFmt numFmtId="169" formatCode="#,##0.0"/>
    <numFmt numFmtId="170" formatCode="+0.0%;-0.0%;0.0%"/>
    <numFmt numFmtId="171" formatCode="&quot;Target &quot;0.0%"/>
    <numFmt numFmtId="172" formatCode="0%"/>
    <numFmt numFmtId="173" formatCode="0.0E+00"/>
  </numFmts>
  <fonts count="25">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b/>
      <sz val="10"/>
      <color rgb="FFFFFFFF"/>
      <name val="Calibri"/>
      <family val="2"/>
      <scheme val="minor"/>
    </font>
    <font>
      <sz val="9"/>
      <color rgb="FF8A4A06"/>
      <name val="Calibri"/>
      <family val="2"/>
      <scheme val="minor"/>
    </font>
    <font>
      <sz val="9"/>
      <color rgb="FF1B2430"/>
      <name val="Calibri"/>
      <family val="2"/>
      <scheme val="minor"/>
    </font>
    <font>
      <i/>
      <sz val="9"/>
      <color rgb="FF6B7280"/>
      <name val="Calibri"/>
      <family val="2"/>
      <scheme val="minor"/>
    </font>
    <font>
      <b/>
      <sz val="9"/>
      <color rgb="FF4A5361"/>
      <name val="Calibri"/>
      <family val="2"/>
      <scheme val="minor"/>
    </font>
    <font>
      <b/>
      <sz val="16"/>
      <color rgb="FF14386C"/>
      <name val="Calibri"/>
      <family val="2"/>
      <scheme val="minor"/>
    </font>
    <font>
      <sz val="9"/>
      <color rgb="FF4A5361"/>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0">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s>
  <cellStyleXfs count="1">
    <xf numFmtId="0" fontId="0" fillId="0" borderId="0"/>
  </cellStyleXfs>
  <cellXfs count="81">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165" fontId="10" fillId="3" borderId="2" xfId="0" applyNumberFormat="1" applyFont="1" applyFill="1" applyBorder="1" applyAlignment="1" applyProtection="1">
      <alignment vertical="center"/>
      <protection locked="0"/>
    </xf>
    <xf numFmtId="166" fontId="10" fillId="3" borderId="2" xfId="0" applyNumberFormat="1" applyFont="1" applyFill="1" applyBorder="1" applyAlignment="1" applyProtection="1">
      <alignment vertical="center"/>
      <protection locked="0"/>
    </xf>
    <xf numFmtId="166" fontId="9" fillId="4" borderId="3" xfId="0" applyNumberFormat="1" applyFont="1" applyFill="1" applyBorder="1" applyAlignment="1">
      <alignment vertical="center"/>
    </xf>
    <xf numFmtId="166" fontId="10" fillId="4" borderId="3" xfId="0" applyNumberFormat="1" applyFont="1" applyFill="1" applyBorder="1" applyAlignment="1">
      <alignment vertical="center"/>
    </xf>
    <xf numFmtId="0" fontId="17" fillId="0" borderId="0" xfId="0" applyFont="1" applyAlignment="1">
      <alignment vertical="center"/>
    </xf>
    <xf numFmtId="0" fontId="18" fillId="2" borderId="5" xfId="0" applyFont="1" applyFill="1" applyBorder="1" applyAlignment="1">
      <alignment horizontal="center" vertical="center" wrapText="1"/>
    </xf>
    <xf numFmtId="167" fontId="10" fillId="3" borderId="2" xfId="0" applyNumberFormat="1" applyFont="1" applyFill="1" applyBorder="1" applyAlignment="1" applyProtection="1">
      <alignment vertical="center"/>
      <protection locked="0"/>
    </xf>
    <xf numFmtId="0" fontId="19" fillId="7" borderId="2" xfId="0" applyFont="1" applyFill="1" applyBorder="1" applyAlignment="1">
      <alignment vertical="center" wrapText="1"/>
    </xf>
    <xf numFmtId="0" fontId="10" fillId="3" borderId="2" xfId="0" applyFont="1" applyFill="1" applyBorder="1" applyAlignment="1" applyProtection="1">
      <alignment vertical="top" wrapText="1"/>
      <protection locked="0"/>
    </xf>
    <xf numFmtId="0" fontId="10" fillId="4" borderId="3" xfId="0" applyFont="1" applyFill="1" applyBorder="1" applyAlignment="1">
      <alignment vertical="center"/>
    </xf>
    <xf numFmtId="164" fontId="10" fillId="4" borderId="3" xfId="0" applyNumberFormat="1" applyFont="1" applyFill="1" applyBorder="1" applyAlignment="1">
      <alignment vertical="center"/>
    </xf>
    <xf numFmtId="0" fontId="10" fillId="4" borderId="3" xfId="0" applyFont="1" applyFill="1" applyBorder="1" applyAlignment="1">
      <alignment horizontal="center" vertical="center"/>
    </xf>
    <xf numFmtId="168" fontId="10" fillId="4" borderId="3" xfId="0" applyNumberFormat="1" applyFont="1" applyFill="1" applyBorder="1" applyAlignment="1">
      <alignment vertical="center"/>
    </xf>
    <xf numFmtId="0" fontId="20" fillId="4" borderId="3" xfId="0" applyFont="1" applyFill="1" applyBorder="1" applyAlignment="1">
      <alignment vertical="center"/>
    </xf>
    <xf numFmtId="0" fontId="21" fillId="0" borderId="0" xfId="0" applyFont="1" applyAlignment="1">
      <alignment horizontal="center" vertical="center"/>
    </xf>
    <xf numFmtId="169" fontId="10" fillId="3" borderId="2" xfId="0" applyNumberFormat="1" applyFont="1" applyFill="1" applyBorder="1" applyAlignment="1" applyProtection="1">
      <alignment vertical="center"/>
      <protection locked="0"/>
    </xf>
    <xf numFmtId="0" fontId="21" fillId="0" borderId="0" xfId="0" applyFont="1" applyAlignment="1">
      <alignment vertical="center"/>
    </xf>
    <xf numFmtId="0" fontId="22" fillId="9" borderId="6" xfId="0" applyFont="1" applyFill="1" applyBorder="1" applyAlignment="1">
      <alignment vertical="center" wrapText="1"/>
    </xf>
    <xf numFmtId="164" fontId="4" fillId="9" borderId="7" xfId="0" applyNumberFormat="1" applyFont="1" applyFill="1" applyBorder="1" applyAlignment="1">
      <alignment horizontal="left" vertical="center"/>
    </xf>
    <xf numFmtId="170" fontId="4" fillId="9" borderId="7" xfId="0" applyNumberFormat="1" applyFont="1" applyFill="1" applyBorder="1" applyAlignment="1">
      <alignment horizontal="left" vertical="center"/>
    </xf>
    <xf numFmtId="166" fontId="4" fillId="9" borderId="7" xfId="0" applyNumberFormat="1" applyFont="1" applyFill="1" applyBorder="1" applyAlignment="1">
      <alignment horizontal="left" vertical="center"/>
    </xf>
    <xf numFmtId="0" fontId="23" fillId="9" borderId="7" xfId="0" applyFont="1" applyFill="1" applyBorder="1" applyAlignment="1">
      <alignment horizontal="left" vertical="center"/>
    </xf>
    <xf numFmtId="171" fontId="24" fillId="9" borderId="7" xfId="0" applyNumberFormat="1" applyFont="1" applyFill="1" applyBorder="1" applyAlignment="1">
      <alignment horizontal="left" vertical="center"/>
    </xf>
    <xf numFmtId="0" fontId="24" fillId="9" borderId="7" xfId="0" applyFont="1" applyFill="1" applyBorder="1" applyAlignment="1">
      <alignment vertical="center"/>
    </xf>
    <xf numFmtId="0" fontId="22" fillId="9" borderId="8" xfId="0" applyFont="1" applyFill="1" applyBorder="1" applyAlignment="1">
      <alignment vertical="center"/>
    </xf>
    <xf numFmtId="0" fontId="18" fillId="2" borderId="5" xfId="0" applyFont="1" applyFill="1" applyBorder="1" applyAlignment="1">
      <alignment horizontal="left" vertical="center" wrapText="1"/>
    </xf>
    <xf numFmtId="168" fontId="18" fillId="2" borderId="5" xfId="0" applyNumberFormat="1" applyFont="1" applyFill="1" applyBorder="1" applyAlignment="1">
      <alignment horizontal="center" vertical="center" wrapText="1"/>
    </xf>
    <xf numFmtId="0" fontId="9" fillId="0" borderId="9" xfId="0" applyFont="1" applyBorder="1" applyAlignment="1">
      <alignment vertical="center"/>
    </xf>
    <xf numFmtId="172" fontId="10" fillId="4" borderId="3" xfId="0" applyNumberFormat="1" applyFont="1" applyFill="1" applyBorder="1" applyAlignment="1">
      <alignment horizontal="center" vertical="center"/>
    </xf>
    <xf numFmtId="165" fontId="10" fillId="4" borderId="3" xfId="0" applyNumberFormat="1" applyFont="1" applyFill="1" applyBorder="1" applyAlignment="1">
      <alignment vertical="center"/>
    </xf>
    <xf numFmtId="170" fontId="10" fillId="4" borderId="3" xfId="0" applyNumberFormat="1" applyFont="1" applyFill="1" applyBorder="1" applyAlignment="1">
      <alignment vertical="center"/>
    </xf>
    <xf numFmtId="164" fontId="10" fillId="0" borderId="9" xfId="0" applyNumberFormat="1" applyFont="1" applyBorder="1" applyAlignment="1">
      <alignment vertical="center"/>
    </xf>
    <xf numFmtId="168" fontId="9" fillId="0" borderId="9" xfId="0" applyNumberFormat="1" applyFont="1" applyBorder="1" applyAlignment="1">
      <alignment vertical="center"/>
    </xf>
    <xf numFmtId="169" fontId="10" fillId="4" borderId="3" xfId="0" applyNumberFormat="1" applyFont="1" applyFill="1" applyBorder="1" applyAlignment="1">
      <alignment vertical="center"/>
    </xf>
    <xf numFmtId="0" fontId="13" fillId="0" borderId="0" xfId="0" applyFont="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xf>
    <xf numFmtId="0" fontId="10" fillId="0" borderId="9" xfId="0" applyFont="1" applyBorder="1" applyAlignment="1">
      <alignment vertical="center" wrapText="1"/>
    </xf>
    <xf numFmtId="0" fontId="10" fillId="0" borderId="9" xfId="0" applyFont="1" applyBorder="1" applyAlignment="1">
      <alignment horizontal="center" vertical="center"/>
    </xf>
    <xf numFmtId="0" fontId="8" fillId="0" borderId="0" xfId="0" applyFont="1" applyAlignment="1">
      <alignment vertical="center"/>
    </xf>
    <xf numFmtId="166" fontId="9" fillId="0" borderId="9" xfId="0" applyNumberFormat="1" applyFont="1" applyBorder="1" applyAlignment="1">
      <alignment horizontal="center" vertical="center"/>
    </xf>
    <xf numFmtId="166" fontId="10" fillId="0" borderId="9" xfId="0" applyNumberFormat="1" applyFont="1" applyBorder="1" applyAlignment="1">
      <alignment vertical="center"/>
    </xf>
    <xf numFmtId="173" fontId="10" fillId="4" borderId="3" xfId="0" applyNumberFormat="1" applyFont="1" applyFill="1" applyBorder="1" applyAlignment="1">
      <alignment vertical="center"/>
    </xf>
    <xf numFmtId="173" fontId="10" fillId="0" borderId="9" xfId="0" applyNumberFormat="1" applyFont="1" applyBorder="1" applyAlignment="1">
      <alignment vertical="center"/>
    </xf>
    <xf numFmtId="170" fontId="10" fillId="0" borderId="9" xfId="0" applyNumberFormat="1" applyFont="1" applyBorder="1" applyAlignment="1">
      <alignment vertical="center"/>
    </xf>
    <xf numFmtId="167" fontId="10" fillId="0" borderId="9" xfId="0" applyNumberFormat="1" applyFont="1" applyBorder="1" applyAlignment="1">
      <alignment vertical="center"/>
    </xf>
    <xf numFmtId="167" fontId="10" fillId="4" borderId="3" xfId="0" applyNumberFormat="1" applyFont="1" applyFill="1" applyBorder="1" applyAlignment="1">
      <alignment vertical="center"/>
    </xf>
    <xf numFmtId="165" fontId="10" fillId="0" borderId="9" xfId="0" applyNumberFormat="1" applyFont="1" applyBorder="1" applyAlignment="1">
      <alignment vertical="center"/>
    </xf>
    <xf numFmtId="169" fontId="10" fillId="0" borderId="9" xfId="0" applyNumberFormat="1" applyFont="1" applyBorder="1" applyAlignment="1">
      <alignment vertical="center"/>
    </xf>
  </cellXfs>
  <cellStyles count="1">
    <cellStyle name="Normal" xfId="0" builtinId="0"/>
  </cellStyles>
  <dxfs count="6">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
      <font>
        <b/>
        <color rgb="FF8A4A06"/>
      </font>
    </dxf>
    <dxf>
      <font>
        <b/>
        <color rgb="FFB3000C"/>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theme" Target="theme/theme1.xml"/><Relationship Id="rId10" Type="http://schemas.openxmlformats.org/officeDocument/2006/relationships/styles" Target="styles.xml"/><Relationship Id="rId11"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Plant 5S score by month</a:t>
            </a:r>
          </a:p>
        </c:rich>
      </c:tx>
      <c:layout/>
    </c:title>
    <c:plotArea>
      <c:layout/>
      <c:barChart>
        <c:barDir val="col"/>
        <c:grouping val="clustered"/>
        <c:ser>
          <c:idx val="0"/>
          <c:order val="0"/>
          <c:tx>
            <c:v>Score</c:v>
          </c:tx>
          <c:spPr>
            <a:solidFill>
              <a:srgbClr val="3B64D8"/>
            </a:solidFill>
            <a:ln w="9525">
              <a:solidFill>
                <a:srgbClr val="FFFFFF"/>
              </a:solidFill>
            </a:ln>
          </c:spPr>
          <c:dLbls>
            <c:numFmt formatCode="0%" sourceLinked="0"/>
            <c:txPr>
              <a:bodyPr/>
              <a:lstStyle/>
              <a:p>
                <a:pPr>
                  <a:defRPr sz="800" b="1" baseline="0">
                    <a:solidFill>
                      <a:srgbClr val="FFFFFF"/>
                    </a:solidFill>
                    <a:latin typeface="Calibri"/>
                  </a:defRPr>
                </a:pPr>
                <a:endParaRPr lang="en-US"/>
              </a:p>
            </c:txPr>
            <c:dLblPos val="inBase"/>
            <c:showVal val="1"/>
          </c:dLbls>
          <c:cat>
            <c:numRef>
              <c:f>Dashboard!$B$80:$B$85</c:f>
              <c:numCache>
                <c:formatCode>General</c:formatCode>
                <c:ptCount val="6"/>
                <c:pt idx="0">
                  <c:v>46113</c:v>
                </c:pt>
                <c:pt idx="1">
                  <c:v>46143</c:v>
                </c:pt>
                <c:pt idx="2">
                  <c:v>46174</c:v>
                </c:pt>
                <c:pt idx="3">
                  <c:v>46204</c:v>
                </c:pt>
                <c:pt idx="4">
                  <c:v>46235</c:v>
                </c:pt>
                <c:pt idx="5">
                  <c:v>46266</c:v>
                </c:pt>
              </c:numCache>
            </c:numRef>
          </c:cat>
          <c:val>
            <c:numRef>
              <c:f>Dashboard!$D$80:$D$85</c:f>
              <c:numCache>
                <c:formatCode>General</c:formatCode>
                <c:ptCount val="6"/>
                <c:pt idx="0">
                  <c:v>0.395</c:v>
                </c:pt>
                <c:pt idx="1">
                  <c:v>0.47</c:v>
                </c:pt>
                <c:pt idx="2">
                  <c:v>0.528333333333333</c:v>
                </c:pt>
                <c:pt idx="3">
                  <c:v>0.591666666666667</c:v>
                </c:pt>
                <c:pt idx="4">
                  <c:v>0.656666666666667</c:v>
                </c:pt>
                <c:pt idx="5">
                  <c:v>0.718333333333333</c:v>
                </c:pt>
              </c:numCache>
            </c:numRef>
          </c:val>
        </c:ser>
        <c:gapWidth val="60"/>
        <c:overlap val="-10"/>
        <c:axId val="50010001"/>
        <c:axId val="50010002"/>
      </c:barChart>
      <c:lineChart>
        <c:grouping val="standard"/>
        <c:ser>
          <c:idx val="1"/>
          <c:order val="1"/>
          <c:tx>
            <c:v>Target</c:v>
          </c:tx>
          <c:spPr>
            <a:ln w="19050">
              <a:solidFill>
                <a:srgbClr val="4A5361"/>
              </a:solidFill>
              <a:prstDash val="dash"/>
            </a:ln>
          </c:spPr>
          <c:marker>
            <c:symbol val="none"/>
          </c:marker>
          <c:cat>
            <c:numRef>
              <c:f>Dashboard!$B$80:$B$85</c:f>
              <c:numCache>
                <c:formatCode>General</c:formatCode>
                <c:ptCount val="6"/>
                <c:pt idx="0">
                  <c:v>46113</c:v>
                </c:pt>
                <c:pt idx="1">
                  <c:v>46143</c:v>
                </c:pt>
                <c:pt idx="2">
                  <c:v>46174</c:v>
                </c:pt>
                <c:pt idx="3">
                  <c:v>46204</c:v>
                </c:pt>
                <c:pt idx="4">
                  <c:v>46235</c:v>
                </c:pt>
                <c:pt idx="5">
                  <c:v>46266</c:v>
                </c:pt>
              </c:numCache>
            </c:numRef>
          </c:cat>
          <c:val>
            <c:numRef>
              <c:f>Dashboard!$E$80:$E$85</c:f>
              <c:numCache>
                <c:formatCode>General</c:formatCode>
                <c:ptCount val="6"/>
                <c:pt idx="0">
                  <c:v>0.8</c:v>
                </c:pt>
                <c:pt idx="1">
                  <c:v>0.8</c:v>
                </c:pt>
                <c:pt idx="2">
                  <c:v>0.8</c:v>
                </c:pt>
                <c:pt idx="3">
                  <c:v>0.8</c:v>
                </c:pt>
                <c:pt idx="4">
                  <c:v>0.8</c:v>
                </c:pt>
                <c:pt idx="5">
                  <c:v>0.8</c:v>
                </c:pt>
              </c:numCache>
            </c:numRef>
          </c:val>
        </c:ser>
        <c:marker val="1"/>
        <c:axId val="50010001"/>
        <c:axId val="50010002"/>
      </c:lineChart>
      <c:catAx>
        <c:axId val="50010001"/>
        <c:scaling>
          <c:orientation val="minMax"/>
        </c:scaling>
        <c:axPos val="b"/>
        <c:numFmt formatCode="mmm yyyy" sourceLinked="0"/>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ax val="1"/>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Score by S: first and latest month</a:t>
            </a:r>
          </a:p>
        </c:rich>
      </c:tx>
      <c:layout/>
    </c:title>
    <c:plotArea>
      <c:layout/>
      <c:radarChart>
        <c:radarStyle val="marker"/>
        <c:ser>
          <c:idx val="0"/>
          <c:order val="0"/>
          <c:tx>
            <c:v>First month</c:v>
          </c:tx>
          <c:spPr>
            <a:ln w="28575">
              <a:solidFill>
                <a:srgbClr val="3B64D8"/>
              </a:solidFill>
            </a:ln>
          </c:spPr>
          <c:marker>
            <c:symbol val="circle"/>
            <c:size val="5"/>
            <c:spPr>
              <a:solidFill>
                <a:srgbClr val="3B64D8"/>
              </a:solidFill>
              <a:ln>
                <a:solidFill>
                  <a:srgbClr val="3B64D8"/>
                </a:solidFill>
              </a:ln>
            </c:spPr>
          </c:marker>
          <c:cat>
            <c:strRef>
              <c:f>Dashboard!$B$71:$B$75</c:f>
              <c:strCache>
                <c:ptCount val="5"/>
                <c:pt idx="0">
                  <c:v>Sort</c:v>
                </c:pt>
                <c:pt idx="1">
                  <c:v>Set in order</c:v>
                </c:pt>
                <c:pt idx="2">
                  <c:v>Shine</c:v>
                </c:pt>
                <c:pt idx="3">
                  <c:v>Standardize</c:v>
                </c:pt>
                <c:pt idx="4">
                  <c:v>Sustain</c:v>
                </c:pt>
              </c:strCache>
            </c:strRef>
          </c:cat>
          <c:val>
            <c:numRef>
              <c:f>Dashboard!$E$71:$E$75</c:f>
              <c:numCache>
                <c:formatCode>General</c:formatCode>
                <c:ptCount val="5"/>
                <c:pt idx="0">
                  <c:v>0.458333333333333</c:v>
                </c:pt>
                <c:pt idx="1">
                  <c:v>0.45</c:v>
                </c:pt>
                <c:pt idx="2">
                  <c:v>0.425</c:v>
                </c:pt>
                <c:pt idx="3">
                  <c:v>0.35</c:v>
                </c:pt>
                <c:pt idx="4">
                  <c:v>0.291666666666667</c:v>
                </c:pt>
              </c:numCache>
            </c:numRef>
          </c:val>
        </c:ser>
        <c:ser>
          <c:idx val="1"/>
          <c:order val="1"/>
          <c:tx>
            <c:v>Latest month</c:v>
          </c:tx>
          <c:spPr>
            <a:ln w="28575">
              <a:solidFill>
                <a:srgbClr val="E8702A"/>
              </a:solidFill>
            </a:ln>
          </c:spPr>
          <c:marker>
            <c:symbol val="circle"/>
            <c:size val="5"/>
            <c:spPr>
              <a:solidFill>
                <a:srgbClr val="E8702A"/>
              </a:solidFill>
              <a:ln>
                <a:solidFill>
                  <a:srgbClr val="E8702A"/>
                </a:solidFill>
              </a:ln>
            </c:spPr>
          </c:marker>
          <c:cat>
            <c:strRef>
              <c:f>Dashboard!$B$71:$B$75</c:f>
              <c:strCache>
                <c:ptCount val="5"/>
                <c:pt idx="0">
                  <c:v>Sort</c:v>
                </c:pt>
                <c:pt idx="1">
                  <c:v>Set in order</c:v>
                </c:pt>
                <c:pt idx="2">
                  <c:v>Shine</c:v>
                </c:pt>
                <c:pt idx="3">
                  <c:v>Standardize</c:v>
                </c:pt>
                <c:pt idx="4">
                  <c:v>Sustain</c:v>
                </c:pt>
              </c:strCache>
            </c:strRef>
          </c:cat>
          <c:val>
            <c:numRef>
              <c:f>Dashboard!$F$71:$F$75</c:f>
              <c:numCache>
                <c:formatCode>General</c:formatCode>
                <c:ptCount val="5"/>
                <c:pt idx="0">
                  <c:v>0.883333333333333</c:v>
                </c:pt>
                <c:pt idx="1">
                  <c:v>0.833333333333333</c:v>
                </c:pt>
                <c:pt idx="2">
                  <c:v>0.75</c:v>
                </c:pt>
                <c:pt idx="3">
                  <c:v>0.625</c:v>
                </c:pt>
                <c:pt idx="4">
                  <c:v>0.5</c:v>
                </c:pt>
              </c:numCache>
            </c:numRef>
          </c:val>
        </c:ser>
        <c:ser>
          <c:idx val="2"/>
          <c:order val="2"/>
          <c:tx>
            <c:v>Target</c:v>
          </c:tx>
          <c:spPr>
            <a:ln w="19050">
              <a:solidFill>
                <a:srgbClr val="4A5361"/>
              </a:solidFill>
              <a:prstDash val="dash"/>
            </a:ln>
          </c:spPr>
          <c:marker>
            <c:symbol val="none"/>
          </c:marker>
          <c:cat>
            <c:strRef>
              <c:f>Dashboard!$B$71:$B$75</c:f>
              <c:strCache>
                <c:ptCount val="5"/>
                <c:pt idx="0">
                  <c:v>Sort</c:v>
                </c:pt>
                <c:pt idx="1">
                  <c:v>Set in order</c:v>
                </c:pt>
                <c:pt idx="2">
                  <c:v>Shine</c:v>
                </c:pt>
                <c:pt idx="3">
                  <c:v>Standardize</c:v>
                </c:pt>
                <c:pt idx="4">
                  <c:v>Sustain</c:v>
                </c:pt>
              </c:strCache>
            </c:strRef>
          </c:cat>
          <c:val>
            <c:numRef>
              <c:f>Dashboard!$H$71:$H$75</c:f>
              <c:numCache>
                <c:formatCode>General</c:formatCode>
                <c:ptCount val="5"/>
                <c:pt idx="0">
                  <c:v>0.8</c:v>
                </c:pt>
                <c:pt idx="1">
                  <c:v>0.8</c:v>
                </c:pt>
                <c:pt idx="2">
                  <c:v>0.8</c:v>
                </c:pt>
                <c:pt idx="3">
                  <c:v>0.8</c:v>
                </c:pt>
                <c:pt idx="4">
                  <c:v>0.8</c:v>
                </c:pt>
              </c:numCache>
            </c:numRef>
          </c:val>
        </c:ser>
        <c:axId val="50020001"/>
        <c:axId val="50020002"/>
      </c:radarChart>
      <c:catAx>
        <c:axId val="50020001"/>
        <c:scaling>
          <c:orientation val="minMax"/>
        </c:scaling>
        <c:axPos val="b"/>
        <c:majorGridlines/>
        <c:tickLblPos val="nextTo"/>
        <c:txPr>
          <a:bodyPr/>
          <a:lstStyle/>
          <a:p>
            <a:pPr>
              <a:defRPr sz="900" baseline="0">
                <a:solidFill>
                  <a:srgbClr val="4A5361"/>
                </a:solidFill>
                <a:latin typeface="Calibri"/>
              </a:defRPr>
            </a:pPr>
            <a:endParaRPr lang="en-US"/>
          </a:p>
        </c:txPr>
        <c:crossAx val="50020002"/>
        <c:crosses val="autoZero"/>
        <c:auto val="1"/>
        <c:lblAlgn val="ctr"/>
        <c:lblOffset val="100"/>
      </c:catAx>
      <c:valAx>
        <c:axId val="50020002"/>
        <c:scaling>
          <c:orientation val="minMax"/>
          <c:max val="1"/>
          <c:min val="0"/>
        </c:scaling>
        <c:axPos val="l"/>
        <c:majorGridlines>
          <c:spPr>
            <a:ln w="9525">
              <a:solidFill>
                <a:srgbClr val="E6E9EE"/>
              </a:solidFill>
            </a:ln>
          </c:spPr>
        </c:majorGridlines>
        <c:numFmt formatCode="0%" sourceLinked="0"/>
        <c:tickLblPos val="nextTo"/>
        <c:txPr>
          <a:bodyPr/>
          <a:lstStyle/>
          <a:p>
            <a:pPr>
              <a:defRPr sz="900" baseline="0">
                <a:solidFill>
                  <a:srgbClr val="4A5361"/>
                </a:solidFill>
                <a:latin typeface="Calibri"/>
              </a:defRPr>
            </a:pPr>
            <a:endParaRPr lang="en-US"/>
          </a:p>
        </c:txPr>
        <c:crossAx val="50020001"/>
        <c:crosses val="autoZero"/>
        <c:crossBetween val="between"/>
      </c:valAx>
    </c:plotArea>
    <c:legend>
      <c:legendPos val="b"/>
      <c:layout/>
      <c:txPr>
        <a:bodyPr/>
        <a:lstStyle/>
        <a:p>
          <a:pPr>
            <a:defRPr sz="900" baseline="0">
              <a:solidFill>
                <a:srgbClr val="4A5361"/>
              </a:solidFill>
              <a:latin typeface="Calibri"/>
            </a:defRPr>
          </a:pPr>
          <a:endParaRPr lang="en-US"/>
        </a:p>
      </c:txPr>
    </c:legend>
    <c:plotVisOnly val="1"/>
  </c:chart>
  <c:spPr>
    <a:ln>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Latest audit score by area</a:t>
            </a:r>
          </a:p>
        </c:rich>
      </c:tx>
      <c:layout/>
    </c:title>
    <c:plotArea>
      <c:layout/>
      <c:barChart>
        <c:barDir val="col"/>
        <c:grouping val="clustered"/>
        <c:ser>
          <c:idx val="0"/>
          <c:order val="0"/>
          <c:tx>
            <c:v>Score</c:v>
          </c:tx>
          <c:spPr>
            <a:solidFill>
              <a:srgbClr val="3B64D8"/>
            </a:solidFill>
            <a:ln w="9525">
              <a:solidFill>
                <a:srgbClr val="FFFFFF"/>
              </a:solidFill>
            </a:ln>
          </c:spPr>
          <c:dLbls>
            <c:numFmt formatCode="0%" sourceLinked="0"/>
            <c:txPr>
              <a:bodyPr/>
              <a:lstStyle/>
              <a:p>
                <a:pPr>
                  <a:defRPr sz="800" b="1" baseline="0">
                    <a:solidFill>
                      <a:srgbClr val="FFFFFF"/>
                    </a:solidFill>
                    <a:latin typeface="Calibri"/>
                  </a:defRPr>
                </a:pPr>
                <a:endParaRPr lang="en-US"/>
              </a:p>
            </c:txPr>
            <c:dLblPos val="inBase"/>
            <c:showVal val="1"/>
          </c:dLbls>
          <c:cat>
            <c:strRef>
              <c:f>Dashboard!$B$62:$B$67</c:f>
              <c:strCache>
                <c:ptCount val="6"/>
                <c:pt idx="0">
                  <c:v>Laser cutting</c:v>
                </c:pt>
                <c:pt idx="1">
                  <c:v>Press brake</c:v>
                </c:pt>
                <c:pt idx="2">
                  <c:v>Welding</c:v>
                </c:pt>
                <c:pt idx="3">
                  <c:v>Paint line</c:v>
                </c:pt>
                <c:pt idx="4">
                  <c:v>Assembly</c:v>
                </c:pt>
                <c:pt idx="5">
                  <c:v>Stores</c:v>
                </c:pt>
              </c:strCache>
            </c:strRef>
          </c:cat>
          <c:val>
            <c:numRef>
              <c:f>Dashboard!$F$62:$F$67</c:f>
              <c:numCache>
                <c:formatCode>General</c:formatCode>
                <c:ptCount val="6"/>
                <c:pt idx="0">
                  <c:v>0.71</c:v>
                </c:pt>
                <c:pt idx="1">
                  <c:v>0.68</c:v>
                </c:pt>
                <c:pt idx="2">
                  <c:v>0.52</c:v>
                </c:pt>
                <c:pt idx="3">
                  <c:v>0.69</c:v>
                </c:pt>
                <c:pt idx="4">
                  <c:v>0.83</c:v>
                </c:pt>
                <c:pt idx="5">
                  <c:v>0.88</c:v>
                </c:pt>
              </c:numCache>
            </c:numRef>
          </c:val>
        </c:ser>
        <c:gapWidth val="60"/>
        <c:overlap val="-10"/>
        <c:axId val="50030001"/>
        <c:axId val="50030002"/>
      </c:barChart>
      <c:lineChart>
        <c:grouping val="standard"/>
        <c:ser>
          <c:idx val="1"/>
          <c:order val="1"/>
          <c:tx>
            <c:v>Target</c:v>
          </c:tx>
          <c:spPr>
            <a:ln w="19050">
              <a:solidFill>
                <a:srgbClr val="4A5361"/>
              </a:solidFill>
              <a:prstDash val="dash"/>
            </a:ln>
          </c:spPr>
          <c:marker>
            <c:symbol val="none"/>
          </c:marker>
          <c:cat>
            <c:strRef>
              <c:f>Dashboard!$B$62:$B$67</c:f>
              <c:strCache>
                <c:ptCount val="6"/>
                <c:pt idx="0">
                  <c:v>Laser cutting</c:v>
                </c:pt>
                <c:pt idx="1">
                  <c:v>Press brake</c:v>
                </c:pt>
                <c:pt idx="2">
                  <c:v>Welding</c:v>
                </c:pt>
                <c:pt idx="3">
                  <c:v>Paint line</c:v>
                </c:pt>
                <c:pt idx="4">
                  <c:v>Assembly</c:v>
                </c:pt>
                <c:pt idx="5">
                  <c:v>Stores</c:v>
                </c:pt>
              </c:strCache>
            </c:strRef>
          </c:cat>
          <c:val>
            <c:numRef>
              <c:f>Dashboard!$M$62:$M$67</c:f>
              <c:numCache>
                <c:formatCode>General</c:formatCode>
                <c:ptCount val="6"/>
                <c:pt idx="0">
                  <c:v>0.8</c:v>
                </c:pt>
                <c:pt idx="1">
                  <c:v>0.8</c:v>
                </c:pt>
                <c:pt idx="2">
                  <c:v>0.8</c:v>
                </c:pt>
                <c:pt idx="3">
                  <c:v>0.8</c:v>
                </c:pt>
                <c:pt idx="4">
                  <c:v>0.8</c:v>
                </c:pt>
                <c:pt idx="5">
                  <c:v>0.8</c:v>
                </c:pt>
              </c:numCache>
            </c:numRef>
          </c:val>
        </c:ser>
        <c:marker val="1"/>
        <c:axId val="50030001"/>
        <c:axId val="50030002"/>
      </c:lineChart>
      <c:catAx>
        <c:axId val="5003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30002"/>
        <c:crosses val="autoZero"/>
        <c:lblAlgn val="ctr"/>
        <c:lblOffset val="100"/>
      </c:catAx>
      <c:valAx>
        <c:axId val="50030002"/>
        <c:scaling>
          <c:orientation val="minMax"/>
          <c:max val="1"/>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3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Open actions by area</a:t>
            </a:r>
          </a:p>
        </c:rich>
      </c:tx>
      <c:layout/>
    </c:title>
    <c:plotArea>
      <c:layout/>
      <c:barChart>
        <c:barDir val="col"/>
        <c:grouping val="stacked"/>
        <c:ser>
          <c:idx val="0"/>
          <c:order val="0"/>
          <c:tx>
            <c:v>Overdue</c:v>
          </c:tx>
          <c:spPr>
            <a:solidFill>
              <a:srgbClr val="3B64D8"/>
            </a:solidFill>
            <a:ln w="9525">
              <a:solidFill>
                <a:srgbClr val="FFFFFF"/>
              </a:solidFill>
            </a:ln>
          </c:spPr>
          <c:cat>
            <c:strRef>
              <c:f>Dashboard!$B$62:$B$67</c:f>
              <c:strCache>
                <c:ptCount val="6"/>
                <c:pt idx="0">
                  <c:v>Laser cutting</c:v>
                </c:pt>
                <c:pt idx="1">
                  <c:v>Press brake</c:v>
                </c:pt>
                <c:pt idx="2">
                  <c:v>Welding</c:v>
                </c:pt>
                <c:pt idx="3">
                  <c:v>Paint line</c:v>
                </c:pt>
                <c:pt idx="4">
                  <c:v>Assembly</c:v>
                </c:pt>
                <c:pt idx="5">
                  <c:v>Stores</c:v>
                </c:pt>
              </c:strCache>
            </c:strRef>
          </c:cat>
          <c:val>
            <c:numRef>
              <c:f>Dashboard!$K$62:$K$67</c:f>
              <c:numCache>
                <c:formatCode>General</c:formatCode>
                <c:ptCount val="6"/>
                <c:pt idx="0">
                  <c:v>2</c:v>
                </c:pt>
                <c:pt idx="1">
                  <c:v>0</c:v>
                </c:pt>
                <c:pt idx="2">
                  <c:v>3</c:v>
                </c:pt>
                <c:pt idx="3">
                  <c:v>1</c:v>
                </c:pt>
                <c:pt idx="4">
                  <c:v>2</c:v>
                </c:pt>
                <c:pt idx="5">
                  <c:v>0</c:v>
                </c:pt>
              </c:numCache>
            </c:numRef>
          </c:val>
        </c:ser>
        <c:ser>
          <c:idx val="1"/>
          <c:order val="1"/>
          <c:tx>
            <c:v>Open, not overdue</c:v>
          </c:tx>
          <c:spPr>
            <a:solidFill>
              <a:srgbClr val="E8702A"/>
            </a:solidFill>
            <a:ln w="9525">
              <a:solidFill>
                <a:srgbClr val="FFFFFF"/>
              </a:solidFill>
            </a:ln>
          </c:spPr>
          <c:cat>
            <c:strRef>
              <c:f>Dashboard!$B$62:$B$67</c:f>
              <c:strCache>
                <c:ptCount val="6"/>
                <c:pt idx="0">
                  <c:v>Laser cutting</c:v>
                </c:pt>
                <c:pt idx="1">
                  <c:v>Press brake</c:v>
                </c:pt>
                <c:pt idx="2">
                  <c:v>Welding</c:v>
                </c:pt>
                <c:pt idx="3">
                  <c:v>Paint line</c:v>
                </c:pt>
                <c:pt idx="4">
                  <c:v>Assembly</c:v>
                </c:pt>
                <c:pt idx="5">
                  <c:v>Stores</c:v>
                </c:pt>
              </c:strCache>
            </c:strRef>
          </c:cat>
          <c:val>
            <c:numRef>
              <c:f>Dashboard!$L$62:$L$67</c:f>
              <c:numCache>
                <c:formatCode>General</c:formatCode>
                <c:ptCount val="6"/>
                <c:pt idx="0">
                  <c:v>2</c:v>
                </c:pt>
                <c:pt idx="1">
                  <c:v>2</c:v>
                </c:pt>
                <c:pt idx="2">
                  <c:v>1</c:v>
                </c:pt>
                <c:pt idx="3">
                  <c:v>1</c:v>
                </c:pt>
                <c:pt idx="4">
                  <c:v>2</c:v>
                </c:pt>
                <c:pt idx="5">
                  <c:v>2</c:v>
                </c:pt>
              </c:numCache>
            </c:numRef>
          </c:val>
        </c:ser>
        <c:gapWidth val="60"/>
        <c:overlap val="100"/>
        <c:axId val="50040001"/>
        <c:axId val="50040002"/>
      </c:barChart>
      <c:catAx>
        <c:axId val="5004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40002"/>
        <c:crosses val="autoZero"/>
        <c:lblAlgn val="ctr"/>
        <c:lblOffset val="100"/>
      </c:catAx>
      <c:valAx>
        <c:axId val="5004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4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11</xdr:row>
      <xdr:rowOff>38100</xdr:rowOff>
    </xdr:from>
    <xdr:to>
      <xdr:col>5</xdr:col>
      <xdr:colOff>676275</xdr:colOff>
      <xdr:row>26</xdr:row>
      <xdr:rowOff>152400</xdr:rowOff>
    </xdr:to>
    <xdr:graphicFrame macro="">
      <xdr:nvGraphicFramePr>
        <xdr:cNvPr id="2" name="Chart 1" descr="Column chart of the plant 5S audit score for each of the last six months with audits, with the target as a dashed lin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11</xdr:row>
      <xdr:rowOff>38100</xdr:rowOff>
    </xdr:from>
    <xdr:to>
      <xdr:col>11</xdr:col>
      <xdr:colOff>676275</xdr:colOff>
      <xdr:row>26</xdr:row>
      <xdr:rowOff>152400</xdr:rowOff>
    </xdr:to>
    <xdr:graphicFrame macro="">
      <xdr:nvGraphicFramePr>
        <xdr:cNvPr id="3" name="Chart 2" descr="Radar chart of the score for each of the five S as a share of its maximum, for the first and the latest month with audits, with the target."/>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38100</xdr:colOff>
      <xdr:row>34</xdr:row>
      <xdr:rowOff>38100</xdr:rowOff>
    </xdr:from>
    <xdr:to>
      <xdr:col>5</xdr:col>
      <xdr:colOff>676275</xdr:colOff>
      <xdr:row>48</xdr:row>
      <xdr:rowOff>152400</xdr:rowOff>
    </xdr:to>
    <xdr:graphicFrame macro="">
      <xdr:nvGraphicFramePr>
        <xdr:cNvPr id="4" name="Chart 3" descr="Column chart of each area's score at its latest audit, with the target as a dashed lin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38100</xdr:colOff>
      <xdr:row>34</xdr:row>
      <xdr:rowOff>38100</xdr:rowOff>
    </xdr:from>
    <xdr:to>
      <xdr:col>11</xdr:col>
      <xdr:colOff>676275</xdr:colOff>
      <xdr:row>48</xdr:row>
      <xdr:rowOff>152400</xdr:rowOff>
    </xdr:to>
    <xdr:graphicFrame macro="">
      <xdr:nvGraphicFramePr>
        <xdr:cNvPr id="5" name="Chart 4" descr="Stacked column chart of the open actions in each area, split into overdue and not yet overdue at the status dat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ables/table1.xml><?xml version="1.0" encoding="utf-8"?>
<table xmlns="http://schemas.openxmlformats.org/spreadsheetml/2006/main" id="1" name="tblScale" displayName="tblScale" ref="B25:D30" totalsRowShown="0">
  <autoFilter ref="B25:D30"/>
  <tableColumns count="3">
    <tableColumn id="1" name="Score"/>
    <tableColumn id="2" name="Meaning"/>
    <tableColumn id="3" name="Evidence"/>
  </tableColumns>
  <tableStyleInfo name="TableStyleLight1" showFirstColumn="0" showLastColumn="0" showRowStripes="0" showColumnStripes="0"/>
</table>
</file>

<file path=xl/tables/table2.xml><?xml version="1.0" encoding="utf-8"?>
<table xmlns="http://schemas.openxmlformats.org/spreadsheetml/2006/main" id="2" name="tblAreas" displayName="tblAreas" ref="B42:D48" totalsRowShown="0">
  <autoFilter ref="B42:D48"/>
  <tableColumns count="3">
    <tableColumn id="1" name="Area"/>
    <tableColumn id="2" name="Owner"/>
    <tableColumn id="3" name="Description"/>
  </tableColumns>
  <tableStyleInfo name="TableStyleLight1" showFirstColumn="0" showLastColumn="0" showRowStripes="0" showColumnStripes="0"/>
</table>
</file>

<file path=xl/tables/table3.xml><?xml version="1.0" encoding="utf-8"?>
<table xmlns="http://schemas.openxmlformats.org/spreadsheetml/2006/main" id="3" name="tblCriteria" displayName="tblCriteria" ref="B5:G30" totalsRowShown="0">
  <autoFilter ref="B5:G30"/>
  <tableColumns count="6">
    <tableColumn id="1" name="No."/>
    <tableColumn id="2" name="S"/>
    <tableColumn id="3" name="Criterion"/>
    <tableColumn id="4" name="What a 4 looks like"/>
    <tableColumn id="5" name="Max (pts)">
      <calculatedColumnFormula>IF(tblCriteria[[#This Row],[No.]]="","",PointsPerItem)</calculatedColumnFormula>
    </tableColumn>
    <tableColumn id="6" name="Score on the walk"/>
  </tableColumns>
  <tableStyleInfo name="TableStyleLight1" showFirstColumn="0" showLastColumn="0" showRowStripes="0" showColumnStripes="0"/>
</table>
</file>

<file path=xl/tables/table4.xml><?xml version="1.0" encoding="utf-8"?>
<table xmlns="http://schemas.openxmlformats.org/spreadsheetml/2006/main" id="4" name="tblAudits" displayName="tblAudits" ref="B5:R41" totalsRowShown="0">
  <autoFilter ref="B5:R41"/>
  <tableColumns count="17">
    <tableColumn id="1" name="Audit date"/>
    <tableColumn id="2" name="Area"/>
    <tableColumn id="3" name="Auditor"/>
    <tableColumn id="4" name="Sort (pts)"/>
    <tableColumn id="5" name="Set in order (pts)"/>
    <tableColumn id="6" name="Shine (pts)"/>
    <tableColumn id="7" name="Standardize (pts)"/>
    <tableColumn id="8" name="Sustain (pts)"/>
    <tableColumn id="9" name="Owner">
      <calculatedColumnFormula>IF(tblAudits[[#This Row],[Audit date]]="","",IFERROR(INDEX(tblAreas[Owner],MATCH(tblAudits[[#This Row],[Area]],tblAreas[Area],0)),""))</calculatedColumnFormula>
    </tableColumn>
    <tableColumn id="10" name="Total (pts)">
      <calculatedColumnFormula>IF(tblAudits[[#This Row],[Audit date]]="","",tblAudits[[#This Row],[Sort (pts)]]+tblAudits[[#This Row],[Set in order (pts)]]+tblAudits[[#This Row],[Shine (pts)]]+tblAudits[[#This Row],[Standardize (pts)]]+tblAudits[[#This Row],[Sustain (pts)]])</calculatedColumnFormula>
    </tableColumn>
    <tableColumn id="11" name="Max (pts)">
      <calculatedColumnFormula>IF(tblAudits[[#This Row],[Audit date]]="","",AuditMax)</calculatedColumnFormula>
    </tableColumn>
    <tableColumn id="12" name="Score">
      <calculatedColumnFormula>IF(tblAudits[[#This Row],[Audit date]]="","",IF(tblAudits[[#This Row],[Max (pts)]]&gt;0,tblAudits[[#This Row],[Total (pts)]]/tblAudits[[#This Row],[Max (pts)]],""))</calculatedColumnFormula>
    </tableColumn>
    <tableColumn id="13" name="Status">
      <calculatedColumnFormula>IF(NOT(ISNUMBER(tblAudits[[#This Row],[Score]])),"",IF(tblAudits[[#This Row],[Score]]&gt;=TargetScore,"On target",IF(tblAudits[[#This Row],[Score]]&gt;=TargetScore*(1-0.05),"Near target","Below target")))</calculatedColumnFormula>
    </tableColumn>
    <tableColumn id="14" name="Actions raised">
      <calculatedColumnFormula>IF(tblAudits[[#This Row],[Audit date]]="","",COUNTIFS(tblActions[Raised],tblAudits[[#This Row],[Audit date]],tblActions[Area],tblAudits[[#This Row],[Area]]))</calculatedColumnFormula>
    </tableColumn>
    <tableColumn id="15" name="Month">
      <calculatedColumnFormula>IF(tblAudits[[#This Row],[Audit date]]="","",DATE(YEAR(tblAudits[[#This Row],[Audit date]]),MONTH(tblAudits[[#This Row],[Audit date]]),1))</calculatedColumnFormula>
    </tableColumn>
    <tableColumn id="16" name="Check">
      <calculatedColumnFormula>IF(tblAudits[[#This Row],[Audit date]]="","",IF(tblAudits[[#This Row],[Area]]="","Missing area",IF(tblAudits[[#This Row],[Owner]]="","Area not on Setup list",IF(COUNT(tblAudits[[#This Row],[Sort (pts)]],tblAudits[[#This Row],[Set in order (pts)]],tblAudits[[#This Row],[Shine (pts)]],tblAudits[[#This Row],[Standardize (pts)]],tblAudits[[#This Row],[Sustain (pts)]])&lt;5,"Missing a section score",IF(tblAudits[[#This Row],[Sort (pts)]]&gt;MaxSort,"Sort above its maximum",IF(tblAudits[[#This Row],[Set in order (pts)]]&gt;MaxSet,"Set in order above its maximum",IF(tblAudits[[#This Row],[Shine (pts)]]&gt;MaxShine,"Shine above its maximum",IF(tblAudits[[#This Row],[Standardize (pts)]]&gt;MaxStd,"Standardize above its maximum",IF(tblAudits[[#This Row],[Sustain (pts)]]&gt;MaxSustain,"Sustain above its maximum",IF(COUNTIFS(tblAudits[Audit date],tblAudits[[#This Row],[Audit date]],tblAudits[Area],tblAudits[[#This Row],[Area]])&gt;1,"Duplicate audit row","OK"))))))))))</calculatedColumnFormula>
    </tableColumn>
    <tableColumn id="17" name="Notes"/>
  </tableColumns>
  <tableStyleInfo name="TableStyleLight1" showFirstColumn="0" showLastColumn="0" showRowStripes="0" showColumnStripes="0"/>
</table>
</file>

<file path=xl/tables/table5.xml><?xml version="1.0" encoding="utf-8"?>
<table xmlns="http://schemas.openxmlformats.org/spreadsheetml/2006/main" id="5" name="tblActions" displayName="tblActions" ref="B6:N116" totalsRowShown="0">
  <autoFilter ref="B6:N116"/>
  <tableColumns count="13">
    <tableColumn id="1" name="Raised"/>
    <tableColumn id="2" name="Area"/>
    <tableColumn id="3" name="S"/>
    <tableColumn id="4" name="Finding"/>
    <tableColumn id="5" name="Action"/>
    <tableColumn id="6" name="Owner"/>
    <tableColumn id="7" name="Due"/>
    <tableColumn id="8" name="Closed"/>
    <tableColumn id="9" name="Space freed"/>
    <tableColumn id="10" name="Days open">
      <calculatedColumnFormula>IF(tblActions[[#This Row],[Raised]]="","",IF(tblActions[[#This Row],[Closed]]="",AsOf-tblActions[[#This Row],[Raised]],tblActions[[#This Row],[Closed]]-tblActions[[#This Row],[Raised]]))</calculatedColumnFormula>
    </tableColumn>
    <tableColumn id="11" name="Status">
      <calculatedColumnFormula>IF(tblActions[[#This Row],[Raised]]="","",IF(tblActions[[#This Row],[Closed]]&lt;&gt;"","Complete",IF(tblActions[[#This Row],[Due]]="","",IF(tblActions[[#This Row],[Due]]&lt;AsOf,"Overdue",IF(tblActions[[#This Row],[Due]]-AsOf&lt;=DueSoonDays,"Due soon","In progress")))))</calculatedColumnFormula>
    </tableColumn>
    <tableColumn id="12" name="Closed on time">
      <calculatedColumnFormula>IF(tblActions[[#This Row],[Raised]]="","",IF(OR(tblActions[[#This Row],[Closed]]="",tblActions[[#This Row],[Due]]=""),"",IF(tblActions[[#This Row],[Closed]]&lt;=tblActions[[#This Row],[Due]],"Yes","No")))</calculatedColumnFormula>
    </tableColumn>
    <tableColumn id="13" name="Check">
      <calculatedColumnFormula>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calculatedColumnFormula>
    </tableColumn>
  </tableColumns>
  <tableStyleInfo name="TableStyleLight1" showFirstColumn="0" showLastColumn="0" showRowStripes="0" showColumnStripes="0"/>
</table>
</file>

<file path=xl/tables/table6.xml><?xml version="1.0" encoding="utf-8"?>
<table xmlns="http://schemas.openxmlformats.org/spreadsheetml/2006/main" id="6" name="tblVerifyAudits" displayName="tblVerifyAudits" ref="B55:R60" totalsRowShown="0">
  <tableColumns count="17">
    <tableColumn id="1" name="Audit date"/>
    <tableColumn id="2" name="Area"/>
    <tableColumn id="3" name="Auditor"/>
    <tableColumn id="4" name="Sort (pts)"/>
    <tableColumn id="5" name="Set in order (pts)"/>
    <tableColumn id="6" name="Shine (pts)"/>
    <tableColumn id="7" name="Standardize (pts)"/>
    <tableColumn id="8" name="Sustain (pts)"/>
    <tableColumn id="9" name="Owner"/>
    <tableColumn id="10" name="Total (pts)">
      <calculatedColumnFormula>IF(tblVerifyAudits[[#This Row],[Audit date]]="","",tblVerifyAudits[[#This Row],[Sort (pts)]]+tblVerifyAudits[[#This Row],[Set in order (pts)]]+tblVerifyAudits[[#This Row],[Shine (pts)]]+tblVerifyAudits[[#This Row],[Standardize (pts)]]+tblVerifyAudits[[#This Row],[Sustain (pts)]])</calculatedColumnFormula>
    </tableColumn>
    <tableColumn id="11" name="Max (pts)">
      <calculatedColumnFormula>IF(tblVerifyAudits[[#This Row],[Audit date]]="","",$E$44)</calculatedColumnFormula>
    </tableColumn>
    <tableColumn id="12" name="Score">
      <calculatedColumnFormula>IF(tblVerifyAudits[[#This Row],[Audit date]]="","",IF(tblVerifyAudits[[#This Row],[Max (pts)]]&gt;0,tblVerifyAudits[[#This Row],[Total (pts)]]/tblVerifyAudits[[#This Row],[Max (pts)]],""))</calculatedColumnFormula>
    </tableColumn>
    <tableColumn id="13" name="Status">
      <calculatedColumnFormula>IF(NOT(ISNUMBER(tblVerifyAudits[[#This Row],[Score]])),"",IF(tblVerifyAudits[[#This Row],[Score]]&gt;=$E$42,"On target",IF(tblVerifyAudits[[#This Row],[Score]]&gt;=$E$42*(1-0.05),"Near target","Below target")))</calculatedColumnFormula>
    </tableColumn>
    <tableColumn id="14" name="Actions raised"/>
    <tableColumn id="15" name="Month">
      <calculatedColumnFormula>IF(tblVerifyAudits[[#This Row],[Audit date]]="","",DATE(YEAR(tblVerifyAudits[[#This Row],[Audit date]]),MONTH(tblVerifyAudits[[#This Row],[Audit date]]),1))</calculatedColumnFormula>
    </tableColumn>
    <tableColumn id="16" name="Check">
      <calculatedColumnFormula>IF(tblVerifyAudits[[#This Row],[Audit date]]="","",IF(tblVerifyAudits[[#This Row],[Area]]="","Missing area",IF(tblVerifyAudits[[#This Row],[Owner]]="","Area not on Setup list",IF(COUNT(tblVerifyAudits[[#This Row],[Sort (pts)]],tblVerifyAudits[[#This Row],[Set in order (pts)]],tblVerifyAudits[[#This Row],[Shine (pts)]],tblVerifyAudits[[#This Row],[Standardize (pts)]],tblVerifyAudits[[#This Row],[Sustain (pts)]])&lt;5,"Missing a section score",IF(tblVerifyAudits[[#This Row],[Sort (pts)]]&gt;$E$45,"Sort above its maximum",IF(tblVerifyAudits[[#This Row],[Set in order (pts)]]&gt;$E$46,"Set in order above its maximum",IF(tblVerifyAudits[[#This Row],[Shine (pts)]]&gt;$E$47,"Shine above its maximum",IF(tblVerifyAudits[[#This Row],[Standardize (pts)]]&gt;$E$48,"Standardize above its maximum",IF(tblVerifyAudits[[#This Row],[Sustain (pts)]]&gt;$E$49,"Sustain above its maximum",IF(COUNTIFS(tblVerifyAudits[Audit date],tblVerifyAudits[[#This Row],[Audit date]],tblVerifyAudits[Area],tblVerifyAudits[[#This Row],[Area]])&gt;1,"Duplicate audit row","OK"))))))))))</calculatedColumnFormula>
    </tableColumn>
    <tableColumn id="17" name="Notes"/>
  </tableColumns>
  <tableStyleInfo name="TableStyleLight1" showFirstColumn="0" showLastColumn="0" showRowStripes="0" showColumnStripes="0"/>
</table>
</file>

<file path=xl/tables/table7.xml><?xml version="1.0" encoding="utf-8"?>
<table xmlns="http://schemas.openxmlformats.org/spreadsheetml/2006/main" id="7" name="tblVerifyAreas" displayName="tblVerifyAreas" ref="B63:D65" totalsRowShown="0">
  <tableColumns count="3">
    <tableColumn id="1" name="Area"/>
    <tableColumn id="2" name="Owner"/>
    <tableColumn id="3" name="Description"/>
  </tableColumns>
  <tableStyleInfo name="TableStyleLight1" showFirstColumn="0" showLastColumn="0" showRowStripes="0" showColumnStripes="0"/>
</table>
</file>

<file path=xl/tables/table8.xml><?xml version="1.0" encoding="utf-8"?>
<table xmlns="http://schemas.openxmlformats.org/spreadsheetml/2006/main" id="8" name="tblVerifyActions" displayName="tblVerifyActions" ref="B69:N75" totalsRowShown="0">
  <tableColumns count="13">
    <tableColumn id="1" name="Raised"/>
    <tableColumn id="2" name="Area"/>
    <tableColumn id="3" name="S"/>
    <tableColumn id="4" name="Finding"/>
    <tableColumn id="5" name="Action"/>
    <tableColumn id="6" name="Owner"/>
    <tableColumn id="7" name="Due"/>
    <tableColumn id="8" name="Closed"/>
    <tableColumn id="9" name="Space freed"/>
    <tableColumn id="10" name="Days open">
      <calculatedColumnFormula>IF(tblVerifyActions[[#This Row],[Raised]]="","",IF(tblVerifyActions[[#This Row],[Closed]]="",$E$50-tblVerifyActions[[#This Row],[Raised]],tblVerifyActions[[#This Row],[Closed]]-tblVerifyActions[[#This Row],[Raised]]))</calculatedColumnFormula>
    </tableColumn>
    <tableColumn id="11" name="Status">
      <calculatedColumnFormula>IF(tblVerifyActions[[#This Row],[Raised]]="","",IF(tblVerifyActions[[#This Row],[Closed]]&lt;&gt;"","Complete",IF(tblVerifyActions[[#This Row],[Due]]="","",IF(tblVerifyActions[[#This Row],[Due]]&lt;$E$50,"Overdue",IF(tblVerifyActions[[#This Row],[Due]]-$E$50&lt;=$E$51,"Due soon","In progress")))))</calculatedColumnFormula>
    </tableColumn>
    <tableColumn id="12" name="Closed on time">
      <calculatedColumnFormula>IF(tblVerifyActions[[#This Row],[Raised]]="","",IF(OR(tblVerifyActions[[#This Row],[Closed]]="",tblVerifyActions[[#This Row],[Due]]=""),"",IF(tblVerifyActions[[#This Row],[Closed]]&lt;=tblVerifyActions[[#This Row],[Due]],"Yes","No")))</calculatedColumnFormula>
    </tableColumn>
    <tableColumn id="13" name="Check">
      <calculatedColumnFormula>IF(tblVerifyActions[[#This Row],[Raised]]="","",IF(tblVerifyActions[[#This Row],[Area]]="","Missing area",IF(tblVerifyActions[[#This Row],[S]]="","Missing s",IF(tblVerifyActions[[#This Row],[Finding]]="","Missing finding",IF(tblVerifyActions[[#This Row],[Due]]="","Missing due",IF(COUNTIF(tblVerifyAreas[Area],tblVerifyActions[[#This Row],[Area]])=0,"Area not on Setup list",IF(tblVerifyActions[[#This Row],[Due]]&lt;tblVerifyActions[[#This Row],[Raised]],"Due before raised",IF(AND(tblVerifyActions[[#This Row],[Closed]]&lt;&gt;"",tblVerifyActions[[#This Row],[Closed]]&lt;tblVerifyActions[[#This Row],[Raised]]),"Closed before raised",IF(OR(tblVerifyActions[[#This Row],[Raised]]&gt;$E$50,AND(tblVerifyActions[[#This Row],[Closed]]&lt;&gt;"",tblVerifyActions[[#This Row],[Closed]]&gt;$E$50)),"Date after the status date",IF(AND(tblVerifyActions[[#This Row],[Space freed]]&lt;&gt;"",tblVerifyActions[[#This Row],[S]]&lt;&gt;"Sort"),"Space freed on a non-Sort action","OK"))))))))))</calculatedColumnFormula>
    </tableColumn>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five-s-audit" TargetMode="External"/><Relationship Id="rId2" Type="http://schemas.openxmlformats.org/officeDocument/2006/relationships/hyperlink" Target="https://www.mfgcalcs.com/calculators/lean-manufacturing-operations/floor-space-cost?utm_source=mfgcalcs-template&amp;utm_medium=xlsx&amp;utm_campaign=five-s-audit" TargetMode="External"/><Relationship Id="rId3" Type="http://schemas.openxmlformats.org/officeDocument/2006/relationships/hyperlink" Target="https://www.mfgcalcs.com/templates/five-s-audit?utm_source=mfgcalcs-template&amp;utm_medium=xlsx&amp;utm_campaign=five-s-audit" TargetMode="External"/><Relationship Id="rId4" Type="http://schemas.openxmlformats.org/officeDocument/2006/relationships/hyperlink" Target="https://www.mfgcalcs.com/templates?utm_source=mfgcalcs-template&amp;utm_medium=xlsx&amp;utm_campaign=five-s-audit"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five-s-audit" TargetMode="External"/><Relationship Id="rId2" Type="http://schemas.openxmlformats.org/officeDocument/2006/relationships/table" Target="../tables/table1.xml"/><Relationship Id="rId3"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five-s-audit" TargetMode="External"/><Relationship Id="rId2"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five-s-audit" TargetMode="External"/><Relationship Id="rId2"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five-s-audit" TargetMode="External"/><Relationship Id="rId2"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five-s-audit" TargetMode="External"/><Relationship Id="rId2"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five-s-audit" TargetMode="External"/><Relationship Id="rId2" Type="http://schemas.openxmlformats.org/officeDocument/2006/relationships/hyperlink" Target="https://www.mfgcalcs.com/calculators/lean-manufacturing-operations/floor-space-cost?utm_source=mfgcalcs-template&amp;utm_medium=xlsx&amp;utm_campaign=five-s-audit"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five-s-audit" TargetMode="External"/><Relationship Id="rId2" Type="http://schemas.openxmlformats.org/officeDocument/2006/relationships/table" Target="../tables/table6.xml"/><Relationship Id="rId3" Type="http://schemas.openxmlformats.org/officeDocument/2006/relationships/table" Target="../tables/table7.xml"/><Relationship Id="rId4" Type="http://schemas.openxmlformats.org/officeDocument/2006/relationships/table" Target="../tables/table8.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8"/>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29.4" customHeight="1">
      <c r="B12" s="9" t="s">
        <v>7</v>
      </c>
      <c r="C12" s="10" t="s">
        <v>8</v>
      </c>
      <c r="D12" s="10"/>
      <c r="E12" s="10"/>
      <c r="F12" s="10"/>
    </row>
    <row r="13" spans="1:6" ht="16.2" customHeight="1">
      <c r="B13" s="9" t="s">
        <v>9</v>
      </c>
      <c r="C13" s="10" t="s">
        <v>10</v>
      </c>
      <c r="D13" s="10"/>
      <c r="E13" s="10"/>
      <c r="F13" s="10"/>
    </row>
    <row r="14" spans="1:6" ht="16.2" customHeight="1">
      <c r="B14" s="9" t="s">
        <v>11</v>
      </c>
      <c r="C14" s="10" t="s">
        <v>12</v>
      </c>
      <c r="D14" s="10"/>
      <c r="E14" s="10"/>
      <c r="F14" s="10"/>
    </row>
    <row r="15" spans="1:6" ht="16.2" customHeight="1">
      <c r="B15" s="9" t="s">
        <v>13</v>
      </c>
      <c r="C15" s="10" t="s">
        <v>14</v>
      </c>
      <c r="D15" s="10"/>
      <c r="E15" s="10"/>
      <c r="F15" s="10"/>
    </row>
    <row r="16" spans="1:6" ht="16.2" customHeight="1">
      <c r="B16" s="9" t="s">
        <v>15</v>
      </c>
      <c r="C16" s="10" t="s">
        <v>16</v>
      </c>
      <c r="D16" s="10"/>
      <c r="E16" s="10"/>
      <c r="F16" s="10"/>
    </row>
    <row r="18" spans="2:6" ht="21" customHeight="1">
      <c r="B18" s="8" t="s">
        <v>17</v>
      </c>
      <c r="C18" s="8"/>
      <c r="D18" s="8"/>
      <c r="E18" s="8"/>
      <c r="F18" s="8"/>
    </row>
    <row r="19" spans="2:6" ht="5" customHeight="1"/>
    <row r="20" spans="2:6" ht="16.2" customHeight="1">
      <c r="B20" s="11"/>
      <c r="C20" s="12" t="s">
        <v>18</v>
      </c>
      <c r="D20" s="10" t="s">
        <v>1</v>
      </c>
      <c r="E20" s="10"/>
      <c r="F20" s="10"/>
    </row>
    <row r="21" spans="2:6" ht="16.2" customHeight="1">
      <c r="B21" s="11"/>
      <c r="C21" s="12" t="s">
        <v>19</v>
      </c>
      <c r="D21" s="10" t="s">
        <v>20</v>
      </c>
      <c r="E21" s="10"/>
      <c r="F21" s="10"/>
    </row>
    <row r="22" spans="2:6" ht="29.4" customHeight="1">
      <c r="B22" s="11"/>
      <c r="C22" s="12" t="s">
        <v>21</v>
      </c>
      <c r="D22" s="10" t="s">
        <v>22</v>
      </c>
      <c r="E22" s="10"/>
      <c r="F22" s="10"/>
    </row>
    <row r="23" spans="2:6" ht="29.4" customHeight="1">
      <c r="B23" s="11"/>
      <c r="C23" s="12" t="s">
        <v>23</v>
      </c>
      <c r="D23" s="10" t="s">
        <v>24</v>
      </c>
      <c r="E23" s="10"/>
      <c r="F23" s="10"/>
    </row>
    <row r="24" spans="2:6" ht="29.4" customHeight="1">
      <c r="B24" s="11"/>
      <c r="C24" s="12" t="s">
        <v>25</v>
      </c>
      <c r="D24" s="10" t="s">
        <v>26</v>
      </c>
      <c r="E24" s="10"/>
      <c r="F24" s="10"/>
    </row>
    <row r="25" spans="2:6" ht="29.4" customHeight="1">
      <c r="B25" s="11"/>
      <c r="C25" s="12" t="s">
        <v>27</v>
      </c>
      <c r="D25" s="10" t="s">
        <v>28</v>
      </c>
      <c r="E25" s="10"/>
      <c r="F25" s="10"/>
    </row>
    <row r="26" spans="2:6" ht="16.2" customHeight="1">
      <c r="B26" s="11"/>
      <c r="C26" s="12" t="s">
        <v>29</v>
      </c>
      <c r="D26" s="10" t="s">
        <v>30</v>
      </c>
      <c r="E26" s="10"/>
      <c r="F26" s="10"/>
    </row>
    <row r="27" spans="2:6" ht="29.4" customHeight="1">
      <c r="B27" s="11"/>
      <c r="C27" s="12" t="s">
        <v>31</v>
      </c>
      <c r="D27" s="10" t="s">
        <v>32</v>
      </c>
      <c r="E27" s="10"/>
      <c r="F27" s="10"/>
    </row>
    <row r="29" spans="2:6" ht="21" customHeight="1">
      <c r="B29" s="8" t="s">
        <v>33</v>
      </c>
      <c r="C29" s="8"/>
      <c r="D29" s="8"/>
      <c r="E29" s="8"/>
      <c r="F29" s="8"/>
    </row>
    <row r="30" spans="2:6" ht="5" customHeight="1"/>
    <row r="31" spans="2:6" ht="29.4" customHeight="1">
      <c r="C31" s="13" t="s">
        <v>34</v>
      </c>
      <c r="D31" s="14" t="s">
        <v>35</v>
      </c>
      <c r="E31" s="14"/>
      <c r="F31" s="14"/>
    </row>
    <row r="32" spans="2:6" ht="29.4" customHeight="1">
      <c r="C32" s="15" t="s">
        <v>36</v>
      </c>
      <c r="D32" s="14" t="s">
        <v>37</v>
      </c>
      <c r="E32" s="14"/>
      <c r="F32" s="14"/>
    </row>
    <row r="33" spans="2:6" ht="16.2" customHeight="1">
      <c r="C33" s="16" t="s">
        <v>38</v>
      </c>
      <c r="D33" s="14" t="s">
        <v>39</v>
      </c>
      <c r="E33" s="14"/>
      <c r="F33" s="14"/>
    </row>
    <row r="34" spans="2:6" ht="18" customHeight="1">
      <c r="C34" s="17" t="s">
        <v>40</v>
      </c>
      <c r="D34" s="18" t="s">
        <v>41</v>
      </c>
      <c r="E34" s="19" t="s">
        <v>42</v>
      </c>
      <c r="F34" s="20" t="s">
        <v>43</v>
      </c>
    </row>
    <row r="35" spans="2:6" ht="26.76" customHeight="1">
      <c r="C35" s="21" t="s">
        <v>44</v>
      </c>
      <c r="D35" s="21"/>
      <c r="E35" s="21"/>
      <c r="F35" s="21"/>
    </row>
    <row r="37" spans="2:6" ht="21" customHeight="1">
      <c r="B37" s="8" t="s">
        <v>45</v>
      </c>
      <c r="C37" s="8"/>
      <c r="D37" s="8"/>
      <c r="E37" s="8"/>
      <c r="F37" s="8"/>
    </row>
    <row r="38" spans="2:6" ht="5" customHeight="1"/>
    <row r="39" spans="2:6" ht="26" customHeight="1">
      <c r="C39" s="17" t="s">
        <v>46</v>
      </c>
      <c r="D39" s="22" t="str">
        <f>SelfCheck</f>
        <v>PASS</v>
      </c>
      <c r="E39" s="23" t="str">
        <f>SelfCheckSummary</f>
        <v>26 of 26 checks pass</v>
      </c>
      <c r="F39" s="23"/>
    </row>
    <row r="40" spans="2:6" ht="26.76" customHeight="1">
      <c r="C40" s="21" t="s">
        <v>47</v>
      </c>
      <c r="D40" s="21"/>
      <c r="E40" s="21"/>
      <c r="F40" s="21"/>
    </row>
    <row r="41" spans="2:6">
      <c r="C41" s="17" t="s">
        <v>48</v>
      </c>
      <c r="D41" s="24" t="s">
        <v>49</v>
      </c>
      <c r="E41" s="24"/>
      <c r="F41" s="24"/>
    </row>
    <row r="42" spans="2:6">
      <c r="C42" s="17" t="s">
        <v>50</v>
      </c>
      <c r="D42" s="24" t="s">
        <v>51</v>
      </c>
      <c r="E42" s="24"/>
      <c r="F42" s="24"/>
    </row>
    <row r="43" spans="2:6">
      <c r="C43" s="17" t="s">
        <v>52</v>
      </c>
      <c r="D43" s="24" t="s">
        <v>53</v>
      </c>
      <c r="E43" s="24"/>
      <c r="F43" s="24"/>
    </row>
    <row r="44" spans="2:6">
      <c r="C44" s="17" t="s">
        <v>54</v>
      </c>
      <c r="D44" s="11" t="s">
        <v>55</v>
      </c>
      <c r="E44" s="11"/>
      <c r="F44" s="11"/>
    </row>
    <row r="46" spans="2:6" ht="21" customHeight="1">
      <c r="B46" s="8" t="s">
        <v>56</v>
      </c>
      <c r="C46" s="8"/>
      <c r="D46" s="8"/>
      <c r="E46" s="8"/>
      <c r="F46" s="8"/>
    </row>
    <row r="47" spans="2:6" ht="5" customHeight="1"/>
    <row r="48" spans="2:6" ht="75" customHeight="1">
      <c r="B48" s="25" t="s">
        <v>57</v>
      </c>
      <c r="C48" s="25"/>
      <c r="D48" s="25"/>
      <c r="E48" s="25"/>
      <c r="F48" s="25"/>
    </row>
    <row r="50" spans="2:6" ht="21" customHeight="1">
      <c r="B50" s="8" t="s">
        <v>58</v>
      </c>
      <c r="C50" s="8"/>
      <c r="D50" s="8"/>
      <c r="E50" s="8"/>
      <c r="F50" s="8"/>
    </row>
    <row r="51" spans="2:6" ht="5" customHeight="1"/>
    <row r="52" spans="2:6" ht="29.4" customHeight="1">
      <c r="B52" s="26" t="s">
        <v>59</v>
      </c>
      <c r="C52" s="10" t="s">
        <v>60</v>
      </c>
      <c r="D52" s="10"/>
      <c r="E52" s="10"/>
      <c r="F52" s="10"/>
    </row>
    <row r="53" spans="2:6" ht="16.2" customHeight="1">
      <c r="B53" s="26" t="s">
        <v>59</v>
      </c>
      <c r="C53" s="10" t="s">
        <v>61</v>
      </c>
      <c r="D53" s="10"/>
      <c r="E53" s="10"/>
      <c r="F53" s="10"/>
    </row>
    <row r="54" spans="2:6" ht="29.4" customHeight="1">
      <c r="B54" s="26" t="s">
        <v>59</v>
      </c>
      <c r="C54" s="10" t="s">
        <v>62</v>
      </c>
      <c r="D54" s="10"/>
      <c r="E54" s="10"/>
      <c r="F54" s="10"/>
    </row>
    <row r="55" spans="2:6" ht="16.2" customHeight="1">
      <c r="B55" s="26" t="s">
        <v>59</v>
      </c>
      <c r="C55" s="10" t="s">
        <v>63</v>
      </c>
      <c r="D55" s="10"/>
      <c r="E55" s="10"/>
      <c r="F55" s="10"/>
    </row>
    <row r="57" spans="2:6" ht="16.2" customHeight="1">
      <c r="B57" s="17" t="s">
        <v>64</v>
      </c>
      <c r="C57" s="17"/>
      <c r="D57" s="17"/>
      <c r="E57" s="17"/>
      <c r="F57" s="17"/>
    </row>
    <row r="58" spans="2:6" ht="26.76" customHeight="1">
      <c r="B58" s="21" t="s">
        <v>65</v>
      </c>
      <c r="C58" s="21"/>
      <c r="D58" s="21"/>
      <c r="E58" s="21"/>
      <c r="F58" s="21"/>
    </row>
  </sheetData>
  <sheetProtection sheet="1" formatColumns="0" formatRows="0"/>
  <mergeCells count="42">
    <mergeCell ref="A1:F1"/>
    <mergeCell ref="B2:E2"/>
    <mergeCell ref="D4:F4"/>
    <mergeCell ref="D5:F6"/>
    <mergeCell ref="D7:F7"/>
    <mergeCell ref="D8:F8"/>
    <mergeCell ref="B10:F10"/>
    <mergeCell ref="C12:F12"/>
    <mergeCell ref="C13:F13"/>
    <mergeCell ref="C14:F14"/>
    <mergeCell ref="C15:F15"/>
    <mergeCell ref="C16:F16"/>
    <mergeCell ref="B18:F18"/>
    <mergeCell ref="D20:F20"/>
    <mergeCell ref="D21:F21"/>
    <mergeCell ref="D22:F22"/>
    <mergeCell ref="D23:F23"/>
    <mergeCell ref="D24:F24"/>
    <mergeCell ref="D25:F25"/>
    <mergeCell ref="D26:F26"/>
    <mergeCell ref="D27:F27"/>
    <mergeCell ref="B29:F29"/>
    <mergeCell ref="D31:F31"/>
    <mergeCell ref="D32:F32"/>
    <mergeCell ref="D33:F33"/>
    <mergeCell ref="C35:F35"/>
    <mergeCell ref="B37:F37"/>
    <mergeCell ref="E39:F39"/>
    <mergeCell ref="C40:F40"/>
    <mergeCell ref="D41:F41"/>
    <mergeCell ref="D42:F42"/>
    <mergeCell ref="D43:F43"/>
    <mergeCell ref="D44:F44"/>
    <mergeCell ref="B46:F46"/>
    <mergeCell ref="B48:F48"/>
    <mergeCell ref="B50:F50"/>
    <mergeCell ref="C52:F52"/>
    <mergeCell ref="C53:F53"/>
    <mergeCell ref="C54:F54"/>
    <mergeCell ref="C55:F55"/>
    <mergeCell ref="B57:F57"/>
    <mergeCell ref="B58:F58"/>
  </mergeCells>
  <conditionalFormatting sqref="D39">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20" location="'Start Here'!A1" tooltip="Go to Start Here" display="Start Here"/>
    <hyperlink ref="C21" location="Setup!A1" tooltip="Go to Setup" display="Setup"/>
    <hyperlink ref="C22" location="Checklist!A1" tooltip="Go to Checklist" display="Checklist"/>
    <hyperlink ref="C23" location="'Audit Log'!A1" tooltip="Go to Audit Log" display="Audit Log"/>
    <hyperlink ref="C24" location="Actions!A1" tooltip="Go to Actions" display="Actions"/>
    <hyperlink ref="C25" location="Dashboard!A1" tooltip="Go to Dashboard" display="Dashboard"/>
    <hyperlink ref="C26" location="Method!A1" tooltip="Go to Method" display="Method"/>
    <hyperlink ref="C27" location="Verify!A1" tooltip="Go to Verify" display="Verify"/>
    <hyperlink ref="D41" r:id="rId2"/>
    <hyperlink ref="D42" r:id="rId3"/>
    <hyperlink ref="D43" r:id="rId4"/>
  </hyperlinks>
  <printOptions horizontalCentered="1"/>
  <pageMargins left="0.4" right="0.4" top="0.7" bottom="0.65" header="0.3" footer="0.3"/>
  <pageSetup fitToHeight="0" orientation="portrait"/>
  <headerFooter>
    <oddHeader>&amp;L&amp;8MFG Calcs - 5S Audit Checklist&amp;R&amp;8&amp;A</oddHeader>
    <oddFooter>&amp;L&amp;8mfgcalcs.com - free manufacturing templates&amp;R&amp;8Page &amp;P of &amp;N</oddFooter>
  </headerFooter>
  <rowBreaks count="1" manualBreakCount="1">
    <brk id="28"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E48"/>
  <sheetViews>
    <sheetView showGridLines="0" workbookViewId="0"/>
  </sheetViews>
  <sheetFormatPr defaultRowHeight="15"/>
  <cols>
    <col min="1" max="1" width="2.7109375" customWidth="1"/>
    <col min="2" max="2" width="30.7109375" customWidth="1"/>
    <col min="3" max="3" width="16.7109375" customWidth="1"/>
    <col min="4" max="4" width="46.7109375" customWidth="1"/>
  </cols>
  <sheetData>
    <row r="1" spans="1:5" ht="30" customHeight="1">
      <c r="A1" s="1" t="s">
        <v>0</v>
      </c>
      <c r="B1" s="1"/>
      <c r="C1" s="1"/>
      <c r="D1" s="1"/>
      <c r="E1" s="1"/>
    </row>
    <row r="2" spans="1:5" ht="32.4" customHeight="1">
      <c r="B2" s="2" t="s">
        <v>20</v>
      </c>
      <c r="C2" s="2"/>
      <c r="D2" s="3" t="s">
        <v>2</v>
      </c>
      <c r="E2" s="3"/>
    </row>
    <row r="3" spans="1:5" ht="6" customHeight="1"/>
    <row r="4" spans="1:5" ht="21" customHeight="1">
      <c r="B4" s="8" t="s">
        <v>72</v>
      </c>
      <c r="C4" s="8"/>
      <c r="D4" s="8"/>
    </row>
    <row r="5" spans="1:5" ht="5" customHeight="1"/>
    <row r="6" spans="1:5">
      <c r="B6" s="27" t="s">
        <v>73</v>
      </c>
      <c r="C6" s="28" t="s">
        <v>74</v>
      </c>
      <c r="D6" s="28"/>
    </row>
    <row r="7" spans="1:5">
      <c r="B7" s="27" t="s">
        <v>75</v>
      </c>
      <c r="C7" s="29">
        <v>0.8</v>
      </c>
      <c r="D7" s="7"/>
    </row>
    <row r="8" spans="1:5">
      <c r="B8" s="27" t="s">
        <v>76</v>
      </c>
      <c r="C8" s="30">
        <v>46297</v>
      </c>
      <c r="D8" s="7"/>
    </row>
    <row r="9" spans="1:5">
      <c r="B9" s="27" t="s">
        <v>77</v>
      </c>
      <c r="C9" s="31">
        <v>7</v>
      </c>
      <c r="D9" s="7" t="s">
        <v>78</v>
      </c>
    </row>
    <row r="10" spans="1:5">
      <c r="B10" s="27" t="s">
        <v>79</v>
      </c>
      <c r="C10" s="29">
        <v>0.9</v>
      </c>
      <c r="D10" s="7"/>
    </row>
    <row r="12" spans="1:5" ht="21" customHeight="1">
      <c r="B12" s="8" t="s">
        <v>80</v>
      </c>
      <c r="C12" s="8"/>
      <c r="D12" s="8"/>
    </row>
    <row r="13" spans="1:5" ht="5" customHeight="1"/>
    <row r="14" spans="1:5">
      <c r="B14" s="27" t="s">
        <v>81</v>
      </c>
      <c r="C14" s="31">
        <v>4</v>
      </c>
      <c r="D14" s="7" t="s">
        <v>82</v>
      </c>
    </row>
    <row r="15" spans="1:5">
      <c r="B15" s="17" t="s">
        <v>83</v>
      </c>
      <c r="C15" s="32">
        <f>COUNTA(tblCriteria[No.])*PointsPerItem</f>
        <v>100</v>
      </c>
      <c r="D15" s="7" t="s">
        <v>82</v>
      </c>
    </row>
    <row r="16" spans="1:5">
      <c r="B16" s="27" t="s">
        <v>84</v>
      </c>
      <c r="C16" s="33">
        <f>COUNTIFS(tblCriteria[S],"Sort")*PointsPerItem</f>
        <v>20</v>
      </c>
      <c r="D16" s="7" t="s">
        <v>82</v>
      </c>
    </row>
    <row r="17" spans="2:4">
      <c r="B17" s="27" t="s">
        <v>85</v>
      </c>
      <c r="C17" s="33">
        <f>COUNTIFS(tblCriteria[S],"Set in order")*PointsPerItem</f>
        <v>20</v>
      </c>
      <c r="D17" s="7" t="s">
        <v>82</v>
      </c>
    </row>
    <row r="18" spans="2:4">
      <c r="B18" s="27" t="s">
        <v>86</v>
      </c>
      <c r="C18" s="33">
        <f>COUNTIFS(tblCriteria[S],"Shine")*PointsPerItem</f>
        <v>20</v>
      </c>
      <c r="D18" s="7" t="s">
        <v>82</v>
      </c>
    </row>
    <row r="19" spans="2:4">
      <c r="B19" s="27" t="s">
        <v>87</v>
      </c>
      <c r="C19" s="33">
        <f>COUNTIFS(tblCriteria[S],"Standardize")*PointsPerItem</f>
        <v>20</v>
      </c>
      <c r="D19" s="7" t="s">
        <v>82</v>
      </c>
    </row>
    <row r="20" spans="2:4">
      <c r="B20" s="27" t="s">
        <v>88</v>
      </c>
      <c r="C20" s="33">
        <f>COUNTIFS(tblCriteria[S],"Sustain")*PointsPerItem</f>
        <v>20</v>
      </c>
      <c r="D20" s="7" t="s">
        <v>82</v>
      </c>
    </row>
    <row r="22" spans="2:4" ht="35.4" customHeight="1">
      <c r="B22" s="25" t="s">
        <v>89</v>
      </c>
      <c r="C22" s="25"/>
      <c r="D22" s="25"/>
    </row>
    <row r="24" spans="2:4">
      <c r="B24" s="34" t="s">
        <v>90</v>
      </c>
      <c r="C24" s="34"/>
      <c r="D24" s="34"/>
    </row>
    <row r="25" spans="2:4" ht="20" customHeight="1">
      <c r="B25" s="35" t="s">
        <v>66</v>
      </c>
      <c r="C25" s="35" t="s">
        <v>67</v>
      </c>
      <c r="D25" s="35" t="s">
        <v>68</v>
      </c>
    </row>
    <row r="26" spans="2:4">
      <c r="B26" s="31">
        <v>0</v>
      </c>
      <c r="C26" s="28" t="s">
        <v>91</v>
      </c>
      <c r="D26" s="28" t="s">
        <v>92</v>
      </c>
    </row>
    <row r="27" spans="2:4">
      <c r="B27" s="31">
        <v>1</v>
      </c>
      <c r="C27" s="28" t="s">
        <v>93</v>
      </c>
      <c r="D27" s="28" t="s">
        <v>94</v>
      </c>
    </row>
    <row r="28" spans="2:4">
      <c r="B28" s="31">
        <v>2</v>
      </c>
      <c r="C28" s="28" t="s">
        <v>95</v>
      </c>
      <c r="D28" s="28" t="s">
        <v>96</v>
      </c>
    </row>
    <row r="29" spans="2:4">
      <c r="B29" s="31">
        <v>3</v>
      </c>
      <c r="C29" s="28" t="s">
        <v>97</v>
      </c>
      <c r="D29" s="28" t="s">
        <v>98</v>
      </c>
    </row>
    <row r="30" spans="2:4">
      <c r="B30" s="31">
        <v>4</v>
      </c>
      <c r="C30" s="28" t="s">
        <v>99</v>
      </c>
      <c r="D30" s="28" t="s">
        <v>100</v>
      </c>
    </row>
    <row r="32" spans="2:4" ht="21" customHeight="1">
      <c r="B32" s="8" t="s">
        <v>101</v>
      </c>
      <c r="C32" s="8"/>
      <c r="D32" s="8"/>
    </row>
    <row r="33" spans="2:4" ht="5" customHeight="1"/>
    <row r="34" spans="2:4">
      <c r="B34" s="27" t="s">
        <v>102</v>
      </c>
      <c r="C34" s="28" t="s">
        <v>103</v>
      </c>
      <c r="D34" s="28"/>
    </row>
    <row r="35" spans="2:4">
      <c r="B35" s="27" t="s">
        <v>104</v>
      </c>
      <c r="C35" s="28" t="s">
        <v>105</v>
      </c>
      <c r="D35" s="28"/>
    </row>
    <row r="36" spans="2:4">
      <c r="B36" s="27" t="s">
        <v>106</v>
      </c>
      <c r="C36" s="36">
        <v>95</v>
      </c>
      <c r="D36" s="7" t="str">
        <f>Currency&amp;" per "&amp;AreaUnit&amp;" per year"</f>
        <v>GBP per m² per year</v>
      </c>
    </row>
    <row r="38" spans="2:4" ht="21" customHeight="1">
      <c r="B38" s="8" t="s">
        <v>107</v>
      </c>
      <c r="C38" s="8"/>
      <c r="D38" s="8"/>
    </row>
    <row r="39" spans="2:4" ht="5" customHeight="1"/>
    <row r="40" spans="2:4">
      <c r="B40" s="34" t="s">
        <v>108</v>
      </c>
      <c r="C40" s="34"/>
      <c r="D40" s="34"/>
    </row>
    <row r="41" spans="2:4" ht="18" customHeight="1">
      <c r="B41" s="37" t="s">
        <v>109</v>
      </c>
      <c r="C41" s="37"/>
      <c r="D41" s="37"/>
    </row>
    <row r="42" spans="2:4" ht="20" customHeight="1">
      <c r="B42" s="35" t="s">
        <v>69</v>
      </c>
      <c r="C42" s="35" t="s">
        <v>70</v>
      </c>
      <c r="D42" s="35" t="s">
        <v>71</v>
      </c>
    </row>
    <row r="43" spans="2:4">
      <c r="B43" s="28" t="s">
        <v>110</v>
      </c>
      <c r="C43" s="28" t="s">
        <v>111</v>
      </c>
      <c r="D43" s="28" t="s">
        <v>112</v>
      </c>
    </row>
    <row r="44" spans="2:4">
      <c r="B44" s="28" t="s">
        <v>113</v>
      </c>
      <c r="C44" s="28" t="s">
        <v>114</v>
      </c>
      <c r="D44" s="28" t="s">
        <v>115</v>
      </c>
    </row>
    <row r="45" spans="2:4">
      <c r="B45" s="28" t="s">
        <v>116</v>
      </c>
      <c r="C45" s="28" t="s">
        <v>117</v>
      </c>
      <c r="D45" s="28" t="s">
        <v>118</v>
      </c>
    </row>
    <row r="46" spans="2:4">
      <c r="B46" s="28" t="s">
        <v>119</v>
      </c>
      <c r="C46" s="28" t="s">
        <v>120</v>
      </c>
      <c r="D46" s="28" t="s">
        <v>121</v>
      </c>
    </row>
    <row r="47" spans="2:4">
      <c r="B47" s="28" t="s">
        <v>122</v>
      </c>
      <c r="C47" s="28" t="s">
        <v>123</v>
      </c>
      <c r="D47" s="28" t="s">
        <v>124</v>
      </c>
    </row>
    <row r="48" spans="2:4">
      <c r="B48" s="28" t="s">
        <v>125</v>
      </c>
      <c r="C48" s="28" t="s">
        <v>126</v>
      </c>
      <c r="D48" s="28" t="s">
        <v>127</v>
      </c>
    </row>
  </sheetData>
  <mergeCells count="14">
    <mergeCell ref="A1:E1"/>
    <mergeCell ref="B2:C2"/>
    <mergeCell ref="D2:E2"/>
    <mergeCell ref="B4:D4"/>
    <mergeCell ref="C6:D6"/>
    <mergeCell ref="B12:D12"/>
    <mergeCell ref="B22:D22"/>
    <mergeCell ref="B24:D24"/>
    <mergeCell ref="B32:D32"/>
    <mergeCell ref="C34:D34"/>
    <mergeCell ref="C35:D35"/>
    <mergeCell ref="B38:D38"/>
    <mergeCell ref="B40:D40"/>
    <mergeCell ref="B41:D41"/>
  </mergeCells>
  <dataValidations count="15">
    <dataValidation type="textLength" allowBlank="1" showInputMessage="1" showErrorMessage="1" errorTitle="Check this entry" error="Text up to 80 characters." promptTitle="Plant or site name" prompt="Shown on the Dashboard header. Text up to 80 characters." sqref="C6">
      <formula1>0</formula1>
      <formula2>80</formula2>
    </dataValidation>
    <dataValidation type="decimal" allowBlank="1" showInputMessage="1" showErrorMessage="1" errorTitle="Check this entry" error="Enter a percentage from 0% to 100% (type 85% or 0.85)." promptTitle="5S score target" prompt="Your own target for an area's audit score. Nothing in this workbook assumes an industry benchmark. Enter a percentage from 0% to 100% (type 85% or 0.85)." sqref="C7">
      <formula1>0</formula1>
      <formula2>1</formula2>
    </dataValidation>
    <dataValidation type="date" allowBlank="1" showInputMessage="1" showErrorMessage="1" errorTitle="Check this entry" error="Enter a date between 01 Jan 2000 and 31 Dec 2100." promptTitle="Status date" prompt="Actions are measured to this date (days open, overdue, due soon). Type the date of your review; the file never changes by itself. Enter a date between 01 Jan 2000 and 31 Dec 2100." sqref="C8">
      <formula1>36526</formula1>
      <formula2>73415</formula2>
    </dataValidation>
    <dataValidation type="whole" allowBlank="1" showInputMessage="1" showErrorMessage="1" errorTitle="Check this entry" error="Enter a whole number from 0 to 365." promptTitle="Due soon window" prompt="An open action due within this many days of the status date shows Due soon. Enter a whole number from 0 to 365." sqref="C9">
      <formula1>0</formula1>
      <formula2>365</formula2>
    </dataValidation>
    <dataValidation type="decimal" allowBlank="1" showInputMessage="1" showErrorMessage="1" errorTitle="Check this entry" error="Enter a percentage from 0% to 100% (type 85% or 0.85)." promptTitle="Actions closed on time target" prompt="Your own target for the share of closed actions closed by their due date. Enter a percentage from 0% to 100% (type 85% or 0.85)." sqref="C10">
      <formula1>0</formula1>
      <formula2>1</formula2>
    </dataValidation>
    <dataValidation type="whole" allowBlank="1" showInputMessage="1" showErrorMessage="1" errorTitle="Check this entry" error="Enter a whole number from 1 to 10." promptTitle="Points per criterion (top score)" prompt="The top of the scoring scale for one criterion. The example uses 0 to 4. Enter a whole number from 1 to 10." sqref="C14">
      <formula1>1</formula1>
      <formula2>10</formula2>
    </dataValidation>
    <dataValidation type="whole" allowBlank="1" showInputMessage="1" showErrorMessage="1" errorTitle="Check this entry" error="Enter a whole number from 0 to 10." promptTitle="Score" prompt="Enter a whole number from 0 to 10." sqref="B26:B130">
      <formula1>0</formula1>
      <formula2>10</formula2>
    </dataValidation>
    <dataValidation type="textLength" allowBlank="1" showInputMessage="1" showErrorMessage="1" errorTitle="Check this entry" error="Text up to 40 characters." promptTitle="Meaning" prompt="Text up to 40 characters." sqref="C26:C130">
      <formula1>0</formula1>
      <formula2>40</formula2>
    </dataValidation>
    <dataValidation type="textLength" allowBlank="1" showInputMessage="1" showErrorMessage="1" errorTitle="Check this entry" error="Text up to 120 characters." promptTitle="Evidence" prompt="Text up to 120 characters." sqref="D26:D130">
      <formula1>0</formula1>
      <formula2>120</formula2>
    </dataValidation>
    <dataValidation type="textLength" allowBlank="1" showInputMessage="1" showErrorMessage="1" errorTitle="Check this entry" error="Text up to 12 characters." promptTitle="Currency label" prompt="Text shown next to money values, e.g. USD, INR, GBP, EUR, MXN. No exchange rate is applied. Text up to 12 characters." sqref="C34">
      <formula1>0</formula1>
      <formula2>12</formula2>
    </dataValidation>
    <dataValidation type="list" allowBlank="1" showInputMessage="1" showErrorMessage="1" errorTitle="Check this entry" error="Pick one of: m², ft²." promptTitle="Floor area unit" prompt="The unit you record freed floor space in. Type the facility cost per the same unit. Pick one of: m², ft²." sqref="C35">
      <formula1>"m²,ft²"</formula1>
    </dataValidation>
    <dataValidation type="decimal" allowBlank="1" showInputMessage="1" showErrorMessage="1" errorTitle="Check this entry" error="Enter a number from 0 to 1,000,000." promptTitle="Facility cost per unit area p..." prompt="Your occupancy cost (rent or depreciation, rates, utilities, upkeep) per unit floor area per year. The example figure is invented. Enter a number from 0 to 1,000,000." sqref="C36">
      <formula1>0</formula1>
      <formula2>1000000.0</formula2>
    </dataValidation>
    <dataValidation type="textLength" allowBlank="1" showInputMessage="1" showErrorMessage="1" errorTitle="Check this entry" error="Text up to 40 characters." promptTitle="Area" prompt="Text up to 40 characters." sqref="B43:B148">
      <formula1>0</formula1>
      <formula2>40</formula2>
    </dataValidation>
    <dataValidation type="textLength" allowBlank="1" showInputMessage="1" showErrorMessage="1" errorTitle="Check this entry" error="Text up to 40 characters." promptTitle="Owner" prompt="The area owner who answers for its 5S score and actions. Text up to 40 characters." sqref="C43:C148">
      <formula1>0</formula1>
      <formula2>40</formula2>
    </dataValidation>
    <dataValidation type="textLength" allowBlank="1" showInputMessage="1" showErrorMessage="1" errorTitle="Check this entry" error="Text up to 120 characters." promptTitle="Description" prompt="Text up to 120 characters." sqref="D43:D148">
      <formula1>0</formula1>
      <formula2>120</formula2>
    </dataValidation>
  </dataValidations>
  <hyperlinks>
    <hyperlink ref="D2" r:id="rId1" tooltip="Free manufacturing calculators and templates"/>
  </hyperlinks>
  <pageMargins left="0.4" right="0.4" top="0.7" bottom="0.65" header="0.3" footer="0.3"/>
  <pageSetup fitToHeight="0" orientation="portrait"/>
  <headerFooter>
    <oddHeader>&amp;L&amp;8MFG Calcs - 5S Audit Checklist&amp;R&amp;8&amp;A</oddHeader>
    <oddFooter>&amp;L&amp;8mfgcalcs.com - free manufacturing templates&amp;R&amp;8Page &amp;P of &amp;N</oddFooter>
  </headerFooter>
  <rowBreaks count="1" manualBreakCount="1">
    <brk id="37" max="16383" man="1"/>
  </rowBreaks>
  <tableParts count="2">
    <tablePart r:id="rId2"/>
    <tablePart r:id="rId3"/>
  </tableParts>
</worksheet>
</file>

<file path=xl/worksheets/sheet3.xml><?xml version="1.0" encoding="utf-8"?>
<worksheet xmlns="http://schemas.openxmlformats.org/spreadsheetml/2006/main" xmlns:r="http://schemas.openxmlformats.org/officeDocument/2006/relationships">
  <sheetPr>
    <tabColor rgb="FF3B64D8"/>
    <pageSetUpPr fitToPage="1"/>
  </sheetPr>
  <dimension ref="A1:G30"/>
  <sheetViews>
    <sheetView workbookViewId="0">
      <pane xSplit="1" ySplit="5" topLeftCell="B6" activePane="bottomRight" state="frozen"/>
      <selection pane="topRight" activeCell="B1" sqref="B1"/>
      <selection pane="bottomLeft" activeCell="A6" sqref="A6"/>
      <selection pane="bottomRight"/>
    </sheetView>
  </sheetViews>
  <sheetFormatPr defaultRowHeight="15"/>
  <cols>
    <col min="1" max="1" width="2.7109375" customWidth="1"/>
    <col min="2" max="2" width="6.7109375" customWidth="1"/>
    <col min="3" max="3" width="13.7109375" customWidth="1"/>
    <col min="4" max="4" width="46.7109375" customWidth="1"/>
    <col min="5" max="5" width="56.7109375" customWidth="1"/>
    <col min="6" max="6" width="7.7109375" customWidth="1"/>
    <col min="7" max="7" width="9.7109375" customWidth="1"/>
  </cols>
  <sheetData>
    <row r="1" spans="1:7" ht="30" customHeight="1">
      <c r="A1" s="1" t="s">
        <v>0</v>
      </c>
      <c r="B1" s="1"/>
      <c r="C1" s="1"/>
      <c r="D1" s="1"/>
      <c r="E1" s="1"/>
      <c r="F1" s="1"/>
      <c r="G1" s="1"/>
    </row>
    <row r="2" spans="1:7" ht="21" customHeight="1">
      <c r="B2" s="2" t="s">
        <v>22</v>
      </c>
      <c r="C2" s="2"/>
      <c r="D2" s="2"/>
      <c r="E2" s="2"/>
      <c r="F2" s="3" t="s">
        <v>2</v>
      </c>
      <c r="G2" s="3"/>
    </row>
    <row r="3" spans="1:7" ht="6" customHeight="1"/>
    <row r="4" spans="1:7" ht="41.64" customHeight="1">
      <c r="B4" s="37" t="s">
        <v>134</v>
      </c>
      <c r="C4" s="37"/>
      <c r="D4" s="37"/>
      <c r="E4" s="37"/>
      <c r="F4" s="37"/>
      <c r="G4" s="37"/>
    </row>
    <row r="5" spans="1:7" ht="32" customHeight="1">
      <c r="B5" s="35" t="s">
        <v>128</v>
      </c>
      <c r="C5" s="35" t="s">
        <v>129</v>
      </c>
      <c r="D5" s="35" t="s">
        <v>130</v>
      </c>
      <c r="E5" s="35" t="s">
        <v>131</v>
      </c>
      <c r="F5" s="35" t="s">
        <v>132</v>
      </c>
      <c r="G5" s="35" t="s">
        <v>133</v>
      </c>
    </row>
    <row r="6" spans="1:7">
      <c r="B6" s="28" t="s">
        <v>135</v>
      </c>
      <c r="C6" s="28" t="s">
        <v>136</v>
      </c>
      <c r="D6" s="38" t="s">
        <v>137</v>
      </c>
      <c r="E6" s="38" t="s">
        <v>138</v>
      </c>
      <c r="F6" s="33">
        <f>IF(tblCriteria[[#This Row],[No.]]="","",PointsPerItem)</f>
        <v>4</v>
      </c>
      <c r="G6" s="31"/>
    </row>
    <row r="7" spans="1:7">
      <c r="B7" s="28" t="s">
        <v>139</v>
      </c>
      <c r="C7" s="28" t="s">
        <v>136</v>
      </c>
      <c r="D7" s="38" t="s">
        <v>140</v>
      </c>
      <c r="E7" s="38" t="s">
        <v>141</v>
      </c>
      <c r="F7" s="33">
        <f>IF(tblCriteria[[#This Row],[No.]]="","",PointsPerItem)</f>
        <v>4</v>
      </c>
      <c r="G7" s="31"/>
    </row>
    <row r="8" spans="1:7">
      <c r="B8" s="28" t="s">
        <v>142</v>
      </c>
      <c r="C8" s="28" t="s">
        <v>136</v>
      </c>
      <c r="D8" s="38" t="s">
        <v>143</v>
      </c>
      <c r="E8" s="38" t="s">
        <v>144</v>
      </c>
      <c r="F8" s="33">
        <f>IF(tblCriteria[[#This Row],[No.]]="","",PointsPerItem)</f>
        <v>4</v>
      </c>
      <c r="G8" s="31"/>
    </row>
    <row r="9" spans="1:7">
      <c r="B9" s="28" t="s">
        <v>145</v>
      </c>
      <c r="C9" s="28" t="s">
        <v>136</v>
      </c>
      <c r="D9" s="38" t="s">
        <v>146</v>
      </c>
      <c r="E9" s="38" t="s">
        <v>147</v>
      </c>
      <c r="F9" s="33">
        <f>IF(tblCriteria[[#This Row],[No.]]="","",PointsPerItem)</f>
        <v>4</v>
      </c>
      <c r="G9" s="31"/>
    </row>
    <row r="10" spans="1:7">
      <c r="B10" s="28" t="s">
        <v>148</v>
      </c>
      <c r="C10" s="28" t="s">
        <v>136</v>
      </c>
      <c r="D10" s="38" t="s">
        <v>149</v>
      </c>
      <c r="E10" s="38" t="s">
        <v>150</v>
      </c>
      <c r="F10" s="33">
        <f>IF(tblCriteria[[#This Row],[No.]]="","",PointsPerItem)</f>
        <v>4</v>
      </c>
      <c r="G10" s="31"/>
    </row>
    <row r="11" spans="1:7">
      <c r="B11" s="28" t="s">
        <v>151</v>
      </c>
      <c r="C11" s="28" t="s">
        <v>152</v>
      </c>
      <c r="D11" s="38" t="s">
        <v>153</v>
      </c>
      <c r="E11" s="38" t="s">
        <v>154</v>
      </c>
      <c r="F11" s="33">
        <f>IF(tblCriteria[[#This Row],[No.]]="","",PointsPerItem)</f>
        <v>4</v>
      </c>
      <c r="G11" s="31"/>
    </row>
    <row r="12" spans="1:7">
      <c r="B12" s="28" t="s">
        <v>155</v>
      </c>
      <c r="C12" s="28" t="s">
        <v>152</v>
      </c>
      <c r="D12" s="38" t="s">
        <v>156</v>
      </c>
      <c r="E12" s="38" t="s">
        <v>157</v>
      </c>
      <c r="F12" s="33">
        <f>IF(tblCriteria[[#This Row],[No.]]="","",PointsPerItem)</f>
        <v>4</v>
      </c>
      <c r="G12" s="31"/>
    </row>
    <row r="13" spans="1:7">
      <c r="B13" s="28" t="s">
        <v>158</v>
      </c>
      <c r="C13" s="28" t="s">
        <v>152</v>
      </c>
      <c r="D13" s="38" t="s">
        <v>159</v>
      </c>
      <c r="E13" s="38" t="s">
        <v>160</v>
      </c>
      <c r="F13" s="33">
        <f>IF(tblCriteria[[#This Row],[No.]]="","",PointsPerItem)</f>
        <v>4</v>
      </c>
      <c r="G13" s="31"/>
    </row>
    <row r="14" spans="1:7">
      <c r="B14" s="28" t="s">
        <v>161</v>
      </c>
      <c r="C14" s="28" t="s">
        <v>152</v>
      </c>
      <c r="D14" s="38" t="s">
        <v>162</v>
      </c>
      <c r="E14" s="38" t="s">
        <v>163</v>
      </c>
      <c r="F14" s="33">
        <f>IF(tblCriteria[[#This Row],[No.]]="","",PointsPerItem)</f>
        <v>4</v>
      </c>
      <c r="G14" s="31"/>
    </row>
    <row r="15" spans="1:7">
      <c r="B15" s="28" t="s">
        <v>164</v>
      </c>
      <c r="C15" s="28" t="s">
        <v>152</v>
      </c>
      <c r="D15" s="38" t="s">
        <v>165</v>
      </c>
      <c r="E15" s="38" t="s">
        <v>166</v>
      </c>
      <c r="F15" s="33">
        <f>IF(tblCriteria[[#This Row],[No.]]="","",PointsPerItem)</f>
        <v>4</v>
      </c>
      <c r="G15" s="31"/>
    </row>
    <row r="16" spans="1:7">
      <c r="B16" s="28" t="s">
        <v>167</v>
      </c>
      <c r="C16" s="28" t="s">
        <v>168</v>
      </c>
      <c r="D16" s="38" t="s">
        <v>169</v>
      </c>
      <c r="E16" s="38" t="s">
        <v>170</v>
      </c>
      <c r="F16" s="33">
        <f>IF(tblCriteria[[#This Row],[No.]]="","",PointsPerItem)</f>
        <v>4</v>
      </c>
      <c r="G16" s="31"/>
    </row>
    <row r="17" spans="2:7">
      <c r="B17" s="28" t="s">
        <v>171</v>
      </c>
      <c r="C17" s="28" t="s">
        <v>168</v>
      </c>
      <c r="D17" s="38" t="s">
        <v>172</v>
      </c>
      <c r="E17" s="38" t="s">
        <v>173</v>
      </c>
      <c r="F17" s="33">
        <f>IF(tblCriteria[[#This Row],[No.]]="","",PointsPerItem)</f>
        <v>4</v>
      </c>
      <c r="G17" s="31"/>
    </row>
    <row r="18" spans="2:7">
      <c r="B18" s="28" t="s">
        <v>174</v>
      </c>
      <c r="C18" s="28" t="s">
        <v>168</v>
      </c>
      <c r="D18" s="38" t="s">
        <v>175</v>
      </c>
      <c r="E18" s="38" t="s">
        <v>176</v>
      </c>
      <c r="F18" s="33">
        <f>IF(tblCriteria[[#This Row],[No.]]="","",PointsPerItem)</f>
        <v>4</v>
      </c>
      <c r="G18" s="31"/>
    </row>
    <row r="19" spans="2:7">
      <c r="B19" s="28" t="s">
        <v>177</v>
      </c>
      <c r="C19" s="28" t="s">
        <v>168</v>
      </c>
      <c r="D19" s="38" t="s">
        <v>178</v>
      </c>
      <c r="E19" s="38" t="s">
        <v>179</v>
      </c>
      <c r="F19" s="33">
        <f>IF(tblCriteria[[#This Row],[No.]]="","",PointsPerItem)</f>
        <v>4</v>
      </c>
      <c r="G19" s="31"/>
    </row>
    <row r="20" spans="2:7">
      <c r="B20" s="28" t="s">
        <v>180</v>
      </c>
      <c r="C20" s="28" t="s">
        <v>168</v>
      </c>
      <c r="D20" s="38" t="s">
        <v>181</v>
      </c>
      <c r="E20" s="38" t="s">
        <v>182</v>
      </c>
      <c r="F20" s="33">
        <f>IF(tblCriteria[[#This Row],[No.]]="","",PointsPerItem)</f>
        <v>4</v>
      </c>
      <c r="G20" s="31"/>
    </row>
    <row r="21" spans="2:7">
      <c r="B21" s="28" t="s">
        <v>183</v>
      </c>
      <c r="C21" s="28" t="s">
        <v>184</v>
      </c>
      <c r="D21" s="38" t="s">
        <v>185</v>
      </c>
      <c r="E21" s="38" t="s">
        <v>186</v>
      </c>
      <c r="F21" s="33">
        <f>IF(tblCriteria[[#This Row],[No.]]="","",PointsPerItem)</f>
        <v>4</v>
      </c>
      <c r="G21" s="31"/>
    </row>
    <row r="22" spans="2:7">
      <c r="B22" s="28" t="s">
        <v>187</v>
      </c>
      <c r="C22" s="28" t="s">
        <v>184</v>
      </c>
      <c r="D22" s="38" t="s">
        <v>188</v>
      </c>
      <c r="E22" s="38" t="s">
        <v>189</v>
      </c>
      <c r="F22" s="33">
        <f>IF(tblCriteria[[#This Row],[No.]]="","",PointsPerItem)</f>
        <v>4</v>
      </c>
      <c r="G22" s="31"/>
    </row>
    <row r="23" spans="2:7">
      <c r="B23" s="28" t="s">
        <v>190</v>
      </c>
      <c r="C23" s="28" t="s">
        <v>184</v>
      </c>
      <c r="D23" s="38" t="s">
        <v>191</v>
      </c>
      <c r="E23" s="38" t="s">
        <v>192</v>
      </c>
      <c r="F23" s="33">
        <f>IF(tblCriteria[[#This Row],[No.]]="","",PointsPerItem)</f>
        <v>4</v>
      </c>
      <c r="G23" s="31"/>
    </row>
    <row r="24" spans="2:7">
      <c r="B24" s="28" t="s">
        <v>193</v>
      </c>
      <c r="C24" s="28" t="s">
        <v>184</v>
      </c>
      <c r="D24" s="38" t="s">
        <v>194</v>
      </c>
      <c r="E24" s="38" t="s">
        <v>195</v>
      </c>
      <c r="F24" s="33">
        <f>IF(tblCriteria[[#This Row],[No.]]="","",PointsPerItem)</f>
        <v>4</v>
      </c>
      <c r="G24" s="31"/>
    </row>
    <row r="25" spans="2:7">
      <c r="B25" s="28" t="s">
        <v>196</v>
      </c>
      <c r="C25" s="28" t="s">
        <v>184</v>
      </c>
      <c r="D25" s="38" t="s">
        <v>197</v>
      </c>
      <c r="E25" s="38" t="s">
        <v>198</v>
      </c>
      <c r="F25" s="33">
        <f>IF(tblCriteria[[#This Row],[No.]]="","",PointsPerItem)</f>
        <v>4</v>
      </c>
      <c r="G25" s="31"/>
    </row>
    <row r="26" spans="2:7">
      <c r="B26" s="28" t="s">
        <v>199</v>
      </c>
      <c r="C26" s="28" t="s">
        <v>200</v>
      </c>
      <c r="D26" s="38" t="s">
        <v>201</v>
      </c>
      <c r="E26" s="38" t="s">
        <v>202</v>
      </c>
      <c r="F26" s="33">
        <f>IF(tblCriteria[[#This Row],[No.]]="","",PointsPerItem)</f>
        <v>4</v>
      </c>
      <c r="G26" s="31"/>
    </row>
    <row r="27" spans="2:7">
      <c r="B27" s="28" t="s">
        <v>203</v>
      </c>
      <c r="C27" s="28" t="s">
        <v>200</v>
      </c>
      <c r="D27" s="38" t="s">
        <v>204</v>
      </c>
      <c r="E27" s="38" t="s">
        <v>205</v>
      </c>
      <c r="F27" s="33">
        <f>IF(tblCriteria[[#This Row],[No.]]="","",PointsPerItem)</f>
        <v>4</v>
      </c>
      <c r="G27" s="31"/>
    </row>
    <row r="28" spans="2:7">
      <c r="B28" s="28" t="s">
        <v>206</v>
      </c>
      <c r="C28" s="28" t="s">
        <v>200</v>
      </c>
      <c r="D28" s="38" t="s">
        <v>207</v>
      </c>
      <c r="E28" s="38" t="s">
        <v>208</v>
      </c>
      <c r="F28" s="33">
        <f>IF(tblCriteria[[#This Row],[No.]]="","",PointsPerItem)</f>
        <v>4</v>
      </c>
      <c r="G28" s="31"/>
    </row>
    <row r="29" spans="2:7">
      <c r="B29" s="28" t="s">
        <v>209</v>
      </c>
      <c r="C29" s="28" t="s">
        <v>200</v>
      </c>
      <c r="D29" s="38" t="s">
        <v>210</v>
      </c>
      <c r="E29" s="38" t="s">
        <v>211</v>
      </c>
      <c r="F29" s="33">
        <f>IF(tblCriteria[[#This Row],[No.]]="","",PointsPerItem)</f>
        <v>4</v>
      </c>
      <c r="G29" s="31"/>
    </row>
    <row r="30" spans="2:7">
      <c r="B30" s="28" t="s">
        <v>212</v>
      </c>
      <c r="C30" s="28" t="s">
        <v>200</v>
      </c>
      <c r="D30" s="38" t="s">
        <v>213</v>
      </c>
      <c r="E30" s="38" t="s">
        <v>214</v>
      </c>
      <c r="F30" s="33">
        <f>IF(tblCriteria[[#This Row],[No.]]="","",PointsPerItem)</f>
        <v>4</v>
      </c>
      <c r="G30" s="31"/>
    </row>
  </sheetData>
  <mergeCells count="4">
    <mergeCell ref="A1:G1"/>
    <mergeCell ref="B2:E2"/>
    <mergeCell ref="F2:G2"/>
    <mergeCell ref="B4:G4"/>
  </mergeCells>
  <dataValidations count="5">
    <dataValidation type="textLength" allowBlank="1" showInputMessage="1" showErrorMessage="1" errorTitle="Check this entry" error="Text up to 8 characters." promptTitle="No." prompt="Text up to 8 characters." sqref="B6:B530">
      <formula1>0</formula1>
      <formula2>8</formula2>
    </dataValidation>
    <dataValidation type="list" allowBlank="1" showInputMessage="1" showErrorMessage="1" errorTitle="Check this entry" error="Pick one of: Sort, Set in order, Shine, Standardize, Sustain." promptTitle="S" prompt="Which of the five S this criterion belongs to. Pick one of: Sort, Set in order, Shine, Standardize, Sustain." sqref="C6:C530">
      <formula1>"Sort,Set in order,Shine,Standardize,Sustain"</formula1>
    </dataValidation>
    <dataValidation type="textLength" allowBlank="1" showInputMessage="1" showErrorMessage="1" errorTitle="Check this entry" error="Text up to 120 characters." promptTitle="Criterion" prompt="Text up to 120 characters." sqref="D6:D530">
      <formula1>0</formula1>
      <formula2>120</formula2>
    </dataValidation>
    <dataValidation type="textLength" allowBlank="1" showInputMessage="1" showErrorMessage="1" errorTitle="Check this entry" error="Text up to 160 characters." promptTitle="What a 4 looks like" prompt="The evidence the auditor looks for to give the top score. Text up to 160 characters." sqref="E6:E530">
      <formula1>0</formula1>
      <formula2>160</formula2>
    </dataValidation>
    <dataValidation type="whole" allowBlank="1" showInputMessage="1" showErrorMessage="1" errorTitle="Check this entry" error="Enter a whole number from 0 to 10." promptTitle="Score on the walk" prompt="Optional: leave blank in the file and write the score on the printed walk sheet. Enter a whole number from 0 to 10." sqref="G6:G530">
      <formula1>0</formula1>
      <formula2>10</formula2>
    </dataValidation>
  </dataValidations>
  <hyperlinks>
    <hyperlink ref="F2" r:id="rId1" tooltip="Free manufacturing calculators and templates"/>
  </hyperlinks>
  <pageMargins left="0.4" right="0.4" top="0.7" bottom="0.65" header="0.3" footer="0.3"/>
  <pageSetup fitToHeight="0" orientation="landscape"/>
  <headerFooter>
    <oddHeader>&amp;L&amp;8MFG Calcs - 5S Audit Checklist&amp;R&amp;8&amp;A</oddHeader>
    <oddFooter>&amp;L&amp;8mfgcalcs.com - free manufacturing templates&amp;R&amp;8Page &amp;P of &amp;N</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B64D8"/>
    <pageSetUpPr fitToPage="1"/>
  </sheetPr>
  <dimension ref="A1:R41"/>
  <sheetViews>
    <sheetView workbookViewId="0">
      <pane xSplit="3" ySplit="5" topLeftCell="D6" activePane="bottomRight" state="frozen"/>
      <selection pane="topRight" activeCell="D1" sqref="D1"/>
      <selection pane="bottomLeft" activeCell="A6" sqref="A6"/>
      <selection pane="bottomRight"/>
    </sheetView>
  </sheetViews>
  <sheetFormatPr defaultRowHeight="15" x14ac:dyDescent="0.25"/>
  <cols>
    <col min="1" max="1" width="2.7109375" customWidth="1"/>
    <col min="2" max="2" width="12.28515625" customWidth="1"/>
    <col min="3" max="3" width="13.7109375" customWidth="1"/>
    <col min="4" max="4" width="11.7109375" customWidth="1"/>
    <col min="5" max="9" width="10.28515625" customWidth="1"/>
    <col min="10" max="10" width="12.7109375" customWidth="1"/>
    <col min="11" max="11" width="9.28515625" customWidth="1"/>
    <col min="12" max="12" width="8.7109375" customWidth="1"/>
    <col min="13" max="13" width="9.28515625" customWidth="1"/>
    <col min="14" max="14" width="12.28515625" customWidth="1"/>
    <col min="15" max="15" width="9.28515625" customWidth="1"/>
    <col min="16" max="16" width="10.7109375" customWidth="1"/>
    <col min="17" max="17" width="22.7109375" customWidth="1"/>
    <col min="18" max="18" width="26.7109375" customWidth="1"/>
  </cols>
  <sheetData>
    <row r="1" spans="1:18" ht="30" customHeight="1" x14ac:dyDescent="0.25">
      <c r="A1" s="1" t="s">
        <v>0</v>
      </c>
      <c r="B1" s="1"/>
      <c r="C1" s="1"/>
      <c r="D1" s="1"/>
      <c r="E1" s="1"/>
      <c r="F1" s="1"/>
      <c r="G1" s="1"/>
      <c r="H1" s="1"/>
      <c r="I1" s="1"/>
      <c r="J1" s="1"/>
      <c r="K1" s="1"/>
      <c r="L1" s="1"/>
      <c r="M1" s="1"/>
      <c r="N1" s="1"/>
      <c r="O1" s="1"/>
      <c r="P1" s="1"/>
      <c r="Q1" s="1"/>
      <c r="R1" s="1"/>
    </row>
    <row r="2" spans="1:18" ht="21" customHeight="1" x14ac:dyDescent="0.25">
      <c r="B2" s="2" t="s">
        <v>24</v>
      </c>
      <c r="C2" s="2"/>
      <c r="D2" s="2"/>
      <c r="E2" s="2"/>
      <c r="F2" s="2"/>
      <c r="G2" s="2"/>
      <c r="H2" s="2"/>
      <c r="I2" s="2"/>
      <c r="J2" s="2"/>
      <c r="K2" s="2"/>
      <c r="L2" s="2"/>
      <c r="M2" s="2"/>
      <c r="N2" s="2"/>
      <c r="O2" s="2"/>
      <c r="P2" s="2"/>
      <c r="Q2" s="2"/>
      <c r="R2" s="3" t="s">
        <v>2</v>
      </c>
    </row>
    <row r="3" spans="1:18" ht="6" customHeight="1" x14ac:dyDescent="0.25"/>
    <row r="4" spans="1:18" ht="18" customHeight="1" x14ac:dyDescent="0.25">
      <c r="B4" s="37" t="s">
        <v>228</v>
      </c>
      <c r="C4" s="37"/>
      <c r="D4" s="37"/>
      <c r="E4" s="37"/>
      <c r="F4" s="37"/>
      <c r="G4" s="37"/>
      <c r="H4" s="37"/>
      <c r="I4" s="37"/>
      <c r="J4" s="37"/>
      <c r="K4" s="37"/>
      <c r="L4" s="37"/>
      <c r="M4" s="37"/>
      <c r="N4" s="37"/>
      <c r="O4" s="37"/>
      <c r="P4" s="37"/>
      <c r="Q4" s="37"/>
      <c r="R4" s="37"/>
    </row>
    <row r="5" spans="1:18" ht="32" customHeight="1" x14ac:dyDescent="0.25">
      <c r="B5" s="35" t="s">
        <v>215</v>
      </c>
      <c r="C5" s="35" t="s">
        <v>69</v>
      </c>
      <c r="D5" s="35" t="s">
        <v>216</v>
      </c>
      <c r="E5" s="35" t="s">
        <v>217</v>
      </c>
      <c r="F5" s="35" t="s">
        <v>218</v>
      </c>
      <c r="G5" s="35" t="s">
        <v>219</v>
      </c>
      <c r="H5" s="35" t="s">
        <v>220</v>
      </c>
      <c r="I5" s="35" t="s">
        <v>221</v>
      </c>
      <c r="J5" s="35" t="s">
        <v>70</v>
      </c>
      <c r="K5" s="35" t="s">
        <v>222</v>
      </c>
      <c r="L5" s="35" t="s">
        <v>132</v>
      </c>
      <c r="M5" s="35" t="s">
        <v>66</v>
      </c>
      <c r="N5" s="35" t="s">
        <v>223</v>
      </c>
      <c r="O5" s="35" t="s">
        <v>224</v>
      </c>
      <c r="P5" s="35" t="s">
        <v>225</v>
      </c>
      <c r="Q5" s="35" t="s">
        <v>226</v>
      </c>
      <c r="R5" s="35" t="s">
        <v>227</v>
      </c>
    </row>
    <row r="6" spans="1:18" x14ac:dyDescent="0.25">
      <c r="B6" s="30">
        <v>46120</v>
      </c>
      <c r="C6" s="28" t="s">
        <v>110</v>
      </c>
      <c r="D6" s="28" t="s">
        <v>229</v>
      </c>
      <c r="E6" s="31">
        <v>9</v>
      </c>
      <c r="F6" s="31">
        <v>10</v>
      </c>
      <c r="G6" s="31">
        <v>9</v>
      </c>
      <c r="H6" s="31">
        <v>7</v>
      </c>
      <c r="I6" s="31">
        <v>5</v>
      </c>
      <c r="J6" s="39" t="str">
        <f>IF(tblAudits[[#This Row],[Audit date]]="","",IFERROR(INDEX(tblAreas[Owner],MATCH(tblAudits[[#This Row],[Area]],tblAreas[Area],0)),""))</f>
        <v>R. Okafor</v>
      </c>
      <c r="K6" s="33">
        <f>IF(tblAudits[[#This Row],[Audit date]]="","",tblAudits[[#This Row],[Sort (pts)]]+tblAudits[[#This Row],[Set in order (pts)]]+tblAudits[[#This Row],[Shine (pts)]]+tblAudits[[#This Row],[Standardize (pts)]]+tblAudits[[#This Row],[Sustain (pts)]])</f>
        <v>40</v>
      </c>
      <c r="L6" s="33">
        <f>IF(tblAudits[[#This Row],[Audit date]]="","",AuditMax)</f>
        <v>100</v>
      </c>
      <c r="M6" s="40">
        <f>IF(tblAudits[[#This Row],[Audit date]]="","",IF(tblAudits[[#This Row],[Max (pts)]]&gt;0,tblAudits[[#This Row],[Total (pts)]]/tblAudits[[#This Row],[Max (pts)]],""))</f>
        <v>0.4</v>
      </c>
      <c r="N6" s="41" t="str">
        <f>IF(NOT(ISNUMBER(tblAudits[[#This Row],[Score]])),"",IF(tblAudits[[#This Row],[Score]]&gt;=TargetScore,"On target",IF(tblAudits[[#This Row],[Score]]&gt;=TargetScore*(1-0.05),"Near target","Below target")))</f>
        <v>Below target</v>
      </c>
      <c r="O6" s="33">
        <f>IF(tblAudits[[#This Row],[Audit date]]="","",COUNTIFS(tblActions[Raised],tblAudits[[#This Row],[Audit date]],tblActions[Area],tblAudits[[#This Row],[Area]]))</f>
        <v>4</v>
      </c>
      <c r="P6" s="42">
        <f>IF(tblAudits[[#This Row],[Audit date]]="","",DATE(YEAR(tblAudits[[#This Row],[Audit date]]),MONTH(tblAudits[[#This Row],[Audit date]]),1))</f>
        <v>46113</v>
      </c>
      <c r="Q6" s="43" t="str">
        <f>IF(tblAudits[[#This Row],[Audit date]]="","",IF(tblAudits[[#This Row],[Area]]="","Missing area",IF(tblAudits[[#This Row],[Owner]]="","Area not on Setup list",IF(COUNT(tblAudits[[#This Row],[Sort (pts)]],tblAudits[[#This Row],[Set in order (pts)]],tblAudits[[#This Row],[Shine (pts)]],tblAudits[[#This Row],[Standardize (pts)]],tblAudits[[#This Row],[Sustain (pts)]])&lt;5,"Missing a section score",IF(tblAudits[[#This Row],[Sort (pts)]]&gt;MaxSort,"Sort above its maximum",IF(tblAudits[[#This Row],[Set in order (pts)]]&gt;MaxSet,"Set in order above its maximum",IF(tblAudits[[#This Row],[Shine (pts)]]&gt;MaxShine,"Shine above its maximum",IF(tblAudits[[#This Row],[Standardize (pts)]]&gt;MaxStd,"Standardize above its maximum",IF(tblAudits[[#This Row],[Sustain (pts)]]&gt;MaxSustain,"Sustain above its maximum",IF(COUNTIFS(tblAudits[Audit date],tblAudits[[#This Row],[Audit date]],tblAudits[Area],tblAudits[[#This Row],[Area]])&gt;1,"Duplicate audit row","OK"))))))))))</f>
        <v>OK</v>
      </c>
      <c r="R6" s="28" t="s">
        <v>230</v>
      </c>
    </row>
    <row r="7" spans="1:18" x14ac:dyDescent="0.25">
      <c r="B7" s="30">
        <v>46121</v>
      </c>
      <c r="C7" s="28" t="s">
        <v>113</v>
      </c>
      <c r="D7" s="28" t="s">
        <v>231</v>
      </c>
      <c r="E7" s="31">
        <v>10</v>
      </c>
      <c r="F7" s="31">
        <v>9</v>
      </c>
      <c r="G7" s="31">
        <v>9</v>
      </c>
      <c r="H7" s="31">
        <v>7</v>
      </c>
      <c r="I7" s="31">
        <v>6</v>
      </c>
      <c r="J7" s="39" t="str">
        <f>IF(tblAudits[[#This Row],[Audit date]]="","",IFERROR(INDEX(tblAreas[Owner],MATCH(tblAudits[[#This Row],[Area]],tblAreas[Area],0)),""))</f>
        <v>M. Lindqvist</v>
      </c>
      <c r="K7" s="33">
        <f>IF(tblAudits[[#This Row],[Audit date]]="","",tblAudits[[#This Row],[Sort (pts)]]+tblAudits[[#This Row],[Set in order (pts)]]+tblAudits[[#This Row],[Shine (pts)]]+tblAudits[[#This Row],[Standardize (pts)]]+tblAudits[[#This Row],[Sustain (pts)]])</f>
        <v>41</v>
      </c>
      <c r="L7" s="33">
        <f>IF(tblAudits[[#This Row],[Audit date]]="","",AuditMax)</f>
        <v>100</v>
      </c>
      <c r="M7" s="40">
        <f>IF(tblAudits[[#This Row],[Audit date]]="","",IF(tblAudits[[#This Row],[Max (pts)]]&gt;0,tblAudits[[#This Row],[Total (pts)]]/tblAudits[[#This Row],[Max (pts)]],""))</f>
        <v>0.41</v>
      </c>
      <c r="N7" s="41" t="str">
        <f>IF(NOT(ISNUMBER(tblAudits[[#This Row],[Score]])),"",IF(tblAudits[[#This Row],[Score]]&gt;=TargetScore,"On target",IF(tblAudits[[#This Row],[Score]]&gt;=TargetScore*(1-0.05),"Near target","Below target")))</f>
        <v>Below target</v>
      </c>
      <c r="O7" s="33">
        <f>IF(tblAudits[[#This Row],[Audit date]]="","",COUNTIFS(tblActions[Raised],tblAudits[[#This Row],[Audit date]],tblActions[Area],tblAudits[[#This Row],[Area]]))</f>
        <v>3</v>
      </c>
      <c r="P7" s="42">
        <f>IF(tblAudits[[#This Row],[Audit date]]="","",DATE(YEAR(tblAudits[[#This Row],[Audit date]]),MONTH(tblAudits[[#This Row],[Audit date]]),1))</f>
        <v>46113</v>
      </c>
      <c r="Q7" s="43" t="str">
        <f>IF(tblAudits[[#This Row],[Audit date]]="","",IF(tblAudits[[#This Row],[Area]]="","Missing area",IF(tblAudits[[#This Row],[Owner]]="","Area not on Setup list",IF(COUNT(tblAudits[[#This Row],[Sort (pts)]],tblAudits[[#This Row],[Set in order (pts)]],tblAudits[[#This Row],[Shine (pts)]],tblAudits[[#This Row],[Standardize (pts)]],tblAudits[[#This Row],[Sustain (pts)]])&lt;5,"Missing a section score",IF(tblAudits[[#This Row],[Sort (pts)]]&gt;MaxSort,"Sort above its maximum",IF(tblAudits[[#This Row],[Set in order (pts)]]&gt;MaxSet,"Set in order above its maximum",IF(tblAudits[[#This Row],[Shine (pts)]]&gt;MaxShine,"Shine above its maximum",IF(tblAudits[[#This Row],[Standardize (pts)]]&gt;MaxStd,"Standardize above its maximum",IF(tblAudits[[#This Row],[Sustain (pts)]]&gt;MaxSustain,"Sustain above its maximum",IF(COUNTIFS(tblAudits[Audit date],tblAudits[[#This Row],[Audit date]],tblAudits[Area],tblAudits[[#This Row],[Area]])&gt;1,"Duplicate audit row","OK"))))))))))</f>
        <v>OK</v>
      </c>
      <c r="R7" s="28" t="s">
        <v>230</v>
      </c>
    </row>
    <row r="8" spans="1:18" x14ac:dyDescent="0.25">
      <c r="B8" s="30">
        <v>46122</v>
      </c>
      <c r="C8" s="28" t="s">
        <v>116</v>
      </c>
      <c r="D8" s="28" t="s">
        <v>232</v>
      </c>
      <c r="E8" s="31">
        <v>8</v>
      </c>
      <c r="F8" s="31">
        <v>8</v>
      </c>
      <c r="G8" s="31">
        <v>5</v>
      </c>
      <c r="H8" s="31">
        <v>6</v>
      </c>
      <c r="I8" s="31">
        <v>5</v>
      </c>
      <c r="J8" s="39" t="str">
        <f>IF(tblAudits[[#This Row],[Audit date]]="","",IFERROR(INDEX(tblAreas[Owner],MATCH(tblAudits[[#This Row],[Area]],tblAreas[Area],0)),""))</f>
        <v>J. Patel</v>
      </c>
      <c r="K8" s="33">
        <f>IF(tblAudits[[#This Row],[Audit date]]="","",tblAudits[[#This Row],[Sort (pts)]]+tblAudits[[#This Row],[Set in order (pts)]]+tblAudits[[#This Row],[Shine (pts)]]+tblAudits[[#This Row],[Standardize (pts)]]+tblAudits[[#This Row],[Sustain (pts)]])</f>
        <v>32</v>
      </c>
      <c r="L8" s="33">
        <f>IF(tblAudits[[#This Row],[Audit date]]="","",AuditMax)</f>
        <v>100</v>
      </c>
      <c r="M8" s="40">
        <f>IF(tblAudits[[#This Row],[Audit date]]="","",IF(tblAudits[[#This Row],[Max (pts)]]&gt;0,tblAudits[[#This Row],[Total (pts)]]/tblAudits[[#This Row],[Max (pts)]],""))</f>
        <v>0.32</v>
      </c>
      <c r="N8" s="41" t="str">
        <f>IF(NOT(ISNUMBER(tblAudits[[#This Row],[Score]])),"",IF(tblAudits[[#This Row],[Score]]&gt;=TargetScore,"On target",IF(tblAudits[[#This Row],[Score]]&gt;=TargetScore*(1-0.05),"Near target","Below target")))</f>
        <v>Below target</v>
      </c>
      <c r="O8" s="33">
        <f>IF(tblAudits[[#This Row],[Audit date]]="","",COUNTIFS(tblActions[Raised],tblAudits[[#This Row],[Audit date]],tblActions[Area],tblAudits[[#This Row],[Area]]))</f>
        <v>3</v>
      </c>
      <c r="P8" s="42">
        <f>IF(tblAudits[[#This Row],[Audit date]]="","",DATE(YEAR(tblAudits[[#This Row],[Audit date]]),MONTH(tblAudits[[#This Row],[Audit date]]),1))</f>
        <v>46113</v>
      </c>
      <c r="Q8" s="43" t="str">
        <f>IF(tblAudits[[#This Row],[Audit date]]="","",IF(tblAudits[[#This Row],[Area]]="","Missing area",IF(tblAudits[[#This Row],[Owner]]="","Area not on Setup list",IF(COUNT(tblAudits[[#This Row],[Sort (pts)]],tblAudits[[#This Row],[Set in order (pts)]],tblAudits[[#This Row],[Shine (pts)]],tblAudits[[#This Row],[Standardize (pts)]],tblAudits[[#This Row],[Sustain (pts)]])&lt;5,"Missing a section score",IF(tblAudits[[#This Row],[Sort (pts)]]&gt;MaxSort,"Sort above its maximum",IF(tblAudits[[#This Row],[Set in order (pts)]]&gt;MaxSet,"Set in order above its maximum",IF(tblAudits[[#This Row],[Shine (pts)]]&gt;MaxShine,"Shine above its maximum",IF(tblAudits[[#This Row],[Standardize (pts)]]&gt;MaxStd,"Standardize above its maximum",IF(tblAudits[[#This Row],[Sustain (pts)]]&gt;MaxSustain,"Sustain above its maximum",IF(COUNTIFS(tblAudits[Audit date],tblAudits[[#This Row],[Audit date]],tblAudits[Area],tblAudits[[#This Row],[Area]])&gt;1,"Duplicate audit row","OK"))))))))))</f>
        <v>OK</v>
      </c>
      <c r="R8" s="28" t="s">
        <v>230</v>
      </c>
    </row>
    <row r="9" spans="1:18" x14ac:dyDescent="0.25">
      <c r="B9" s="30">
        <v>46125</v>
      </c>
      <c r="C9" s="28" t="s">
        <v>119</v>
      </c>
      <c r="D9" s="28" t="s">
        <v>229</v>
      </c>
      <c r="E9" s="31">
        <v>10</v>
      </c>
      <c r="F9" s="31">
        <v>9</v>
      </c>
      <c r="G9" s="31">
        <v>8</v>
      </c>
      <c r="H9" s="31">
        <v>6</v>
      </c>
      <c r="I9" s="31">
        <v>6</v>
      </c>
      <c r="J9" s="39" t="str">
        <f>IF(tblAudits[[#This Row],[Audit date]]="","",IFERROR(INDEX(tblAreas[Owner],MATCH(tblAudits[[#This Row],[Area]],tblAreas[Area],0)),""))</f>
        <v>S. Moreau</v>
      </c>
      <c r="K9" s="33">
        <f>IF(tblAudits[[#This Row],[Audit date]]="","",tblAudits[[#This Row],[Sort (pts)]]+tblAudits[[#This Row],[Set in order (pts)]]+tblAudits[[#This Row],[Shine (pts)]]+tblAudits[[#This Row],[Standardize (pts)]]+tblAudits[[#This Row],[Sustain (pts)]])</f>
        <v>39</v>
      </c>
      <c r="L9" s="33">
        <f>IF(tblAudits[[#This Row],[Audit date]]="","",AuditMax)</f>
        <v>100</v>
      </c>
      <c r="M9" s="40">
        <f>IF(tblAudits[[#This Row],[Audit date]]="","",IF(tblAudits[[#This Row],[Max (pts)]]&gt;0,tblAudits[[#This Row],[Total (pts)]]/tblAudits[[#This Row],[Max (pts)]],""))</f>
        <v>0.39</v>
      </c>
      <c r="N9" s="41" t="str">
        <f>IF(NOT(ISNUMBER(tblAudits[[#This Row],[Score]])),"",IF(tblAudits[[#This Row],[Score]]&gt;=TargetScore,"On target",IF(tblAudits[[#This Row],[Score]]&gt;=TargetScore*(1-0.05),"Near target","Below target")))</f>
        <v>Below target</v>
      </c>
      <c r="O9" s="33">
        <f>IF(tblAudits[[#This Row],[Audit date]]="","",COUNTIFS(tblActions[Raised],tblAudits[[#This Row],[Audit date]],tblActions[Area],tblAudits[[#This Row],[Area]]))</f>
        <v>3</v>
      </c>
      <c r="P9" s="42">
        <f>IF(tblAudits[[#This Row],[Audit date]]="","",DATE(YEAR(tblAudits[[#This Row],[Audit date]]),MONTH(tblAudits[[#This Row],[Audit date]]),1))</f>
        <v>46113</v>
      </c>
      <c r="Q9" s="43" t="str">
        <f>IF(tblAudits[[#This Row],[Audit date]]="","",IF(tblAudits[[#This Row],[Area]]="","Missing area",IF(tblAudits[[#This Row],[Owner]]="","Area not on Setup list",IF(COUNT(tblAudits[[#This Row],[Sort (pts)]],tblAudits[[#This Row],[Set in order (pts)]],tblAudits[[#This Row],[Shine (pts)]],tblAudits[[#This Row],[Standardize (pts)]],tblAudits[[#This Row],[Sustain (pts)]])&lt;5,"Missing a section score",IF(tblAudits[[#This Row],[Sort (pts)]]&gt;MaxSort,"Sort above its maximum",IF(tblAudits[[#This Row],[Set in order (pts)]]&gt;MaxSet,"Set in order above its maximum",IF(tblAudits[[#This Row],[Shine (pts)]]&gt;MaxShine,"Shine above its maximum",IF(tblAudits[[#This Row],[Standardize (pts)]]&gt;MaxStd,"Standardize above its maximum",IF(tblAudits[[#This Row],[Sustain (pts)]]&gt;MaxSustain,"Sustain above its maximum",IF(COUNTIFS(tblAudits[Audit date],tblAudits[[#This Row],[Audit date]],tblAudits[Area],tblAudits[[#This Row],[Area]])&gt;1,"Duplicate audit row","OK"))))))))))</f>
        <v>OK</v>
      </c>
      <c r="R9" s="28" t="s">
        <v>230</v>
      </c>
    </row>
    <row r="10" spans="1:18" x14ac:dyDescent="0.25">
      <c r="B10" s="30">
        <v>46125</v>
      </c>
      <c r="C10" s="28" t="s">
        <v>122</v>
      </c>
      <c r="D10" s="28" t="s">
        <v>231</v>
      </c>
      <c r="E10" s="31">
        <v>10</v>
      </c>
      <c r="F10" s="31">
        <v>9</v>
      </c>
      <c r="G10" s="31">
        <v>9</v>
      </c>
      <c r="H10" s="31">
        <v>9</v>
      </c>
      <c r="I10" s="31">
        <v>7</v>
      </c>
      <c r="J10" s="39" t="str">
        <f>IF(tblAudits[[#This Row],[Audit date]]="","",IFERROR(INDEX(tblAreas[Owner],MATCH(tblAudits[[#This Row],[Area]],tblAreas[Area],0)),""))</f>
        <v>T. Nguyen</v>
      </c>
      <c r="K10" s="33">
        <f>IF(tblAudits[[#This Row],[Audit date]]="","",tblAudits[[#This Row],[Sort (pts)]]+tblAudits[[#This Row],[Set in order (pts)]]+tblAudits[[#This Row],[Shine (pts)]]+tblAudits[[#This Row],[Standardize (pts)]]+tblAudits[[#This Row],[Sustain (pts)]])</f>
        <v>44</v>
      </c>
      <c r="L10" s="33">
        <f>IF(tblAudits[[#This Row],[Audit date]]="","",AuditMax)</f>
        <v>100</v>
      </c>
      <c r="M10" s="40">
        <f>IF(tblAudits[[#This Row],[Audit date]]="","",IF(tblAudits[[#This Row],[Max (pts)]]&gt;0,tblAudits[[#This Row],[Total (pts)]]/tblAudits[[#This Row],[Max (pts)]],""))</f>
        <v>0.44</v>
      </c>
      <c r="N10" s="41" t="str">
        <f>IF(NOT(ISNUMBER(tblAudits[[#This Row],[Score]])),"",IF(tblAudits[[#This Row],[Score]]&gt;=TargetScore,"On target",IF(tblAudits[[#This Row],[Score]]&gt;=TargetScore*(1-0.05),"Near target","Below target")))</f>
        <v>Below target</v>
      </c>
      <c r="O10" s="33">
        <f>IF(tblAudits[[#This Row],[Audit date]]="","",COUNTIFS(tblActions[Raised],tblAudits[[#This Row],[Audit date]],tblActions[Area],tblAudits[[#This Row],[Area]]))</f>
        <v>3</v>
      </c>
      <c r="P10" s="42">
        <f>IF(tblAudits[[#This Row],[Audit date]]="","",DATE(YEAR(tblAudits[[#This Row],[Audit date]]),MONTH(tblAudits[[#This Row],[Audit date]]),1))</f>
        <v>46113</v>
      </c>
      <c r="Q10" s="43" t="str">
        <f>IF(tblAudits[[#This Row],[Audit date]]="","",IF(tblAudits[[#This Row],[Area]]="","Missing area",IF(tblAudits[[#This Row],[Owner]]="","Area not on Setup list",IF(COUNT(tblAudits[[#This Row],[Sort (pts)]],tblAudits[[#This Row],[Set in order (pts)]],tblAudits[[#This Row],[Shine (pts)]],tblAudits[[#This Row],[Standardize (pts)]],tblAudits[[#This Row],[Sustain (pts)]])&lt;5,"Missing a section score",IF(tblAudits[[#This Row],[Sort (pts)]]&gt;MaxSort,"Sort above its maximum",IF(tblAudits[[#This Row],[Set in order (pts)]]&gt;MaxSet,"Set in order above its maximum",IF(tblAudits[[#This Row],[Shine (pts)]]&gt;MaxShine,"Shine above its maximum",IF(tblAudits[[#This Row],[Standardize (pts)]]&gt;MaxStd,"Standardize above its maximum",IF(tblAudits[[#This Row],[Sustain (pts)]]&gt;MaxSustain,"Sustain above its maximum",IF(COUNTIFS(tblAudits[Audit date],tblAudits[[#This Row],[Audit date]],tblAudits[Area],tblAudits[[#This Row],[Area]])&gt;1,"Duplicate audit row","OK"))))))))))</f>
        <v>OK</v>
      </c>
      <c r="R10" s="28" t="s">
        <v>230</v>
      </c>
    </row>
    <row r="11" spans="1:18" x14ac:dyDescent="0.25">
      <c r="B11" s="30">
        <v>46125</v>
      </c>
      <c r="C11" s="28" t="s">
        <v>125</v>
      </c>
      <c r="D11" s="28" t="s">
        <v>232</v>
      </c>
      <c r="E11" s="31">
        <v>8</v>
      </c>
      <c r="F11" s="31">
        <v>9</v>
      </c>
      <c r="G11" s="31">
        <v>11</v>
      </c>
      <c r="H11" s="31">
        <v>7</v>
      </c>
      <c r="I11" s="31">
        <v>6</v>
      </c>
      <c r="J11" s="39" t="str">
        <f>IF(tblAudits[[#This Row],[Audit date]]="","",IFERROR(INDEX(tblAreas[Owner],MATCH(tblAudits[[#This Row],[Area]],tblAreas[Area],0)),""))</f>
        <v>A. Kowalski</v>
      </c>
      <c r="K11" s="33">
        <f>IF(tblAudits[[#This Row],[Audit date]]="","",tblAudits[[#This Row],[Sort (pts)]]+tblAudits[[#This Row],[Set in order (pts)]]+tblAudits[[#This Row],[Shine (pts)]]+tblAudits[[#This Row],[Standardize (pts)]]+tblAudits[[#This Row],[Sustain (pts)]])</f>
        <v>41</v>
      </c>
      <c r="L11" s="33">
        <f>IF(tblAudits[[#This Row],[Audit date]]="","",AuditMax)</f>
        <v>100</v>
      </c>
      <c r="M11" s="40">
        <f>IF(tblAudits[[#This Row],[Audit date]]="","",IF(tblAudits[[#This Row],[Max (pts)]]&gt;0,tblAudits[[#This Row],[Total (pts)]]/tblAudits[[#This Row],[Max (pts)]],""))</f>
        <v>0.41</v>
      </c>
      <c r="N11" s="41" t="str">
        <f>IF(NOT(ISNUMBER(tblAudits[[#This Row],[Score]])),"",IF(tblAudits[[#This Row],[Score]]&gt;=TargetScore,"On target",IF(tblAudits[[#This Row],[Score]]&gt;=TargetScore*(1-0.05),"Near target","Below target")))</f>
        <v>Below target</v>
      </c>
      <c r="O11" s="33">
        <f>IF(tblAudits[[#This Row],[Audit date]]="","",COUNTIFS(tblActions[Raised],tblAudits[[#This Row],[Audit date]],tblActions[Area],tblAudits[[#This Row],[Area]]))</f>
        <v>5</v>
      </c>
      <c r="P11" s="42">
        <f>IF(tblAudits[[#This Row],[Audit date]]="","",DATE(YEAR(tblAudits[[#This Row],[Audit date]]),MONTH(tblAudits[[#This Row],[Audit date]]),1))</f>
        <v>46113</v>
      </c>
      <c r="Q11" s="43" t="str">
        <f>IF(tblAudits[[#This Row],[Audit date]]="","",IF(tblAudits[[#This Row],[Area]]="","Missing area",IF(tblAudits[[#This Row],[Owner]]="","Area not on Setup list",IF(COUNT(tblAudits[[#This Row],[Sort (pts)]],tblAudits[[#This Row],[Set in order (pts)]],tblAudits[[#This Row],[Shine (pts)]],tblAudits[[#This Row],[Standardize (pts)]],tblAudits[[#This Row],[Sustain (pts)]])&lt;5,"Missing a section score",IF(tblAudits[[#This Row],[Sort (pts)]]&gt;MaxSort,"Sort above its maximum",IF(tblAudits[[#This Row],[Set in order (pts)]]&gt;MaxSet,"Set in order above its maximum",IF(tblAudits[[#This Row],[Shine (pts)]]&gt;MaxShine,"Shine above its maximum",IF(tblAudits[[#This Row],[Standardize (pts)]]&gt;MaxStd,"Standardize above its maximum",IF(tblAudits[[#This Row],[Sustain (pts)]]&gt;MaxSustain,"Sustain above its maximum",IF(COUNTIFS(tblAudits[Audit date],tblAudits[[#This Row],[Audit date]],tblAudits[Area],tblAudits[[#This Row],[Area]])&gt;1,"Duplicate audit row","OK"))))))))))</f>
        <v>OK</v>
      </c>
      <c r="R11" s="28" t="s">
        <v>230</v>
      </c>
    </row>
    <row r="12" spans="1:18" x14ac:dyDescent="0.25">
      <c r="B12" s="30">
        <v>46150</v>
      </c>
      <c r="C12" s="28" t="s">
        <v>110</v>
      </c>
      <c r="D12" s="28" t="s">
        <v>231</v>
      </c>
      <c r="E12" s="31">
        <v>12</v>
      </c>
      <c r="F12" s="31">
        <v>10</v>
      </c>
      <c r="G12" s="31">
        <v>10</v>
      </c>
      <c r="H12" s="31">
        <v>8</v>
      </c>
      <c r="I12" s="31">
        <v>8</v>
      </c>
      <c r="J12" s="39" t="str">
        <f>IF(tblAudits[[#This Row],[Audit date]]="","",IFERROR(INDEX(tblAreas[Owner],MATCH(tblAudits[[#This Row],[Area]],tblAreas[Area],0)),""))</f>
        <v>R. Okafor</v>
      </c>
      <c r="K12" s="33">
        <f>IF(tblAudits[[#This Row],[Audit date]]="","",tblAudits[[#This Row],[Sort (pts)]]+tblAudits[[#This Row],[Set in order (pts)]]+tblAudits[[#This Row],[Shine (pts)]]+tblAudits[[#This Row],[Standardize (pts)]]+tblAudits[[#This Row],[Sustain (pts)]])</f>
        <v>48</v>
      </c>
      <c r="L12" s="33">
        <f>IF(tblAudits[[#This Row],[Audit date]]="","",AuditMax)</f>
        <v>100</v>
      </c>
      <c r="M12" s="40">
        <f>IF(tblAudits[[#This Row],[Audit date]]="","",IF(tblAudits[[#This Row],[Max (pts)]]&gt;0,tblAudits[[#This Row],[Total (pts)]]/tblAudits[[#This Row],[Max (pts)]],""))</f>
        <v>0.48</v>
      </c>
      <c r="N12" s="41" t="str">
        <f>IF(NOT(ISNUMBER(tblAudits[[#This Row],[Score]])),"",IF(tblAudits[[#This Row],[Score]]&gt;=TargetScore,"On target",IF(tblAudits[[#This Row],[Score]]&gt;=TargetScore*(1-0.05),"Near target","Below target")))</f>
        <v>Below target</v>
      </c>
      <c r="O12" s="33">
        <f>IF(tblAudits[[#This Row],[Audit date]]="","",COUNTIFS(tblActions[Raised],tblAudits[[#This Row],[Audit date]],tblActions[Area],tblAudits[[#This Row],[Area]]))</f>
        <v>4</v>
      </c>
      <c r="P12" s="42">
        <f>IF(tblAudits[[#This Row],[Audit date]]="","",DATE(YEAR(tblAudits[[#This Row],[Audit date]]),MONTH(tblAudits[[#This Row],[Audit date]]),1))</f>
        <v>46143</v>
      </c>
      <c r="Q12" s="43" t="str">
        <f>IF(tblAudits[[#This Row],[Audit date]]="","",IF(tblAudits[[#This Row],[Area]]="","Missing area",IF(tblAudits[[#This Row],[Owner]]="","Area not on Setup list",IF(COUNT(tblAudits[[#This Row],[Sort (pts)]],tblAudits[[#This Row],[Set in order (pts)]],tblAudits[[#This Row],[Shine (pts)]],tblAudits[[#This Row],[Standardize (pts)]],tblAudits[[#This Row],[Sustain (pts)]])&lt;5,"Missing a section score",IF(tblAudits[[#This Row],[Sort (pts)]]&gt;MaxSort,"Sort above its maximum",IF(tblAudits[[#This Row],[Set in order (pts)]]&gt;MaxSet,"Set in order above its maximum",IF(tblAudits[[#This Row],[Shine (pts)]]&gt;MaxShine,"Shine above its maximum",IF(tblAudits[[#This Row],[Standardize (pts)]]&gt;MaxStd,"Standardize above its maximum",IF(tblAudits[[#This Row],[Sustain (pts)]]&gt;MaxSustain,"Sustain above its maximum",IF(COUNTIFS(tblAudits[Audit date],tblAudits[[#This Row],[Audit date]],tblAudits[Area],tblAudits[[#This Row],[Area]])&gt;1,"Duplicate audit row","OK"))))))))))</f>
        <v>OK</v>
      </c>
      <c r="R12" s="28" t="s">
        <v>230</v>
      </c>
    </row>
    <row r="13" spans="1:18" x14ac:dyDescent="0.25">
      <c r="B13" s="30">
        <v>46153</v>
      </c>
      <c r="C13" s="28" t="s">
        <v>113</v>
      </c>
      <c r="D13" s="28" t="s">
        <v>232</v>
      </c>
      <c r="E13" s="31">
        <v>12</v>
      </c>
      <c r="F13" s="31">
        <v>10</v>
      </c>
      <c r="G13" s="31">
        <v>10</v>
      </c>
      <c r="H13" s="31">
        <v>8</v>
      </c>
      <c r="I13" s="31">
        <v>6</v>
      </c>
      <c r="J13" s="39" t="str">
        <f>IF(tblAudits[[#This Row],[Audit date]]="","",IFERROR(INDEX(tblAreas[Owner],MATCH(tblAudits[[#This Row],[Area]],tblAreas[Area],0)),""))</f>
        <v>M. Lindqvist</v>
      </c>
      <c r="K13" s="33">
        <f>IF(tblAudits[[#This Row],[Audit date]]="","",tblAudits[[#This Row],[Sort (pts)]]+tblAudits[[#This Row],[Set in order (pts)]]+tblAudits[[#This Row],[Shine (pts)]]+tblAudits[[#This Row],[Standardize (pts)]]+tblAudits[[#This Row],[Sustain (pts)]])</f>
        <v>46</v>
      </c>
      <c r="L13" s="33">
        <f>IF(tblAudits[[#This Row],[Audit date]]="","",AuditMax)</f>
        <v>100</v>
      </c>
      <c r="M13" s="40">
        <f>IF(tblAudits[[#This Row],[Audit date]]="","",IF(tblAudits[[#This Row],[Max (pts)]]&gt;0,tblAudits[[#This Row],[Total (pts)]]/tblAudits[[#This Row],[Max (pts)]],""))</f>
        <v>0.46</v>
      </c>
      <c r="N13" s="41" t="str">
        <f>IF(NOT(ISNUMBER(tblAudits[[#This Row],[Score]])),"",IF(tblAudits[[#This Row],[Score]]&gt;=TargetScore,"On target",IF(tblAudits[[#This Row],[Score]]&gt;=TargetScore*(1-0.05),"Near target","Below target")))</f>
        <v>Below target</v>
      </c>
      <c r="O13" s="33">
        <f>IF(tblAudits[[#This Row],[Audit date]]="","",COUNTIFS(tblActions[Raised],tblAudits[[#This Row],[Audit date]],tblActions[Area],tblAudits[[#This Row],[Area]]))</f>
        <v>3</v>
      </c>
      <c r="P13" s="42">
        <f>IF(tblAudits[[#This Row],[Audit date]]="","",DATE(YEAR(tblAudits[[#This Row],[Audit date]]),MONTH(tblAudits[[#This Row],[Audit date]]),1))</f>
        <v>46143</v>
      </c>
      <c r="Q13" s="43" t="str">
        <f>IF(tblAudits[[#This Row],[Audit date]]="","",IF(tblAudits[[#This Row],[Area]]="","Missing area",IF(tblAudits[[#This Row],[Owner]]="","Area not on Setup list",IF(COUNT(tblAudits[[#This Row],[Sort (pts)]],tblAudits[[#This Row],[Set in order (pts)]],tblAudits[[#This Row],[Shine (pts)]],tblAudits[[#This Row],[Standardize (pts)]],tblAudits[[#This Row],[Sustain (pts)]])&lt;5,"Missing a section score",IF(tblAudits[[#This Row],[Sort (pts)]]&gt;MaxSort,"Sort above its maximum",IF(tblAudits[[#This Row],[Set in order (pts)]]&gt;MaxSet,"Set in order above its maximum",IF(tblAudits[[#This Row],[Shine (pts)]]&gt;MaxShine,"Shine above its maximum",IF(tblAudits[[#This Row],[Standardize (pts)]]&gt;MaxStd,"Standardize above its maximum",IF(tblAudits[[#This Row],[Sustain (pts)]]&gt;MaxSustain,"Sustain above its maximum",IF(COUNTIFS(tblAudits[Audit date],tblAudits[[#This Row],[Audit date]],tblAudits[Area],tblAudits[[#This Row],[Area]])&gt;1,"Duplicate audit row","OK"))))))))))</f>
        <v>OK</v>
      </c>
      <c r="R13" s="28" t="s">
        <v>230</v>
      </c>
    </row>
    <row r="14" spans="1:18" x14ac:dyDescent="0.25">
      <c r="B14" s="30">
        <v>46153</v>
      </c>
      <c r="C14" s="28" t="s">
        <v>116</v>
      </c>
      <c r="D14" s="28" t="s">
        <v>229</v>
      </c>
      <c r="E14" s="31">
        <v>10</v>
      </c>
      <c r="F14" s="31">
        <v>10</v>
      </c>
      <c r="G14" s="31">
        <v>6</v>
      </c>
      <c r="H14" s="31">
        <v>6</v>
      </c>
      <c r="I14" s="31">
        <v>6</v>
      </c>
      <c r="J14" s="39" t="str">
        <f>IF(tblAudits[[#This Row],[Audit date]]="","",IFERROR(INDEX(tblAreas[Owner],MATCH(tblAudits[[#This Row],[Area]],tblAreas[Area],0)),""))</f>
        <v>J. Patel</v>
      </c>
      <c r="K14" s="33">
        <f>IF(tblAudits[[#This Row],[Audit date]]="","",tblAudits[[#This Row],[Sort (pts)]]+tblAudits[[#This Row],[Set in order (pts)]]+tblAudits[[#This Row],[Shine (pts)]]+tblAudits[[#This Row],[Standardize (pts)]]+tblAudits[[#This Row],[Sustain (pts)]])</f>
        <v>38</v>
      </c>
      <c r="L14" s="33">
        <f>IF(tblAudits[[#This Row],[Audit date]]="","",AuditMax)</f>
        <v>100</v>
      </c>
      <c r="M14" s="40">
        <f>IF(tblAudits[[#This Row],[Audit date]]="","",IF(tblAudits[[#This Row],[Max (pts)]]&gt;0,tblAudits[[#This Row],[Total (pts)]]/tblAudits[[#This Row],[Max (pts)]],""))</f>
        <v>0.38</v>
      </c>
      <c r="N14" s="41" t="str">
        <f>IF(NOT(ISNUMBER(tblAudits[[#This Row],[Score]])),"",IF(tblAudits[[#This Row],[Score]]&gt;=TargetScore,"On target",IF(tblAudits[[#This Row],[Score]]&gt;=TargetScore*(1-0.05),"Near target","Below target")))</f>
        <v>Below target</v>
      </c>
      <c r="O14" s="33">
        <f>IF(tblAudits[[#This Row],[Audit date]]="","",COUNTIFS(tblActions[Raised],tblAudits[[#This Row],[Audit date]],tblActions[Area],tblAudits[[#This Row],[Area]]))</f>
        <v>3</v>
      </c>
      <c r="P14" s="42">
        <f>IF(tblAudits[[#This Row],[Audit date]]="","",DATE(YEAR(tblAudits[[#This Row],[Audit date]]),MONTH(tblAudits[[#This Row],[Audit date]]),1))</f>
        <v>46143</v>
      </c>
      <c r="Q14" s="43" t="str">
        <f>IF(tblAudits[[#This Row],[Audit date]]="","",IF(tblAudits[[#This Row],[Area]]="","Missing area",IF(tblAudits[[#This Row],[Owner]]="","Area not on Setup list",IF(COUNT(tblAudits[[#This Row],[Sort (pts)]],tblAudits[[#This Row],[Set in order (pts)]],tblAudits[[#This Row],[Shine (pts)]],tblAudits[[#This Row],[Standardize (pts)]],tblAudits[[#This Row],[Sustain (pts)]])&lt;5,"Missing a section score",IF(tblAudits[[#This Row],[Sort (pts)]]&gt;MaxSort,"Sort above its maximum",IF(tblAudits[[#This Row],[Set in order (pts)]]&gt;MaxSet,"Set in order above its maximum",IF(tblAudits[[#This Row],[Shine (pts)]]&gt;MaxShine,"Shine above its maximum",IF(tblAudits[[#This Row],[Standardize (pts)]]&gt;MaxStd,"Standardize above its maximum",IF(tblAudits[[#This Row],[Sustain (pts)]]&gt;MaxSustain,"Sustain above its maximum",IF(COUNTIFS(tblAudits[Audit date],tblAudits[[#This Row],[Audit date]],tblAudits[Area],tblAudits[[#This Row],[Area]])&gt;1,"Duplicate audit row","OK"))))))))))</f>
        <v>OK</v>
      </c>
      <c r="R14" s="28" t="s">
        <v>230</v>
      </c>
    </row>
    <row r="15" spans="1:18" x14ac:dyDescent="0.25">
      <c r="B15" s="30">
        <v>46153</v>
      </c>
      <c r="C15" s="28" t="s">
        <v>119</v>
      </c>
      <c r="D15" s="28" t="s">
        <v>231</v>
      </c>
      <c r="E15" s="31">
        <v>12</v>
      </c>
      <c r="F15" s="31">
        <v>9</v>
      </c>
      <c r="G15" s="31">
        <v>9</v>
      </c>
      <c r="H15" s="31">
        <v>7</v>
      </c>
      <c r="I15" s="31">
        <v>7</v>
      </c>
      <c r="J15" s="39" t="str">
        <f>IF(tblAudits[[#This Row],[Audit date]]="","",IFERROR(INDEX(tblAreas[Owner],MATCH(tblAudits[[#This Row],[Area]],tblAreas[Area],0)),""))</f>
        <v>S. Moreau</v>
      </c>
      <c r="K15" s="33">
        <f>IF(tblAudits[[#This Row],[Audit date]]="","",tblAudits[[#This Row],[Sort (pts)]]+tblAudits[[#This Row],[Set in order (pts)]]+tblAudits[[#This Row],[Shine (pts)]]+tblAudits[[#This Row],[Standardize (pts)]]+tblAudits[[#This Row],[Sustain (pts)]])</f>
        <v>44</v>
      </c>
      <c r="L15" s="33">
        <f>IF(tblAudits[[#This Row],[Audit date]]="","",AuditMax)</f>
        <v>100</v>
      </c>
      <c r="M15" s="40">
        <f>IF(tblAudits[[#This Row],[Audit date]]="","",IF(tblAudits[[#This Row],[Max (pts)]]&gt;0,tblAudits[[#This Row],[Total (pts)]]/tblAudits[[#This Row],[Max (pts)]],""))</f>
        <v>0.44</v>
      </c>
      <c r="N15" s="41" t="str">
        <f>IF(NOT(ISNUMBER(tblAudits[[#This Row],[Score]])),"",IF(tblAudits[[#This Row],[Score]]&gt;=TargetScore,"On target",IF(tblAudits[[#This Row],[Score]]&gt;=TargetScore*(1-0.05),"Near target","Below target")))</f>
        <v>Below target</v>
      </c>
      <c r="O15" s="33">
        <f>IF(tblAudits[[#This Row],[Audit date]]="","",COUNTIFS(tblActions[Raised],tblAudits[[#This Row],[Audit date]],tblActions[Area],tblAudits[[#This Row],[Area]]))</f>
        <v>3</v>
      </c>
      <c r="P15" s="42">
        <f>IF(tblAudits[[#This Row],[Audit date]]="","",DATE(YEAR(tblAudits[[#This Row],[Audit date]]),MONTH(tblAudits[[#This Row],[Audit date]]),1))</f>
        <v>46143</v>
      </c>
      <c r="Q15" s="43" t="str">
        <f>IF(tblAudits[[#This Row],[Audit date]]="","",IF(tblAudits[[#This Row],[Area]]="","Missing area",IF(tblAudits[[#This Row],[Owner]]="","Area not on Setup list",IF(COUNT(tblAudits[[#This Row],[Sort (pts)]],tblAudits[[#This Row],[Set in order (pts)]],tblAudits[[#This Row],[Shine (pts)]],tblAudits[[#This Row],[Standardize (pts)]],tblAudits[[#This Row],[Sustain (pts)]])&lt;5,"Missing a section score",IF(tblAudits[[#This Row],[Sort (pts)]]&gt;MaxSort,"Sort above its maximum",IF(tblAudits[[#This Row],[Set in order (pts)]]&gt;MaxSet,"Set in order above its maximum",IF(tblAudits[[#This Row],[Shine (pts)]]&gt;MaxShine,"Shine above its maximum",IF(tblAudits[[#This Row],[Standardize (pts)]]&gt;MaxStd,"Standardize above its maximum",IF(tblAudits[[#This Row],[Sustain (pts)]]&gt;MaxSustain,"Sustain above its maximum",IF(COUNTIFS(tblAudits[Audit date],tblAudits[[#This Row],[Audit date]],tblAudits[Area],tblAudits[[#This Row],[Area]])&gt;1,"Duplicate audit row","OK"))))))))))</f>
        <v>OK</v>
      </c>
      <c r="R15" s="28" t="s">
        <v>230</v>
      </c>
    </row>
    <row r="16" spans="1:18" x14ac:dyDescent="0.25">
      <c r="B16" s="30">
        <v>46154</v>
      </c>
      <c r="C16" s="28" t="s">
        <v>122</v>
      </c>
      <c r="D16" s="28" t="s">
        <v>232</v>
      </c>
      <c r="E16" s="31">
        <v>14</v>
      </c>
      <c r="F16" s="31">
        <v>11</v>
      </c>
      <c r="G16" s="31">
        <v>12</v>
      </c>
      <c r="H16" s="31">
        <v>9</v>
      </c>
      <c r="I16" s="31">
        <v>9</v>
      </c>
      <c r="J16" s="39" t="str">
        <f>IF(tblAudits[[#This Row],[Audit date]]="","",IFERROR(INDEX(tblAreas[Owner],MATCH(tblAudits[[#This Row],[Area]],tblAreas[Area],0)),""))</f>
        <v>T. Nguyen</v>
      </c>
      <c r="K16" s="33">
        <f>IF(tblAudits[[#This Row],[Audit date]]="","",tblAudits[[#This Row],[Sort (pts)]]+tblAudits[[#This Row],[Set in order (pts)]]+tblAudits[[#This Row],[Shine (pts)]]+tblAudits[[#This Row],[Standardize (pts)]]+tblAudits[[#This Row],[Sustain (pts)]])</f>
        <v>55</v>
      </c>
      <c r="L16" s="33">
        <f>IF(tblAudits[[#This Row],[Audit date]]="","",AuditMax)</f>
        <v>100</v>
      </c>
      <c r="M16" s="40">
        <f>IF(tblAudits[[#This Row],[Audit date]]="","",IF(tblAudits[[#This Row],[Max (pts)]]&gt;0,tblAudits[[#This Row],[Total (pts)]]/tblAudits[[#This Row],[Max (pts)]],""))</f>
        <v>0.55</v>
      </c>
      <c r="N16" s="41" t="str">
        <f>IF(NOT(ISNUMBER(tblAudits[[#This Row],[Score]])),"",IF(tblAudits[[#This Row],[Score]]&gt;=TargetScore,"On target",IF(tblAudits[[#This Row],[Score]]&gt;=TargetScore*(1-0.05),"Near target","Below target")))</f>
        <v>Below target</v>
      </c>
      <c r="O16" s="33">
        <f>IF(tblAudits[[#This Row],[Audit date]]="","",COUNTIFS(tblActions[Raised],tblAudits[[#This Row],[Audit date]],tblActions[Area],tblAudits[[#This Row],[Area]]))</f>
        <v>3</v>
      </c>
      <c r="P16" s="42">
        <f>IF(tblAudits[[#This Row],[Audit date]]="","",DATE(YEAR(tblAudits[[#This Row],[Audit date]]),MONTH(tblAudits[[#This Row],[Audit date]]),1))</f>
        <v>46143</v>
      </c>
      <c r="Q16" s="43" t="str">
        <f>IF(tblAudits[[#This Row],[Audit date]]="","",IF(tblAudits[[#This Row],[Area]]="","Missing area",IF(tblAudits[[#This Row],[Owner]]="","Area not on Setup list",IF(COUNT(tblAudits[[#This Row],[Sort (pts)]],tblAudits[[#This Row],[Set in order (pts)]],tblAudits[[#This Row],[Shine (pts)]],tblAudits[[#This Row],[Standardize (pts)]],tblAudits[[#This Row],[Sustain (pts)]])&lt;5,"Missing a section score",IF(tblAudits[[#This Row],[Sort (pts)]]&gt;MaxSort,"Sort above its maximum",IF(tblAudits[[#This Row],[Set in order (pts)]]&gt;MaxSet,"Set in order above its maximum",IF(tblAudits[[#This Row],[Shine (pts)]]&gt;MaxShine,"Shine above its maximum",IF(tblAudits[[#This Row],[Standardize (pts)]]&gt;MaxStd,"Standardize above its maximum",IF(tblAudits[[#This Row],[Sustain (pts)]]&gt;MaxSustain,"Sustain above its maximum",IF(COUNTIFS(tblAudits[Audit date],tblAudits[[#This Row],[Audit date]],tblAudits[Area],tblAudits[[#This Row],[Area]])&gt;1,"Duplicate audit row","OK"))))))))))</f>
        <v>OK</v>
      </c>
      <c r="R16" s="28" t="s">
        <v>230</v>
      </c>
    </row>
    <row r="17" spans="2:18" x14ac:dyDescent="0.25">
      <c r="B17" s="30">
        <v>46155</v>
      </c>
      <c r="C17" s="28" t="s">
        <v>125</v>
      </c>
      <c r="D17" s="28" t="s">
        <v>229</v>
      </c>
      <c r="E17" s="31">
        <v>11</v>
      </c>
      <c r="F17" s="31">
        <v>10</v>
      </c>
      <c r="G17" s="31">
        <v>12</v>
      </c>
      <c r="H17" s="31">
        <v>10</v>
      </c>
      <c r="I17" s="31">
        <v>8</v>
      </c>
      <c r="J17" s="39" t="str">
        <f>IF(tblAudits[[#This Row],[Audit date]]="","",IFERROR(INDEX(tblAreas[Owner],MATCH(tblAudits[[#This Row],[Area]],tblAreas[Area],0)),""))</f>
        <v>A. Kowalski</v>
      </c>
      <c r="K17" s="33">
        <f>IF(tblAudits[[#This Row],[Audit date]]="","",tblAudits[[#This Row],[Sort (pts)]]+tblAudits[[#This Row],[Set in order (pts)]]+tblAudits[[#This Row],[Shine (pts)]]+tblAudits[[#This Row],[Standardize (pts)]]+tblAudits[[#This Row],[Sustain (pts)]])</f>
        <v>51</v>
      </c>
      <c r="L17" s="33">
        <f>IF(tblAudits[[#This Row],[Audit date]]="","",AuditMax)</f>
        <v>100</v>
      </c>
      <c r="M17" s="40">
        <f>IF(tblAudits[[#This Row],[Audit date]]="","",IF(tblAudits[[#This Row],[Max (pts)]]&gt;0,tblAudits[[#This Row],[Total (pts)]]/tblAudits[[#This Row],[Max (pts)]],""))</f>
        <v>0.51</v>
      </c>
      <c r="N17" s="41" t="str">
        <f>IF(NOT(ISNUMBER(tblAudits[[#This Row],[Score]])),"",IF(tblAudits[[#This Row],[Score]]&gt;=TargetScore,"On target",IF(tblAudits[[#This Row],[Score]]&gt;=TargetScore*(1-0.05),"Near target","Below target")))</f>
        <v>Below target</v>
      </c>
      <c r="O17" s="33">
        <f>IF(tblAudits[[#This Row],[Audit date]]="","",COUNTIFS(tblActions[Raised],tblAudits[[#This Row],[Audit date]],tblActions[Area],tblAudits[[#This Row],[Area]]))</f>
        <v>3</v>
      </c>
      <c r="P17" s="42">
        <f>IF(tblAudits[[#This Row],[Audit date]]="","",DATE(YEAR(tblAudits[[#This Row],[Audit date]]),MONTH(tblAudits[[#This Row],[Audit date]]),1))</f>
        <v>46143</v>
      </c>
      <c r="Q17" s="43" t="str">
        <f>IF(tblAudits[[#This Row],[Audit date]]="","",IF(tblAudits[[#This Row],[Area]]="","Missing area",IF(tblAudits[[#This Row],[Owner]]="","Area not on Setup list",IF(COUNT(tblAudits[[#This Row],[Sort (pts)]],tblAudits[[#This Row],[Set in order (pts)]],tblAudits[[#This Row],[Shine (pts)]],tblAudits[[#This Row],[Standardize (pts)]],tblAudits[[#This Row],[Sustain (pts)]])&lt;5,"Missing a section score",IF(tblAudits[[#This Row],[Sort (pts)]]&gt;MaxSort,"Sort above its maximum",IF(tblAudits[[#This Row],[Set in order (pts)]]&gt;MaxSet,"Set in order above its maximum",IF(tblAudits[[#This Row],[Shine (pts)]]&gt;MaxShine,"Shine above its maximum",IF(tblAudits[[#This Row],[Standardize (pts)]]&gt;MaxStd,"Standardize above its maximum",IF(tblAudits[[#This Row],[Sustain (pts)]]&gt;MaxSustain,"Sustain above its maximum",IF(COUNTIFS(tblAudits[Audit date],tblAudits[[#This Row],[Audit date]],tblAudits[Area],tblAudits[[#This Row],[Area]])&gt;1,"Duplicate audit row","OK"))))))))))</f>
        <v>OK</v>
      </c>
      <c r="R17" s="28" t="s">
        <v>233</v>
      </c>
    </row>
    <row r="18" spans="2:18" x14ac:dyDescent="0.25">
      <c r="B18" s="30">
        <v>46181</v>
      </c>
      <c r="C18" s="28" t="s">
        <v>110</v>
      </c>
      <c r="D18" s="28" t="s">
        <v>232</v>
      </c>
      <c r="E18" s="31">
        <v>12</v>
      </c>
      <c r="F18" s="31">
        <v>12</v>
      </c>
      <c r="G18" s="31">
        <v>10</v>
      </c>
      <c r="H18" s="31">
        <v>9</v>
      </c>
      <c r="I18" s="31">
        <v>6</v>
      </c>
      <c r="J18" s="39" t="str">
        <f>IF(tblAudits[[#This Row],[Audit date]]="","",IFERROR(INDEX(tblAreas[Owner],MATCH(tblAudits[[#This Row],[Area]],tblAreas[Area],0)),""))</f>
        <v>R. Okafor</v>
      </c>
      <c r="K18" s="33">
        <f>IF(tblAudits[[#This Row],[Audit date]]="","",tblAudits[[#This Row],[Sort (pts)]]+tblAudits[[#This Row],[Set in order (pts)]]+tblAudits[[#This Row],[Shine (pts)]]+tblAudits[[#This Row],[Standardize (pts)]]+tblAudits[[#This Row],[Sustain (pts)]])</f>
        <v>49</v>
      </c>
      <c r="L18" s="33">
        <f>IF(tblAudits[[#This Row],[Audit date]]="","",AuditMax)</f>
        <v>100</v>
      </c>
      <c r="M18" s="40">
        <f>IF(tblAudits[[#This Row],[Audit date]]="","",IF(tblAudits[[#This Row],[Max (pts)]]&gt;0,tblAudits[[#This Row],[Total (pts)]]/tblAudits[[#This Row],[Max (pts)]],""))</f>
        <v>0.49</v>
      </c>
      <c r="N18" s="41" t="str">
        <f>IF(NOT(ISNUMBER(tblAudits[[#This Row],[Score]])),"",IF(tblAudits[[#This Row],[Score]]&gt;=TargetScore,"On target",IF(tblAudits[[#This Row],[Score]]&gt;=TargetScore*(1-0.05),"Near target","Below target")))</f>
        <v>Below target</v>
      </c>
      <c r="O18" s="33">
        <f>IF(tblAudits[[#This Row],[Audit date]]="","",COUNTIFS(tblActions[Raised],tblAudits[[#This Row],[Audit date]],tblActions[Area],tblAudits[[#This Row],[Area]]))</f>
        <v>3</v>
      </c>
      <c r="P18" s="42">
        <f>IF(tblAudits[[#This Row],[Audit date]]="","",DATE(YEAR(tblAudits[[#This Row],[Audit date]]),MONTH(tblAudits[[#This Row],[Audit date]]),1))</f>
        <v>46174</v>
      </c>
      <c r="Q18" s="43" t="str">
        <f>IF(tblAudits[[#This Row],[Audit date]]="","",IF(tblAudits[[#This Row],[Area]]="","Missing area",IF(tblAudits[[#This Row],[Owner]]="","Area not on Setup list",IF(COUNT(tblAudits[[#This Row],[Sort (pts)]],tblAudits[[#This Row],[Set in order (pts)]],tblAudits[[#This Row],[Shine (pts)]],tblAudits[[#This Row],[Standardize (pts)]],tblAudits[[#This Row],[Sustain (pts)]])&lt;5,"Missing a section score",IF(tblAudits[[#This Row],[Sort (pts)]]&gt;MaxSort,"Sort above its maximum",IF(tblAudits[[#This Row],[Set in order (pts)]]&gt;MaxSet,"Set in order above its maximum",IF(tblAudits[[#This Row],[Shine (pts)]]&gt;MaxShine,"Shine above its maximum",IF(tblAudits[[#This Row],[Standardize (pts)]]&gt;MaxStd,"Standardize above its maximum",IF(tblAudits[[#This Row],[Sustain (pts)]]&gt;MaxSustain,"Sustain above its maximum",IF(COUNTIFS(tblAudits[Audit date],tblAudits[[#This Row],[Audit date]],tblAudits[Area],tblAudits[[#This Row],[Area]])&gt;1,"Duplicate audit row","OK"))))))))))</f>
        <v>OK</v>
      </c>
      <c r="R18" s="28" t="s">
        <v>230</v>
      </c>
    </row>
    <row r="19" spans="2:18" x14ac:dyDescent="0.25">
      <c r="B19" s="30">
        <v>46182</v>
      </c>
      <c r="C19" s="28" t="s">
        <v>113</v>
      </c>
      <c r="D19" s="28" t="s">
        <v>229</v>
      </c>
      <c r="E19" s="31">
        <v>11</v>
      </c>
      <c r="F19" s="31">
        <v>10</v>
      </c>
      <c r="G19" s="31">
        <v>11</v>
      </c>
      <c r="H19" s="31">
        <v>10</v>
      </c>
      <c r="I19" s="31">
        <v>7</v>
      </c>
      <c r="J19" s="39" t="str">
        <f>IF(tblAudits[[#This Row],[Audit date]]="","",IFERROR(INDEX(tblAreas[Owner],MATCH(tblAudits[[#This Row],[Area]],tblAreas[Area],0)),""))</f>
        <v>M. Lindqvist</v>
      </c>
      <c r="K19" s="33">
        <f>IF(tblAudits[[#This Row],[Audit date]]="","",tblAudits[[#This Row],[Sort (pts)]]+tblAudits[[#This Row],[Set in order (pts)]]+tblAudits[[#This Row],[Shine (pts)]]+tblAudits[[#This Row],[Standardize (pts)]]+tblAudits[[#This Row],[Sustain (pts)]])</f>
        <v>49</v>
      </c>
      <c r="L19" s="33">
        <f>IF(tblAudits[[#This Row],[Audit date]]="","",AuditMax)</f>
        <v>100</v>
      </c>
      <c r="M19" s="40">
        <f>IF(tblAudits[[#This Row],[Audit date]]="","",IF(tblAudits[[#This Row],[Max (pts)]]&gt;0,tblAudits[[#This Row],[Total (pts)]]/tblAudits[[#This Row],[Max (pts)]],""))</f>
        <v>0.49</v>
      </c>
      <c r="N19" s="41" t="str">
        <f>IF(NOT(ISNUMBER(tblAudits[[#This Row],[Score]])),"",IF(tblAudits[[#This Row],[Score]]&gt;=TargetScore,"On target",IF(tblAudits[[#This Row],[Score]]&gt;=TargetScore*(1-0.05),"Near target","Below target")))</f>
        <v>Below target</v>
      </c>
      <c r="O19" s="33">
        <f>IF(tblAudits[[#This Row],[Audit date]]="","",COUNTIFS(tblActions[Raised],tblAudits[[#This Row],[Audit date]],tblActions[Area],tblAudits[[#This Row],[Area]]))</f>
        <v>4</v>
      </c>
      <c r="P19" s="42">
        <f>IF(tblAudits[[#This Row],[Audit date]]="","",DATE(YEAR(tblAudits[[#This Row],[Audit date]]),MONTH(tblAudits[[#This Row],[Audit date]]),1))</f>
        <v>46174</v>
      </c>
      <c r="Q19" s="43" t="str">
        <f>IF(tblAudits[[#This Row],[Audit date]]="","",IF(tblAudits[[#This Row],[Area]]="","Missing area",IF(tblAudits[[#This Row],[Owner]]="","Area not on Setup list",IF(COUNT(tblAudits[[#This Row],[Sort (pts)]],tblAudits[[#This Row],[Set in order (pts)]],tblAudits[[#This Row],[Shine (pts)]],tblAudits[[#This Row],[Standardize (pts)]],tblAudits[[#This Row],[Sustain (pts)]])&lt;5,"Missing a section score",IF(tblAudits[[#This Row],[Sort (pts)]]&gt;MaxSort,"Sort above its maximum",IF(tblAudits[[#This Row],[Set in order (pts)]]&gt;MaxSet,"Set in order above its maximum",IF(tblAudits[[#This Row],[Shine (pts)]]&gt;MaxShine,"Shine above its maximum",IF(tblAudits[[#This Row],[Standardize (pts)]]&gt;MaxStd,"Standardize above its maximum",IF(tblAudits[[#This Row],[Sustain (pts)]]&gt;MaxSustain,"Sustain above its maximum",IF(COUNTIFS(tblAudits[Audit date],tblAudits[[#This Row],[Audit date]],tblAudits[Area],tblAudits[[#This Row],[Area]])&gt;1,"Duplicate audit row","OK"))))))))))</f>
        <v>OK</v>
      </c>
      <c r="R19" s="28" t="s">
        <v>230</v>
      </c>
    </row>
    <row r="20" spans="2:18" x14ac:dyDescent="0.25">
      <c r="B20" s="30">
        <v>46183</v>
      </c>
      <c r="C20" s="28" t="s">
        <v>116</v>
      </c>
      <c r="D20" s="28" t="s">
        <v>231</v>
      </c>
      <c r="E20" s="31">
        <v>12</v>
      </c>
      <c r="F20" s="31">
        <v>10</v>
      </c>
      <c r="G20" s="31">
        <v>7</v>
      </c>
      <c r="H20" s="31">
        <v>8</v>
      </c>
      <c r="I20" s="31">
        <v>5</v>
      </c>
      <c r="J20" s="39" t="str">
        <f>IF(tblAudits[[#This Row],[Audit date]]="","",IFERROR(INDEX(tblAreas[Owner],MATCH(tblAudits[[#This Row],[Area]],tblAreas[Area],0)),""))</f>
        <v>J. Patel</v>
      </c>
      <c r="K20" s="33">
        <f>IF(tblAudits[[#This Row],[Audit date]]="","",tblAudits[[#This Row],[Sort (pts)]]+tblAudits[[#This Row],[Set in order (pts)]]+tblAudits[[#This Row],[Shine (pts)]]+tblAudits[[#This Row],[Standardize (pts)]]+tblAudits[[#This Row],[Sustain (pts)]])</f>
        <v>42</v>
      </c>
      <c r="L20" s="33">
        <f>IF(tblAudits[[#This Row],[Audit date]]="","",AuditMax)</f>
        <v>100</v>
      </c>
      <c r="M20" s="40">
        <f>IF(tblAudits[[#This Row],[Audit date]]="","",IF(tblAudits[[#This Row],[Max (pts)]]&gt;0,tblAudits[[#This Row],[Total (pts)]]/tblAudits[[#This Row],[Max (pts)]],""))</f>
        <v>0.42</v>
      </c>
      <c r="N20" s="41" t="str">
        <f>IF(NOT(ISNUMBER(tblAudits[[#This Row],[Score]])),"",IF(tblAudits[[#This Row],[Score]]&gt;=TargetScore,"On target",IF(tblAudits[[#This Row],[Score]]&gt;=TargetScore*(1-0.05),"Near target","Below target")))</f>
        <v>Below target</v>
      </c>
      <c r="O20" s="33">
        <f>IF(tblAudits[[#This Row],[Audit date]]="","",COUNTIFS(tblActions[Raised],tblAudits[[#This Row],[Audit date]],tblActions[Area],tblAudits[[#This Row],[Area]]))</f>
        <v>3</v>
      </c>
      <c r="P20" s="42">
        <f>IF(tblAudits[[#This Row],[Audit date]]="","",DATE(YEAR(tblAudits[[#This Row],[Audit date]]),MONTH(tblAudits[[#This Row],[Audit date]]),1))</f>
        <v>46174</v>
      </c>
      <c r="Q20" s="43" t="str">
        <f>IF(tblAudits[[#This Row],[Audit date]]="","",IF(tblAudits[[#This Row],[Area]]="","Missing area",IF(tblAudits[[#This Row],[Owner]]="","Area not on Setup list",IF(COUNT(tblAudits[[#This Row],[Sort (pts)]],tblAudits[[#This Row],[Set in order (pts)]],tblAudits[[#This Row],[Shine (pts)]],tblAudits[[#This Row],[Standardize (pts)]],tblAudits[[#This Row],[Sustain (pts)]])&lt;5,"Missing a section score",IF(tblAudits[[#This Row],[Sort (pts)]]&gt;MaxSort,"Sort above its maximum",IF(tblAudits[[#This Row],[Set in order (pts)]]&gt;MaxSet,"Set in order above its maximum",IF(tblAudits[[#This Row],[Shine (pts)]]&gt;MaxShine,"Shine above its maximum",IF(tblAudits[[#This Row],[Standardize (pts)]]&gt;MaxStd,"Standardize above its maximum",IF(tblAudits[[#This Row],[Sustain (pts)]]&gt;MaxSustain,"Sustain above its maximum",IF(COUNTIFS(tblAudits[Audit date],tblAudits[[#This Row],[Audit date]],tblAudits[Area],tblAudits[[#This Row],[Area]])&gt;1,"Duplicate audit row","OK"))))))))))</f>
        <v>OK</v>
      </c>
      <c r="R20" s="28" t="s">
        <v>230</v>
      </c>
    </row>
    <row r="21" spans="2:18" x14ac:dyDescent="0.25">
      <c r="B21" s="30">
        <v>46184</v>
      </c>
      <c r="C21" s="28" t="s">
        <v>119</v>
      </c>
      <c r="D21" s="28" t="s">
        <v>232</v>
      </c>
      <c r="E21" s="31">
        <v>13</v>
      </c>
      <c r="F21" s="31">
        <v>12</v>
      </c>
      <c r="G21" s="31">
        <v>11</v>
      </c>
      <c r="H21" s="31">
        <v>9</v>
      </c>
      <c r="I21" s="31">
        <v>8</v>
      </c>
      <c r="J21" s="39" t="str">
        <f>IF(tblAudits[[#This Row],[Audit date]]="","",IFERROR(INDEX(tblAreas[Owner],MATCH(tblAudits[[#This Row],[Area]],tblAreas[Area],0)),""))</f>
        <v>S. Moreau</v>
      </c>
      <c r="K21" s="33">
        <f>IF(tblAudits[[#This Row],[Audit date]]="","",tblAudits[[#This Row],[Sort (pts)]]+tblAudits[[#This Row],[Set in order (pts)]]+tblAudits[[#This Row],[Shine (pts)]]+tblAudits[[#This Row],[Standardize (pts)]]+tblAudits[[#This Row],[Sustain (pts)]])</f>
        <v>53</v>
      </c>
      <c r="L21" s="33">
        <f>IF(tblAudits[[#This Row],[Audit date]]="","",AuditMax)</f>
        <v>100</v>
      </c>
      <c r="M21" s="40">
        <f>IF(tblAudits[[#This Row],[Audit date]]="","",IF(tblAudits[[#This Row],[Max (pts)]]&gt;0,tblAudits[[#This Row],[Total (pts)]]/tblAudits[[#This Row],[Max (pts)]],""))</f>
        <v>0.53</v>
      </c>
      <c r="N21" s="41" t="str">
        <f>IF(NOT(ISNUMBER(tblAudits[[#This Row],[Score]])),"",IF(tblAudits[[#This Row],[Score]]&gt;=TargetScore,"On target",IF(tblAudits[[#This Row],[Score]]&gt;=TargetScore*(1-0.05),"Near target","Below target")))</f>
        <v>Below target</v>
      </c>
      <c r="O21" s="33">
        <f>IF(tblAudits[[#This Row],[Audit date]]="","",COUNTIFS(tblActions[Raised],tblAudits[[#This Row],[Audit date]],tblActions[Area],tblAudits[[#This Row],[Area]]))</f>
        <v>4</v>
      </c>
      <c r="P21" s="42">
        <f>IF(tblAudits[[#This Row],[Audit date]]="","",DATE(YEAR(tblAudits[[#This Row],[Audit date]]),MONTH(tblAudits[[#This Row],[Audit date]]),1))</f>
        <v>46174</v>
      </c>
      <c r="Q21" s="43" t="str">
        <f>IF(tblAudits[[#This Row],[Audit date]]="","",IF(tblAudits[[#This Row],[Area]]="","Missing area",IF(tblAudits[[#This Row],[Owner]]="","Area not on Setup list",IF(COUNT(tblAudits[[#This Row],[Sort (pts)]],tblAudits[[#This Row],[Set in order (pts)]],tblAudits[[#This Row],[Shine (pts)]],tblAudits[[#This Row],[Standardize (pts)]],tblAudits[[#This Row],[Sustain (pts)]])&lt;5,"Missing a section score",IF(tblAudits[[#This Row],[Sort (pts)]]&gt;MaxSort,"Sort above its maximum",IF(tblAudits[[#This Row],[Set in order (pts)]]&gt;MaxSet,"Set in order above its maximum",IF(tblAudits[[#This Row],[Shine (pts)]]&gt;MaxShine,"Shine above its maximum",IF(tblAudits[[#This Row],[Standardize (pts)]]&gt;MaxStd,"Standardize above its maximum",IF(tblAudits[[#This Row],[Sustain (pts)]]&gt;MaxSustain,"Sustain above its maximum",IF(COUNTIFS(tblAudits[Audit date],tblAudits[[#This Row],[Audit date]],tblAudits[Area],tblAudits[[#This Row],[Area]])&gt;1,"Duplicate audit row","OK"))))))))))</f>
        <v>OK</v>
      </c>
      <c r="R21" s="28" t="s">
        <v>230</v>
      </c>
    </row>
    <row r="22" spans="2:18" x14ac:dyDescent="0.25">
      <c r="B22" s="30">
        <v>46185</v>
      </c>
      <c r="C22" s="28" t="s">
        <v>122</v>
      </c>
      <c r="D22" s="28" t="s">
        <v>229</v>
      </c>
      <c r="E22" s="31">
        <v>16</v>
      </c>
      <c r="F22" s="31">
        <v>14</v>
      </c>
      <c r="G22" s="31">
        <v>13</v>
      </c>
      <c r="H22" s="31">
        <v>11</v>
      </c>
      <c r="I22" s="31">
        <v>9</v>
      </c>
      <c r="J22" s="39" t="str">
        <f>IF(tblAudits[[#This Row],[Audit date]]="","",IFERROR(INDEX(tblAreas[Owner],MATCH(tblAudits[[#This Row],[Area]],tblAreas[Area],0)),""))</f>
        <v>T. Nguyen</v>
      </c>
      <c r="K22" s="33">
        <f>IF(tblAudits[[#This Row],[Audit date]]="","",tblAudits[[#This Row],[Sort (pts)]]+tblAudits[[#This Row],[Set in order (pts)]]+tblAudits[[#This Row],[Shine (pts)]]+tblAudits[[#This Row],[Standardize (pts)]]+tblAudits[[#This Row],[Sustain (pts)]])</f>
        <v>63</v>
      </c>
      <c r="L22" s="33">
        <f>IF(tblAudits[[#This Row],[Audit date]]="","",AuditMax)</f>
        <v>100</v>
      </c>
      <c r="M22" s="40">
        <f>IF(tblAudits[[#This Row],[Audit date]]="","",IF(tblAudits[[#This Row],[Max (pts)]]&gt;0,tblAudits[[#This Row],[Total (pts)]]/tblAudits[[#This Row],[Max (pts)]],""))</f>
        <v>0.63</v>
      </c>
      <c r="N22" s="41" t="str">
        <f>IF(NOT(ISNUMBER(tblAudits[[#This Row],[Score]])),"",IF(tblAudits[[#This Row],[Score]]&gt;=TargetScore,"On target",IF(tblAudits[[#This Row],[Score]]&gt;=TargetScore*(1-0.05),"Near target","Below target")))</f>
        <v>Below target</v>
      </c>
      <c r="O22" s="33">
        <f>IF(tblAudits[[#This Row],[Audit date]]="","",COUNTIFS(tblActions[Raised],tblAudits[[#This Row],[Audit date]],tblActions[Area],tblAudits[[#This Row],[Area]]))</f>
        <v>3</v>
      </c>
      <c r="P22" s="42">
        <f>IF(tblAudits[[#This Row],[Audit date]]="","",DATE(YEAR(tblAudits[[#This Row],[Audit date]]),MONTH(tblAudits[[#This Row],[Audit date]]),1))</f>
        <v>46174</v>
      </c>
      <c r="Q22" s="43" t="str">
        <f>IF(tblAudits[[#This Row],[Audit date]]="","",IF(tblAudits[[#This Row],[Area]]="","Missing area",IF(tblAudits[[#This Row],[Owner]]="","Area not on Setup list",IF(COUNT(tblAudits[[#This Row],[Sort (pts)]],tblAudits[[#This Row],[Set in order (pts)]],tblAudits[[#This Row],[Shine (pts)]],tblAudits[[#This Row],[Standardize (pts)]],tblAudits[[#This Row],[Sustain (pts)]])&lt;5,"Missing a section score",IF(tblAudits[[#This Row],[Sort (pts)]]&gt;MaxSort,"Sort above its maximum",IF(tblAudits[[#This Row],[Set in order (pts)]]&gt;MaxSet,"Set in order above its maximum",IF(tblAudits[[#This Row],[Shine (pts)]]&gt;MaxShine,"Shine above its maximum",IF(tblAudits[[#This Row],[Standardize (pts)]]&gt;MaxStd,"Standardize above its maximum",IF(tblAudits[[#This Row],[Sustain (pts)]]&gt;MaxSustain,"Sustain above its maximum",IF(COUNTIFS(tblAudits[Audit date],tblAudits[[#This Row],[Audit date]],tblAudits[Area],tblAudits[[#This Row],[Area]])&gt;1,"Duplicate audit row","OK"))))))))))</f>
        <v>OK</v>
      </c>
      <c r="R22" s="28" t="s">
        <v>230</v>
      </c>
    </row>
    <row r="23" spans="2:18" x14ac:dyDescent="0.25">
      <c r="B23" s="30">
        <v>46188</v>
      </c>
      <c r="C23" s="28" t="s">
        <v>125</v>
      </c>
      <c r="D23" s="28" t="s">
        <v>231</v>
      </c>
      <c r="E23" s="31">
        <v>14</v>
      </c>
      <c r="F23" s="31">
        <v>14</v>
      </c>
      <c r="G23" s="31">
        <v>14</v>
      </c>
      <c r="H23" s="31">
        <v>10</v>
      </c>
      <c r="I23" s="31">
        <v>9</v>
      </c>
      <c r="J23" s="39" t="str">
        <f>IF(tblAudits[[#This Row],[Audit date]]="","",IFERROR(INDEX(tblAreas[Owner],MATCH(tblAudits[[#This Row],[Area]],tblAreas[Area],0)),""))</f>
        <v>A. Kowalski</v>
      </c>
      <c r="K23" s="33">
        <f>IF(tblAudits[[#This Row],[Audit date]]="","",tblAudits[[#This Row],[Sort (pts)]]+tblAudits[[#This Row],[Set in order (pts)]]+tblAudits[[#This Row],[Shine (pts)]]+tblAudits[[#This Row],[Standardize (pts)]]+tblAudits[[#This Row],[Sustain (pts)]])</f>
        <v>61</v>
      </c>
      <c r="L23" s="33">
        <f>IF(tblAudits[[#This Row],[Audit date]]="","",AuditMax)</f>
        <v>100</v>
      </c>
      <c r="M23" s="40">
        <f>IF(tblAudits[[#This Row],[Audit date]]="","",IF(tblAudits[[#This Row],[Max (pts)]]&gt;0,tblAudits[[#This Row],[Total (pts)]]/tblAudits[[#This Row],[Max (pts)]],""))</f>
        <v>0.61</v>
      </c>
      <c r="N23" s="41" t="str">
        <f>IF(NOT(ISNUMBER(tblAudits[[#This Row],[Score]])),"",IF(tblAudits[[#This Row],[Score]]&gt;=TargetScore,"On target",IF(tblAudits[[#This Row],[Score]]&gt;=TargetScore*(1-0.05),"Near target","Below target")))</f>
        <v>Below target</v>
      </c>
      <c r="O23" s="33">
        <f>IF(tblAudits[[#This Row],[Audit date]]="","",COUNTIFS(tblActions[Raised],tblAudits[[#This Row],[Audit date]],tblActions[Area],tblAudits[[#This Row],[Area]]))</f>
        <v>2</v>
      </c>
      <c r="P23" s="42">
        <f>IF(tblAudits[[#This Row],[Audit date]]="","",DATE(YEAR(tblAudits[[#This Row],[Audit date]]),MONTH(tblAudits[[#This Row],[Audit date]]),1))</f>
        <v>46174</v>
      </c>
      <c r="Q23" s="43" t="str">
        <f>IF(tblAudits[[#This Row],[Audit date]]="","",IF(tblAudits[[#This Row],[Area]]="","Missing area",IF(tblAudits[[#This Row],[Owner]]="","Area not on Setup list",IF(COUNT(tblAudits[[#This Row],[Sort (pts)]],tblAudits[[#This Row],[Set in order (pts)]],tblAudits[[#This Row],[Shine (pts)]],tblAudits[[#This Row],[Standardize (pts)]],tblAudits[[#This Row],[Sustain (pts)]])&lt;5,"Missing a section score",IF(tblAudits[[#This Row],[Sort (pts)]]&gt;MaxSort,"Sort above its maximum",IF(tblAudits[[#This Row],[Set in order (pts)]]&gt;MaxSet,"Set in order above its maximum",IF(tblAudits[[#This Row],[Shine (pts)]]&gt;MaxShine,"Shine above its maximum",IF(tblAudits[[#This Row],[Standardize (pts)]]&gt;MaxStd,"Standardize above its maximum",IF(tblAudits[[#This Row],[Sustain (pts)]]&gt;MaxSustain,"Sustain above its maximum",IF(COUNTIFS(tblAudits[Audit date],tblAudits[[#This Row],[Audit date]],tblAudits[Area],tblAudits[[#This Row],[Area]])&gt;1,"Duplicate audit row","OK"))))))))))</f>
        <v>OK</v>
      </c>
      <c r="R23" s="28" t="s">
        <v>230</v>
      </c>
    </row>
    <row r="24" spans="2:18" x14ac:dyDescent="0.25">
      <c r="B24" s="30">
        <v>46211</v>
      </c>
      <c r="C24" s="28" t="s">
        <v>110</v>
      </c>
      <c r="D24" s="28" t="s">
        <v>229</v>
      </c>
      <c r="E24" s="31">
        <v>14</v>
      </c>
      <c r="F24" s="31">
        <v>13</v>
      </c>
      <c r="G24" s="31">
        <v>13</v>
      </c>
      <c r="H24" s="31">
        <v>11</v>
      </c>
      <c r="I24" s="31">
        <v>7</v>
      </c>
      <c r="J24" s="39" t="str">
        <f>IF(tblAudits[[#This Row],[Audit date]]="","",IFERROR(INDEX(tblAreas[Owner],MATCH(tblAudits[[#This Row],[Area]],tblAreas[Area],0)),""))</f>
        <v>R. Okafor</v>
      </c>
      <c r="K24" s="33">
        <f>IF(tblAudits[[#This Row],[Audit date]]="","",tblAudits[[#This Row],[Sort (pts)]]+tblAudits[[#This Row],[Set in order (pts)]]+tblAudits[[#This Row],[Shine (pts)]]+tblAudits[[#This Row],[Standardize (pts)]]+tblAudits[[#This Row],[Sustain (pts)]])</f>
        <v>58</v>
      </c>
      <c r="L24" s="33">
        <f>IF(tblAudits[[#This Row],[Audit date]]="","",AuditMax)</f>
        <v>100</v>
      </c>
      <c r="M24" s="40">
        <f>IF(tblAudits[[#This Row],[Audit date]]="","",IF(tblAudits[[#This Row],[Max (pts)]]&gt;0,tblAudits[[#This Row],[Total (pts)]]/tblAudits[[#This Row],[Max (pts)]],""))</f>
        <v>0.58</v>
      </c>
      <c r="N24" s="41" t="str">
        <f>IF(NOT(ISNUMBER(tblAudits[[#This Row],[Score]])),"",IF(tblAudits[[#This Row],[Score]]&gt;=TargetScore,"On target",IF(tblAudits[[#This Row],[Score]]&gt;=TargetScore*(1-0.05),"Near target","Below target")))</f>
        <v>Below target</v>
      </c>
      <c r="O24" s="33">
        <f>IF(tblAudits[[#This Row],[Audit date]]="","",COUNTIFS(tblActions[Raised],tblAudits[[#This Row],[Audit date]],tblActions[Area],tblAudits[[#This Row],[Area]]))</f>
        <v>3</v>
      </c>
      <c r="P24" s="42">
        <f>IF(tblAudits[[#This Row],[Audit date]]="","",DATE(YEAR(tblAudits[[#This Row],[Audit date]]),MONTH(tblAudits[[#This Row],[Audit date]]),1))</f>
        <v>46204</v>
      </c>
      <c r="Q24" s="43" t="str">
        <f>IF(tblAudits[[#This Row],[Audit date]]="","",IF(tblAudits[[#This Row],[Area]]="","Missing area",IF(tblAudits[[#This Row],[Owner]]="","Area not on Setup list",IF(COUNT(tblAudits[[#This Row],[Sort (pts)]],tblAudits[[#This Row],[Set in order (pts)]],tblAudits[[#This Row],[Shine (pts)]],tblAudits[[#This Row],[Standardize (pts)]],tblAudits[[#This Row],[Sustain (pts)]])&lt;5,"Missing a section score",IF(tblAudits[[#This Row],[Sort (pts)]]&gt;MaxSort,"Sort above its maximum",IF(tblAudits[[#This Row],[Set in order (pts)]]&gt;MaxSet,"Set in order above its maximum",IF(tblAudits[[#This Row],[Shine (pts)]]&gt;MaxShine,"Shine above its maximum",IF(tblAudits[[#This Row],[Standardize (pts)]]&gt;MaxStd,"Standardize above its maximum",IF(tblAudits[[#This Row],[Sustain (pts)]]&gt;MaxSustain,"Sustain above its maximum",IF(COUNTIFS(tblAudits[Audit date],tblAudits[[#This Row],[Audit date]],tblAudits[Area],tblAudits[[#This Row],[Area]])&gt;1,"Duplicate audit row","OK"))))))))))</f>
        <v>OK</v>
      </c>
      <c r="R24" s="28" t="s">
        <v>230</v>
      </c>
    </row>
    <row r="25" spans="2:18" x14ac:dyDescent="0.25">
      <c r="B25" s="30">
        <v>46212</v>
      </c>
      <c r="C25" s="28" t="s">
        <v>113</v>
      </c>
      <c r="D25" s="28" t="s">
        <v>231</v>
      </c>
      <c r="E25" s="31">
        <v>12</v>
      </c>
      <c r="F25" s="31">
        <v>13</v>
      </c>
      <c r="G25" s="31">
        <v>13</v>
      </c>
      <c r="H25" s="31">
        <v>11</v>
      </c>
      <c r="I25" s="31">
        <v>9</v>
      </c>
      <c r="J25" s="39" t="str">
        <f>IF(tblAudits[[#This Row],[Audit date]]="","",IFERROR(INDEX(tblAreas[Owner],MATCH(tblAudits[[#This Row],[Area]],tblAreas[Area],0)),""))</f>
        <v>M. Lindqvist</v>
      </c>
      <c r="K25" s="33">
        <f>IF(tblAudits[[#This Row],[Audit date]]="","",tblAudits[[#This Row],[Sort (pts)]]+tblAudits[[#This Row],[Set in order (pts)]]+tblAudits[[#This Row],[Shine (pts)]]+tblAudits[[#This Row],[Standardize (pts)]]+tblAudits[[#This Row],[Sustain (pts)]])</f>
        <v>58</v>
      </c>
      <c r="L25" s="33">
        <f>IF(tblAudits[[#This Row],[Audit date]]="","",AuditMax)</f>
        <v>100</v>
      </c>
      <c r="M25" s="40">
        <f>IF(tblAudits[[#This Row],[Audit date]]="","",IF(tblAudits[[#This Row],[Max (pts)]]&gt;0,tblAudits[[#This Row],[Total (pts)]]/tblAudits[[#This Row],[Max (pts)]],""))</f>
        <v>0.58</v>
      </c>
      <c r="N25" s="41" t="str">
        <f>IF(NOT(ISNUMBER(tblAudits[[#This Row],[Score]])),"",IF(tblAudits[[#This Row],[Score]]&gt;=TargetScore,"On target",IF(tblAudits[[#This Row],[Score]]&gt;=TargetScore*(1-0.05),"Near target","Below target")))</f>
        <v>Below target</v>
      </c>
      <c r="O25" s="33">
        <f>IF(tblAudits[[#This Row],[Audit date]]="","",COUNTIFS(tblActions[Raised],tblAudits[[#This Row],[Audit date]],tblActions[Area],tblAudits[[#This Row],[Area]]))</f>
        <v>3</v>
      </c>
      <c r="P25" s="42">
        <f>IF(tblAudits[[#This Row],[Audit date]]="","",DATE(YEAR(tblAudits[[#This Row],[Audit date]]),MONTH(tblAudits[[#This Row],[Audit date]]),1))</f>
        <v>46204</v>
      </c>
      <c r="Q25" s="43" t="str">
        <f>IF(tblAudits[[#This Row],[Audit date]]="","",IF(tblAudits[[#This Row],[Area]]="","Missing area",IF(tblAudits[[#This Row],[Owner]]="","Area not on Setup list",IF(COUNT(tblAudits[[#This Row],[Sort (pts)]],tblAudits[[#This Row],[Set in order (pts)]],tblAudits[[#This Row],[Shine (pts)]],tblAudits[[#This Row],[Standardize (pts)]],tblAudits[[#This Row],[Sustain (pts)]])&lt;5,"Missing a section score",IF(tblAudits[[#This Row],[Sort (pts)]]&gt;MaxSort,"Sort above its maximum",IF(tblAudits[[#This Row],[Set in order (pts)]]&gt;MaxSet,"Set in order above its maximum",IF(tblAudits[[#This Row],[Shine (pts)]]&gt;MaxShine,"Shine above its maximum",IF(tblAudits[[#This Row],[Standardize (pts)]]&gt;MaxStd,"Standardize above its maximum",IF(tblAudits[[#This Row],[Sustain (pts)]]&gt;MaxSustain,"Sustain above its maximum",IF(COUNTIFS(tblAudits[Audit date],tblAudits[[#This Row],[Audit date]],tblAudits[Area],tblAudits[[#This Row],[Area]])&gt;1,"Duplicate audit row","OK"))))))))))</f>
        <v>OK</v>
      </c>
      <c r="R25" s="28" t="s">
        <v>230</v>
      </c>
    </row>
    <row r="26" spans="2:18" x14ac:dyDescent="0.25">
      <c r="B26" s="30">
        <v>46213</v>
      </c>
      <c r="C26" s="28" t="s">
        <v>116</v>
      </c>
      <c r="D26" s="28" t="s">
        <v>232</v>
      </c>
      <c r="E26" s="31">
        <v>14</v>
      </c>
      <c r="F26" s="31">
        <v>12</v>
      </c>
      <c r="G26" s="31">
        <v>6</v>
      </c>
      <c r="H26" s="31">
        <v>7</v>
      </c>
      <c r="I26" s="31">
        <v>6</v>
      </c>
      <c r="J26" s="39" t="str">
        <f>IF(tblAudits[[#This Row],[Audit date]]="","",IFERROR(INDEX(tblAreas[Owner],MATCH(tblAudits[[#This Row],[Area]],tblAreas[Area],0)),""))</f>
        <v>J. Patel</v>
      </c>
      <c r="K26" s="33">
        <f>IF(tblAudits[[#This Row],[Audit date]]="","",tblAudits[[#This Row],[Sort (pts)]]+tblAudits[[#This Row],[Set in order (pts)]]+tblAudits[[#This Row],[Shine (pts)]]+tblAudits[[#This Row],[Standardize (pts)]]+tblAudits[[#This Row],[Sustain (pts)]])</f>
        <v>45</v>
      </c>
      <c r="L26" s="33">
        <f>IF(tblAudits[[#This Row],[Audit date]]="","",AuditMax)</f>
        <v>100</v>
      </c>
      <c r="M26" s="40">
        <f>IF(tblAudits[[#This Row],[Audit date]]="","",IF(tblAudits[[#This Row],[Max (pts)]]&gt;0,tblAudits[[#This Row],[Total (pts)]]/tblAudits[[#This Row],[Max (pts)]],""))</f>
        <v>0.45</v>
      </c>
      <c r="N26" s="41" t="str">
        <f>IF(NOT(ISNUMBER(tblAudits[[#This Row],[Score]])),"",IF(tblAudits[[#This Row],[Score]]&gt;=TargetScore,"On target",IF(tblAudits[[#This Row],[Score]]&gt;=TargetScore*(1-0.05),"Near target","Below target")))</f>
        <v>Below target</v>
      </c>
      <c r="O26" s="33">
        <f>IF(tblAudits[[#This Row],[Audit date]]="","",COUNTIFS(tblActions[Raised],tblAudits[[#This Row],[Audit date]],tblActions[Area],tblAudits[[#This Row],[Area]]))</f>
        <v>4</v>
      </c>
      <c r="P26" s="42">
        <f>IF(tblAudits[[#This Row],[Audit date]]="","",DATE(YEAR(tblAudits[[#This Row],[Audit date]]),MONTH(tblAudits[[#This Row],[Audit date]]),1))</f>
        <v>46204</v>
      </c>
      <c r="Q26" s="43" t="str">
        <f>IF(tblAudits[[#This Row],[Audit date]]="","",IF(tblAudits[[#This Row],[Area]]="","Missing area",IF(tblAudits[[#This Row],[Owner]]="","Area not on Setup list",IF(COUNT(tblAudits[[#This Row],[Sort (pts)]],tblAudits[[#This Row],[Set in order (pts)]],tblAudits[[#This Row],[Shine (pts)]],tblAudits[[#This Row],[Standardize (pts)]],tblAudits[[#This Row],[Sustain (pts)]])&lt;5,"Missing a section score",IF(tblAudits[[#This Row],[Sort (pts)]]&gt;MaxSort,"Sort above its maximum",IF(tblAudits[[#This Row],[Set in order (pts)]]&gt;MaxSet,"Set in order above its maximum",IF(tblAudits[[#This Row],[Shine (pts)]]&gt;MaxShine,"Shine above its maximum",IF(tblAudits[[#This Row],[Standardize (pts)]]&gt;MaxStd,"Standardize above its maximum",IF(tblAudits[[#This Row],[Sustain (pts)]]&gt;MaxSustain,"Sustain above its maximum",IF(COUNTIFS(tblAudits[Audit date],tblAudits[[#This Row],[Audit date]],tblAudits[Area],tblAudits[[#This Row],[Area]])&gt;1,"Duplicate audit row","OK"))))))))))</f>
        <v>OK</v>
      </c>
      <c r="R26" s="28" t="s">
        <v>230</v>
      </c>
    </row>
    <row r="27" spans="2:18" x14ac:dyDescent="0.25">
      <c r="B27" s="30">
        <v>46216</v>
      </c>
      <c r="C27" s="28" t="s">
        <v>119</v>
      </c>
      <c r="D27" s="28" t="s">
        <v>229</v>
      </c>
      <c r="E27" s="31">
        <v>14</v>
      </c>
      <c r="F27" s="31">
        <v>13</v>
      </c>
      <c r="G27" s="31">
        <v>13</v>
      </c>
      <c r="H27" s="31">
        <v>8</v>
      </c>
      <c r="I27" s="31">
        <v>7</v>
      </c>
      <c r="J27" s="39" t="str">
        <f>IF(tblAudits[[#This Row],[Audit date]]="","",IFERROR(INDEX(tblAreas[Owner],MATCH(tblAudits[[#This Row],[Area]],tblAreas[Area],0)),""))</f>
        <v>S. Moreau</v>
      </c>
      <c r="K27" s="33">
        <f>IF(tblAudits[[#This Row],[Audit date]]="","",tblAudits[[#This Row],[Sort (pts)]]+tblAudits[[#This Row],[Set in order (pts)]]+tblAudits[[#This Row],[Shine (pts)]]+tblAudits[[#This Row],[Standardize (pts)]]+tblAudits[[#This Row],[Sustain (pts)]])</f>
        <v>55</v>
      </c>
      <c r="L27" s="33">
        <f>IF(tblAudits[[#This Row],[Audit date]]="","",AuditMax)</f>
        <v>100</v>
      </c>
      <c r="M27" s="40">
        <f>IF(tblAudits[[#This Row],[Audit date]]="","",IF(tblAudits[[#This Row],[Max (pts)]]&gt;0,tblAudits[[#This Row],[Total (pts)]]/tblAudits[[#This Row],[Max (pts)]],""))</f>
        <v>0.55</v>
      </c>
      <c r="N27" s="41" t="str">
        <f>IF(NOT(ISNUMBER(tblAudits[[#This Row],[Score]])),"",IF(tblAudits[[#This Row],[Score]]&gt;=TargetScore,"On target",IF(tblAudits[[#This Row],[Score]]&gt;=TargetScore*(1-0.05),"Near target","Below target")))</f>
        <v>Below target</v>
      </c>
      <c r="O27" s="33">
        <f>IF(tblAudits[[#This Row],[Audit date]]="","",COUNTIFS(tblActions[Raised],tblAudits[[#This Row],[Audit date]],tblActions[Area],tblAudits[[#This Row],[Area]]))</f>
        <v>4</v>
      </c>
      <c r="P27" s="42">
        <f>IF(tblAudits[[#This Row],[Audit date]]="","",DATE(YEAR(tblAudits[[#This Row],[Audit date]]),MONTH(tblAudits[[#This Row],[Audit date]]),1))</f>
        <v>46204</v>
      </c>
      <c r="Q27" s="43" t="str">
        <f>IF(tblAudits[[#This Row],[Audit date]]="","",IF(tblAudits[[#This Row],[Area]]="","Missing area",IF(tblAudits[[#This Row],[Owner]]="","Area not on Setup list",IF(COUNT(tblAudits[[#This Row],[Sort (pts)]],tblAudits[[#This Row],[Set in order (pts)]],tblAudits[[#This Row],[Shine (pts)]],tblAudits[[#This Row],[Standardize (pts)]],tblAudits[[#This Row],[Sustain (pts)]])&lt;5,"Missing a section score",IF(tblAudits[[#This Row],[Sort (pts)]]&gt;MaxSort,"Sort above its maximum",IF(tblAudits[[#This Row],[Set in order (pts)]]&gt;MaxSet,"Set in order above its maximum",IF(tblAudits[[#This Row],[Shine (pts)]]&gt;MaxShine,"Shine above its maximum",IF(tblAudits[[#This Row],[Standardize (pts)]]&gt;MaxStd,"Standardize above its maximum",IF(tblAudits[[#This Row],[Sustain (pts)]]&gt;MaxSustain,"Sustain above its maximum",IF(COUNTIFS(tblAudits[Audit date],tblAudits[[#This Row],[Audit date]],tblAudits[Area],tblAudits[[#This Row],[Area]])&gt;1,"Duplicate audit row","OK"))))))))))</f>
        <v>OK</v>
      </c>
      <c r="R27" s="28" t="s">
        <v>230</v>
      </c>
    </row>
    <row r="28" spans="2:18" x14ac:dyDescent="0.25">
      <c r="B28" s="30">
        <v>46216</v>
      </c>
      <c r="C28" s="28" t="s">
        <v>122</v>
      </c>
      <c r="D28" s="28" t="s">
        <v>231</v>
      </c>
      <c r="E28" s="31">
        <v>16</v>
      </c>
      <c r="F28" s="31">
        <v>16</v>
      </c>
      <c r="G28" s="31">
        <v>15</v>
      </c>
      <c r="H28" s="31">
        <v>11</v>
      </c>
      <c r="I28" s="31">
        <v>10</v>
      </c>
      <c r="J28" s="39" t="str">
        <f>IF(tblAudits[[#This Row],[Audit date]]="","",IFERROR(INDEX(tblAreas[Owner],MATCH(tblAudits[[#This Row],[Area]],tblAreas[Area],0)),""))</f>
        <v>T. Nguyen</v>
      </c>
      <c r="K28" s="33">
        <f>IF(tblAudits[[#This Row],[Audit date]]="","",tblAudits[[#This Row],[Sort (pts)]]+tblAudits[[#This Row],[Set in order (pts)]]+tblAudits[[#This Row],[Shine (pts)]]+tblAudits[[#This Row],[Standardize (pts)]]+tblAudits[[#This Row],[Sustain (pts)]])</f>
        <v>68</v>
      </c>
      <c r="L28" s="33">
        <f>IF(tblAudits[[#This Row],[Audit date]]="","",AuditMax)</f>
        <v>100</v>
      </c>
      <c r="M28" s="40">
        <f>IF(tblAudits[[#This Row],[Audit date]]="","",IF(tblAudits[[#This Row],[Max (pts)]]&gt;0,tblAudits[[#This Row],[Total (pts)]]/tblAudits[[#This Row],[Max (pts)]],""))</f>
        <v>0.68</v>
      </c>
      <c r="N28" s="41" t="str">
        <f>IF(NOT(ISNUMBER(tblAudits[[#This Row],[Score]])),"",IF(tblAudits[[#This Row],[Score]]&gt;=TargetScore,"On target",IF(tblAudits[[#This Row],[Score]]&gt;=TargetScore*(1-0.05),"Near target","Below target")))</f>
        <v>Below target</v>
      </c>
      <c r="O28" s="33">
        <f>IF(tblAudits[[#This Row],[Audit date]]="","",COUNTIFS(tblActions[Raised],tblAudits[[#This Row],[Audit date]],tblActions[Area],tblAudits[[#This Row],[Area]]))</f>
        <v>2</v>
      </c>
      <c r="P28" s="42">
        <f>IF(tblAudits[[#This Row],[Audit date]]="","",DATE(YEAR(tblAudits[[#This Row],[Audit date]]),MONTH(tblAudits[[#This Row],[Audit date]]),1))</f>
        <v>46204</v>
      </c>
      <c r="Q28" s="43" t="str">
        <f>IF(tblAudits[[#This Row],[Audit date]]="","",IF(tblAudits[[#This Row],[Area]]="","Missing area",IF(tblAudits[[#This Row],[Owner]]="","Area not on Setup list",IF(COUNT(tblAudits[[#This Row],[Sort (pts)]],tblAudits[[#This Row],[Set in order (pts)]],tblAudits[[#This Row],[Shine (pts)]],tblAudits[[#This Row],[Standardize (pts)]],tblAudits[[#This Row],[Sustain (pts)]])&lt;5,"Missing a section score",IF(tblAudits[[#This Row],[Sort (pts)]]&gt;MaxSort,"Sort above its maximum",IF(tblAudits[[#This Row],[Set in order (pts)]]&gt;MaxSet,"Set in order above its maximum",IF(tblAudits[[#This Row],[Shine (pts)]]&gt;MaxShine,"Shine above its maximum",IF(tblAudits[[#This Row],[Standardize (pts)]]&gt;MaxStd,"Standardize above its maximum",IF(tblAudits[[#This Row],[Sustain (pts)]]&gt;MaxSustain,"Sustain above its maximum",IF(COUNTIFS(tblAudits[Audit date],tblAudits[[#This Row],[Audit date]],tblAudits[Area],tblAudits[[#This Row],[Area]])&gt;1,"Duplicate audit row","OK"))))))))))</f>
        <v>OK</v>
      </c>
      <c r="R28" s="28" t="s">
        <v>230</v>
      </c>
    </row>
    <row r="29" spans="2:18" x14ac:dyDescent="0.25">
      <c r="B29" s="30">
        <v>46216</v>
      </c>
      <c r="C29" s="28" t="s">
        <v>125</v>
      </c>
      <c r="D29" s="28" t="s">
        <v>232</v>
      </c>
      <c r="E29" s="31">
        <v>17</v>
      </c>
      <c r="F29" s="31">
        <v>16</v>
      </c>
      <c r="G29" s="31">
        <v>15</v>
      </c>
      <c r="H29" s="31">
        <v>13</v>
      </c>
      <c r="I29" s="31">
        <v>10</v>
      </c>
      <c r="J29" s="39" t="str">
        <f>IF(tblAudits[[#This Row],[Audit date]]="","",IFERROR(INDEX(tblAreas[Owner],MATCH(tblAudits[[#This Row],[Area]],tblAreas[Area],0)),""))</f>
        <v>A. Kowalski</v>
      </c>
      <c r="K29" s="33">
        <f>IF(tblAudits[[#This Row],[Audit date]]="","",tblAudits[[#This Row],[Sort (pts)]]+tblAudits[[#This Row],[Set in order (pts)]]+tblAudits[[#This Row],[Shine (pts)]]+tblAudits[[#This Row],[Standardize (pts)]]+tblAudits[[#This Row],[Sustain (pts)]])</f>
        <v>71</v>
      </c>
      <c r="L29" s="33">
        <f>IF(tblAudits[[#This Row],[Audit date]]="","",AuditMax)</f>
        <v>100</v>
      </c>
      <c r="M29" s="40">
        <f>IF(tblAudits[[#This Row],[Audit date]]="","",IF(tblAudits[[#This Row],[Max (pts)]]&gt;0,tblAudits[[#This Row],[Total (pts)]]/tblAudits[[#This Row],[Max (pts)]],""))</f>
        <v>0.71</v>
      </c>
      <c r="N29" s="41" t="str">
        <f>IF(NOT(ISNUMBER(tblAudits[[#This Row],[Score]])),"",IF(tblAudits[[#This Row],[Score]]&gt;=TargetScore,"On target",IF(tblAudits[[#This Row],[Score]]&gt;=TargetScore*(1-0.05),"Near target","Below target")))</f>
        <v>Below target</v>
      </c>
      <c r="O29" s="33">
        <f>IF(tblAudits[[#This Row],[Audit date]]="","",COUNTIFS(tblActions[Raised],tblAudits[[#This Row],[Audit date]],tblActions[Area],tblAudits[[#This Row],[Area]]))</f>
        <v>3</v>
      </c>
      <c r="P29" s="42">
        <f>IF(tblAudits[[#This Row],[Audit date]]="","",DATE(YEAR(tblAudits[[#This Row],[Audit date]]),MONTH(tblAudits[[#This Row],[Audit date]]),1))</f>
        <v>46204</v>
      </c>
      <c r="Q29" s="43" t="str">
        <f>IF(tblAudits[[#This Row],[Audit date]]="","",IF(tblAudits[[#This Row],[Area]]="","Missing area",IF(tblAudits[[#This Row],[Owner]]="","Area not on Setup list",IF(COUNT(tblAudits[[#This Row],[Sort (pts)]],tblAudits[[#This Row],[Set in order (pts)]],tblAudits[[#This Row],[Shine (pts)]],tblAudits[[#This Row],[Standardize (pts)]],tblAudits[[#This Row],[Sustain (pts)]])&lt;5,"Missing a section score",IF(tblAudits[[#This Row],[Sort (pts)]]&gt;MaxSort,"Sort above its maximum",IF(tblAudits[[#This Row],[Set in order (pts)]]&gt;MaxSet,"Set in order above its maximum",IF(tblAudits[[#This Row],[Shine (pts)]]&gt;MaxShine,"Shine above its maximum",IF(tblAudits[[#This Row],[Standardize (pts)]]&gt;MaxStd,"Standardize above its maximum",IF(tblAudits[[#This Row],[Sustain (pts)]]&gt;MaxSustain,"Sustain above its maximum",IF(COUNTIFS(tblAudits[Audit date],tblAudits[[#This Row],[Audit date]],tblAudits[Area],tblAudits[[#This Row],[Area]])&gt;1,"Duplicate audit row","OK"))))))))))</f>
        <v>OK</v>
      </c>
      <c r="R29" s="28" t="s">
        <v>230</v>
      </c>
    </row>
    <row r="30" spans="2:18" x14ac:dyDescent="0.25">
      <c r="B30" s="30">
        <v>46244</v>
      </c>
      <c r="C30" s="28" t="s">
        <v>110</v>
      </c>
      <c r="D30" s="28" t="s">
        <v>231</v>
      </c>
      <c r="E30" s="31">
        <v>16</v>
      </c>
      <c r="F30" s="31">
        <v>16</v>
      </c>
      <c r="G30" s="31">
        <v>13</v>
      </c>
      <c r="H30" s="31">
        <v>11</v>
      </c>
      <c r="I30" s="31">
        <v>8</v>
      </c>
      <c r="J30" s="39" t="str">
        <f>IF(tblAudits[[#This Row],[Audit date]]="","",IFERROR(INDEX(tblAreas[Owner],MATCH(tblAudits[[#This Row],[Area]],tblAreas[Area],0)),""))</f>
        <v>R. Okafor</v>
      </c>
      <c r="K30" s="33">
        <f>IF(tblAudits[[#This Row],[Audit date]]="","",tblAudits[[#This Row],[Sort (pts)]]+tblAudits[[#This Row],[Set in order (pts)]]+tblAudits[[#This Row],[Shine (pts)]]+tblAudits[[#This Row],[Standardize (pts)]]+tblAudits[[#This Row],[Sustain (pts)]])</f>
        <v>64</v>
      </c>
      <c r="L30" s="33">
        <f>IF(tblAudits[[#This Row],[Audit date]]="","",AuditMax)</f>
        <v>100</v>
      </c>
      <c r="M30" s="40">
        <f>IF(tblAudits[[#This Row],[Audit date]]="","",IF(tblAudits[[#This Row],[Max (pts)]]&gt;0,tblAudits[[#This Row],[Total (pts)]]/tblAudits[[#This Row],[Max (pts)]],""))</f>
        <v>0.64</v>
      </c>
      <c r="N30" s="41" t="str">
        <f>IF(NOT(ISNUMBER(tblAudits[[#This Row],[Score]])),"",IF(tblAudits[[#This Row],[Score]]&gt;=TargetScore,"On target",IF(tblAudits[[#This Row],[Score]]&gt;=TargetScore*(1-0.05),"Near target","Below target")))</f>
        <v>Below target</v>
      </c>
      <c r="O30" s="33">
        <f>IF(tblAudits[[#This Row],[Audit date]]="","",COUNTIFS(tblActions[Raised],tblAudits[[#This Row],[Audit date]],tblActions[Area],tblAudits[[#This Row],[Area]]))</f>
        <v>3</v>
      </c>
      <c r="P30" s="42">
        <f>IF(tblAudits[[#This Row],[Audit date]]="","",DATE(YEAR(tblAudits[[#This Row],[Audit date]]),MONTH(tblAudits[[#This Row],[Audit date]]),1))</f>
        <v>46235</v>
      </c>
      <c r="Q30" s="43" t="str">
        <f>IF(tblAudits[[#This Row],[Audit date]]="","",IF(tblAudits[[#This Row],[Area]]="","Missing area",IF(tblAudits[[#This Row],[Owner]]="","Area not on Setup list",IF(COUNT(tblAudits[[#This Row],[Sort (pts)]],tblAudits[[#This Row],[Set in order (pts)]],tblAudits[[#This Row],[Shine (pts)]],tblAudits[[#This Row],[Standardize (pts)]],tblAudits[[#This Row],[Sustain (pts)]])&lt;5,"Missing a section score",IF(tblAudits[[#This Row],[Sort (pts)]]&gt;MaxSort,"Sort above its maximum",IF(tblAudits[[#This Row],[Set in order (pts)]]&gt;MaxSet,"Set in order above its maximum",IF(tblAudits[[#This Row],[Shine (pts)]]&gt;MaxShine,"Shine above its maximum",IF(tblAudits[[#This Row],[Standardize (pts)]]&gt;MaxStd,"Standardize above its maximum",IF(tblAudits[[#This Row],[Sustain (pts)]]&gt;MaxSustain,"Sustain above its maximum",IF(COUNTIFS(tblAudits[Audit date],tblAudits[[#This Row],[Audit date]],tblAudits[Area],tblAudits[[#This Row],[Area]])&gt;1,"Duplicate audit row","OK"))))))))))</f>
        <v>OK</v>
      </c>
      <c r="R30" s="28" t="s">
        <v>230</v>
      </c>
    </row>
    <row r="31" spans="2:18" x14ac:dyDescent="0.25">
      <c r="B31" s="30">
        <v>46244</v>
      </c>
      <c r="C31" s="28" t="s">
        <v>113</v>
      </c>
      <c r="D31" s="28" t="s">
        <v>232</v>
      </c>
      <c r="E31" s="31">
        <v>14</v>
      </c>
      <c r="F31" s="31">
        <v>13</v>
      </c>
      <c r="G31" s="31">
        <v>14</v>
      </c>
      <c r="H31" s="31">
        <v>12</v>
      </c>
      <c r="I31" s="31">
        <v>8</v>
      </c>
      <c r="J31" s="39" t="str">
        <f>IF(tblAudits[[#This Row],[Audit date]]="","",IFERROR(INDEX(tblAreas[Owner],MATCH(tblAudits[[#This Row],[Area]],tblAreas[Area],0)),""))</f>
        <v>M. Lindqvist</v>
      </c>
      <c r="K31" s="33">
        <f>IF(tblAudits[[#This Row],[Audit date]]="","",tblAudits[[#This Row],[Sort (pts)]]+tblAudits[[#This Row],[Set in order (pts)]]+tblAudits[[#This Row],[Shine (pts)]]+tblAudits[[#This Row],[Standardize (pts)]]+tblAudits[[#This Row],[Sustain (pts)]])</f>
        <v>61</v>
      </c>
      <c r="L31" s="33">
        <f>IF(tblAudits[[#This Row],[Audit date]]="","",AuditMax)</f>
        <v>100</v>
      </c>
      <c r="M31" s="40">
        <f>IF(tblAudits[[#This Row],[Audit date]]="","",IF(tblAudits[[#This Row],[Max (pts)]]&gt;0,tblAudits[[#This Row],[Total (pts)]]/tblAudits[[#This Row],[Max (pts)]],""))</f>
        <v>0.61</v>
      </c>
      <c r="N31" s="41" t="str">
        <f>IF(NOT(ISNUMBER(tblAudits[[#This Row],[Score]])),"",IF(tblAudits[[#This Row],[Score]]&gt;=TargetScore,"On target",IF(tblAudits[[#This Row],[Score]]&gt;=TargetScore*(1-0.05),"Near target","Below target")))</f>
        <v>Below target</v>
      </c>
      <c r="O31" s="33">
        <f>IF(tblAudits[[#This Row],[Audit date]]="","",COUNTIFS(tblActions[Raised],tblAudits[[#This Row],[Audit date]],tblActions[Area],tblAudits[[#This Row],[Area]]))</f>
        <v>3</v>
      </c>
      <c r="P31" s="42">
        <f>IF(tblAudits[[#This Row],[Audit date]]="","",DATE(YEAR(tblAudits[[#This Row],[Audit date]]),MONTH(tblAudits[[#This Row],[Audit date]]),1))</f>
        <v>46235</v>
      </c>
      <c r="Q31" s="43" t="str">
        <f>IF(tblAudits[[#This Row],[Audit date]]="","",IF(tblAudits[[#This Row],[Area]]="","Missing area",IF(tblAudits[[#This Row],[Owner]]="","Area not on Setup list",IF(COUNT(tblAudits[[#This Row],[Sort (pts)]],tblAudits[[#This Row],[Set in order (pts)]],tblAudits[[#This Row],[Shine (pts)]],tblAudits[[#This Row],[Standardize (pts)]],tblAudits[[#This Row],[Sustain (pts)]])&lt;5,"Missing a section score",IF(tblAudits[[#This Row],[Sort (pts)]]&gt;MaxSort,"Sort above its maximum",IF(tblAudits[[#This Row],[Set in order (pts)]]&gt;MaxSet,"Set in order above its maximum",IF(tblAudits[[#This Row],[Shine (pts)]]&gt;MaxShine,"Shine above its maximum",IF(tblAudits[[#This Row],[Standardize (pts)]]&gt;MaxStd,"Standardize above its maximum",IF(tblAudits[[#This Row],[Sustain (pts)]]&gt;MaxSustain,"Sustain above its maximum",IF(COUNTIFS(tblAudits[Audit date],tblAudits[[#This Row],[Audit date]],tblAudits[Area],tblAudits[[#This Row],[Area]])&gt;1,"Duplicate audit row","OK"))))))))))</f>
        <v>OK</v>
      </c>
      <c r="R31" s="28" t="s">
        <v>230</v>
      </c>
    </row>
    <row r="32" spans="2:18" x14ac:dyDescent="0.25">
      <c r="B32" s="30">
        <v>46244</v>
      </c>
      <c r="C32" s="28" t="s">
        <v>116</v>
      </c>
      <c r="D32" s="28" t="s">
        <v>229</v>
      </c>
      <c r="E32" s="31">
        <v>14</v>
      </c>
      <c r="F32" s="31">
        <v>12</v>
      </c>
      <c r="G32" s="31">
        <v>7</v>
      </c>
      <c r="H32" s="31">
        <v>9</v>
      </c>
      <c r="I32" s="31">
        <v>7</v>
      </c>
      <c r="J32" s="39" t="str">
        <f>IF(tblAudits[[#This Row],[Audit date]]="","",IFERROR(INDEX(tblAreas[Owner],MATCH(tblAudits[[#This Row],[Area]],tblAreas[Area],0)),""))</f>
        <v>J. Patel</v>
      </c>
      <c r="K32" s="33">
        <f>IF(tblAudits[[#This Row],[Audit date]]="","",tblAudits[[#This Row],[Sort (pts)]]+tblAudits[[#This Row],[Set in order (pts)]]+tblAudits[[#This Row],[Shine (pts)]]+tblAudits[[#This Row],[Standardize (pts)]]+tblAudits[[#This Row],[Sustain (pts)]])</f>
        <v>49</v>
      </c>
      <c r="L32" s="33">
        <f>IF(tblAudits[[#This Row],[Audit date]]="","",AuditMax)</f>
        <v>100</v>
      </c>
      <c r="M32" s="40">
        <f>IF(tblAudits[[#This Row],[Audit date]]="","",IF(tblAudits[[#This Row],[Max (pts)]]&gt;0,tblAudits[[#This Row],[Total (pts)]]/tblAudits[[#This Row],[Max (pts)]],""))</f>
        <v>0.49</v>
      </c>
      <c r="N32" s="41" t="str">
        <f>IF(NOT(ISNUMBER(tblAudits[[#This Row],[Score]])),"",IF(tblAudits[[#This Row],[Score]]&gt;=TargetScore,"On target",IF(tblAudits[[#This Row],[Score]]&gt;=TargetScore*(1-0.05),"Near target","Below target")))</f>
        <v>Below target</v>
      </c>
      <c r="O32" s="33">
        <f>IF(tblAudits[[#This Row],[Audit date]]="","",COUNTIFS(tblActions[Raised],tblAudits[[#This Row],[Audit date]],tblActions[Area],tblAudits[[#This Row],[Area]]))</f>
        <v>3</v>
      </c>
      <c r="P32" s="42">
        <f>IF(tblAudits[[#This Row],[Audit date]]="","",DATE(YEAR(tblAudits[[#This Row],[Audit date]]),MONTH(tblAudits[[#This Row],[Audit date]]),1))</f>
        <v>46235</v>
      </c>
      <c r="Q32" s="43" t="str">
        <f>IF(tblAudits[[#This Row],[Audit date]]="","",IF(tblAudits[[#This Row],[Area]]="","Missing area",IF(tblAudits[[#This Row],[Owner]]="","Area not on Setup list",IF(COUNT(tblAudits[[#This Row],[Sort (pts)]],tblAudits[[#This Row],[Set in order (pts)]],tblAudits[[#This Row],[Shine (pts)]],tblAudits[[#This Row],[Standardize (pts)]],tblAudits[[#This Row],[Sustain (pts)]])&lt;5,"Missing a section score",IF(tblAudits[[#This Row],[Sort (pts)]]&gt;MaxSort,"Sort above its maximum",IF(tblAudits[[#This Row],[Set in order (pts)]]&gt;MaxSet,"Set in order above its maximum",IF(tblAudits[[#This Row],[Shine (pts)]]&gt;MaxShine,"Shine above its maximum",IF(tblAudits[[#This Row],[Standardize (pts)]]&gt;MaxStd,"Standardize above its maximum",IF(tblAudits[[#This Row],[Sustain (pts)]]&gt;MaxSustain,"Sustain above its maximum",IF(COUNTIFS(tblAudits[Audit date],tblAudits[[#This Row],[Audit date]],tblAudits[Area],tblAudits[[#This Row],[Area]])&gt;1,"Duplicate audit row","OK"))))))))))</f>
        <v>OK</v>
      </c>
      <c r="R32" s="28" t="s">
        <v>230</v>
      </c>
    </row>
    <row r="33" spans="2:18" x14ac:dyDescent="0.25">
      <c r="B33" s="30">
        <v>46245</v>
      </c>
      <c r="C33" s="28" t="s">
        <v>119</v>
      </c>
      <c r="D33" s="28" t="s">
        <v>231</v>
      </c>
      <c r="E33" s="31">
        <v>16</v>
      </c>
      <c r="F33" s="31">
        <v>16</v>
      </c>
      <c r="G33" s="31">
        <v>14</v>
      </c>
      <c r="H33" s="31">
        <v>9</v>
      </c>
      <c r="I33" s="31">
        <v>9</v>
      </c>
      <c r="J33" s="39" t="str">
        <f>IF(tblAudits[[#This Row],[Audit date]]="","",IFERROR(INDEX(tblAreas[Owner],MATCH(tblAudits[[#This Row],[Area]],tblAreas[Area],0)),""))</f>
        <v>S. Moreau</v>
      </c>
      <c r="K33" s="33">
        <f>IF(tblAudits[[#This Row],[Audit date]]="","",tblAudits[[#This Row],[Sort (pts)]]+tblAudits[[#This Row],[Set in order (pts)]]+tblAudits[[#This Row],[Shine (pts)]]+tblAudits[[#This Row],[Standardize (pts)]]+tblAudits[[#This Row],[Sustain (pts)]])</f>
        <v>64</v>
      </c>
      <c r="L33" s="33">
        <f>IF(tblAudits[[#This Row],[Audit date]]="","",AuditMax)</f>
        <v>100</v>
      </c>
      <c r="M33" s="40">
        <f>IF(tblAudits[[#This Row],[Audit date]]="","",IF(tblAudits[[#This Row],[Max (pts)]]&gt;0,tblAudits[[#This Row],[Total (pts)]]/tblAudits[[#This Row],[Max (pts)]],""))</f>
        <v>0.64</v>
      </c>
      <c r="N33" s="41" t="str">
        <f>IF(NOT(ISNUMBER(tblAudits[[#This Row],[Score]])),"",IF(tblAudits[[#This Row],[Score]]&gt;=TargetScore,"On target",IF(tblAudits[[#This Row],[Score]]&gt;=TargetScore*(1-0.05),"Near target","Below target")))</f>
        <v>Below target</v>
      </c>
      <c r="O33" s="33">
        <f>IF(tblAudits[[#This Row],[Audit date]]="","",COUNTIFS(tblActions[Raised],tblAudits[[#This Row],[Audit date]],tblActions[Area],tblAudits[[#This Row],[Area]]))</f>
        <v>2</v>
      </c>
      <c r="P33" s="42">
        <f>IF(tblAudits[[#This Row],[Audit date]]="","",DATE(YEAR(tblAudits[[#This Row],[Audit date]]),MONTH(tblAudits[[#This Row],[Audit date]]),1))</f>
        <v>46235</v>
      </c>
      <c r="Q33" s="43" t="str">
        <f>IF(tblAudits[[#This Row],[Audit date]]="","",IF(tblAudits[[#This Row],[Area]]="","Missing area",IF(tblAudits[[#This Row],[Owner]]="","Area not on Setup list",IF(COUNT(tblAudits[[#This Row],[Sort (pts)]],tblAudits[[#This Row],[Set in order (pts)]],tblAudits[[#This Row],[Shine (pts)]],tblAudits[[#This Row],[Standardize (pts)]],tblAudits[[#This Row],[Sustain (pts)]])&lt;5,"Missing a section score",IF(tblAudits[[#This Row],[Sort (pts)]]&gt;MaxSort,"Sort above its maximum",IF(tblAudits[[#This Row],[Set in order (pts)]]&gt;MaxSet,"Set in order above its maximum",IF(tblAudits[[#This Row],[Shine (pts)]]&gt;MaxShine,"Shine above its maximum",IF(tblAudits[[#This Row],[Standardize (pts)]]&gt;MaxStd,"Standardize above its maximum",IF(tblAudits[[#This Row],[Sustain (pts)]]&gt;MaxSustain,"Sustain above its maximum",IF(COUNTIFS(tblAudits[Audit date],tblAudits[[#This Row],[Audit date]],tblAudits[Area],tblAudits[[#This Row],[Area]])&gt;1,"Duplicate audit row","OK"))))))))))</f>
        <v>OK</v>
      </c>
      <c r="R33" s="28" t="s">
        <v>230</v>
      </c>
    </row>
    <row r="34" spans="2:18" x14ac:dyDescent="0.25">
      <c r="B34" s="30">
        <v>46246</v>
      </c>
      <c r="C34" s="28" t="s">
        <v>122</v>
      </c>
      <c r="D34" s="28" t="s">
        <v>232</v>
      </c>
      <c r="E34" s="31">
        <v>19</v>
      </c>
      <c r="F34" s="31">
        <v>16</v>
      </c>
      <c r="G34" s="31">
        <v>16</v>
      </c>
      <c r="H34" s="31">
        <v>14</v>
      </c>
      <c r="I34" s="31">
        <v>10</v>
      </c>
      <c r="J34" s="39" t="str">
        <f>IF(tblAudits[[#This Row],[Audit date]]="","",IFERROR(INDEX(tblAreas[Owner],MATCH(tblAudits[[#This Row],[Area]],tblAreas[Area],0)),""))</f>
        <v>T. Nguyen</v>
      </c>
      <c r="K34" s="33">
        <f>IF(tblAudits[[#This Row],[Audit date]]="","",tblAudits[[#This Row],[Sort (pts)]]+tblAudits[[#This Row],[Set in order (pts)]]+tblAudits[[#This Row],[Shine (pts)]]+tblAudits[[#This Row],[Standardize (pts)]]+tblAudits[[#This Row],[Sustain (pts)]])</f>
        <v>75</v>
      </c>
      <c r="L34" s="33">
        <f>IF(tblAudits[[#This Row],[Audit date]]="","",AuditMax)</f>
        <v>100</v>
      </c>
      <c r="M34" s="40">
        <f>IF(tblAudits[[#This Row],[Audit date]]="","",IF(tblAudits[[#This Row],[Max (pts)]]&gt;0,tblAudits[[#This Row],[Total (pts)]]/tblAudits[[#This Row],[Max (pts)]],""))</f>
        <v>0.75</v>
      </c>
      <c r="N34" s="41" t="str">
        <f>IF(NOT(ISNUMBER(tblAudits[[#This Row],[Score]])),"",IF(tblAudits[[#This Row],[Score]]&gt;=TargetScore,"On target",IF(tblAudits[[#This Row],[Score]]&gt;=TargetScore*(1-0.05),"Near target","Below target")))</f>
        <v>Below target</v>
      </c>
      <c r="O34" s="33">
        <f>IF(tblAudits[[#This Row],[Audit date]]="","",COUNTIFS(tblActions[Raised],tblAudits[[#This Row],[Audit date]],tblActions[Area],tblAudits[[#This Row],[Area]]))</f>
        <v>3</v>
      </c>
      <c r="P34" s="42">
        <f>IF(tblAudits[[#This Row],[Audit date]]="","",DATE(YEAR(tblAudits[[#This Row],[Audit date]]),MONTH(tblAudits[[#This Row],[Audit date]]),1))</f>
        <v>46235</v>
      </c>
      <c r="Q34" s="43" t="str">
        <f>IF(tblAudits[[#This Row],[Audit date]]="","",IF(tblAudits[[#This Row],[Area]]="","Missing area",IF(tblAudits[[#This Row],[Owner]]="","Area not on Setup list",IF(COUNT(tblAudits[[#This Row],[Sort (pts)]],tblAudits[[#This Row],[Set in order (pts)]],tblAudits[[#This Row],[Shine (pts)]],tblAudits[[#This Row],[Standardize (pts)]],tblAudits[[#This Row],[Sustain (pts)]])&lt;5,"Missing a section score",IF(tblAudits[[#This Row],[Sort (pts)]]&gt;MaxSort,"Sort above its maximum",IF(tblAudits[[#This Row],[Set in order (pts)]]&gt;MaxSet,"Set in order above its maximum",IF(tblAudits[[#This Row],[Shine (pts)]]&gt;MaxShine,"Shine above its maximum",IF(tblAudits[[#This Row],[Standardize (pts)]]&gt;MaxStd,"Standardize above its maximum",IF(tblAudits[[#This Row],[Sustain (pts)]]&gt;MaxSustain,"Sustain above its maximum",IF(COUNTIFS(tblAudits[Audit date],tblAudits[[#This Row],[Audit date]],tblAudits[Area],tblAudits[[#This Row],[Area]])&gt;1,"Duplicate audit row","OK"))))))))))</f>
        <v>OK</v>
      </c>
      <c r="R34" s="28" t="s">
        <v>230</v>
      </c>
    </row>
    <row r="35" spans="2:18" x14ac:dyDescent="0.25">
      <c r="B35" s="30">
        <v>46247</v>
      </c>
      <c r="C35" s="28" t="s">
        <v>125</v>
      </c>
      <c r="D35" s="28" t="s">
        <v>229</v>
      </c>
      <c r="E35" s="31">
        <v>20</v>
      </c>
      <c r="F35" s="31">
        <v>17</v>
      </c>
      <c r="G35" s="31">
        <v>17</v>
      </c>
      <c r="H35" s="31">
        <v>15</v>
      </c>
      <c r="I35" s="31">
        <v>12</v>
      </c>
      <c r="J35" s="39" t="str">
        <f>IF(tblAudits[[#This Row],[Audit date]]="","",IFERROR(INDEX(tblAreas[Owner],MATCH(tblAudits[[#This Row],[Area]],tblAreas[Area],0)),""))</f>
        <v>A. Kowalski</v>
      </c>
      <c r="K35" s="33">
        <f>IF(tblAudits[[#This Row],[Audit date]]="","",tblAudits[[#This Row],[Sort (pts)]]+tblAudits[[#This Row],[Set in order (pts)]]+tblAudits[[#This Row],[Shine (pts)]]+tblAudits[[#This Row],[Standardize (pts)]]+tblAudits[[#This Row],[Sustain (pts)]])</f>
        <v>81</v>
      </c>
      <c r="L35" s="33">
        <f>IF(tblAudits[[#This Row],[Audit date]]="","",AuditMax)</f>
        <v>100</v>
      </c>
      <c r="M35" s="40">
        <f>IF(tblAudits[[#This Row],[Audit date]]="","",IF(tblAudits[[#This Row],[Max (pts)]]&gt;0,tblAudits[[#This Row],[Total (pts)]]/tblAudits[[#This Row],[Max (pts)]],""))</f>
        <v>0.81</v>
      </c>
      <c r="N35" s="41" t="str">
        <f>IF(NOT(ISNUMBER(tblAudits[[#This Row],[Score]])),"",IF(tblAudits[[#This Row],[Score]]&gt;=TargetScore,"On target",IF(tblAudits[[#This Row],[Score]]&gt;=TargetScore*(1-0.05),"Near target","Below target")))</f>
        <v>On target</v>
      </c>
      <c r="O35" s="33">
        <f>IF(tblAudits[[#This Row],[Audit date]]="","",COUNTIFS(tblActions[Raised],tblAudits[[#This Row],[Audit date]],tblActions[Area],tblAudits[[#This Row],[Area]]))</f>
        <v>3</v>
      </c>
      <c r="P35" s="42">
        <f>IF(tblAudits[[#This Row],[Audit date]]="","",DATE(YEAR(tblAudits[[#This Row],[Audit date]]),MONTH(tblAudits[[#This Row],[Audit date]]),1))</f>
        <v>46235</v>
      </c>
      <c r="Q35" s="43" t="str">
        <f>IF(tblAudits[[#This Row],[Audit date]]="","",IF(tblAudits[[#This Row],[Area]]="","Missing area",IF(tblAudits[[#This Row],[Owner]]="","Area not on Setup list",IF(COUNT(tblAudits[[#This Row],[Sort (pts)]],tblAudits[[#This Row],[Set in order (pts)]],tblAudits[[#This Row],[Shine (pts)]],tblAudits[[#This Row],[Standardize (pts)]],tblAudits[[#This Row],[Sustain (pts)]])&lt;5,"Missing a section score",IF(tblAudits[[#This Row],[Sort (pts)]]&gt;MaxSort,"Sort above its maximum",IF(tblAudits[[#This Row],[Set in order (pts)]]&gt;MaxSet,"Set in order above its maximum",IF(tblAudits[[#This Row],[Shine (pts)]]&gt;MaxShine,"Shine above its maximum",IF(tblAudits[[#This Row],[Standardize (pts)]]&gt;MaxStd,"Standardize above its maximum",IF(tblAudits[[#This Row],[Sustain (pts)]]&gt;MaxSustain,"Sustain above its maximum",IF(COUNTIFS(tblAudits[Audit date],tblAudits[[#This Row],[Audit date]],tblAudits[Area],tblAudits[[#This Row],[Area]])&gt;1,"Duplicate audit row","OK"))))))))))</f>
        <v>OK</v>
      </c>
      <c r="R35" s="28" t="s">
        <v>230</v>
      </c>
    </row>
    <row r="36" spans="2:18" x14ac:dyDescent="0.25">
      <c r="B36" s="30">
        <v>46273</v>
      </c>
      <c r="C36" s="28" t="s">
        <v>110</v>
      </c>
      <c r="D36" s="28" t="s">
        <v>232</v>
      </c>
      <c r="E36" s="31">
        <v>16</v>
      </c>
      <c r="F36" s="31">
        <v>17</v>
      </c>
      <c r="G36" s="31">
        <v>15</v>
      </c>
      <c r="H36" s="31">
        <v>13</v>
      </c>
      <c r="I36" s="31">
        <v>10</v>
      </c>
      <c r="J36" s="39" t="str">
        <f>IF(tblAudits[[#This Row],[Audit date]]="","",IFERROR(INDEX(tblAreas[Owner],MATCH(tblAudits[[#This Row],[Area]],tblAreas[Area],0)),""))</f>
        <v>R. Okafor</v>
      </c>
      <c r="K36" s="33">
        <f>IF(tblAudits[[#This Row],[Audit date]]="","",tblAudits[[#This Row],[Sort (pts)]]+tblAudits[[#This Row],[Set in order (pts)]]+tblAudits[[#This Row],[Shine (pts)]]+tblAudits[[#This Row],[Standardize (pts)]]+tblAudits[[#This Row],[Sustain (pts)]])</f>
        <v>71</v>
      </c>
      <c r="L36" s="33">
        <f>IF(tblAudits[[#This Row],[Audit date]]="","",AuditMax)</f>
        <v>100</v>
      </c>
      <c r="M36" s="40">
        <f>IF(tblAudits[[#This Row],[Audit date]]="","",IF(tblAudits[[#This Row],[Max (pts)]]&gt;0,tblAudits[[#This Row],[Total (pts)]]/tblAudits[[#This Row],[Max (pts)]],""))</f>
        <v>0.71</v>
      </c>
      <c r="N36" s="41" t="str">
        <f>IF(NOT(ISNUMBER(tblAudits[[#This Row],[Score]])),"",IF(tblAudits[[#This Row],[Score]]&gt;=TargetScore,"On target",IF(tblAudits[[#This Row],[Score]]&gt;=TargetScore*(1-0.05),"Near target","Below target")))</f>
        <v>Below target</v>
      </c>
      <c r="O36" s="33">
        <f>IF(tblAudits[[#This Row],[Audit date]]="","",COUNTIFS(tblActions[Raised],tblAudits[[#This Row],[Audit date]],tblActions[Area],tblAudits[[#This Row],[Area]]))</f>
        <v>3</v>
      </c>
      <c r="P36" s="42">
        <f>IF(tblAudits[[#This Row],[Audit date]]="","",DATE(YEAR(tblAudits[[#This Row],[Audit date]]),MONTH(tblAudits[[#This Row],[Audit date]]),1))</f>
        <v>46266</v>
      </c>
      <c r="Q36" s="43" t="str">
        <f>IF(tblAudits[[#This Row],[Audit date]]="","",IF(tblAudits[[#This Row],[Area]]="","Missing area",IF(tblAudits[[#This Row],[Owner]]="","Area not on Setup list",IF(COUNT(tblAudits[[#This Row],[Sort (pts)]],tblAudits[[#This Row],[Set in order (pts)]],tblAudits[[#This Row],[Shine (pts)]],tblAudits[[#This Row],[Standardize (pts)]],tblAudits[[#This Row],[Sustain (pts)]])&lt;5,"Missing a section score",IF(tblAudits[[#This Row],[Sort (pts)]]&gt;MaxSort,"Sort above its maximum",IF(tblAudits[[#This Row],[Set in order (pts)]]&gt;MaxSet,"Set in order above its maximum",IF(tblAudits[[#This Row],[Shine (pts)]]&gt;MaxShine,"Shine above its maximum",IF(tblAudits[[#This Row],[Standardize (pts)]]&gt;MaxStd,"Standardize above its maximum",IF(tblAudits[[#This Row],[Sustain (pts)]]&gt;MaxSustain,"Sustain above its maximum",IF(COUNTIFS(tblAudits[Audit date],tblAudits[[#This Row],[Audit date]],tblAudits[Area],tblAudits[[#This Row],[Area]])&gt;1,"Duplicate audit row","OK"))))))))))</f>
        <v>OK</v>
      </c>
      <c r="R36" s="28" t="s">
        <v>230</v>
      </c>
    </row>
    <row r="37" spans="2:18" x14ac:dyDescent="0.25">
      <c r="B37" s="30">
        <v>46274</v>
      </c>
      <c r="C37" s="28" t="s">
        <v>113</v>
      </c>
      <c r="D37" s="28" t="s">
        <v>229</v>
      </c>
      <c r="E37" s="31">
        <v>16</v>
      </c>
      <c r="F37" s="31">
        <v>15</v>
      </c>
      <c r="G37" s="31">
        <v>15</v>
      </c>
      <c r="H37" s="31">
        <v>12</v>
      </c>
      <c r="I37" s="31">
        <v>10</v>
      </c>
      <c r="J37" s="39" t="str">
        <f>IF(tblAudits[[#This Row],[Audit date]]="","",IFERROR(INDEX(tblAreas[Owner],MATCH(tblAudits[[#This Row],[Area]],tblAreas[Area],0)),""))</f>
        <v>M. Lindqvist</v>
      </c>
      <c r="K37" s="33">
        <f>IF(tblAudits[[#This Row],[Audit date]]="","",tblAudits[[#This Row],[Sort (pts)]]+tblAudits[[#This Row],[Set in order (pts)]]+tblAudits[[#This Row],[Shine (pts)]]+tblAudits[[#This Row],[Standardize (pts)]]+tblAudits[[#This Row],[Sustain (pts)]])</f>
        <v>68</v>
      </c>
      <c r="L37" s="33">
        <f>IF(tblAudits[[#This Row],[Audit date]]="","",AuditMax)</f>
        <v>100</v>
      </c>
      <c r="M37" s="40">
        <f>IF(tblAudits[[#This Row],[Audit date]]="","",IF(tblAudits[[#This Row],[Max (pts)]]&gt;0,tblAudits[[#This Row],[Total (pts)]]/tblAudits[[#This Row],[Max (pts)]],""))</f>
        <v>0.68</v>
      </c>
      <c r="N37" s="41" t="str">
        <f>IF(NOT(ISNUMBER(tblAudits[[#This Row],[Score]])),"",IF(tblAudits[[#This Row],[Score]]&gt;=TargetScore,"On target",IF(tblAudits[[#This Row],[Score]]&gt;=TargetScore*(1-0.05),"Near target","Below target")))</f>
        <v>Below target</v>
      </c>
      <c r="O37" s="33">
        <f>IF(tblAudits[[#This Row],[Audit date]]="","",COUNTIFS(tblActions[Raised],tblAudits[[#This Row],[Audit date]],tblActions[Area],tblAudits[[#This Row],[Area]]))</f>
        <v>2</v>
      </c>
      <c r="P37" s="42">
        <f>IF(tblAudits[[#This Row],[Audit date]]="","",DATE(YEAR(tblAudits[[#This Row],[Audit date]]),MONTH(tblAudits[[#This Row],[Audit date]]),1))</f>
        <v>46266</v>
      </c>
      <c r="Q37" s="43" t="str">
        <f>IF(tblAudits[[#This Row],[Audit date]]="","",IF(tblAudits[[#This Row],[Area]]="","Missing area",IF(tblAudits[[#This Row],[Owner]]="","Area not on Setup list",IF(COUNT(tblAudits[[#This Row],[Sort (pts)]],tblAudits[[#This Row],[Set in order (pts)]],tblAudits[[#This Row],[Shine (pts)]],tblAudits[[#This Row],[Standardize (pts)]],tblAudits[[#This Row],[Sustain (pts)]])&lt;5,"Missing a section score",IF(tblAudits[[#This Row],[Sort (pts)]]&gt;MaxSort,"Sort above its maximum",IF(tblAudits[[#This Row],[Set in order (pts)]]&gt;MaxSet,"Set in order above its maximum",IF(tblAudits[[#This Row],[Shine (pts)]]&gt;MaxShine,"Shine above its maximum",IF(tblAudits[[#This Row],[Standardize (pts)]]&gt;MaxStd,"Standardize above its maximum",IF(tblAudits[[#This Row],[Sustain (pts)]]&gt;MaxSustain,"Sustain above its maximum",IF(COUNTIFS(tblAudits[Audit date],tblAudits[[#This Row],[Audit date]],tblAudits[Area],tblAudits[[#This Row],[Area]])&gt;1,"Duplicate audit row","OK"))))))))))</f>
        <v>OK</v>
      </c>
      <c r="R37" s="28" t="s">
        <v>230</v>
      </c>
    </row>
    <row r="38" spans="2:18" x14ac:dyDescent="0.25">
      <c r="B38" s="30">
        <v>46275</v>
      </c>
      <c r="C38" s="28" t="s">
        <v>116</v>
      </c>
      <c r="D38" s="28" t="s">
        <v>231</v>
      </c>
      <c r="E38" s="31">
        <v>16</v>
      </c>
      <c r="F38" s="31">
        <v>13</v>
      </c>
      <c r="G38" s="31">
        <v>8</v>
      </c>
      <c r="H38" s="31">
        <v>9</v>
      </c>
      <c r="I38" s="31">
        <v>6</v>
      </c>
      <c r="J38" s="39" t="str">
        <f>IF(tblAudits[[#This Row],[Audit date]]="","",IFERROR(INDEX(tblAreas[Owner],MATCH(tblAudits[[#This Row],[Area]],tblAreas[Area],0)),""))</f>
        <v>J. Patel</v>
      </c>
      <c r="K38" s="33">
        <f>IF(tblAudits[[#This Row],[Audit date]]="","",tblAudits[[#This Row],[Sort (pts)]]+tblAudits[[#This Row],[Set in order (pts)]]+tblAudits[[#This Row],[Shine (pts)]]+tblAudits[[#This Row],[Standardize (pts)]]+tblAudits[[#This Row],[Sustain (pts)]])</f>
        <v>52</v>
      </c>
      <c r="L38" s="33">
        <f>IF(tblAudits[[#This Row],[Audit date]]="","",AuditMax)</f>
        <v>100</v>
      </c>
      <c r="M38" s="40">
        <f>IF(tblAudits[[#This Row],[Audit date]]="","",IF(tblAudits[[#This Row],[Max (pts)]]&gt;0,tblAudits[[#This Row],[Total (pts)]]/tblAudits[[#This Row],[Max (pts)]],""))</f>
        <v>0.52</v>
      </c>
      <c r="N38" s="41" t="str">
        <f>IF(NOT(ISNUMBER(tblAudits[[#This Row],[Score]])),"",IF(tblAudits[[#This Row],[Score]]&gt;=TargetScore,"On target",IF(tblAudits[[#This Row],[Score]]&gt;=TargetScore*(1-0.05),"Near target","Below target")))</f>
        <v>Below target</v>
      </c>
      <c r="O38" s="33">
        <f>IF(tblAudits[[#This Row],[Audit date]]="","",COUNTIFS(tblActions[Raised],tblAudits[[#This Row],[Audit date]],tblActions[Area],tblAudits[[#This Row],[Area]]))</f>
        <v>4</v>
      </c>
      <c r="P38" s="42">
        <f>IF(tblAudits[[#This Row],[Audit date]]="","",DATE(YEAR(tblAudits[[#This Row],[Audit date]]),MONTH(tblAudits[[#This Row],[Audit date]]),1))</f>
        <v>46266</v>
      </c>
      <c r="Q38" s="43" t="str">
        <f>IF(tblAudits[[#This Row],[Audit date]]="","",IF(tblAudits[[#This Row],[Area]]="","Missing area",IF(tblAudits[[#This Row],[Owner]]="","Area not on Setup list",IF(COUNT(tblAudits[[#This Row],[Sort (pts)]],tblAudits[[#This Row],[Set in order (pts)]],tblAudits[[#This Row],[Shine (pts)]],tblAudits[[#This Row],[Standardize (pts)]],tblAudits[[#This Row],[Sustain (pts)]])&lt;5,"Missing a section score",IF(tblAudits[[#This Row],[Sort (pts)]]&gt;MaxSort,"Sort above its maximum",IF(tblAudits[[#This Row],[Set in order (pts)]]&gt;MaxSet,"Set in order above its maximum",IF(tblAudits[[#This Row],[Shine (pts)]]&gt;MaxShine,"Shine above its maximum",IF(tblAudits[[#This Row],[Standardize (pts)]]&gt;MaxStd,"Standardize above its maximum",IF(tblAudits[[#This Row],[Sustain (pts)]]&gt;MaxSustain,"Sustain above its maximum",IF(COUNTIFS(tblAudits[Audit date],tblAudits[[#This Row],[Audit date]],tblAudits[Area],tblAudits[[#This Row],[Area]])&gt;1,"Duplicate audit row","OK"))))))))))</f>
        <v>OK</v>
      </c>
      <c r="R38" s="28" t="s">
        <v>230</v>
      </c>
    </row>
    <row r="39" spans="2:18" x14ac:dyDescent="0.25">
      <c r="B39" s="30">
        <v>46276</v>
      </c>
      <c r="C39" s="28" t="s">
        <v>119</v>
      </c>
      <c r="D39" s="28" t="s">
        <v>232</v>
      </c>
      <c r="E39" s="31">
        <v>18</v>
      </c>
      <c r="F39" s="31">
        <v>17</v>
      </c>
      <c r="G39" s="31">
        <v>14</v>
      </c>
      <c r="H39" s="31">
        <v>10</v>
      </c>
      <c r="I39" s="31">
        <v>10</v>
      </c>
      <c r="J39" s="39" t="str">
        <f>IF(tblAudits[[#This Row],[Audit date]]="","",IFERROR(INDEX(tblAreas[Owner],MATCH(tblAudits[[#This Row],[Area]],tblAreas[Area],0)),""))</f>
        <v>S. Moreau</v>
      </c>
      <c r="K39" s="33">
        <f>IF(tblAudits[[#This Row],[Audit date]]="","",tblAudits[[#This Row],[Sort (pts)]]+tblAudits[[#This Row],[Set in order (pts)]]+tblAudits[[#This Row],[Shine (pts)]]+tblAudits[[#This Row],[Standardize (pts)]]+tblAudits[[#This Row],[Sustain (pts)]])</f>
        <v>69</v>
      </c>
      <c r="L39" s="33">
        <f>IF(tblAudits[[#This Row],[Audit date]]="","",AuditMax)</f>
        <v>100</v>
      </c>
      <c r="M39" s="40">
        <f>IF(tblAudits[[#This Row],[Audit date]]="","",IF(tblAudits[[#This Row],[Max (pts)]]&gt;0,tblAudits[[#This Row],[Total (pts)]]/tblAudits[[#This Row],[Max (pts)]],""))</f>
        <v>0.69</v>
      </c>
      <c r="N39" s="41" t="str">
        <f>IF(NOT(ISNUMBER(tblAudits[[#This Row],[Score]])),"",IF(tblAudits[[#This Row],[Score]]&gt;=TargetScore,"On target",IF(tblAudits[[#This Row],[Score]]&gt;=TargetScore*(1-0.05),"Near target","Below target")))</f>
        <v>Below target</v>
      </c>
      <c r="O39" s="33">
        <f>IF(tblAudits[[#This Row],[Audit date]]="","",COUNTIFS(tblActions[Raised],tblAudits[[#This Row],[Audit date]],tblActions[Area],tblAudits[[#This Row],[Area]]))</f>
        <v>2</v>
      </c>
      <c r="P39" s="42">
        <f>IF(tblAudits[[#This Row],[Audit date]]="","",DATE(YEAR(tblAudits[[#This Row],[Audit date]]),MONTH(tblAudits[[#This Row],[Audit date]]),1))</f>
        <v>46266</v>
      </c>
      <c r="Q39" s="43" t="str">
        <f>IF(tblAudits[[#This Row],[Audit date]]="","",IF(tblAudits[[#This Row],[Area]]="","Missing area",IF(tblAudits[[#This Row],[Owner]]="","Area not on Setup list",IF(COUNT(tblAudits[[#This Row],[Sort (pts)]],tblAudits[[#This Row],[Set in order (pts)]],tblAudits[[#This Row],[Shine (pts)]],tblAudits[[#This Row],[Standardize (pts)]],tblAudits[[#This Row],[Sustain (pts)]])&lt;5,"Missing a section score",IF(tblAudits[[#This Row],[Sort (pts)]]&gt;MaxSort,"Sort above its maximum",IF(tblAudits[[#This Row],[Set in order (pts)]]&gt;MaxSet,"Set in order above its maximum",IF(tblAudits[[#This Row],[Shine (pts)]]&gt;MaxShine,"Shine above its maximum",IF(tblAudits[[#This Row],[Standardize (pts)]]&gt;MaxStd,"Standardize above its maximum",IF(tblAudits[[#This Row],[Sustain (pts)]]&gt;MaxSustain,"Sustain above its maximum",IF(COUNTIFS(tblAudits[Audit date],tblAudits[[#This Row],[Audit date]],tblAudits[Area],tblAudits[[#This Row],[Area]])&gt;1,"Duplicate audit row","OK"))))))))))</f>
        <v>OK</v>
      </c>
      <c r="R39" s="28" t="s">
        <v>230</v>
      </c>
    </row>
    <row r="40" spans="2:18" x14ac:dyDescent="0.25">
      <c r="B40" s="30">
        <v>46279</v>
      </c>
      <c r="C40" s="28" t="s">
        <v>122</v>
      </c>
      <c r="D40" s="28" t="s">
        <v>229</v>
      </c>
      <c r="E40" s="31">
        <v>20</v>
      </c>
      <c r="F40" s="31">
        <v>18</v>
      </c>
      <c r="G40" s="31">
        <v>18</v>
      </c>
      <c r="H40" s="31">
        <v>15</v>
      </c>
      <c r="I40" s="31">
        <v>12</v>
      </c>
      <c r="J40" s="39" t="str">
        <f>IF(tblAudits[[#This Row],[Audit date]]="","",IFERROR(INDEX(tblAreas[Owner],MATCH(tblAudits[[#This Row],[Area]],tblAreas[Area],0)),""))</f>
        <v>T. Nguyen</v>
      </c>
      <c r="K40" s="33">
        <f>IF(tblAudits[[#This Row],[Audit date]]="","",tblAudits[[#This Row],[Sort (pts)]]+tblAudits[[#This Row],[Set in order (pts)]]+tblAudits[[#This Row],[Shine (pts)]]+tblAudits[[#This Row],[Standardize (pts)]]+tblAudits[[#This Row],[Sustain (pts)]])</f>
        <v>83</v>
      </c>
      <c r="L40" s="33">
        <f>IF(tblAudits[[#This Row],[Audit date]]="","",AuditMax)</f>
        <v>100</v>
      </c>
      <c r="M40" s="40">
        <f>IF(tblAudits[[#This Row],[Audit date]]="","",IF(tblAudits[[#This Row],[Max (pts)]]&gt;0,tblAudits[[#This Row],[Total (pts)]]/tblAudits[[#This Row],[Max (pts)]],""))</f>
        <v>0.83</v>
      </c>
      <c r="N40" s="41" t="str">
        <f>IF(NOT(ISNUMBER(tblAudits[[#This Row],[Score]])),"",IF(tblAudits[[#This Row],[Score]]&gt;=TargetScore,"On target",IF(tblAudits[[#This Row],[Score]]&gt;=TargetScore*(1-0.05),"Near target","Below target")))</f>
        <v>On target</v>
      </c>
      <c r="O40" s="33">
        <f>IF(tblAudits[[#This Row],[Audit date]]="","",COUNTIFS(tblActions[Raised],tblAudits[[#This Row],[Audit date]],tblActions[Area],tblAudits[[#This Row],[Area]]))</f>
        <v>2</v>
      </c>
      <c r="P40" s="42">
        <f>IF(tblAudits[[#This Row],[Audit date]]="","",DATE(YEAR(tblAudits[[#This Row],[Audit date]]),MONTH(tblAudits[[#This Row],[Audit date]]),1))</f>
        <v>46266</v>
      </c>
      <c r="Q40" s="43" t="str">
        <f>IF(tblAudits[[#This Row],[Audit date]]="","",IF(tblAudits[[#This Row],[Area]]="","Missing area",IF(tblAudits[[#This Row],[Owner]]="","Area not on Setup list",IF(COUNT(tblAudits[[#This Row],[Sort (pts)]],tblAudits[[#This Row],[Set in order (pts)]],tblAudits[[#This Row],[Shine (pts)]],tblAudits[[#This Row],[Standardize (pts)]],tblAudits[[#This Row],[Sustain (pts)]])&lt;5,"Missing a section score",IF(tblAudits[[#This Row],[Sort (pts)]]&gt;MaxSort,"Sort above its maximum",IF(tblAudits[[#This Row],[Set in order (pts)]]&gt;MaxSet,"Set in order above its maximum",IF(tblAudits[[#This Row],[Shine (pts)]]&gt;MaxShine,"Shine above its maximum",IF(tblAudits[[#This Row],[Standardize (pts)]]&gt;MaxStd,"Standardize above its maximum",IF(tblAudits[[#This Row],[Sustain (pts)]]&gt;MaxSustain,"Sustain above its maximum",IF(COUNTIFS(tblAudits[Audit date],tblAudits[[#This Row],[Audit date]],tblAudits[Area],tblAudits[[#This Row],[Area]])&gt;1,"Duplicate audit row","OK"))))))))))</f>
        <v>OK</v>
      </c>
      <c r="R40" s="28" t="s">
        <v>230</v>
      </c>
    </row>
    <row r="41" spans="2:18" x14ac:dyDescent="0.25">
      <c r="B41" s="30">
        <v>46279</v>
      </c>
      <c r="C41" s="28" t="s">
        <v>125</v>
      </c>
      <c r="D41" s="28" t="s">
        <v>231</v>
      </c>
      <c r="E41" s="31">
        <v>20</v>
      </c>
      <c r="F41" s="31">
        <v>20</v>
      </c>
      <c r="G41" s="31">
        <v>20</v>
      </c>
      <c r="H41" s="31">
        <v>16</v>
      </c>
      <c r="I41" s="31">
        <v>12</v>
      </c>
      <c r="J41" s="39" t="str">
        <f>IF(tblAudits[[#This Row],[Audit date]]="","",IFERROR(INDEX(tblAreas[Owner],MATCH(tblAudits[[#This Row],[Area]],tblAreas[Area],0)),""))</f>
        <v>A. Kowalski</v>
      </c>
      <c r="K41" s="33">
        <f>IF(tblAudits[[#This Row],[Audit date]]="","",tblAudits[[#This Row],[Sort (pts)]]+tblAudits[[#This Row],[Set in order (pts)]]+tblAudits[[#This Row],[Shine (pts)]]+tblAudits[[#This Row],[Standardize (pts)]]+tblAudits[[#This Row],[Sustain (pts)]])</f>
        <v>88</v>
      </c>
      <c r="L41" s="33">
        <f>IF(tblAudits[[#This Row],[Audit date]]="","",AuditMax)</f>
        <v>100</v>
      </c>
      <c r="M41" s="40">
        <f>IF(tblAudits[[#This Row],[Audit date]]="","",IF(tblAudits[[#This Row],[Max (pts)]]&gt;0,tblAudits[[#This Row],[Total (pts)]]/tblAudits[[#This Row],[Max (pts)]],""))</f>
        <v>0.88</v>
      </c>
      <c r="N41" s="41" t="str">
        <f>IF(NOT(ISNUMBER(tblAudits[[#This Row],[Score]])),"",IF(tblAudits[[#This Row],[Score]]&gt;=TargetScore,"On target",IF(tblAudits[[#This Row],[Score]]&gt;=TargetScore*(1-0.05),"Near target","Below target")))</f>
        <v>On target</v>
      </c>
      <c r="O41" s="33">
        <f>IF(tblAudits[[#This Row],[Audit date]]="","",COUNTIFS(tblActions[Raised],tblAudits[[#This Row],[Audit date]],tblActions[Area],tblAudits[[#This Row],[Area]]))</f>
        <v>2</v>
      </c>
      <c r="P41" s="42">
        <f>IF(tblAudits[[#This Row],[Audit date]]="","",DATE(YEAR(tblAudits[[#This Row],[Audit date]]),MONTH(tblAudits[[#This Row],[Audit date]]),1))</f>
        <v>46266</v>
      </c>
      <c r="Q41" s="43" t="str">
        <f>IF(tblAudits[[#This Row],[Audit date]]="","",IF(tblAudits[[#This Row],[Area]]="","Missing area",IF(tblAudits[[#This Row],[Owner]]="","Area not on Setup list",IF(COUNT(tblAudits[[#This Row],[Sort (pts)]],tblAudits[[#This Row],[Set in order (pts)]],tblAudits[[#This Row],[Shine (pts)]],tblAudits[[#This Row],[Standardize (pts)]],tblAudits[[#This Row],[Sustain (pts)]])&lt;5,"Missing a section score",IF(tblAudits[[#This Row],[Sort (pts)]]&gt;MaxSort,"Sort above its maximum",IF(tblAudits[[#This Row],[Set in order (pts)]]&gt;MaxSet,"Set in order above its maximum",IF(tblAudits[[#This Row],[Shine (pts)]]&gt;MaxShine,"Shine above its maximum",IF(tblAudits[[#This Row],[Standardize (pts)]]&gt;MaxStd,"Standardize above its maximum",IF(tblAudits[[#This Row],[Sustain (pts)]]&gt;MaxSustain,"Sustain above its maximum",IF(COUNTIFS(tblAudits[Audit date],tblAudits[[#This Row],[Audit date]],tblAudits[Area],tblAudits[[#This Row],[Area]])&gt;1,"Duplicate audit row","OK"))))))))))</f>
        <v>OK</v>
      </c>
      <c r="R41" s="28" t="s">
        <v>230</v>
      </c>
    </row>
  </sheetData>
  <mergeCells count="3">
    <mergeCell ref="A1:R1"/>
    <mergeCell ref="B2:Q2"/>
    <mergeCell ref="B4:R4"/>
  </mergeCells>
  <conditionalFormatting sqref="M6:M541">
    <cfRule type="expression" dxfId="3" priority="1" stopIfTrue="1">
      <formula>AND(ISNUMBER(M6),M6&gt;=(TargetScore))</formula>
    </cfRule>
    <cfRule type="expression" dxfId="4" priority="2" stopIfTrue="1">
      <formula>AND(ISNUMBER(M6),M6&gt;=(TargetScore)*(1-0.05))</formula>
    </cfRule>
    <cfRule type="expression" dxfId="5" priority="3">
      <formula>ISNUMBER(M6)</formula>
    </cfRule>
    <cfRule type="dataBar" priority="4">
      <dataBar>
        <cfvo type="num" val="0"/>
        <cfvo type="max"/>
        <color rgb="FFA8BDF0"/>
      </dataBar>
      <extLst>
        <ext xmlns:x14="http://schemas.microsoft.com/office/spreadsheetml/2009/9/main" uri="{B025F937-C7B1-47D3-B67F-A62EFF666E3E}">
          <x14:id>{DA7ABA51-AAAA-BBBB-0004-000000000001}</x14:id>
        </ext>
      </extLst>
    </cfRule>
  </conditionalFormatting>
  <conditionalFormatting sqref="N6:N541">
    <cfRule type="cellIs" dxfId="0" priority="5" operator="equal">
      <formula>"On target"</formula>
    </cfRule>
    <cfRule type="cellIs" dxfId="0" priority="6" operator="equal">
      <formula>"PASS"</formula>
    </cfRule>
    <cfRule type="cellIs" dxfId="0" priority="7" operator="equal">
      <formula>"OK"</formula>
    </cfRule>
    <cfRule type="cellIs" dxfId="0" priority="8" operator="equal">
      <formula>"Within limits"</formula>
    </cfRule>
    <cfRule type="cellIs" dxfId="0" priority="9" operator="equal">
      <formula>"Under capacity"</formula>
    </cfRule>
    <cfRule type="cellIs" dxfId="0" priority="10" operator="equal">
      <formula>"Complete"</formula>
    </cfRule>
    <cfRule type="cellIs" dxfId="0" priority="11" operator="equal">
      <formula>"Yes"</formula>
    </cfRule>
    <cfRule type="cellIs" dxfId="1" priority="12" operator="equal">
      <formula>"Near target"</formula>
    </cfRule>
    <cfRule type="cellIs" dxfId="1" priority="13" operator="equal">
      <formula>"Check"</formula>
    </cfRule>
    <cfRule type="cellIs" dxfId="1" priority="14" operator="equal">
      <formula>"Due soon"</formula>
    </cfRule>
    <cfRule type="cellIs" dxfId="1" priority="15" operator="equal">
      <formula>"Near capacity"</formula>
    </cfRule>
    <cfRule type="cellIs" dxfId="1" priority="16" operator="equal">
      <formula>"In progress"</formula>
    </cfRule>
    <cfRule type="cellIs" dxfId="1" priority="17" operator="equal">
      <formula>"Partial"</formula>
    </cfRule>
    <cfRule type="cellIs" dxfId="2" priority="18" operator="equal">
      <formula>"Below target"</formula>
    </cfRule>
    <cfRule type="cellIs" dxfId="2" priority="19" operator="equal">
      <formula>"Above target"</formula>
    </cfRule>
    <cfRule type="cellIs" dxfId="2" priority="20" operator="equal">
      <formula>"FAIL"</formula>
    </cfRule>
    <cfRule type="cellIs" dxfId="2" priority="21" operator="equal">
      <formula>"Over capacity"</formula>
    </cfRule>
    <cfRule type="cellIs" dxfId="2" priority="22" operator="equal">
      <formula>"Overdue"</formula>
    </cfRule>
    <cfRule type="cellIs" dxfId="2" priority="23" operator="equal">
      <formula>"Out of limits"</formula>
    </cfRule>
    <cfRule type="cellIs" dxfId="2" priority="24" operator="equal">
      <formula>"No"</formula>
    </cfRule>
  </conditionalFormatting>
  <conditionalFormatting sqref="Q6:Q541">
    <cfRule type="expression" dxfId="3" priority="25">
      <formula>$Q6="OK"</formula>
    </cfRule>
    <cfRule type="expression" dxfId="1" priority="26">
      <formula>AND($Q6&lt;&gt;"",$Q6&lt;&gt;"OK")</formula>
    </cfRule>
  </conditionalFormatting>
  <dataValidations count="9">
    <dataValidation type="date" allowBlank="1" showInputMessage="1" showErrorMessage="1" errorTitle="Check this entry" error="Enter a date between 01 Jan 2000 and 31 Dec 2100." promptTitle="Audit date" prompt="Enter a date between 01 Jan 2000 and 31 Dec 2100." sqref="B6:B541">
      <formula1>36526</formula1>
      <formula2>73415</formula2>
    </dataValidation>
    <dataValidation type="list" allowBlank="1" showInputMessage="1" showErrorMessage="1" errorTitle="Check this entry" error="Pick from the list (edit the list on Setup: Areas)." promptTitle="Area" prompt="Pick from the list (edit the list on Setup: Areas)." sqref="C6:C541">
      <formula1>Areas</formula1>
    </dataValidation>
    <dataValidation type="textLength" allowBlank="1" showInputMessage="1" showErrorMessage="1" errorTitle="Check this entry" error="Text up to 40 characters." promptTitle="Auditor" prompt="Text up to 40 characters." sqref="D6:D541">
      <formula1>0</formula1>
      <formula2>40</formula2>
    </dataValidation>
    <dataValidation type="whole" allowBlank="1" showInputMessage="1" showErrorMessage="1" errorTitle="Check this entry" error="Enter a whole number from 0 to 100." promptTitle="Sort (pts)" prompt="Sum of the Sort criteria scores on the walk sheet (maximum on Setup). Enter a whole number from 0 to 100." sqref="E6:E541">
      <formula1>0</formula1>
      <formula2>100</formula2>
    </dataValidation>
    <dataValidation type="whole" allowBlank="1" showInputMessage="1" showErrorMessage="1" errorTitle="Check this entry" error="Enter a whole number from 0 to 100." promptTitle="Set in order (pts)" prompt="Sum of the Set in order criteria scores on the walk sheet (maximum on Setup). Enter a whole number from 0 to 100." sqref="F6:F541">
      <formula1>0</formula1>
      <formula2>100</formula2>
    </dataValidation>
    <dataValidation type="whole" allowBlank="1" showInputMessage="1" showErrorMessage="1" errorTitle="Check this entry" error="Enter a whole number from 0 to 100." promptTitle="Shine (pts)" prompt="Sum of the Shine criteria scores on the walk sheet (maximum on Setup). Enter a whole number from 0 to 100." sqref="G6:G541">
      <formula1>0</formula1>
      <formula2>100</formula2>
    </dataValidation>
    <dataValidation type="whole" allowBlank="1" showInputMessage="1" showErrorMessage="1" errorTitle="Check this entry" error="Enter a whole number from 0 to 100." promptTitle="Standardize (pts)" prompt="Sum of the Standardize criteria scores on the walk sheet (maximum on Setup). Enter a whole number from 0 to 100." sqref="H6:H541">
      <formula1>0</formula1>
      <formula2>100</formula2>
    </dataValidation>
    <dataValidation type="whole" allowBlank="1" showInputMessage="1" showErrorMessage="1" errorTitle="Check this entry" error="Enter a whole number from 0 to 100." promptTitle="Sustain (pts)" prompt="Sum of the Sustain criteria scores on the walk sheet (maximum on Setup). Enter a whole number from 0 to 100." sqref="I6:I541">
      <formula1>0</formula1>
      <formula2>100</formula2>
    </dataValidation>
    <dataValidation type="textLength" allowBlank="1" showInputMessage="1" showErrorMessage="1" errorTitle="Check this entry" error="Text up to 255 characters." promptTitle="Notes" prompt="Text up to 255 characters." sqref="R6:R541">
      <formula1>0</formula1>
      <formula2>255</formula2>
    </dataValidation>
  </dataValidations>
  <hyperlinks>
    <hyperlink ref="R2" r:id="rId1" tooltip="Free manufacturing calculators and templates"/>
  </hyperlinks>
  <pageMargins left="0.4" right="0.4" top="0.7" bottom="0.65" header="0.3" footer="0.3"/>
  <pageSetup fitToHeight="0" orientation="landscape"/>
  <headerFooter>
    <oddHeader>&amp;L&amp;8MFG Calcs - 5S Audit Checklist&amp;R&amp;8&amp;A</oddHeader>
    <oddFooter>&amp;L&amp;8mfgcalcs.com - free manufacturing templates&amp;R&amp;8Page &amp;P of &amp;N</oddFooter>
  </headerFooter>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DA7ABA51-AAAA-BBBB-0004-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M6:M541</xm:sqref>
        </x14:conditionalFormatting>
      </x14:conditionalFormattings>
    </ext>
  </extLst>
</worksheet>
</file>

<file path=xl/worksheets/sheet5.xml><?xml version="1.0" encoding="utf-8"?>
<worksheet xmlns="http://schemas.openxmlformats.org/spreadsheetml/2006/main" xmlns:r="http://schemas.openxmlformats.org/officeDocument/2006/relationships">
  <sheetPr>
    <tabColor rgb="FF3B64D8"/>
    <pageSetUpPr fitToPage="1"/>
  </sheetPr>
  <dimension ref="A1:N116"/>
  <sheetViews>
    <sheetView workbookViewId="0">
      <pane xSplit="3" ySplit="6" topLeftCell="D7" activePane="bottomRight" state="frozen"/>
      <selection pane="topRight" activeCell="D1" sqref="D1"/>
      <selection pane="bottomLeft" activeCell="A7" sqref="A7"/>
      <selection pane="bottomRight"/>
    </sheetView>
  </sheetViews>
  <sheetFormatPr defaultRowHeight="15"/>
  <cols>
    <col min="1" max="1" width="2.7109375" customWidth="1"/>
    <col min="2" max="2" width="12.28515625" customWidth="1"/>
    <col min="3" max="3" width="13.7109375" customWidth="1"/>
    <col min="4" max="4" width="12.28515625" customWidth="1"/>
    <col min="5" max="5" width="34.7109375" customWidth="1"/>
    <col min="6" max="6" width="40.7109375" customWidth="1"/>
    <col min="7" max="7" width="12.7109375" customWidth="1"/>
    <col min="8" max="9" width="12.28515625" customWidth="1"/>
    <col min="10" max="10" width="9.7109375" customWidth="1"/>
    <col min="11" max="11" width="8.28515625" customWidth="1"/>
    <col min="12" max="12" width="11.7109375" customWidth="1"/>
    <col min="13" max="13" width="9.28515625" customWidth="1"/>
    <col min="14" max="14" width="24.7109375" customWidth="1"/>
  </cols>
  <sheetData>
    <row r="1" spans="1:14" ht="30" customHeight="1">
      <c r="A1" s="1" t="s">
        <v>0</v>
      </c>
      <c r="B1" s="1"/>
      <c r="C1" s="1"/>
      <c r="D1" s="1"/>
      <c r="E1" s="1"/>
      <c r="F1" s="1"/>
      <c r="G1" s="1"/>
      <c r="H1" s="1"/>
      <c r="I1" s="1"/>
      <c r="J1" s="1"/>
      <c r="K1" s="1"/>
      <c r="L1" s="1"/>
      <c r="M1" s="1"/>
      <c r="N1" s="1"/>
    </row>
    <row r="2" spans="1:14" ht="21" customHeight="1">
      <c r="B2" s="2" t="s">
        <v>26</v>
      </c>
      <c r="C2" s="2"/>
      <c r="D2" s="2"/>
      <c r="E2" s="2"/>
      <c r="F2" s="2"/>
      <c r="G2" s="2"/>
      <c r="H2" s="2"/>
      <c r="I2" s="2"/>
      <c r="J2" s="2"/>
      <c r="K2" s="2"/>
      <c r="L2" s="2"/>
      <c r="M2" s="2"/>
      <c r="N2" s="3" t="s">
        <v>2</v>
      </c>
    </row>
    <row r="3" spans="1:14" ht="6" customHeight="1"/>
    <row r="4" spans="1:14" ht="29.76" customHeight="1">
      <c r="B4" s="37" t="s">
        <v>242</v>
      </c>
      <c r="C4" s="37"/>
      <c r="D4" s="37"/>
      <c r="E4" s="37"/>
      <c r="F4" s="37"/>
      <c r="G4" s="37"/>
      <c r="H4" s="37"/>
      <c r="I4" s="37"/>
      <c r="J4" s="37"/>
      <c r="K4" s="37"/>
      <c r="L4" s="37"/>
      <c r="M4" s="37"/>
      <c r="N4" s="37"/>
    </row>
    <row r="5" spans="1:14" ht="14" customHeight="1">
      <c r="B5" s="44"/>
      <c r="C5" s="44"/>
      <c r="D5" s="44"/>
      <c r="E5" s="44"/>
      <c r="F5" s="44"/>
      <c r="G5" s="44"/>
      <c r="H5" s="44"/>
      <c r="I5" s="44"/>
      <c r="J5" s="44" t="str">
        <f>AreaUnit</f>
        <v>m²</v>
      </c>
      <c r="K5" s="44" t="s">
        <v>78</v>
      </c>
      <c r="L5" s="44"/>
      <c r="M5" s="44"/>
      <c r="N5" s="44"/>
    </row>
    <row r="6" spans="1:14" ht="32" customHeight="1">
      <c r="B6" s="35" t="s">
        <v>234</v>
      </c>
      <c r="C6" s="35" t="s">
        <v>69</v>
      </c>
      <c r="D6" s="35" t="s">
        <v>129</v>
      </c>
      <c r="E6" s="35" t="s">
        <v>235</v>
      </c>
      <c r="F6" s="35" t="s">
        <v>236</v>
      </c>
      <c r="G6" s="35" t="s">
        <v>70</v>
      </c>
      <c r="H6" s="35" t="s">
        <v>237</v>
      </c>
      <c r="I6" s="35" t="s">
        <v>238</v>
      </c>
      <c r="J6" s="35" t="s">
        <v>239</v>
      </c>
      <c r="K6" s="35" t="s">
        <v>240</v>
      </c>
      <c r="L6" s="35" t="s">
        <v>223</v>
      </c>
      <c r="M6" s="35" t="s">
        <v>241</v>
      </c>
      <c r="N6" s="35" t="s">
        <v>226</v>
      </c>
    </row>
    <row r="7" spans="1:14">
      <c r="B7" s="30">
        <v>46120</v>
      </c>
      <c r="C7" s="28" t="s">
        <v>110</v>
      </c>
      <c r="D7" s="28" t="s">
        <v>136</v>
      </c>
      <c r="E7" s="38" t="s">
        <v>243</v>
      </c>
      <c r="F7" s="38" t="s">
        <v>244</v>
      </c>
      <c r="G7" s="28" t="s">
        <v>111</v>
      </c>
      <c r="H7" s="30">
        <v>46141</v>
      </c>
      <c r="I7" s="30">
        <v>46141</v>
      </c>
      <c r="J7" s="45">
        <v>3</v>
      </c>
      <c r="K7" s="33">
        <f>IF(tblActions[[#This Row],[Raised]]="","",IF(tblActions[[#This Row],[Closed]]="",AsOf-tblActions[[#This Row],[Raised]],tblActions[[#This Row],[Closed]]-tblActions[[#This Row],[Raised]]))</f>
        <v>21</v>
      </c>
      <c r="L7" s="41" t="str">
        <f>IF(tblActions[[#This Row],[Raised]]="","",IF(tblActions[[#This Row],[Closed]]&lt;&gt;"","Complete",IF(tblActions[[#This Row],[Due]]="","",IF(tblActions[[#This Row],[Due]]&lt;AsOf,"Overdue",IF(tblActions[[#This Row],[Due]]-AsOf&lt;=DueSoonDays,"Due soon","In progress")))))</f>
        <v>Complete</v>
      </c>
      <c r="M7" s="41" t="str">
        <f>IF(tblActions[[#This Row],[Raised]]="","",IF(OR(tblActions[[#This Row],[Closed]]="",tblActions[[#This Row],[Due]]=""),"",IF(tblActions[[#This Row],[Closed]]&lt;=tblActions[[#This Row],[Due]],"Yes","No")))</f>
        <v>Yes</v>
      </c>
      <c r="N7"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8" spans="1:14">
      <c r="B8" s="30">
        <v>46120</v>
      </c>
      <c r="C8" s="28" t="s">
        <v>110</v>
      </c>
      <c r="D8" s="28" t="s">
        <v>168</v>
      </c>
      <c r="E8" s="38" t="s">
        <v>245</v>
      </c>
      <c r="F8" s="38" t="s">
        <v>246</v>
      </c>
      <c r="G8" s="28" t="s">
        <v>111</v>
      </c>
      <c r="H8" s="30">
        <v>46141</v>
      </c>
      <c r="I8" s="30">
        <v>46140</v>
      </c>
      <c r="J8" s="45"/>
      <c r="K8" s="33">
        <f>IF(tblActions[[#This Row],[Raised]]="","",IF(tblActions[[#This Row],[Closed]]="",AsOf-tblActions[[#This Row],[Raised]],tblActions[[#This Row],[Closed]]-tblActions[[#This Row],[Raised]]))</f>
        <v>20</v>
      </c>
      <c r="L8" s="41" t="str">
        <f>IF(tblActions[[#This Row],[Raised]]="","",IF(tblActions[[#This Row],[Closed]]&lt;&gt;"","Complete",IF(tblActions[[#This Row],[Due]]="","",IF(tblActions[[#This Row],[Due]]&lt;AsOf,"Overdue",IF(tblActions[[#This Row],[Due]]-AsOf&lt;=DueSoonDays,"Due soon","In progress")))))</f>
        <v>Complete</v>
      </c>
      <c r="M8" s="41" t="str">
        <f>IF(tblActions[[#This Row],[Raised]]="","",IF(OR(tblActions[[#This Row],[Closed]]="",tblActions[[#This Row],[Due]]=""),"",IF(tblActions[[#This Row],[Closed]]&lt;=tblActions[[#This Row],[Due]],"Yes","No")))</f>
        <v>Yes</v>
      </c>
      <c r="N8"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9" spans="1:14">
      <c r="B9" s="30">
        <v>46120</v>
      </c>
      <c r="C9" s="28" t="s">
        <v>110</v>
      </c>
      <c r="D9" s="28" t="s">
        <v>184</v>
      </c>
      <c r="E9" s="38" t="s">
        <v>247</v>
      </c>
      <c r="F9" s="38" t="s">
        <v>248</v>
      </c>
      <c r="G9" s="28" t="s">
        <v>111</v>
      </c>
      <c r="H9" s="30">
        <v>46141</v>
      </c>
      <c r="I9" s="30">
        <v>46150</v>
      </c>
      <c r="J9" s="45"/>
      <c r="K9" s="33">
        <f>IF(tblActions[[#This Row],[Raised]]="","",IF(tblActions[[#This Row],[Closed]]="",AsOf-tblActions[[#This Row],[Raised]],tblActions[[#This Row],[Closed]]-tblActions[[#This Row],[Raised]]))</f>
        <v>30</v>
      </c>
      <c r="L9" s="41" t="str">
        <f>IF(tblActions[[#This Row],[Raised]]="","",IF(tblActions[[#This Row],[Closed]]&lt;&gt;"","Complete",IF(tblActions[[#This Row],[Due]]="","",IF(tblActions[[#This Row],[Due]]&lt;AsOf,"Overdue",IF(tblActions[[#This Row],[Due]]-AsOf&lt;=DueSoonDays,"Due soon","In progress")))))</f>
        <v>Complete</v>
      </c>
      <c r="M9" s="41" t="str">
        <f>IF(tblActions[[#This Row],[Raised]]="","",IF(OR(tblActions[[#This Row],[Closed]]="",tblActions[[#This Row],[Due]]=""),"",IF(tblActions[[#This Row],[Closed]]&lt;=tblActions[[#This Row],[Due]],"Yes","No")))</f>
        <v>No</v>
      </c>
      <c r="N9"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10" spans="1:14">
      <c r="B10" s="30">
        <v>46120</v>
      </c>
      <c r="C10" s="28" t="s">
        <v>110</v>
      </c>
      <c r="D10" s="28" t="s">
        <v>200</v>
      </c>
      <c r="E10" s="38" t="s">
        <v>249</v>
      </c>
      <c r="F10" s="38" t="s">
        <v>250</v>
      </c>
      <c r="G10" s="28" t="s">
        <v>111</v>
      </c>
      <c r="H10" s="30">
        <v>46148</v>
      </c>
      <c r="I10" s="30">
        <v>46136</v>
      </c>
      <c r="J10" s="45"/>
      <c r="K10" s="33">
        <f>IF(tblActions[[#This Row],[Raised]]="","",IF(tblActions[[#This Row],[Closed]]="",AsOf-tblActions[[#This Row],[Raised]],tblActions[[#This Row],[Closed]]-tblActions[[#This Row],[Raised]]))</f>
        <v>16</v>
      </c>
      <c r="L10" s="41" t="str">
        <f>IF(tblActions[[#This Row],[Raised]]="","",IF(tblActions[[#This Row],[Closed]]&lt;&gt;"","Complete",IF(tblActions[[#This Row],[Due]]="","",IF(tblActions[[#This Row],[Due]]&lt;AsOf,"Overdue",IF(tblActions[[#This Row],[Due]]-AsOf&lt;=DueSoonDays,"Due soon","In progress")))))</f>
        <v>Complete</v>
      </c>
      <c r="M10" s="41" t="str">
        <f>IF(tblActions[[#This Row],[Raised]]="","",IF(OR(tblActions[[#This Row],[Closed]]="",tblActions[[#This Row],[Due]]=""),"",IF(tblActions[[#This Row],[Closed]]&lt;=tblActions[[#This Row],[Due]],"Yes","No")))</f>
        <v>Yes</v>
      </c>
      <c r="N10"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11" spans="1:14">
      <c r="B11" s="30">
        <v>46121</v>
      </c>
      <c r="C11" s="28" t="s">
        <v>113</v>
      </c>
      <c r="D11" s="28" t="s">
        <v>152</v>
      </c>
      <c r="E11" s="38" t="s">
        <v>251</v>
      </c>
      <c r="F11" s="38" t="s">
        <v>252</v>
      </c>
      <c r="G11" s="28" t="s">
        <v>114</v>
      </c>
      <c r="H11" s="30">
        <v>46142</v>
      </c>
      <c r="I11" s="30">
        <v>46131</v>
      </c>
      <c r="J11" s="45"/>
      <c r="K11" s="33">
        <f>IF(tblActions[[#This Row],[Raised]]="","",IF(tblActions[[#This Row],[Closed]]="",AsOf-tblActions[[#This Row],[Raised]],tblActions[[#This Row],[Closed]]-tblActions[[#This Row],[Raised]]))</f>
        <v>10</v>
      </c>
      <c r="L11" s="41" t="str">
        <f>IF(tblActions[[#This Row],[Raised]]="","",IF(tblActions[[#This Row],[Closed]]&lt;&gt;"","Complete",IF(tblActions[[#This Row],[Due]]="","",IF(tblActions[[#This Row],[Due]]&lt;AsOf,"Overdue",IF(tblActions[[#This Row],[Due]]-AsOf&lt;=DueSoonDays,"Due soon","In progress")))))</f>
        <v>Complete</v>
      </c>
      <c r="M11" s="41" t="str">
        <f>IF(tblActions[[#This Row],[Raised]]="","",IF(OR(tblActions[[#This Row],[Closed]]="",tblActions[[#This Row],[Due]]=""),"",IF(tblActions[[#This Row],[Closed]]&lt;=tblActions[[#This Row],[Due]],"Yes","No")))</f>
        <v>Yes</v>
      </c>
      <c r="N11"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12" spans="1:14">
      <c r="B12" s="30">
        <v>46121</v>
      </c>
      <c r="C12" s="28" t="s">
        <v>113</v>
      </c>
      <c r="D12" s="28" t="s">
        <v>184</v>
      </c>
      <c r="E12" s="38" t="s">
        <v>253</v>
      </c>
      <c r="F12" s="38" t="s">
        <v>254</v>
      </c>
      <c r="G12" s="28" t="s">
        <v>114</v>
      </c>
      <c r="H12" s="30">
        <v>46149</v>
      </c>
      <c r="I12" s="30">
        <v>46150</v>
      </c>
      <c r="J12" s="45"/>
      <c r="K12" s="33">
        <f>IF(tblActions[[#This Row],[Raised]]="","",IF(tblActions[[#This Row],[Closed]]="",AsOf-tblActions[[#This Row],[Raised]],tblActions[[#This Row],[Closed]]-tblActions[[#This Row],[Raised]]))</f>
        <v>29</v>
      </c>
      <c r="L12" s="41" t="str">
        <f>IF(tblActions[[#This Row],[Raised]]="","",IF(tblActions[[#This Row],[Closed]]&lt;&gt;"","Complete",IF(tblActions[[#This Row],[Due]]="","",IF(tblActions[[#This Row],[Due]]&lt;AsOf,"Overdue",IF(tblActions[[#This Row],[Due]]-AsOf&lt;=DueSoonDays,"Due soon","In progress")))))</f>
        <v>Complete</v>
      </c>
      <c r="M12" s="41" t="str">
        <f>IF(tblActions[[#This Row],[Raised]]="","",IF(OR(tblActions[[#This Row],[Closed]]="",tblActions[[#This Row],[Due]]=""),"",IF(tblActions[[#This Row],[Closed]]&lt;=tblActions[[#This Row],[Due]],"Yes","No")))</f>
        <v>No</v>
      </c>
      <c r="N12"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13" spans="1:14">
      <c r="B13" s="30">
        <v>46121</v>
      </c>
      <c r="C13" s="28" t="s">
        <v>113</v>
      </c>
      <c r="D13" s="28" t="s">
        <v>200</v>
      </c>
      <c r="E13" s="38" t="s">
        <v>255</v>
      </c>
      <c r="F13" s="38" t="s">
        <v>256</v>
      </c>
      <c r="G13" s="28" t="s">
        <v>114</v>
      </c>
      <c r="H13" s="30">
        <v>46163</v>
      </c>
      <c r="I13" s="30">
        <v>46161</v>
      </c>
      <c r="J13" s="45"/>
      <c r="K13" s="33">
        <f>IF(tblActions[[#This Row],[Raised]]="","",IF(tblActions[[#This Row],[Closed]]="",AsOf-tblActions[[#This Row],[Raised]],tblActions[[#This Row],[Closed]]-tblActions[[#This Row],[Raised]]))</f>
        <v>40</v>
      </c>
      <c r="L13" s="41" t="str">
        <f>IF(tblActions[[#This Row],[Raised]]="","",IF(tblActions[[#This Row],[Closed]]&lt;&gt;"","Complete",IF(tblActions[[#This Row],[Due]]="","",IF(tblActions[[#This Row],[Due]]&lt;AsOf,"Overdue",IF(tblActions[[#This Row],[Due]]-AsOf&lt;=DueSoonDays,"Due soon","In progress")))))</f>
        <v>Complete</v>
      </c>
      <c r="M13" s="41" t="str">
        <f>IF(tblActions[[#This Row],[Raised]]="","",IF(OR(tblActions[[#This Row],[Closed]]="",tblActions[[#This Row],[Due]]=""),"",IF(tblActions[[#This Row],[Closed]]&lt;=tblActions[[#This Row],[Due]],"Yes","No")))</f>
        <v>Yes</v>
      </c>
      <c r="N13"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14" spans="1:14">
      <c r="B14" s="30">
        <v>46122</v>
      </c>
      <c r="C14" s="28" t="s">
        <v>116</v>
      </c>
      <c r="D14" s="28" t="s">
        <v>168</v>
      </c>
      <c r="E14" s="38" t="s">
        <v>257</v>
      </c>
      <c r="F14" s="38" t="s">
        <v>258</v>
      </c>
      <c r="G14" s="28" t="s">
        <v>117</v>
      </c>
      <c r="H14" s="30">
        <v>46143</v>
      </c>
      <c r="I14" s="30">
        <v>46134</v>
      </c>
      <c r="J14" s="45"/>
      <c r="K14" s="33">
        <f>IF(tblActions[[#This Row],[Raised]]="","",IF(tblActions[[#This Row],[Closed]]="",AsOf-tblActions[[#This Row],[Raised]],tblActions[[#This Row],[Closed]]-tblActions[[#This Row],[Raised]]))</f>
        <v>12</v>
      </c>
      <c r="L14" s="41" t="str">
        <f>IF(tblActions[[#This Row],[Raised]]="","",IF(tblActions[[#This Row],[Closed]]&lt;&gt;"","Complete",IF(tblActions[[#This Row],[Due]]="","",IF(tblActions[[#This Row],[Due]]&lt;AsOf,"Overdue",IF(tblActions[[#This Row],[Due]]-AsOf&lt;=DueSoonDays,"Due soon","In progress")))))</f>
        <v>Complete</v>
      </c>
      <c r="M14" s="41" t="str">
        <f>IF(tblActions[[#This Row],[Raised]]="","",IF(OR(tblActions[[#This Row],[Closed]]="",tblActions[[#This Row],[Due]]=""),"",IF(tblActions[[#This Row],[Closed]]&lt;=tblActions[[#This Row],[Due]],"Yes","No")))</f>
        <v>Yes</v>
      </c>
      <c r="N14"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15" spans="1:14">
      <c r="B15" s="30">
        <v>46122</v>
      </c>
      <c r="C15" s="28" t="s">
        <v>116</v>
      </c>
      <c r="D15" s="28" t="s">
        <v>184</v>
      </c>
      <c r="E15" s="38" t="s">
        <v>259</v>
      </c>
      <c r="F15" s="38" t="s">
        <v>260</v>
      </c>
      <c r="G15" s="28" t="s">
        <v>117</v>
      </c>
      <c r="H15" s="30">
        <v>46143</v>
      </c>
      <c r="I15" s="30">
        <v>46154</v>
      </c>
      <c r="J15" s="45"/>
      <c r="K15" s="33">
        <f>IF(tblActions[[#This Row],[Raised]]="","",IF(tblActions[[#This Row],[Closed]]="",AsOf-tblActions[[#This Row],[Raised]],tblActions[[#This Row],[Closed]]-tblActions[[#This Row],[Raised]]))</f>
        <v>32</v>
      </c>
      <c r="L15" s="41" t="str">
        <f>IF(tblActions[[#This Row],[Raised]]="","",IF(tblActions[[#This Row],[Closed]]&lt;&gt;"","Complete",IF(tblActions[[#This Row],[Due]]="","",IF(tblActions[[#This Row],[Due]]&lt;AsOf,"Overdue",IF(tblActions[[#This Row],[Due]]-AsOf&lt;=DueSoonDays,"Due soon","In progress")))))</f>
        <v>Complete</v>
      </c>
      <c r="M15" s="41" t="str">
        <f>IF(tblActions[[#This Row],[Raised]]="","",IF(OR(tblActions[[#This Row],[Closed]]="",tblActions[[#This Row],[Due]]=""),"",IF(tblActions[[#This Row],[Closed]]&lt;=tblActions[[#This Row],[Due]],"Yes","No")))</f>
        <v>No</v>
      </c>
      <c r="N15"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16" spans="1:14">
      <c r="B16" s="30">
        <v>46122</v>
      </c>
      <c r="C16" s="28" t="s">
        <v>116</v>
      </c>
      <c r="D16" s="28" t="s">
        <v>200</v>
      </c>
      <c r="E16" s="38" t="s">
        <v>255</v>
      </c>
      <c r="F16" s="38" t="s">
        <v>256</v>
      </c>
      <c r="G16" s="28" t="s">
        <v>117</v>
      </c>
      <c r="H16" s="30">
        <v>46164</v>
      </c>
      <c r="I16" s="30">
        <v>46168</v>
      </c>
      <c r="J16" s="45"/>
      <c r="K16" s="33">
        <f>IF(tblActions[[#This Row],[Raised]]="","",IF(tblActions[[#This Row],[Closed]]="",AsOf-tblActions[[#This Row],[Raised]],tblActions[[#This Row],[Closed]]-tblActions[[#This Row],[Raised]]))</f>
        <v>46</v>
      </c>
      <c r="L16" s="41" t="str">
        <f>IF(tblActions[[#This Row],[Raised]]="","",IF(tblActions[[#This Row],[Closed]]&lt;&gt;"","Complete",IF(tblActions[[#This Row],[Due]]="","",IF(tblActions[[#This Row],[Due]]&lt;AsOf,"Overdue",IF(tblActions[[#This Row],[Due]]-AsOf&lt;=DueSoonDays,"Due soon","In progress")))))</f>
        <v>Complete</v>
      </c>
      <c r="M16" s="41" t="str">
        <f>IF(tblActions[[#This Row],[Raised]]="","",IF(OR(tblActions[[#This Row],[Closed]]="",tblActions[[#This Row],[Due]]=""),"",IF(tblActions[[#This Row],[Closed]]&lt;=tblActions[[#This Row],[Due]],"Yes","No")))</f>
        <v>No</v>
      </c>
      <c r="N16"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17" spans="2:14">
      <c r="B17" s="30">
        <v>46125</v>
      </c>
      <c r="C17" s="28" t="s">
        <v>119</v>
      </c>
      <c r="D17" s="28" t="s">
        <v>168</v>
      </c>
      <c r="E17" s="38" t="s">
        <v>245</v>
      </c>
      <c r="F17" s="38" t="s">
        <v>246</v>
      </c>
      <c r="G17" s="28" t="s">
        <v>120</v>
      </c>
      <c r="H17" s="30">
        <v>46146</v>
      </c>
      <c r="I17" s="30">
        <v>46136</v>
      </c>
      <c r="J17" s="45"/>
      <c r="K17" s="33">
        <f>IF(tblActions[[#This Row],[Raised]]="","",IF(tblActions[[#This Row],[Closed]]="",AsOf-tblActions[[#This Row],[Raised]],tblActions[[#This Row],[Closed]]-tblActions[[#This Row],[Raised]]))</f>
        <v>11</v>
      </c>
      <c r="L17" s="41" t="str">
        <f>IF(tblActions[[#This Row],[Raised]]="","",IF(tblActions[[#This Row],[Closed]]&lt;&gt;"","Complete",IF(tblActions[[#This Row],[Due]]="","",IF(tblActions[[#This Row],[Due]]&lt;AsOf,"Overdue",IF(tblActions[[#This Row],[Due]]-AsOf&lt;=DueSoonDays,"Due soon","In progress")))))</f>
        <v>Complete</v>
      </c>
      <c r="M17" s="41" t="str">
        <f>IF(tblActions[[#This Row],[Raised]]="","",IF(OR(tblActions[[#This Row],[Closed]]="",tblActions[[#This Row],[Due]]=""),"",IF(tblActions[[#This Row],[Closed]]&lt;=tblActions[[#This Row],[Due]],"Yes","No")))</f>
        <v>Yes</v>
      </c>
      <c r="N17"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18" spans="2:14">
      <c r="B18" s="30">
        <v>46125</v>
      </c>
      <c r="C18" s="28" t="s">
        <v>119</v>
      </c>
      <c r="D18" s="28" t="s">
        <v>184</v>
      </c>
      <c r="E18" s="38" t="s">
        <v>253</v>
      </c>
      <c r="F18" s="38" t="s">
        <v>254</v>
      </c>
      <c r="G18" s="28" t="s">
        <v>120</v>
      </c>
      <c r="H18" s="30">
        <v>46167</v>
      </c>
      <c r="I18" s="30">
        <v>46149</v>
      </c>
      <c r="J18" s="45"/>
      <c r="K18" s="33">
        <f>IF(tblActions[[#This Row],[Raised]]="","",IF(tblActions[[#This Row],[Closed]]="",AsOf-tblActions[[#This Row],[Raised]],tblActions[[#This Row],[Closed]]-tblActions[[#This Row],[Raised]]))</f>
        <v>24</v>
      </c>
      <c r="L18" s="41" t="str">
        <f>IF(tblActions[[#This Row],[Raised]]="","",IF(tblActions[[#This Row],[Closed]]&lt;&gt;"","Complete",IF(tblActions[[#This Row],[Due]]="","",IF(tblActions[[#This Row],[Due]]&lt;AsOf,"Overdue",IF(tblActions[[#This Row],[Due]]-AsOf&lt;=DueSoonDays,"Due soon","In progress")))))</f>
        <v>Complete</v>
      </c>
      <c r="M18" s="41" t="str">
        <f>IF(tblActions[[#This Row],[Raised]]="","",IF(OR(tblActions[[#This Row],[Closed]]="",tblActions[[#This Row],[Due]]=""),"",IF(tblActions[[#This Row],[Closed]]&lt;=tblActions[[#This Row],[Due]],"Yes","No")))</f>
        <v>Yes</v>
      </c>
      <c r="N18"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19" spans="2:14">
      <c r="B19" s="30">
        <v>46125</v>
      </c>
      <c r="C19" s="28" t="s">
        <v>119</v>
      </c>
      <c r="D19" s="28" t="s">
        <v>200</v>
      </c>
      <c r="E19" s="38" t="s">
        <v>261</v>
      </c>
      <c r="F19" s="38" t="s">
        <v>262</v>
      </c>
      <c r="G19" s="28" t="s">
        <v>120</v>
      </c>
      <c r="H19" s="30">
        <v>46167</v>
      </c>
      <c r="I19" s="30">
        <v>46182</v>
      </c>
      <c r="J19" s="45"/>
      <c r="K19" s="33">
        <f>IF(tblActions[[#This Row],[Raised]]="","",IF(tblActions[[#This Row],[Closed]]="",AsOf-tblActions[[#This Row],[Raised]],tblActions[[#This Row],[Closed]]-tblActions[[#This Row],[Raised]]))</f>
        <v>57</v>
      </c>
      <c r="L19" s="41" t="str">
        <f>IF(tblActions[[#This Row],[Raised]]="","",IF(tblActions[[#This Row],[Closed]]&lt;&gt;"","Complete",IF(tblActions[[#This Row],[Due]]="","",IF(tblActions[[#This Row],[Due]]&lt;AsOf,"Overdue",IF(tblActions[[#This Row],[Due]]-AsOf&lt;=DueSoonDays,"Due soon","In progress")))))</f>
        <v>Complete</v>
      </c>
      <c r="M19" s="41" t="str">
        <f>IF(tblActions[[#This Row],[Raised]]="","",IF(OR(tblActions[[#This Row],[Closed]]="",tblActions[[#This Row],[Due]]=""),"",IF(tblActions[[#This Row],[Closed]]&lt;=tblActions[[#This Row],[Due]],"Yes","No")))</f>
        <v>No</v>
      </c>
      <c r="N19"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20" spans="2:14">
      <c r="B20" s="30">
        <v>46125</v>
      </c>
      <c r="C20" s="28" t="s">
        <v>122</v>
      </c>
      <c r="D20" s="28" t="s">
        <v>152</v>
      </c>
      <c r="E20" s="38" t="s">
        <v>251</v>
      </c>
      <c r="F20" s="38" t="s">
        <v>252</v>
      </c>
      <c r="G20" s="28" t="s">
        <v>123</v>
      </c>
      <c r="H20" s="30">
        <v>46139</v>
      </c>
      <c r="I20" s="30">
        <v>46131</v>
      </c>
      <c r="J20" s="45"/>
      <c r="K20" s="33">
        <f>IF(tblActions[[#This Row],[Raised]]="","",IF(tblActions[[#This Row],[Closed]]="",AsOf-tblActions[[#This Row],[Raised]],tblActions[[#This Row],[Closed]]-tblActions[[#This Row],[Raised]]))</f>
        <v>6</v>
      </c>
      <c r="L20" s="41" t="str">
        <f>IF(tblActions[[#This Row],[Raised]]="","",IF(tblActions[[#This Row],[Closed]]&lt;&gt;"","Complete",IF(tblActions[[#This Row],[Due]]="","",IF(tblActions[[#This Row],[Due]]&lt;AsOf,"Overdue",IF(tblActions[[#This Row],[Due]]-AsOf&lt;=DueSoonDays,"Due soon","In progress")))))</f>
        <v>Complete</v>
      </c>
      <c r="M20" s="41" t="str">
        <f>IF(tblActions[[#This Row],[Raised]]="","",IF(OR(tblActions[[#This Row],[Closed]]="",tblActions[[#This Row],[Due]]=""),"",IF(tblActions[[#This Row],[Closed]]&lt;=tblActions[[#This Row],[Due]],"Yes","No")))</f>
        <v>Yes</v>
      </c>
      <c r="N20"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21" spans="2:14">
      <c r="B21" s="30">
        <v>46125</v>
      </c>
      <c r="C21" s="28" t="s">
        <v>122</v>
      </c>
      <c r="D21" s="28" t="s">
        <v>168</v>
      </c>
      <c r="E21" s="38" t="s">
        <v>257</v>
      </c>
      <c r="F21" s="38" t="s">
        <v>258</v>
      </c>
      <c r="G21" s="28" t="s">
        <v>123</v>
      </c>
      <c r="H21" s="30">
        <v>46139</v>
      </c>
      <c r="I21" s="30">
        <v>46132</v>
      </c>
      <c r="J21" s="45"/>
      <c r="K21" s="33">
        <f>IF(tblActions[[#This Row],[Raised]]="","",IF(tblActions[[#This Row],[Closed]]="",AsOf-tblActions[[#This Row],[Raised]],tblActions[[#This Row],[Closed]]-tblActions[[#This Row],[Raised]]))</f>
        <v>7</v>
      </c>
      <c r="L21" s="41" t="str">
        <f>IF(tblActions[[#This Row],[Raised]]="","",IF(tblActions[[#This Row],[Closed]]&lt;&gt;"","Complete",IF(tblActions[[#This Row],[Due]]="","",IF(tblActions[[#This Row],[Due]]&lt;AsOf,"Overdue",IF(tblActions[[#This Row],[Due]]-AsOf&lt;=DueSoonDays,"Due soon","In progress")))))</f>
        <v>Complete</v>
      </c>
      <c r="M21" s="41" t="str">
        <f>IF(tblActions[[#This Row],[Raised]]="","",IF(OR(tblActions[[#This Row],[Closed]]="",tblActions[[#This Row],[Due]]=""),"",IF(tblActions[[#This Row],[Closed]]&lt;=tblActions[[#This Row],[Due]],"Yes","No")))</f>
        <v>Yes</v>
      </c>
      <c r="N21"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22" spans="2:14">
      <c r="B22" s="30">
        <v>46125</v>
      </c>
      <c r="C22" s="28" t="s">
        <v>122</v>
      </c>
      <c r="D22" s="28" t="s">
        <v>200</v>
      </c>
      <c r="E22" s="38" t="s">
        <v>255</v>
      </c>
      <c r="F22" s="38" t="s">
        <v>256</v>
      </c>
      <c r="G22" s="28" t="s">
        <v>123</v>
      </c>
      <c r="H22" s="30">
        <v>46167</v>
      </c>
      <c r="I22" s="30">
        <v>46167</v>
      </c>
      <c r="J22" s="45"/>
      <c r="K22" s="33">
        <f>IF(tblActions[[#This Row],[Raised]]="","",IF(tblActions[[#This Row],[Closed]]="",AsOf-tblActions[[#This Row],[Raised]],tblActions[[#This Row],[Closed]]-tblActions[[#This Row],[Raised]]))</f>
        <v>42</v>
      </c>
      <c r="L22" s="41" t="str">
        <f>IF(tblActions[[#This Row],[Raised]]="","",IF(tblActions[[#This Row],[Closed]]&lt;&gt;"","Complete",IF(tblActions[[#This Row],[Due]]="","",IF(tblActions[[#This Row],[Due]]&lt;AsOf,"Overdue",IF(tblActions[[#This Row],[Due]]-AsOf&lt;=DueSoonDays,"Due soon","In progress")))))</f>
        <v>Complete</v>
      </c>
      <c r="M22" s="41" t="str">
        <f>IF(tblActions[[#This Row],[Raised]]="","",IF(OR(tblActions[[#This Row],[Closed]]="",tblActions[[#This Row],[Due]]=""),"",IF(tblActions[[#This Row],[Closed]]&lt;=tblActions[[#This Row],[Due]],"Yes","No")))</f>
        <v>Yes</v>
      </c>
      <c r="N22"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23" spans="2:14">
      <c r="B23" s="30">
        <v>46125</v>
      </c>
      <c r="C23" s="28" t="s">
        <v>125</v>
      </c>
      <c r="D23" s="28" t="s">
        <v>136</v>
      </c>
      <c r="E23" s="38" t="s">
        <v>263</v>
      </c>
      <c r="F23" s="38" t="s">
        <v>264</v>
      </c>
      <c r="G23" s="28" t="s">
        <v>126</v>
      </c>
      <c r="H23" s="30">
        <v>46153</v>
      </c>
      <c r="I23" s="30">
        <v>46149</v>
      </c>
      <c r="J23" s="45">
        <v>24</v>
      </c>
      <c r="K23" s="33">
        <f>IF(tblActions[[#This Row],[Raised]]="","",IF(tblActions[[#This Row],[Closed]]="",AsOf-tblActions[[#This Row],[Raised]],tblActions[[#This Row],[Closed]]-tblActions[[#This Row],[Raised]]))</f>
        <v>24</v>
      </c>
      <c r="L23" s="41" t="str">
        <f>IF(tblActions[[#This Row],[Raised]]="","",IF(tblActions[[#This Row],[Closed]]&lt;&gt;"","Complete",IF(tblActions[[#This Row],[Due]]="","",IF(tblActions[[#This Row],[Due]]&lt;AsOf,"Overdue",IF(tblActions[[#This Row],[Due]]-AsOf&lt;=DueSoonDays,"Due soon","In progress")))))</f>
        <v>Complete</v>
      </c>
      <c r="M23" s="41" t="str">
        <f>IF(tblActions[[#This Row],[Raised]]="","",IF(OR(tblActions[[#This Row],[Closed]]="",tblActions[[#This Row],[Due]]=""),"",IF(tblActions[[#This Row],[Closed]]&lt;=tblActions[[#This Row],[Due]],"Yes","No")))</f>
        <v>Yes</v>
      </c>
      <c r="N23"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24" spans="2:14">
      <c r="B24" s="30">
        <v>46125</v>
      </c>
      <c r="C24" s="28" t="s">
        <v>125</v>
      </c>
      <c r="D24" s="28" t="s">
        <v>136</v>
      </c>
      <c r="E24" s="38" t="s">
        <v>265</v>
      </c>
      <c r="F24" s="38" t="s">
        <v>266</v>
      </c>
      <c r="G24" s="28" t="s">
        <v>126</v>
      </c>
      <c r="H24" s="30">
        <v>46139</v>
      </c>
      <c r="I24" s="30">
        <v>46133</v>
      </c>
      <c r="J24" s="45">
        <v>3</v>
      </c>
      <c r="K24" s="33">
        <f>IF(tblActions[[#This Row],[Raised]]="","",IF(tblActions[[#This Row],[Closed]]="",AsOf-tblActions[[#This Row],[Raised]],tblActions[[#This Row],[Closed]]-tblActions[[#This Row],[Raised]]))</f>
        <v>8</v>
      </c>
      <c r="L24" s="41" t="str">
        <f>IF(tblActions[[#This Row],[Raised]]="","",IF(tblActions[[#This Row],[Closed]]&lt;&gt;"","Complete",IF(tblActions[[#This Row],[Due]]="","",IF(tblActions[[#This Row],[Due]]&lt;AsOf,"Overdue",IF(tblActions[[#This Row],[Due]]-AsOf&lt;=DueSoonDays,"Due soon","In progress")))))</f>
        <v>Complete</v>
      </c>
      <c r="M24" s="41" t="str">
        <f>IF(tblActions[[#This Row],[Raised]]="","",IF(OR(tblActions[[#This Row],[Closed]]="",tblActions[[#This Row],[Due]]=""),"",IF(tblActions[[#This Row],[Closed]]&lt;=tblActions[[#This Row],[Due]],"Yes","No")))</f>
        <v>Yes</v>
      </c>
      <c r="N24"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25" spans="2:14">
      <c r="B25" s="30">
        <v>46125</v>
      </c>
      <c r="C25" s="28" t="s">
        <v>125</v>
      </c>
      <c r="D25" s="28" t="s">
        <v>152</v>
      </c>
      <c r="E25" s="38" t="s">
        <v>251</v>
      </c>
      <c r="F25" s="38" t="s">
        <v>252</v>
      </c>
      <c r="G25" s="28" t="s">
        <v>126</v>
      </c>
      <c r="H25" s="30">
        <v>46146</v>
      </c>
      <c r="I25" s="30">
        <v>46138</v>
      </c>
      <c r="J25" s="45"/>
      <c r="K25" s="33">
        <f>IF(tblActions[[#This Row],[Raised]]="","",IF(tblActions[[#This Row],[Closed]]="",AsOf-tblActions[[#This Row],[Raised]],tblActions[[#This Row],[Closed]]-tblActions[[#This Row],[Raised]]))</f>
        <v>13</v>
      </c>
      <c r="L25" s="41" t="str">
        <f>IF(tblActions[[#This Row],[Raised]]="","",IF(tblActions[[#This Row],[Closed]]&lt;&gt;"","Complete",IF(tblActions[[#This Row],[Due]]="","",IF(tblActions[[#This Row],[Due]]&lt;AsOf,"Overdue",IF(tblActions[[#This Row],[Due]]-AsOf&lt;=DueSoonDays,"Due soon","In progress")))))</f>
        <v>Complete</v>
      </c>
      <c r="M25" s="41" t="str">
        <f>IF(tblActions[[#This Row],[Raised]]="","",IF(OR(tblActions[[#This Row],[Closed]]="",tblActions[[#This Row],[Due]]=""),"",IF(tblActions[[#This Row],[Closed]]&lt;=tblActions[[#This Row],[Due]],"Yes","No")))</f>
        <v>Yes</v>
      </c>
      <c r="N25"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26" spans="2:14">
      <c r="B26" s="30">
        <v>46125</v>
      </c>
      <c r="C26" s="28" t="s">
        <v>125</v>
      </c>
      <c r="D26" s="28" t="s">
        <v>184</v>
      </c>
      <c r="E26" s="38" t="s">
        <v>247</v>
      </c>
      <c r="F26" s="38" t="s">
        <v>248</v>
      </c>
      <c r="G26" s="28" t="s">
        <v>126</v>
      </c>
      <c r="H26" s="30">
        <v>46146</v>
      </c>
      <c r="I26" s="30">
        <v>46152</v>
      </c>
      <c r="J26" s="45"/>
      <c r="K26" s="33">
        <f>IF(tblActions[[#This Row],[Raised]]="","",IF(tblActions[[#This Row],[Closed]]="",AsOf-tblActions[[#This Row],[Raised]],tblActions[[#This Row],[Closed]]-tblActions[[#This Row],[Raised]]))</f>
        <v>27</v>
      </c>
      <c r="L26" s="41" t="str">
        <f>IF(tblActions[[#This Row],[Raised]]="","",IF(tblActions[[#This Row],[Closed]]&lt;&gt;"","Complete",IF(tblActions[[#This Row],[Due]]="","",IF(tblActions[[#This Row],[Due]]&lt;AsOf,"Overdue",IF(tblActions[[#This Row],[Due]]-AsOf&lt;=DueSoonDays,"Due soon","In progress")))))</f>
        <v>Complete</v>
      </c>
      <c r="M26" s="41" t="str">
        <f>IF(tblActions[[#This Row],[Raised]]="","",IF(OR(tblActions[[#This Row],[Closed]]="",tblActions[[#This Row],[Due]]=""),"",IF(tblActions[[#This Row],[Closed]]&lt;=tblActions[[#This Row],[Due]],"Yes","No")))</f>
        <v>No</v>
      </c>
      <c r="N26"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27" spans="2:14">
      <c r="B27" s="30">
        <v>46125</v>
      </c>
      <c r="C27" s="28" t="s">
        <v>125</v>
      </c>
      <c r="D27" s="28" t="s">
        <v>200</v>
      </c>
      <c r="E27" s="38" t="s">
        <v>249</v>
      </c>
      <c r="F27" s="38" t="s">
        <v>250</v>
      </c>
      <c r="G27" s="28" t="s">
        <v>126</v>
      </c>
      <c r="H27" s="30">
        <v>46167</v>
      </c>
      <c r="I27" s="30">
        <v>46190</v>
      </c>
      <c r="J27" s="45"/>
      <c r="K27" s="33">
        <f>IF(tblActions[[#This Row],[Raised]]="","",IF(tblActions[[#This Row],[Closed]]="",AsOf-tblActions[[#This Row],[Raised]],tblActions[[#This Row],[Closed]]-tblActions[[#This Row],[Raised]]))</f>
        <v>65</v>
      </c>
      <c r="L27" s="41" t="str">
        <f>IF(tblActions[[#This Row],[Raised]]="","",IF(tblActions[[#This Row],[Closed]]&lt;&gt;"","Complete",IF(tblActions[[#This Row],[Due]]="","",IF(tblActions[[#This Row],[Due]]&lt;AsOf,"Overdue",IF(tblActions[[#This Row],[Due]]-AsOf&lt;=DueSoonDays,"Due soon","In progress")))))</f>
        <v>Complete</v>
      </c>
      <c r="M27" s="41" t="str">
        <f>IF(tblActions[[#This Row],[Raised]]="","",IF(OR(tblActions[[#This Row],[Closed]]="",tblActions[[#This Row],[Due]]=""),"",IF(tblActions[[#This Row],[Closed]]&lt;=tblActions[[#This Row],[Due]],"Yes","No")))</f>
        <v>No</v>
      </c>
      <c r="N27"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28" spans="2:14">
      <c r="B28" s="30">
        <v>46150</v>
      </c>
      <c r="C28" s="28" t="s">
        <v>110</v>
      </c>
      <c r="D28" s="28" t="s">
        <v>152</v>
      </c>
      <c r="E28" s="38" t="s">
        <v>267</v>
      </c>
      <c r="F28" s="38" t="s">
        <v>268</v>
      </c>
      <c r="G28" s="28" t="s">
        <v>111</v>
      </c>
      <c r="H28" s="30">
        <v>46164</v>
      </c>
      <c r="I28" s="30">
        <v>46163</v>
      </c>
      <c r="J28" s="45"/>
      <c r="K28" s="33">
        <f>IF(tblActions[[#This Row],[Raised]]="","",IF(tblActions[[#This Row],[Closed]]="",AsOf-tblActions[[#This Row],[Raised]],tblActions[[#This Row],[Closed]]-tblActions[[#This Row],[Raised]]))</f>
        <v>13</v>
      </c>
      <c r="L28" s="41" t="str">
        <f>IF(tblActions[[#This Row],[Raised]]="","",IF(tblActions[[#This Row],[Closed]]&lt;&gt;"","Complete",IF(tblActions[[#This Row],[Due]]="","",IF(tblActions[[#This Row],[Due]]&lt;AsOf,"Overdue",IF(tblActions[[#This Row],[Due]]-AsOf&lt;=DueSoonDays,"Due soon","In progress")))))</f>
        <v>Complete</v>
      </c>
      <c r="M28" s="41" t="str">
        <f>IF(tblActions[[#This Row],[Raised]]="","",IF(OR(tblActions[[#This Row],[Closed]]="",tblActions[[#This Row],[Due]]=""),"",IF(tblActions[[#This Row],[Closed]]&lt;=tblActions[[#This Row],[Due]],"Yes","No")))</f>
        <v>Yes</v>
      </c>
      <c r="N28"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29" spans="2:14">
      <c r="B29" s="30">
        <v>46150</v>
      </c>
      <c r="C29" s="28" t="s">
        <v>110</v>
      </c>
      <c r="D29" s="28" t="s">
        <v>168</v>
      </c>
      <c r="E29" s="38" t="s">
        <v>245</v>
      </c>
      <c r="F29" s="38" t="s">
        <v>246</v>
      </c>
      <c r="G29" s="28" t="s">
        <v>111</v>
      </c>
      <c r="H29" s="30">
        <v>46171</v>
      </c>
      <c r="I29" s="30">
        <v>46170</v>
      </c>
      <c r="J29" s="45"/>
      <c r="K29" s="33">
        <f>IF(tblActions[[#This Row],[Raised]]="","",IF(tblActions[[#This Row],[Closed]]="",AsOf-tblActions[[#This Row],[Raised]],tblActions[[#This Row],[Closed]]-tblActions[[#This Row],[Raised]]))</f>
        <v>20</v>
      </c>
      <c r="L29" s="41" t="str">
        <f>IF(tblActions[[#This Row],[Raised]]="","",IF(tblActions[[#This Row],[Closed]]&lt;&gt;"","Complete",IF(tblActions[[#This Row],[Due]]="","",IF(tblActions[[#This Row],[Due]]&lt;AsOf,"Overdue",IF(tblActions[[#This Row],[Due]]-AsOf&lt;=DueSoonDays,"Due soon","In progress")))))</f>
        <v>Complete</v>
      </c>
      <c r="M29" s="41" t="str">
        <f>IF(tblActions[[#This Row],[Raised]]="","",IF(OR(tblActions[[#This Row],[Closed]]="",tblActions[[#This Row],[Due]]=""),"",IF(tblActions[[#This Row],[Closed]]&lt;=tblActions[[#This Row],[Due]],"Yes","No")))</f>
        <v>Yes</v>
      </c>
      <c r="N29"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30" spans="2:14">
      <c r="B30" s="30">
        <v>46150</v>
      </c>
      <c r="C30" s="28" t="s">
        <v>110</v>
      </c>
      <c r="D30" s="28" t="s">
        <v>184</v>
      </c>
      <c r="E30" s="38" t="s">
        <v>259</v>
      </c>
      <c r="F30" s="38" t="s">
        <v>260</v>
      </c>
      <c r="G30" s="28" t="s">
        <v>111</v>
      </c>
      <c r="H30" s="30">
        <v>46178</v>
      </c>
      <c r="I30" s="30">
        <v>46170</v>
      </c>
      <c r="J30" s="45"/>
      <c r="K30" s="33">
        <f>IF(tblActions[[#This Row],[Raised]]="","",IF(tblActions[[#This Row],[Closed]]="",AsOf-tblActions[[#This Row],[Raised]],tblActions[[#This Row],[Closed]]-tblActions[[#This Row],[Raised]]))</f>
        <v>20</v>
      </c>
      <c r="L30" s="41" t="str">
        <f>IF(tblActions[[#This Row],[Raised]]="","",IF(tblActions[[#This Row],[Closed]]&lt;&gt;"","Complete",IF(tblActions[[#This Row],[Due]]="","",IF(tblActions[[#This Row],[Due]]&lt;AsOf,"Overdue",IF(tblActions[[#This Row],[Due]]-AsOf&lt;=DueSoonDays,"Due soon","In progress")))))</f>
        <v>Complete</v>
      </c>
      <c r="M30" s="41" t="str">
        <f>IF(tblActions[[#This Row],[Raised]]="","",IF(OR(tblActions[[#This Row],[Closed]]="",tblActions[[#This Row],[Due]]=""),"",IF(tblActions[[#This Row],[Closed]]&lt;=tblActions[[#This Row],[Due]],"Yes","No")))</f>
        <v>Yes</v>
      </c>
      <c r="N30"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31" spans="2:14">
      <c r="B31" s="30">
        <v>46150</v>
      </c>
      <c r="C31" s="28" t="s">
        <v>110</v>
      </c>
      <c r="D31" s="28" t="s">
        <v>200</v>
      </c>
      <c r="E31" s="38" t="s">
        <v>261</v>
      </c>
      <c r="F31" s="38" t="s">
        <v>262</v>
      </c>
      <c r="G31" s="28" t="s">
        <v>111</v>
      </c>
      <c r="H31" s="30">
        <v>46192</v>
      </c>
      <c r="I31" s="30">
        <v>46205</v>
      </c>
      <c r="J31" s="45"/>
      <c r="K31" s="33">
        <f>IF(tblActions[[#This Row],[Raised]]="","",IF(tblActions[[#This Row],[Closed]]="",AsOf-tblActions[[#This Row],[Raised]],tblActions[[#This Row],[Closed]]-tblActions[[#This Row],[Raised]]))</f>
        <v>55</v>
      </c>
      <c r="L31" s="41" t="str">
        <f>IF(tblActions[[#This Row],[Raised]]="","",IF(tblActions[[#This Row],[Closed]]&lt;&gt;"","Complete",IF(tblActions[[#This Row],[Due]]="","",IF(tblActions[[#This Row],[Due]]&lt;AsOf,"Overdue",IF(tblActions[[#This Row],[Due]]-AsOf&lt;=DueSoonDays,"Due soon","In progress")))))</f>
        <v>Complete</v>
      </c>
      <c r="M31" s="41" t="str">
        <f>IF(tblActions[[#This Row],[Raised]]="","",IF(OR(tblActions[[#This Row],[Closed]]="",tblActions[[#This Row],[Due]]=""),"",IF(tblActions[[#This Row],[Closed]]&lt;=tblActions[[#This Row],[Due]],"Yes","No")))</f>
        <v>No</v>
      </c>
      <c r="N31"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32" spans="2:14">
      <c r="B32" s="30">
        <v>46153</v>
      </c>
      <c r="C32" s="28" t="s">
        <v>113</v>
      </c>
      <c r="D32" s="28" t="s">
        <v>152</v>
      </c>
      <c r="E32" s="38" t="s">
        <v>269</v>
      </c>
      <c r="F32" s="38" t="s">
        <v>270</v>
      </c>
      <c r="G32" s="28" t="s">
        <v>114</v>
      </c>
      <c r="H32" s="30">
        <v>46174</v>
      </c>
      <c r="I32" s="30">
        <v>46177</v>
      </c>
      <c r="J32" s="45"/>
      <c r="K32" s="33">
        <f>IF(tblActions[[#This Row],[Raised]]="","",IF(tblActions[[#This Row],[Closed]]="",AsOf-tblActions[[#This Row],[Raised]],tblActions[[#This Row],[Closed]]-tblActions[[#This Row],[Raised]]))</f>
        <v>24</v>
      </c>
      <c r="L32" s="41" t="str">
        <f>IF(tblActions[[#This Row],[Raised]]="","",IF(tblActions[[#This Row],[Closed]]&lt;&gt;"","Complete",IF(tblActions[[#This Row],[Due]]="","",IF(tblActions[[#This Row],[Due]]&lt;AsOf,"Overdue",IF(tblActions[[#This Row],[Due]]-AsOf&lt;=DueSoonDays,"Due soon","In progress")))))</f>
        <v>Complete</v>
      </c>
      <c r="M32" s="41" t="str">
        <f>IF(tblActions[[#This Row],[Raised]]="","",IF(OR(tblActions[[#This Row],[Closed]]="",tblActions[[#This Row],[Due]]=""),"",IF(tblActions[[#This Row],[Closed]]&lt;=tblActions[[#This Row],[Due]],"Yes","No")))</f>
        <v>No</v>
      </c>
      <c r="N32"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33" spans="2:14">
      <c r="B33" s="30">
        <v>46153</v>
      </c>
      <c r="C33" s="28" t="s">
        <v>113</v>
      </c>
      <c r="D33" s="28" t="s">
        <v>184</v>
      </c>
      <c r="E33" s="38" t="s">
        <v>271</v>
      </c>
      <c r="F33" s="38" t="s">
        <v>272</v>
      </c>
      <c r="G33" s="28" t="s">
        <v>114</v>
      </c>
      <c r="H33" s="30">
        <v>46181</v>
      </c>
      <c r="I33" s="30">
        <v>46184</v>
      </c>
      <c r="J33" s="45"/>
      <c r="K33" s="33">
        <f>IF(tblActions[[#This Row],[Raised]]="","",IF(tblActions[[#This Row],[Closed]]="",AsOf-tblActions[[#This Row],[Raised]],tblActions[[#This Row],[Closed]]-tblActions[[#This Row],[Raised]]))</f>
        <v>31</v>
      </c>
      <c r="L33" s="41" t="str">
        <f>IF(tblActions[[#This Row],[Raised]]="","",IF(tblActions[[#This Row],[Closed]]&lt;&gt;"","Complete",IF(tblActions[[#This Row],[Due]]="","",IF(tblActions[[#This Row],[Due]]&lt;AsOf,"Overdue",IF(tblActions[[#This Row],[Due]]-AsOf&lt;=DueSoonDays,"Due soon","In progress")))))</f>
        <v>Complete</v>
      </c>
      <c r="M33" s="41" t="str">
        <f>IF(tblActions[[#This Row],[Raised]]="","",IF(OR(tblActions[[#This Row],[Closed]]="",tblActions[[#This Row],[Due]]=""),"",IF(tblActions[[#This Row],[Closed]]&lt;=tblActions[[#This Row],[Due]],"Yes","No")))</f>
        <v>No</v>
      </c>
      <c r="N33"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34" spans="2:14">
      <c r="B34" s="30">
        <v>46153</v>
      </c>
      <c r="C34" s="28" t="s">
        <v>113</v>
      </c>
      <c r="D34" s="28" t="s">
        <v>200</v>
      </c>
      <c r="E34" s="38" t="s">
        <v>261</v>
      </c>
      <c r="F34" s="38" t="s">
        <v>262</v>
      </c>
      <c r="G34" s="28" t="s">
        <v>114</v>
      </c>
      <c r="H34" s="30">
        <v>46195</v>
      </c>
      <c r="I34" s="30">
        <v>46198</v>
      </c>
      <c r="J34" s="45"/>
      <c r="K34" s="33">
        <f>IF(tblActions[[#This Row],[Raised]]="","",IF(tblActions[[#This Row],[Closed]]="",AsOf-tblActions[[#This Row],[Raised]],tblActions[[#This Row],[Closed]]-tblActions[[#This Row],[Raised]]))</f>
        <v>45</v>
      </c>
      <c r="L34" s="41" t="str">
        <f>IF(tblActions[[#This Row],[Raised]]="","",IF(tblActions[[#This Row],[Closed]]&lt;&gt;"","Complete",IF(tblActions[[#This Row],[Due]]="","",IF(tblActions[[#This Row],[Due]]&lt;AsOf,"Overdue",IF(tblActions[[#This Row],[Due]]-AsOf&lt;=DueSoonDays,"Due soon","In progress")))))</f>
        <v>Complete</v>
      </c>
      <c r="M34" s="41" t="str">
        <f>IF(tblActions[[#This Row],[Raised]]="","",IF(OR(tblActions[[#This Row],[Closed]]="",tblActions[[#This Row],[Due]]=""),"",IF(tblActions[[#This Row],[Closed]]&lt;=tblActions[[#This Row],[Due]],"Yes","No")))</f>
        <v>No</v>
      </c>
      <c r="N34"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35" spans="2:14">
      <c r="B35" s="30">
        <v>46153</v>
      </c>
      <c r="C35" s="28" t="s">
        <v>116</v>
      </c>
      <c r="D35" s="28" t="s">
        <v>168</v>
      </c>
      <c r="E35" s="38" t="s">
        <v>257</v>
      </c>
      <c r="F35" s="38" t="s">
        <v>258</v>
      </c>
      <c r="G35" s="28" t="s">
        <v>117</v>
      </c>
      <c r="H35" s="30">
        <v>46174</v>
      </c>
      <c r="I35" s="30">
        <v>46166</v>
      </c>
      <c r="J35" s="45"/>
      <c r="K35" s="33">
        <f>IF(tblActions[[#This Row],[Raised]]="","",IF(tblActions[[#This Row],[Closed]]="",AsOf-tblActions[[#This Row],[Raised]],tblActions[[#This Row],[Closed]]-tblActions[[#This Row],[Raised]]))</f>
        <v>13</v>
      </c>
      <c r="L35" s="41" t="str">
        <f>IF(tblActions[[#This Row],[Raised]]="","",IF(tblActions[[#This Row],[Closed]]&lt;&gt;"","Complete",IF(tblActions[[#This Row],[Due]]="","",IF(tblActions[[#This Row],[Due]]&lt;AsOf,"Overdue",IF(tblActions[[#This Row],[Due]]-AsOf&lt;=DueSoonDays,"Due soon","In progress")))))</f>
        <v>Complete</v>
      </c>
      <c r="M35" s="41" t="str">
        <f>IF(tblActions[[#This Row],[Raised]]="","",IF(OR(tblActions[[#This Row],[Closed]]="",tblActions[[#This Row],[Due]]=""),"",IF(tblActions[[#This Row],[Closed]]&lt;=tblActions[[#This Row],[Due]],"Yes","No")))</f>
        <v>Yes</v>
      </c>
      <c r="N35"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36" spans="2:14">
      <c r="B36" s="30">
        <v>46153</v>
      </c>
      <c r="C36" s="28" t="s">
        <v>116</v>
      </c>
      <c r="D36" s="28" t="s">
        <v>184</v>
      </c>
      <c r="E36" s="38" t="s">
        <v>253</v>
      </c>
      <c r="F36" s="38" t="s">
        <v>254</v>
      </c>
      <c r="G36" s="28" t="s">
        <v>117</v>
      </c>
      <c r="H36" s="30">
        <v>46181</v>
      </c>
      <c r="I36" s="30">
        <v>46169</v>
      </c>
      <c r="J36" s="45"/>
      <c r="K36" s="33">
        <f>IF(tblActions[[#This Row],[Raised]]="","",IF(tblActions[[#This Row],[Closed]]="",AsOf-tblActions[[#This Row],[Raised]],tblActions[[#This Row],[Closed]]-tblActions[[#This Row],[Raised]]))</f>
        <v>16</v>
      </c>
      <c r="L36" s="41" t="str">
        <f>IF(tblActions[[#This Row],[Raised]]="","",IF(tblActions[[#This Row],[Closed]]&lt;&gt;"","Complete",IF(tblActions[[#This Row],[Due]]="","",IF(tblActions[[#This Row],[Due]]&lt;AsOf,"Overdue",IF(tblActions[[#This Row],[Due]]-AsOf&lt;=DueSoonDays,"Due soon","In progress")))))</f>
        <v>Complete</v>
      </c>
      <c r="M36" s="41" t="str">
        <f>IF(tblActions[[#This Row],[Raised]]="","",IF(OR(tblActions[[#This Row],[Closed]]="",tblActions[[#This Row],[Due]]=""),"",IF(tblActions[[#This Row],[Closed]]&lt;=tblActions[[#This Row],[Due]],"Yes","No")))</f>
        <v>Yes</v>
      </c>
      <c r="N36"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37" spans="2:14">
      <c r="B37" s="30">
        <v>46153</v>
      </c>
      <c r="C37" s="28" t="s">
        <v>116</v>
      </c>
      <c r="D37" s="28" t="s">
        <v>200</v>
      </c>
      <c r="E37" s="38" t="s">
        <v>261</v>
      </c>
      <c r="F37" s="38" t="s">
        <v>262</v>
      </c>
      <c r="G37" s="28" t="s">
        <v>117</v>
      </c>
      <c r="H37" s="30">
        <v>46195</v>
      </c>
      <c r="I37" s="30">
        <v>46200</v>
      </c>
      <c r="J37" s="45"/>
      <c r="K37" s="33">
        <f>IF(tblActions[[#This Row],[Raised]]="","",IF(tblActions[[#This Row],[Closed]]="",AsOf-tblActions[[#This Row],[Raised]],tblActions[[#This Row],[Closed]]-tblActions[[#This Row],[Raised]]))</f>
        <v>47</v>
      </c>
      <c r="L37" s="41" t="str">
        <f>IF(tblActions[[#This Row],[Raised]]="","",IF(tblActions[[#This Row],[Closed]]&lt;&gt;"","Complete",IF(tblActions[[#This Row],[Due]]="","",IF(tblActions[[#This Row],[Due]]&lt;AsOf,"Overdue",IF(tblActions[[#This Row],[Due]]-AsOf&lt;=DueSoonDays,"Due soon","In progress")))))</f>
        <v>Complete</v>
      </c>
      <c r="M37" s="41" t="str">
        <f>IF(tblActions[[#This Row],[Raised]]="","",IF(OR(tblActions[[#This Row],[Closed]]="",tblActions[[#This Row],[Due]]=""),"",IF(tblActions[[#This Row],[Closed]]&lt;=tblActions[[#This Row],[Due]],"Yes","No")))</f>
        <v>No</v>
      </c>
      <c r="N37"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38" spans="2:14">
      <c r="B38" s="30">
        <v>46153</v>
      </c>
      <c r="C38" s="28" t="s">
        <v>119</v>
      </c>
      <c r="D38" s="28" t="s">
        <v>152</v>
      </c>
      <c r="E38" s="38" t="s">
        <v>269</v>
      </c>
      <c r="F38" s="38" t="s">
        <v>270</v>
      </c>
      <c r="G38" s="28" t="s">
        <v>120</v>
      </c>
      <c r="H38" s="30">
        <v>46174</v>
      </c>
      <c r="I38" s="30">
        <v>46164</v>
      </c>
      <c r="J38" s="45"/>
      <c r="K38" s="33">
        <f>IF(tblActions[[#This Row],[Raised]]="","",IF(tblActions[[#This Row],[Closed]]="",AsOf-tblActions[[#This Row],[Raised]],tblActions[[#This Row],[Closed]]-tblActions[[#This Row],[Raised]]))</f>
        <v>11</v>
      </c>
      <c r="L38" s="41" t="str">
        <f>IF(tblActions[[#This Row],[Raised]]="","",IF(tblActions[[#This Row],[Closed]]&lt;&gt;"","Complete",IF(tblActions[[#This Row],[Due]]="","",IF(tblActions[[#This Row],[Due]]&lt;AsOf,"Overdue",IF(tblActions[[#This Row],[Due]]-AsOf&lt;=DueSoonDays,"Due soon","In progress")))))</f>
        <v>Complete</v>
      </c>
      <c r="M38" s="41" t="str">
        <f>IF(tblActions[[#This Row],[Raised]]="","",IF(OR(tblActions[[#This Row],[Closed]]="",tblActions[[#This Row],[Due]]=""),"",IF(tblActions[[#This Row],[Closed]]&lt;=tblActions[[#This Row],[Due]],"Yes","No")))</f>
        <v>Yes</v>
      </c>
      <c r="N38"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39" spans="2:14">
      <c r="B39" s="30">
        <v>46153</v>
      </c>
      <c r="C39" s="28" t="s">
        <v>119</v>
      </c>
      <c r="D39" s="28" t="s">
        <v>184</v>
      </c>
      <c r="E39" s="38" t="s">
        <v>259</v>
      </c>
      <c r="F39" s="38" t="s">
        <v>260</v>
      </c>
      <c r="G39" s="28" t="s">
        <v>120</v>
      </c>
      <c r="H39" s="30">
        <v>46181</v>
      </c>
      <c r="I39" s="30">
        <v>46192</v>
      </c>
      <c r="J39" s="45"/>
      <c r="K39" s="33">
        <f>IF(tblActions[[#This Row],[Raised]]="","",IF(tblActions[[#This Row],[Closed]]="",AsOf-tblActions[[#This Row],[Raised]],tblActions[[#This Row],[Closed]]-tblActions[[#This Row],[Raised]]))</f>
        <v>39</v>
      </c>
      <c r="L39" s="41" t="str">
        <f>IF(tblActions[[#This Row],[Raised]]="","",IF(tblActions[[#This Row],[Closed]]&lt;&gt;"","Complete",IF(tblActions[[#This Row],[Due]]="","",IF(tblActions[[#This Row],[Due]]&lt;AsOf,"Overdue",IF(tblActions[[#This Row],[Due]]-AsOf&lt;=DueSoonDays,"Due soon","In progress")))))</f>
        <v>Complete</v>
      </c>
      <c r="M39" s="41" t="str">
        <f>IF(tblActions[[#This Row],[Raised]]="","",IF(OR(tblActions[[#This Row],[Closed]]="",tblActions[[#This Row],[Due]]=""),"",IF(tblActions[[#This Row],[Closed]]&lt;=tblActions[[#This Row],[Due]],"Yes","No")))</f>
        <v>No</v>
      </c>
      <c r="N39"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40" spans="2:14">
      <c r="B40" s="30">
        <v>46153</v>
      </c>
      <c r="C40" s="28" t="s">
        <v>119</v>
      </c>
      <c r="D40" s="28" t="s">
        <v>200</v>
      </c>
      <c r="E40" s="38" t="s">
        <v>249</v>
      </c>
      <c r="F40" s="38" t="s">
        <v>250</v>
      </c>
      <c r="G40" s="28" t="s">
        <v>120</v>
      </c>
      <c r="H40" s="30">
        <v>46181</v>
      </c>
      <c r="I40" s="30">
        <v>46185</v>
      </c>
      <c r="J40" s="45"/>
      <c r="K40" s="33">
        <f>IF(tblActions[[#This Row],[Raised]]="","",IF(tblActions[[#This Row],[Closed]]="",AsOf-tblActions[[#This Row],[Raised]],tblActions[[#This Row],[Closed]]-tblActions[[#This Row],[Raised]]))</f>
        <v>32</v>
      </c>
      <c r="L40" s="41" t="str">
        <f>IF(tblActions[[#This Row],[Raised]]="","",IF(tblActions[[#This Row],[Closed]]&lt;&gt;"","Complete",IF(tblActions[[#This Row],[Due]]="","",IF(tblActions[[#This Row],[Due]]&lt;AsOf,"Overdue",IF(tblActions[[#This Row],[Due]]-AsOf&lt;=DueSoonDays,"Due soon","In progress")))))</f>
        <v>Complete</v>
      </c>
      <c r="M40" s="41" t="str">
        <f>IF(tblActions[[#This Row],[Raised]]="","",IF(OR(tblActions[[#This Row],[Closed]]="",tblActions[[#This Row],[Due]]=""),"",IF(tblActions[[#This Row],[Closed]]&lt;=tblActions[[#This Row],[Due]],"Yes","No")))</f>
        <v>No</v>
      </c>
      <c r="N40"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41" spans="2:14">
      <c r="B41" s="30">
        <v>46154</v>
      </c>
      <c r="C41" s="28" t="s">
        <v>122</v>
      </c>
      <c r="D41" s="28" t="s">
        <v>152</v>
      </c>
      <c r="E41" s="38" t="s">
        <v>273</v>
      </c>
      <c r="F41" s="38" t="s">
        <v>274</v>
      </c>
      <c r="G41" s="28" t="s">
        <v>123</v>
      </c>
      <c r="H41" s="30">
        <v>46168</v>
      </c>
      <c r="I41" s="30">
        <v>46170</v>
      </c>
      <c r="J41" s="45"/>
      <c r="K41" s="33">
        <f>IF(tblActions[[#This Row],[Raised]]="","",IF(tblActions[[#This Row],[Closed]]="",AsOf-tblActions[[#This Row],[Raised]],tblActions[[#This Row],[Closed]]-tblActions[[#This Row],[Raised]]))</f>
        <v>16</v>
      </c>
      <c r="L41" s="41" t="str">
        <f>IF(tblActions[[#This Row],[Raised]]="","",IF(tblActions[[#This Row],[Closed]]&lt;&gt;"","Complete",IF(tblActions[[#This Row],[Due]]="","",IF(tblActions[[#This Row],[Due]]&lt;AsOf,"Overdue",IF(tblActions[[#This Row],[Due]]-AsOf&lt;=DueSoonDays,"Due soon","In progress")))))</f>
        <v>Complete</v>
      </c>
      <c r="M41" s="41" t="str">
        <f>IF(tblActions[[#This Row],[Raised]]="","",IF(OR(tblActions[[#This Row],[Closed]]="",tblActions[[#This Row],[Due]]=""),"",IF(tblActions[[#This Row],[Closed]]&lt;=tblActions[[#This Row],[Due]],"Yes","No")))</f>
        <v>No</v>
      </c>
      <c r="N41"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42" spans="2:14">
      <c r="B42" s="30">
        <v>46154</v>
      </c>
      <c r="C42" s="28" t="s">
        <v>122</v>
      </c>
      <c r="D42" s="28" t="s">
        <v>184</v>
      </c>
      <c r="E42" s="38" t="s">
        <v>253</v>
      </c>
      <c r="F42" s="38" t="s">
        <v>254</v>
      </c>
      <c r="G42" s="28" t="s">
        <v>123</v>
      </c>
      <c r="H42" s="30">
        <v>46175</v>
      </c>
      <c r="I42" s="30"/>
      <c r="J42" s="45"/>
      <c r="K42" s="33">
        <f>IF(tblActions[[#This Row],[Raised]]="","",IF(tblActions[[#This Row],[Closed]]="",AsOf-tblActions[[#This Row],[Raised]],tblActions[[#This Row],[Closed]]-tblActions[[#This Row],[Raised]]))</f>
        <v>143</v>
      </c>
      <c r="L42" s="41" t="str">
        <f>IF(tblActions[[#This Row],[Raised]]="","",IF(tblActions[[#This Row],[Closed]]&lt;&gt;"","Complete",IF(tblActions[[#This Row],[Due]]="","",IF(tblActions[[#This Row],[Due]]&lt;AsOf,"Overdue",IF(tblActions[[#This Row],[Due]]-AsOf&lt;=DueSoonDays,"Due soon","In progress")))))</f>
        <v>Overdue</v>
      </c>
      <c r="M42" s="41">
        <f>IF(tblActions[[#This Row],[Raised]]="","",IF(OR(tblActions[[#This Row],[Closed]]="",tblActions[[#This Row],[Due]]=""),"",IF(tblActions[[#This Row],[Closed]]&lt;=tblActions[[#This Row],[Due]],"Yes","No")))</f>
        <v/>
      </c>
      <c r="N42"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43" spans="2:14">
      <c r="B43" s="30">
        <v>46154</v>
      </c>
      <c r="C43" s="28" t="s">
        <v>122</v>
      </c>
      <c r="D43" s="28" t="s">
        <v>200</v>
      </c>
      <c r="E43" s="38" t="s">
        <v>275</v>
      </c>
      <c r="F43" s="38" t="s">
        <v>276</v>
      </c>
      <c r="G43" s="28" t="s">
        <v>123</v>
      </c>
      <c r="H43" s="30">
        <v>46175</v>
      </c>
      <c r="I43" s="30">
        <v>46172</v>
      </c>
      <c r="J43" s="45"/>
      <c r="K43" s="33">
        <f>IF(tblActions[[#This Row],[Raised]]="","",IF(tblActions[[#This Row],[Closed]]="",AsOf-tblActions[[#This Row],[Raised]],tblActions[[#This Row],[Closed]]-tblActions[[#This Row],[Raised]]))</f>
        <v>18</v>
      </c>
      <c r="L43" s="41" t="str">
        <f>IF(tblActions[[#This Row],[Raised]]="","",IF(tblActions[[#This Row],[Closed]]&lt;&gt;"","Complete",IF(tblActions[[#This Row],[Due]]="","",IF(tblActions[[#This Row],[Due]]&lt;AsOf,"Overdue",IF(tblActions[[#This Row],[Due]]-AsOf&lt;=DueSoonDays,"Due soon","In progress")))))</f>
        <v>Complete</v>
      </c>
      <c r="M43" s="41" t="str">
        <f>IF(tblActions[[#This Row],[Raised]]="","",IF(OR(tblActions[[#This Row],[Closed]]="",tblActions[[#This Row],[Due]]=""),"",IF(tblActions[[#This Row],[Closed]]&lt;=tblActions[[#This Row],[Due]],"Yes","No")))</f>
        <v>Yes</v>
      </c>
      <c r="N43"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44" spans="2:14">
      <c r="B44" s="30">
        <v>46155</v>
      </c>
      <c r="C44" s="28" t="s">
        <v>125</v>
      </c>
      <c r="D44" s="28" t="s">
        <v>152</v>
      </c>
      <c r="E44" s="38" t="s">
        <v>273</v>
      </c>
      <c r="F44" s="38" t="s">
        <v>274</v>
      </c>
      <c r="G44" s="28" t="s">
        <v>126</v>
      </c>
      <c r="H44" s="30">
        <v>46176</v>
      </c>
      <c r="I44" s="30">
        <v>46179</v>
      </c>
      <c r="J44" s="45"/>
      <c r="K44" s="33">
        <f>IF(tblActions[[#This Row],[Raised]]="","",IF(tblActions[[#This Row],[Closed]]="",AsOf-tblActions[[#This Row],[Raised]],tblActions[[#This Row],[Closed]]-tblActions[[#This Row],[Raised]]))</f>
        <v>24</v>
      </c>
      <c r="L44" s="41" t="str">
        <f>IF(tblActions[[#This Row],[Raised]]="","",IF(tblActions[[#This Row],[Closed]]&lt;&gt;"","Complete",IF(tblActions[[#This Row],[Due]]="","",IF(tblActions[[#This Row],[Due]]&lt;AsOf,"Overdue",IF(tblActions[[#This Row],[Due]]-AsOf&lt;=DueSoonDays,"Due soon","In progress")))))</f>
        <v>Complete</v>
      </c>
      <c r="M44" s="41" t="str">
        <f>IF(tblActions[[#This Row],[Raised]]="","",IF(OR(tblActions[[#This Row],[Closed]]="",tblActions[[#This Row],[Due]]=""),"",IF(tblActions[[#This Row],[Closed]]&lt;=tblActions[[#This Row],[Due]],"Yes","No")))</f>
        <v>No</v>
      </c>
      <c r="N44"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45" spans="2:14">
      <c r="B45" s="30">
        <v>46155</v>
      </c>
      <c r="C45" s="28" t="s">
        <v>125</v>
      </c>
      <c r="D45" s="28" t="s">
        <v>184</v>
      </c>
      <c r="E45" s="38" t="s">
        <v>259</v>
      </c>
      <c r="F45" s="38" t="s">
        <v>260</v>
      </c>
      <c r="G45" s="28" t="s">
        <v>126</v>
      </c>
      <c r="H45" s="30">
        <v>46176</v>
      </c>
      <c r="I45" s="30">
        <v>46180</v>
      </c>
      <c r="J45" s="45"/>
      <c r="K45" s="33">
        <f>IF(tblActions[[#This Row],[Raised]]="","",IF(tblActions[[#This Row],[Closed]]="",AsOf-tblActions[[#This Row],[Raised]],tblActions[[#This Row],[Closed]]-tblActions[[#This Row],[Raised]]))</f>
        <v>25</v>
      </c>
      <c r="L45" s="41" t="str">
        <f>IF(tblActions[[#This Row],[Raised]]="","",IF(tblActions[[#This Row],[Closed]]&lt;&gt;"","Complete",IF(tblActions[[#This Row],[Due]]="","",IF(tblActions[[#This Row],[Due]]&lt;AsOf,"Overdue",IF(tblActions[[#This Row],[Due]]-AsOf&lt;=DueSoonDays,"Due soon","In progress")))))</f>
        <v>Complete</v>
      </c>
      <c r="M45" s="41" t="str">
        <f>IF(tblActions[[#This Row],[Raised]]="","",IF(OR(tblActions[[#This Row],[Closed]]="",tblActions[[#This Row],[Due]]=""),"",IF(tblActions[[#This Row],[Closed]]&lt;=tblActions[[#This Row],[Due]],"Yes","No")))</f>
        <v>No</v>
      </c>
      <c r="N45"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46" spans="2:14">
      <c r="B46" s="30">
        <v>46155</v>
      </c>
      <c r="C46" s="28" t="s">
        <v>125</v>
      </c>
      <c r="D46" s="28" t="s">
        <v>200</v>
      </c>
      <c r="E46" s="38" t="s">
        <v>249</v>
      </c>
      <c r="F46" s="38" t="s">
        <v>250</v>
      </c>
      <c r="G46" s="28" t="s">
        <v>126</v>
      </c>
      <c r="H46" s="30">
        <v>46176</v>
      </c>
      <c r="I46" s="30">
        <v>46180</v>
      </c>
      <c r="J46" s="45"/>
      <c r="K46" s="33">
        <f>IF(tblActions[[#This Row],[Raised]]="","",IF(tblActions[[#This Row],[Closed]]="",AsOf-tblActions[[#This Row],[Raised]],tblActions[[#This Row],[Closed]]-tblActions[[#This Row],[Raised]]))</f>
        <v>25</v>
      </c>
      <c r="L46" s="41" t="str">
        <f>IF(tblActions[[#This Row],[Raised]]="","",IF(tblActions[[#This Row],[Closed]]&lt;&gt;"","Complete",IF(tblActions[[#This Row],[Due]]="","",IF(tblActions[[#This Row],[Due]]&lt;AsOf,"Overdue",IF(tblActions[[#This Row],[Due]]-AsOf&lt;=DueSoonDays,"Due soon","In progress")))))</f>
        <v>Complete</v>
      </c>
      <c r="M46" s="41" t="str">
        <f>IF(tblActions[[#This Row],[Raised]]="","",IF(OR(tblActions[[#This Row],[Closed]]="",tblActions[[#This Row],[Due]]=""),"",IF(tblActions[[#This Row],[Closed]]&lt;=tblActions[[#This Row],[Due]],"Yes","No")))</f>
        <v>No</v>
      </c>
      <c r="N46"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47" spans="2:14">
      <c r="B47" s="30">
        <v>46181</v>
      </c>
      <c r="C47" s="28" t="s">
        <v>110</v>
      </c>
      <c r="D47" s="28" t="s">
        <v>168</v>
      </c>
      <c r="E47" s="38" t="s">
        <v>277</v>
      </c>
      <c r="F47" s="38" t="s">
        <v>278</v>
      </c>
      <c r="G47" s="28" t="s">
        <v>111</v>
      </c>
      <c r="H47" s="30">
        <v>46195</v>
      </c>
      <c r="I47" s="30">
        <v>46189</v>
      </c>
      <c r="J47" s="45"/>
      <c r="K47" s="33">
        <f>IF(tblActions[[#This Row],[Raised]]="","",IF(tblActions[[#This Row],[Closed]]="",AsOf-tblActions[[#This Row],[Raised]],tblActions[[#This Row],[Closed]]-tblActions[[#This Row],[Raised]]))</f>
        <v>8</v>
      </c>
      <c r="L47" s="41" t="str">
        <f>IF(tblActions[[#This Row],[Raised]]="","",IF(tblActions[[#This Row],[Closed]]&lt;&gt;"","Complete",IF(tblActions[[#This Row],[Due]]="","",IF(tblActions[[#This Row],[Due]]&lt;AsOf,"Overdue",IF(tblActions[[#This Row],[Due]]-AsOf&lt;=DueSoonDays,"Due soon","In progress")))))</f>
        <v>Complete</v>
      </c>
      <c r="M47" s="41" t="str">
        <f>IF(tblActions[[#This Row],[Raised]]="","",IF(OR(tblActions[[#This Row],[Closed]]="",tblActions[[#This Row],[Due]]=""),"",IF(tblActions[[#This Row],[Closed]]&lt;=tblActions[[#This Row],[Due]],"Yes","No")))</f>
        <v>Yes</v>
      </c>
      <c r="N47"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48" spans="2:14">
      <c r="B48" s="30">
        <v>46181</v>
      </c>
      <c r="C48" s="28" t="s">
        <v>110</v>
      </c>
      <c r="D48" s="28" t="s">
        <v>184</v>
      </c>
      <c r="E48" s="38" t="s">
        <v>247</v>
      </c>
      <c r="F48" s="38" t="s">
        <v>248</v>
      </c>
      <c r="G48" s="28" t="s">
        <v>111</v>
      </c>
      <c r="H48" s="30">
        <v>46202</v>
      </c>
      <c r="I48" s="30">
        <v>46209</v>
      </c>
      <c r="J48" s="45"/>
      <c r="K48" s="33">
        <f>IF(tblActions[[#This Row],[Raised]]="","",IF(tblActions[[#This Row],[Closed]]="",AsOf-tblActions[[#This Row],[Raised]],tblActions[[#This Row],[Closed]]-tblActions[[#This Row],[Raised]]))</f>
        <v>28</v>
      </c>
      <c r="L48" s="41" t="str">
        <f>IF(tblActions[[#This Row],[Raised]]="","",IF(tblActions[[#This Row],[Closed]]&lt;&gt;"","Complete",IF(tblActions[[#This Row],[Due]]="","",IF(tblActions[[#This Row],[Due]]&lt;AsOf,"Overdue",IF(tblActions[[#This Row],[Due]]-AsOf&lt;=DueSoonDays,"Due soon","In progress")))))</f>
        <v>Complete</v>
      </c>
      <c r="M48" s="41" t="str">
        <f>IF(tblActions[[#This Row],[Raised]]="","",IF(OR(tblActions[[#This Row],[Closed]]="",tblActions[[#This Row],[Due]]=""),"",IF(tblActions[[#This Row],[Closed]]&lt;=tblActions[[#This Row],[Due]],"Yes","No")))</f>
        <v>No</v>
      </c>
      <c r="N48"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49" spans="2:14">
      <c r="B49" s="30">
        <v>46181</v>
      </c>
      <c r="C49" s="28" t="s">
        <v>110</v>
      </c>
      <c r="D49" s="28" t="s">
        <v>200</v>
      </c>
      <c r="E49" s="38" t="s">
        <v>255</v>
      </c>
      <c r="F49" s="38" t="s">
        <v>256</v>
      </c>
      <c r="G49" s="28" t="s">
        <v>111</v>
      </c>
      <c r="H49" s="30">
        <v>46209</v>
      </c>
      <c r="I49" s="30">
        <v>46222</v>
      </c>
      <c r="J49" s="45"/>
      <c r="K49" s="33">
        <f>IF(tblActions[[#This Row],[Raised]]="","",IF(tblActions[[#This Row],[Closed]]="",AsOf-tblActions[[#This Row],[Raised]],tblActions[[#This Row],[Closed]]-tblActions[[#This Row],[Raised]]))</f>
        <v>41</v>
      </c>
      <c r="L49" s="41" t="str">
        <f>IF(tblActions[[#This Row],[Raised]]="","",IF(tblActions[[#This Row],[Closed]]&lt;&gt;"","Complete",IF(tblActions[[#This Row],[Due]]="","",IF(tblActions[[#This Row],[Due]]&lt;AsOf,"Overdue",IF(tblActions[[#This Row],[Due]]-AsOf&lt;=DueSoonDays,"Due soon","In progress")))))</f>
        <v>Complete</v>
      </c>
      <c r="M49" s="41" t="str">
        <f>IF(tblActions[[#This Row],[Raised]]="","",IF(OR(tblActions[[#This Row],[Closed]]="",tblActions[[#This Row],[Due]]=""),"",IF(tblActions[[#This Row],[Closed]]&lt;=tblActions[[#This Row],[Due]],"Yes","No")))</f>
        <v>No</v>
      </c>
      <c r="N49"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50" spans="2:14">
      <c r="B50" s="30">
        <v>46182</v>
      </c>
      <c r="C50" s="28" t="s">
        <v>113</v>
      </c>
      <c r="D50" s="28" t="s">
        <v>136</v>
      </c>
      <c r="E50" s="38" t="s">
        <v>279</v>
      </c>
      <c r="F50" s="38" t="s">
        <v>280</v>
      </c>
      <c r="G50" s="28" t="s">
        <v>114</v>
      </c>
      <c r="H50" s="30">
        <v>46203</v>
      </c>
      <c r="I50" s="30">
        <v>46194</v>
      </c>
      <c r="J50" s="45">
        <v>9</v>
      </c>
      <c r="K50" s="33">
        <f>IF(tblActions[[#This Row],[Raised]]="","",IF(tblActions[[#This Row],[Closed]]="",AsOf-tblActions[[#This Row],[Raised]],tblActions[[#This Row],[Closed]]-tblActions[[#This Row],[Raised]]))</f>
        <v>12</v>
      </c>
      <c r="L50" s="41" t="str">
        <f>IF(tblActions[[#This Row],[Raised]]="","",IF(tblActions[[#This Row],[Closed]]&lt;&gt;"","Complete",IF(tblActions[[#This Row],[Due]]="","",IF(tblActions[[#This Row],[Due]]&lt;AsOf,"Overdue",IF(tblActions[[#This Row],[Due]]-AsOf&lt;=DueSoonDays,"Due soon","In progress")))))</f>
        <v>Complete</v>
      </c>
      <c r="M50" s="41" t="str">
        <f>IF(tblActions[[#This Row],[Raised]]="","",IF(OR(tblActions[[#This Row],[Closed]]="",tblActions[[#This Row],[Due]]=""),"",IF(tblActions[[#This Row],[Closed]]&lt;=tblActions[[#This Row],[Due]],"Yes","No")))</f>
        <v>Yes</v>
      </c>
      <c r="N50"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51" spans="2:14">
      <c r="B51" s="30">
        <v>46182</v>
      </c>
      <c r="C51" s="28" t="s">
        <v>113</v>
      </c>
      <c r="D51" s="28" t="s">
        <v>152</v>
      </c>
      <c r="E51" s="38" t="s">
        <v>273</v>
      </c>
      <c r="F51" s="38" t="s">
        <v>274</v>
      </c>
      <c r="G51" s="28" t="s">
        <v>114</v>
      </c>
      <c r="H51" s="30">
        <v>46203</v>
      </c>
      <c r="I51" s="30">
        <v>46206</v>
      </c>
      <c r="J51" s="45"/>
      <c r="K51" s="33">
        <f>IF(tblActions[[#This Row],[Raised]]="","",IF(tblActions[[#This Row],[Closed]]="",AsOf-tblActions[[#This Row],[Raised]],tblActions[[#This Row],[Closed]]-tblActions[[#This Row],[Raised]]))</f>
        <v>24</v>
      </c>
      <c r="L51" s="41" t="str">
        <f>IF(tblActions[[#This Row],[Raised]]="","",IF(tblActions[[#This Row],[Closed]]&lt;&gt;"","Complete",IF(tblActions[[#This Row],[Due]]="","",IF(tblActions[[#This Row],[Due]]&lt;AsOf,"Overdue",IF(tblActions[[#This Row],[Due]]-AsOf&lt;=DueSoonDays,"Due soon","In progress")))))</f>
        <v>Complete</v>
      </c>
      <c r="M51" s="41" t="str">
        <f>IF(tblActions[[#This Row],[Raised]]="","",IF(OR(tblActions[[#This Row],[Closed]]="",tblActions[[#This Row],[Due]]=""),"",IF(tblActions[[#This Row],[Closed]]&lt;=tblActions[[#This Row],[Due]],"Yes","No")))</f>
        <v>No</v>
      </c>
      <c r="N51"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52" spans="2:14">
      <c r="B52" s="30">
        <v>46182</v>
      </c>
      <c r="C52" s="28" t="s">
        <v>113</v>
      </c>
      <c r="D52" s="28" t="s">
        <v>184</v>
      </c>
      <c r="E52" s="38" t="s">
        <v>247</v>
      </c>
      <c r="F52" s="38" t="s">
        <v>248</v>
      </c>
      <c r="G52" s="28" t="s">
        <v>114</v>
      </c>
      <c r="H52" s="30">
        <v>46210</v>
      </c>
      <c r="I52" s="30">
        <v>46224</v>
      </c>
      <c r="J52" s="45"/>
      <c r="K52" s="33">
        <f>IF(tblActions[[#This Row],[Raised]]="","",IF(tblActions[[#This Row],[Closed]]="",AsOf-tblActions[[#This Row],[Raised]],tblActions[[#This Row],[Closed]]-tblActions[[#This Row],[Raised]]))</f>
        <v>42</v>
      </c>
      <c r="L52" s="41" t="str">
        <f>IF(tblActions[[#This Row],[Raised]]="","",IF(tblActions[[#This Row],[Closed]]&lt;&gt;"","Complete",IF(tblActions[[#This Row],[Due]]="","",IF(tblActions[[#This Row],[Due]]&lt;AsOf,"Overdue",IF(tblActions[[#This Row],[Due]]-AsOf&lt;=DueSoonDays,"Due soon","In progress")))))</f>
        <v>Complete</v>
      </c>
      <c r="M52" s="41" t="str">
        <f>IF(tblActions[[#This Row],[Raised]]="","",IF(OR(tblActions[[#This Row],[Closed]]="",tblActions[[#This Row],[Due]]=""),"",IF(tblActions[[#This Row],[Closed]]&lt;=tblActions[[#This Row],[Due]],"Yes","No")))</f>
        <v>No</v>
      </c>
      <c r="N52"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53" spans="2:14">
      <c r="B53" s="30">
        <v>46182</v>
      </c>
      <c r="C53" s="28" t="s">
        <v>113</v>
      </c>
      <c r="D53" s="28" t="s">
        <v>200</v>
      </c>
      <c r="E53" s="38" t="s">
        <v>255</v>
      </c>
      <c r="F53" s="38" t="s">
        <v>256</v>
      </c>
      <c r="G53" s="28" t="s">
        <v>114</v>
      </c>
      <c r="H53" s="30">
        <v>46203</v>
      </c>
      <c r="I53" s="30">
        <v>46205</v>
      </c>
      <c r="J53" s="45"/>
      <c r="K53" s="33">
        <f>IF(tblActions[[#This Row],[Raised]]="","",IF(tblActions[[#This Row],[Closed]]="",AsOf-tblActions[[#This Row],[Raised]],tblActions[[#This Row],[Closed]]-tblActions[[#This Row],[Raised]]))</f>
        <v>23</v>
      </c>
      <c r="L53" s="41" t="str">
        <f>IF(tblActions[[#This Row],[Raised]]="","",IF(tblActions[[#This Row],[Closed]]&lt;&gt;"","Complete",IF(tblActions[[#This Row],[Due]]="","",IF(tblActions[[#This Row],[Due]]&lt;AsOf,"Overdue",IF(tblActions[[#This Row],[Due]]-AsOf&lt;=DueSoonDays,"Due soon","In progress")))))</f>
        <v>Complete</v>
      </c>
      <c r="M53" s="41" t="str">
        <f>IF(tblActions[[#This Row],[Raised]]="","",IF(OR(tblActions[[#This Row],[Closed]]="",tblActions[[#This Row],[Due]]=""),"",IF(tblActions[[#This Row],[Closed]]&lt;=tblActions[[#This Row],[Due]],"Yes","No")))</f>
        <v>No</v>
      </c>
      <c r="N53"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54" spans="2:14">
      <c r="B54" s="30">
        <v>46183</v>
      </c>
      <c r="C54" s="28" t="s">
        <v>116</v>
      </c>
      <c r="D54" s="28" t="s">
        <v>168</v>
      </c>
      <c r="E54" s="38" t="s">
        <v>277</v>
      </c>
      <c r="F54" s="38" t="s">
        <v>278</v>
      </c>
      <c r="G54" s="28" t="s">
        <v>117</v>
      </c>
      <c r="H54" s="30">
        <v>46197</v>
      </c>
      <c r="I54" s="30">
        <v>46198</v>
      </c>
      <c r="J54" s="45"/>
      <c r="K54" s="33">
        <f>IF(tblActions[[#This Row],[Raised]]="","",IF(tblActions[[#This Row],[Closed]]="",AsOf-tblActions[[#This Row],[Raised]],tblActions[[#This Row],[Closed]]-tblActions[[#This Row],[Raised]]))</f>
        <v>15</v>
      </c>
      <c r="L54" s="41" t="str">
        <f>IF(tblActions[[#This Row],[Raised]]="","",IF(tblActions[[#This Row],[Closed]]&lt;&gt;"","Complete",IF(tblActions[[#This Row],[Due]]="","",IF(tblActions[[#This Row],[Due]]&lt;AsOf,"Overdue",IF(tblActions[[#This Row],[Due]]-AsOf&lt;=DueSoonDays,"Due soon","In progress")))))</f>
        <v>Complete</v>
      </c>
      <c r="M54" s="41" t="str">
        <f>IF(tblActions[[#This Row],[Raised]]="","",IF(OR(tblActions[[#This Row],[Closed]]="",tblActions[[#This Row],[Due]]=""),"",IF(tblActions[[#This Row],[Closed]]&lt;=tblActions[[#This Row],[Due]],"Yes","No")))</f>
        <v>No</v>
      </c>
      <c r="N54"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55" spans="2:14">
      <c r="B55" s="30">
        <v>46183</v>
      </c>
      <c r="C55" s="28" t="s">
        <v>116</v>
      </c>
      <c r="D55" s="28" t="s">
        <v>184</v>
      </c>
      <c r="E55" s="38" t="s">
        <v>271</v>
      </c>
      <c r="F55" s="38" t="s">
        <v>272</v>
      </c>
      <c r="G55" s="28" t="s">
        <v>117</v>
      </c>
      <c r="H55" s="30">
        <v>46225</v>
      </c>
      <c r="I55" s="30">
        <v>46232</v>
      </c>
      <c r="J55" s="45"/>
      <c r="K55" s="33">
        <f>IF(tblActions[[#This Row],[Raised]]="","",IF(tblActions[[#This Row],[Closed]]="",AsOf-tblActions[[#This Row],[Raised]],tblActions[[#This Row],[Closed]]-tblActions[[#This Row],[Raised]]))</f>
        <v>49</v>
      </c>
      <c r="L55" s="41" t="str">
        <f>IF(tblActions[[#This Row],[Raised]]="","",IF(tblActions[[#This Row],[Closed]]&lt;&gt;"","Complete",IF(tblActions[[#This Row],[Due]]="","",IF(tblActions[[#This Row],[Due]]&lt;AsOf,"Overdue",IF(tblActions[[#This Row],[Due]]-AsOf&lt;=DueSoonDays,"Due soon","In progress")))))</f>
        <v>Complete</v>
      </c>
      <c r="M55" s="41" t="str">
        <f>IF(tblActions[[#This Row],[Raised]]="","",IF(OR(tblActions[[#This Row],[Closed]]="",tblActions[[#This Row],[Due]]=""),"",IF(tblActions[[#This Row],[Closed]]&lt;=tblActions[[#This Row],[Due]],"Yes","No")))</f>
        <v>No</v>
      </c>
      <c r="N55"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56" spans="2:14">
      <c r="B56" s="30">
        <v>46183</v>
      </c>
      <c r="C56" s="28" t="s">
        <v>116</v>
      </c>
      <c r="D56" s="28" t="s">
        <v>200</v>
      </c>
      <c r="E56" s="38" t="s">
        <v>275</v>
      </c>
      <c r="F56" s="38" t="s">
        <v>276</v>
      </c>
      <c r="G56" s="28" t="s">
        <v>117</v>
      </c>
      <c r="H56" s="30">
        <v>46225</v>
      </c>
      <c r="I56" s="30">
        <v>46237</v>
      </c>
      <c r="J56" s="45"/>
      <c r="K56" s="33">
        <f>IF(tblActions[[#This Row],[Raised]]="","",IF(tblActions[[#This Row],[Closed]]="",AsOf-tblActions[[#This Row],[Raised]],tblActions[[#This Row],[Closed]]-tblActions[[#This Row],[Raised]]))</f>
        <v>54</v>
      </c>
      <c r="L56" s="41" t="str">
        <f>IF(tblActions[[#This Row],[Raised]]="","",IF(tblActions[[#This Row],[Closed]]&lt;&gt;"","Complete",IF(tblActions[[#This Row],[Due]]="","",IF(tblActions[[#This Row],[Due]]&lt;AsOf,"Overdue",IF(tblActions[[#This Row],[Due]]-AsOf&lt;=DueSoonDays,"Due soon","In progress")))))</f>
        <v>Complete</v>
      </c>
      <c r="M56" s="41" t="str">
        <f>IF(tblActions[[#This Row],[Raised]]="","",IF(OR(tblActions[[#This Row],[Closed]]="",tblActions[[#This Row],[Due]]=""),"",IF(tblActions[[#This Row],[Closed]]&lt;=tblActions[[#This Row],[Due]],"Yes","No")))</f>
        <v>No</v>
      </c>
      <c r="N56"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57" spans="2:14">
      <c r="B57" s="30">
        <v>46184</v>
      </c>
      <c r="C57" s="28" t="s">
        <v>119</v>
      </c>
      <c r="D57" s="28" t="s">
        <v>152</v>
      </c>
      <c r="E57" s="38" t="s">
        <v>273</v>
      </c>
      <c r="F57" s="38" t="s">
        <v>274</v>
      </c>
      <c r="G57" s="28" t="s">
        <v>120</v>
      </c>
      <c r="H57" s="30">
        <v>46198</v>
      </c>
      <c r="I57" s="30">
        <v>46191</v>
      </c>
      <c r="J57" s="45"/>
      <c r="K57" s="33">
        <f>IF(tblActions[[#This Row],[Raised]]="","",IF(tblActions[[#This Row],[Closed]]="",AsOf-tblActions[[#This Row],[Raised]],tblActions[[#This Row],[Closed]]-tblActions[[#This Row],[Raised]]))</f>
        <v>7</v>
      </c>
      <c r="L57" s="41" t="str">
        <f>IF(tblActions[[#This Row],[Raised]]="","",IF(tblActions[[#This Row],[Closed]]&lt;&gt;"","Complete",IF(tblActions[[#This Row],[Due]]="","",IF(tblActions[[#This Row],[Due]]&lt;AsOf,"Overdue",IF(tblActions[[#This Row],[Due]]-AsOf&lt;=DueSoonDays,"Due soon","In progress")))))</f>
        <v>Complete</v>
      </c>
      <c r="M57" s="41" t="str">
        <f>IF(tblActions[[#This Row],[Raised]]="","",IF(OR(tblActions[[#This Row],[Closed]]="",tblActions[[#This Row],[Due]]=""),"",IF(tblActions[[#This Row],[Closed]]&lt;=tblActions[[#This Row],[Due]],"Yes","No")))</f>
        <v>Yes</v>
      </c>
      <c r="N57"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58" spans="2:14">
      <c r="B58" s="30">
        <v>46184</v>
      </c>
      <c r="C58" s="28" t="s">
        <v>119</v>
      </c>
      <c r="D58" s="28" t="s">
        <v>168</v>
      </c>
      <c r="E58" s="38" t="s">
        <v>245</v>
      </c>
      <c r="F58" s="38" t="s">
        <v>246</v>
      </c>
      <c r="G58" s="28" t="s">
        <v>120</v>
      </c>
      <c r="H58" s="30">
        <v>46198</v>
      </c>
      <c r="I58" s="30"/>
      <c r="J58" s="45"/>
      <c r="K58" s="33">
        <f>IF(tblActions[[#This Row],[Raised]]="","",IF(tblActions[[#This Row],[Closed]]="",AsOf-tblActions[[#This Row],[Raised]],tblActions[[#This Row],[Closed]]-tblActions[[#This Row],[Raised]]))</f>
        <v>113</v>
      </c>
      <c r="L58" s="41" t="str">
        <f>IF(tblActions[[#This Row],[Raised]]="","",IF(tblActions[[#This Row],[Closed]]&lt;&gt;"","Complete",IF(tblActions[[#This Row],[Due]]="","",IF(tblActions[[#This Row],[Due]]&lt;AsOf,"Overdue",IF(tblActions[[#This Row],[Due]]-AsOf&lt;=DueSoonDays,"Due soon","In progress")))))</f>
        <v>Overdue</v>
      </c>
      <c r="M58" s="41">
        <f>IF(tblActions[[#This Row],[Raised]]="","",IF(OR(tblActions[[#This Row],[Closed]]="",tblActions[[#This Row],[Due]]=""),"",IF(tblActions[[#This Row],[Closed]]&lt;=tblActions[[#This Row],[Due]],"Yes","No")))</f>
        <v/>
      </c>
      <c r="N58"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59" spans="2:14">
      <c r="B59" s="30">
        <v>46184</v>
      </c>
      <c r="C59" s="28" t="s">
        <v>119</v>
      </c>
      <c r="D59" s="28" t="s">
        <v>184</v>
      </c>
      <c r="E59" s="38" t="s">
        <v>259</v>
      </c>
      <c r="F59" s="38" t="s">
        <v>260</v>
      </c>
      <c r="G59" s="28" t="s">
        <v>120</v>
      </c>
      <c r="H59" s="30">
        <v>46226</v>
      </c>
      <c r="I59" s="30">
        <v>46233</v>
      </c>
      <c r="J59" s="45"/>
      <c r="K59" s="33">
        <f>IF(tblActions[[#This Row],[Raised]]="","",IF(tblActions[[#This Row],[Closed]]="",AsOf-tblActions[[#This Row],[Raised]],tblActions[[#This Row],[Closed]]-tblActions[[#This Row],[Raised]]))</f>
        <v>49</v>
      </c>
      <c r="L59" s="41" t="str">
        <f>IF(tblActions[[#This Row],[Raised]]="","",IF(tblActions[[#This Row],[Closed]]&lt;&gt;"","Complete",IF(tblActions[[#This Row],[Due]]="","",IF(tblActions[[#This Row],[Due]]&lt;AsOf,"Overdue",IF(tblActions[[#This Row],[Due]]-AsOf&lt;=DueSoonDays,"Due soon","In progress")))))</f>
        <v>Complete</v>
      </c>
      <c r="M59" s="41" t="str">
        <f>IF(tblActions[[#This Row],[Raised]]="","",IF(OR(tblActions[[#This Row],[Closed]]="",tblActions[[#This Row],[Due]]=""),"",IF(tblActions[[#This Row],[Closed]]&lt;=tblActions[[#This Row],[Due]],"Yes","No")))</f>
        <v>No</v>
      </c>
      <c r="N59"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60" spans="2:14">
      <c r="B60" s="30">
        <v>46184</v>
      </c>
      <c r="C60" s="28" t="s">
        <v>119</v>
      </c>
      <c r="D60" s="28" t="s">
        <v>200</v>
      </c>
      <c r="E60" s="38" t="s">
        <v>255</v>
      </c>
      <c r="F60" s="38" t="s">
        <v>256</v>
      </c>
      <c r="G60" s="28" t="s">
        <v>120</v>
      </c>
      <c r="H60" s="30">
        <v>46212</v>
      </c>
      <c r="I60" s="30">
        <v>46207</v>
      </c>
      <c r="J60" s="45"/>
      <c r="K60" s="33">
        <f>IF(tblActions[[#This Row],[Raised]]="","",IF(tblActions[[#This Row],[Closed]]="",AsOf-tblActions[[#This Row],[Raised]],tblActions[[#This Row],[Closed]]-tblActions[[#This Row],[Raised]]))</f>
        <v>23</v>
      </c>
      <c r="L60" s="41" t="str">
        <f>IF(tblActions[[#This Row],[Raised]]="","",IF(tblActions[[#This Row],[Closed]]&lt;&gt;"","Complete",IF(tblActions[[#This Row],[Due]]="","",IF(tblActions[[#This Row],[Due]]&lt;AsOf,"Overdue",IF(tblActions[[#This Row],[Due]]-AsOf&lt;=DueSoonDays,"Due soon","In progress")))))</f>
        <v>Complete</v>
      </c>
      <c r="M60" s="41" t="str">
        <f>IF(tblActions[[#This Row],[Raised]]="","",IF(OR(tblActions[[#This Row],[Closed]]="",tblActions[[#This Row],[Due]]=""),"",IF(tblActions[[#This Row],[Closed]]&lt;=tblActions[[#This Row],[Due]],"Yes","No")))</f>
        <v>Yes</v>
      </c>
      <c r="N60"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61" spans="2:14">
      <c r="B61" s="30">
        <v>46185</v>
      </c>
      <c r="C61" s="28" t="s">
        <v>122</v>
      </c>
      <c r="D61" s="28" t="s">
        <v>168</v>
      </c>
      <c r="E61" s="38" t="s">
        <v>281</v>
      </c>
      <c r="F61" s="38" t="s">
        <v>282</v>
      </c>
      <c r="G61" s="28" t="s">
        <v>123</v>
      </c>
      <c r="H61" s="30">
        <v>46199</v>
      </c>
      <c r="I61" s="30">
        <v>46198</v>
      </c>
      <c r="J61" s="45"/>
      <c r="K61" s="33">
        <f>IF(tblActions[[#This Row],[Raised]]="","",IF(tblActions[[#This Row],[Closed]]="",AsOf-tblActions[[#This Row],[Raised]],tblActions[[#This Row],[Closed]]-tblActions[[#This Row],[Raised]]))</f>
        <v>13</v>
      </c>
      <c r="L61" s="41" t="str">
        <f>IF(tblActions[[#This Row],[Raised]]="","",IF(tblActions[[#This Row],[Closed]]&lt;&gt;"","Complete",IF(tblActions[[#This Row],[Due]]="","",IF(tblActions[[#This Row],[Due]]&lt;AsOf,"Overdue",IF(tblActions[[#This Row],[Due]]-AsOf&lt;=DueSoonDays,"Due soon","In progress")))))</f>
        <v>Complete</v>
      </c>
      <c r="M61" s="41" t="str">
        <f>IF(tblActions[[#This Row],[Raised]]="","",IF(OR(tblActions[[#This Row],[Closed]]="",tblActions[[#This Row],[Due]]=""),"",IF(tblActions[[#This Row],[Closed]]&lt;=tblActions[[#This Row],[Due]],"Yes","No")))</f>
        <v>Yes</v>
      </c>
      <c r="N61"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62" spans="2:14">
      <c r="B62" s="30">
        <v>46185</v>
      </c>
      <c r="C62" s="28" t="s">
        <v>122</v>
      </c>
      <c r="D62" s="28" t="s">
        <v>184</v>
      </c>
      <c r="E62" s="38" t="s">
        <v>247</v>
      </c>
      <c r="F62" s="38" t="s">
        <v>248</v>
      </c>
      <c r="G62" s="28" t="s">
        <v>123</v>
      </c>
      <c r="H62" s="30">
        <v>46206</v>
      </c>
      <c r="I62" s="30">
        <v>46217</v>
      </c>
      <c r="J62" s="45"/>
      <c r="K62" s="33">
        <f>IF(tblActions[[#This Row],[Raised]]="","",IF(tblActions[[#This Row],[Closed]]="",AsOf-tblActions[[#This Row],[Raised]],tblActions[[#This Row],[Closed]]-tblActions[[#This Row],[Raised]]))</f>
        <v>32</v>
      </c>
      <c r="L62" s="41" t="str">
        <f>IF(tblActions[[#This Row],[Raised]]="","",IF(tblActions[[#This Row],[Closed]]&lt;&gt;"","Complete",IF(tblActions[[#This Row],[Due]]="","",IF(tblActions[[#This Row],[Due]]&lt;AsOf,"Overdue",IF(tblActions[[#This Row],[Due]]-AsOf&lt;=DueSoonDays,"Due soon","In progress")))))</f>
        <v>Complete</v>
      </c>
      <c r="M62" s="41" t="str">
        <f>IF(tblActions[[#This Row],[Raised]]="","",IF(OR(tblActions[[#This Row],[Closed]]="",tblActions[[#This Row],[Due]]=""),"",IF(tblActions[[#This Row],[Closed]]&lt;=tblActions[[#This Row],[Due]],"Yes","No")))</f>
        <v>No</v>
      </c>
      <c r="N62"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63" spans="2:14">
      <c r="B63" s="30">
        <v>46185</v>
      </c>
      <c r="C63" s="28" t="s">
        <v>122</v>
      </c>
      <c r="D63" s="28" t="s">
        <v>200</v>
      </c>
      <c r="E63" s="38" t="s">
        <v>261</v>
      </c>
      <c r="F63" s="38" t="s">
        <v>262</v>
      </c>
      <c r="G63" s="28" t="s">
        <v>123</v>
      </c>
      <c r="H63" s="30">
        <v>46227</v>
      </c>
      <c r="I63" s="30">
        <v>46208</v>
      </c>
      <c r="J63" s="45"/>
      <c r="K63" s="33">
        <f>IF(tblActions[[#This Row],[Raised]]="","",IF(tblActions[[#This Row],[Closed]]="",AsOf-tblActions[[#This Row],[Raised]],tblActions[[#This Row],[Closed]]-tblActions[[#This Row],[Raised]]))</f>
        <v>23</v>
      </c>
      <c r="L63" s="41" t="str">
        <f>IF(tblActions[[#This Row],[Raised]]="","",IF(tblActions[[#This Row],[Closed]]&lt;&gt;"","Complete",IF(tblActions[[#This Row],[Due]]="","",IF(tblActions[[#This Row],[Due]]&lt;AsOf,"Overdue",IF(tblActions[[#This Row],[Due]]-AsOf&lt;=DueSoonDays,"Due soon","In progress")))))</f>
        <v>Complete</v>
      </c>
      <c r="M63" s="41" t="str">
        <f>IF(tblActions[[#This Row],[Raised]]="","",IF(OR(tblActions[[#This Row],[Closed]]="",tblActions[[#This Row],[Due]]=""),"",IF(tblActions[[#This Row],[Closed]]&lt;=tblActions[[#This Row],[Due]],"Yes","No")))</f>
        <v>Yes</v>
      </c>
      <c r="N63"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64" spans="2:14">
      <c r="B64" s="30">
        <v>46188</v>
      </c>
      <c r="C64" s="28" t="s">
        <v>125</v>
      </c>
      <c r="D64" s="28" t="s">
        <v>184</v>
      </c>
      <c r="E64" s="38" t="s">
        <v>259</v>
      </c>
      <c r="F64" s="38" t="s">
        <v>260</v>
      </c>
      <c r="G64" s="28" t="s">
        <v>126</v>
      </c>
      <c r="H64" s="30">
        <v>46209</v>
      </c>
      <c r="I64" s="30">
        <v>46208</v>
      </c>
      <c r="J64" s="45"/>
      <c r="K64" s="33">
        <f>IF(tblActions[[#This Row],[Raised]]="","",IF(tblActions[[#This Row],[Closed]]="",AsOf-tblActions[[#This Row],[Raised]],tblActions[[#This Row],[Closed]]-tblActions[[#This Row],[Raised]]))</f>
        <v>20</v>
      </c>
      <c r="L64" s="41" t="str">
        <f>IF(tblActions[[#This Row],[Raised]]="","",IF(tblActions[[#This Row],[Closed]]&lt;&gt;"","Complete",IF(tblActions[[#This Row],[Due]]="","",IF(tblActions[[#This Row],[Due]]&lt;AsOf,"Overdue",IF(tblActions[[#This Row],[Due]]-AsOf&lt;=DueSoonDays,"Due soon","In progress")))))</f>
        <v>Complete</v>
      </c>
      <c r="M64" s="41" t="str">
        <f>IF(tblActions[[#This Row],[Raised]]="","",IF(OR(tblActions[[#This Row],[Closed]]="",tblActions[[#This Row],[Due]]=""),"",IF(tblActions[[#This Row],[Closed]]&lt;=tblActions[[#This Row],[Due]],"Yes","No")))</f>
        <v>Yes</v>
      </c>
      <c r="N64"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65" spans="2:14">
      <c r="B65" s="30">
        <v>46188</v>
      </c>
      <c r="C65" s="28" t="s">
        <v>125</v>
      </c>
      <c r="D65" s="28" t="s">
        <v>200</v>
      </c>
      <c r="E65" s="38" t="s">
        <v>255</v>
      </c>
      <c r="F65" s="38" t="s">
        <v>256</v>
      </c>
      <c r="G65" s="28" t="s">
        <v>126</v>
      </c>
      <c r="H65" s="30">
        <v>46216</v>
      </c>
      <c r="I65" s="30">
        <v>46230</v>
      </c>
      <c r="J65" s="45"/>
      <c r="K65" s="33">
        <f>IF(tblActions[[#This Row],[Raised]]="","",IF(tblActions[[#This Row],[Closed]]="",AsOf-tblActions[[#This Row],[Raised]],tblActions[[#This Row],[Closed]]-tblActions[[#This Row],[Raised]]))</f>
        <v>42</v>
      </c>
      <c r="L65" s="41" t="str">
        <f>IF(tblActions[[#This Row],[Raised]]="","",IF(tblActions[[#This Row],[Closed]]&lt;&gt;"","Complete",IF(tblActions[[#This Row],[Due]]="","",IF(tblActions[[#This Row],[Due]]&lt;AsOf,"Overdue",IF(tblActions[[#This Row],[Due]]-AsOf&lt;=DueSoonDays,"Due soon","In progress")))))</f>
        <v>Complete</v>
      </c>
      <c r="M65" s="41" t="str">
        <f>IF(tblActions[[#This Row],[Raised]]="","",IF(OR(tblActions[[#This Row],[Closed]]="",tblActions[[#This Row],[Due]]=""),"",IF(tblActions[[#This Row],[Closed]]&lt;=tblActions[[#This Row],[Due]],"Yes","No")))</f>
        <v>No</v>
      </c>
      <c r="N65"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66" spans="2:14">
      <c r="B66" s="30">
        <v>46211</v>
      </c>
      <c r="C66" s="28" t="s">
        <v>110</v>
      </c>
      <c r="D66" s="28" t="s">
        <v>152</v>
      </c>
      <c r="E66" s="38" t="s">
        <v>269</v>
      </c>
      <c r="F66" s="38" t="s">
        <v>270</v>
      </c>
      <c r="G66" s="28" t="s">
        <v>111</v>
      </c>
      <c r="H66" s="30">
        <v>46232</v>
      </c>
      <c r="I66" s="30"/>
      <c r="J66" s="45"/>
      <c r="K66" s="33">
        <f>IF(tblActions[[#This Row],[Raised]]="","",IF(tblActions[[#This Row],[Closed]]="",AsOf-tblActions[[#This Row],[Raised]],tblActions[[#This Row],[Closed]]-tblActions[[#This Row],[Raised]]))</f>
        <v>86</v>
      </c>
      <c r="L66" s="41" t="str">
        <f>IF(tblActions[[#This Row],[Raised]]="","",IF(tblActions[[#This Row],[Closed]]&lt;&gt;"","Complete",IF(tblActions[[#This Row],[Due]]="","",IF(tblActions[[#This Row],[Due]]&lt;AsOf,"Overdue",IF(tblActions[[#This Row],[Due]]-AsOf&lt;=DueSoonDays,"Due soon","In progress")))))</f>
        <v>Overdue</v>
      </c>
      <c r="M66" s="41">
        <f>IF(tblActions[[#This Row],[Raised]]="","",IF(OR(tblActions[[#This Row],[Closed]]="",tblActions[[#This Row],[Due]]=""),"",IF(tblActions[[#This Row],[Closed]]&lt;=tblActions[[#This Row],[Due]],"Yes","No")))</f>
        <v/>
      </c>
      <c r="N66"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67" spans="2:14">
      <c r="B67" s="30">
        <v>46211</v>
      </c>
      <c r="C67" s="28" t="s">
        <v>110</v>
      </c>
      <c r="D67" s="28" t="s">
        <v>184</v>
      </c>
      <c r="E67" s="38" t="s">
        <v>259</v>
      </c>
      <c r="F67" s="38" t="s">
        <v>260</v>
      </c>
      <c r="G67" s="28" t="s">
        <v>111</v>
      </c>
      <c r="H67" s="30">
        <v>46253</v>
      </c>
      <c r="I67" s="30">
        <v>46259</v>
      </c>
      <c r="J67" s="45"/>
      <c r="K67" s="33">
        <f>IF(tblActions[[#This Row],[Raised]]="","",IF(tblActions[[#This Row],[Closed]]="",AsOf-tblActions[[#This Row],[Raised]],tblActions[[#This Row],[Closed]]-tblActions[[#This Row],[Raised]]))</f>
        <v>48</v>
      </c>
      <c r="L67" s="41" t="str">
        <f>IF(tblActions[[#This Row],[Raised]]="","",IF(tblActions[[#This Row],[Closed]]&lt;&gt;"","Complete",IF(tblActions[[#This Row],[Due]]="","",IF(tblActions[[#This Row],[Due]]&lt;AsOf,"Overdue",IF(tblActions[[#This Row],[Due]]-AsOf&lt;=DueSoonDays,"Due soon","In progress")))))</f>
        <v>Complete</v>
      </c>
      <c r="M67" s="41" t="str">
        <f>IF(tblActions[[#This Row],[Raised]]="","",IF(OR(tblActions[[#This Row],[Closed]]="",tblActions[[#This Row],[Due]]=""),"",IF(tblActions[[#This Row],[Closed]]&lt;=tblActions[[#This Row],[Due]],"Yes","No")))</f>
        <v>No</v>
      </c>
      <c r="N67"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68" spans="2:14">
      <c r="B68" s="30">
        <v>46211</v>
      </c>
      <c r="C68" s="28" t="s">
        <v>110</v>
      </c>
      <c r="D68" s="28" t="s">
        <v>200</v>
      </c>
      <c r="E68" s="38" t="s">
        <v>275</v>
      </c>
      <c r="F68" s="38" t="s">
        <v>276</v>
      </c>
      <c r="G68" s="28" t="s">
        <v>111</v>
      </c>
      <c r="H68" s="30">
        <v>46239</v>
      </c>
      <c r="I68" s="30">
        <v>46253</v>
      </c>
      <c r="J68" s="45"/>
      <c r="K68" s="33">
        <f>IF(tblActions[[#This Row],[Raised]]="","",IF(tblActions[[#This Row],[Closed]]="",AsOf-tblActions[[#This Row],[Raised]],tblActions[[#This Row],[Closed]]-tblActions[[#This Row],[Raised]]))</f>
        <v>42</v>
      </c>
      <c r="L68" s="41" t="str">
        <f>IF(tblActions[[#This Row],[Raised]]="","",IF(tblActions[[#This Row],[Closed]]&lt;&gt;"","Complete",IF(tblActions[[#This Row],[Due]]="","",IF(tblActions[[#This Row],[Due]]&lt;AsOf,"Overdue",IF(tblActions[[#This Row],[Due]]-AsOf&lt;=DueSoonDays,"Due soon","In progress")))))</f>
        <v>Complete</v>
      </c>
      <c r="M68" s="41" t="str">
        <f>IF(tblActions[[#This Row],[Raised]]="","",IF(OR(tblActions[[#This Row],[Closed]]="",tblActions[[#This Row],[Due]]=""),"",IF(tblActions[[#This Row],[Closed]]&lt;=tblActions[[#This Row],[Due]],"Yes","No")))</f>
        <v>No</v>
      </c>
      <c r="N68"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69" spans="2:14">
      <c r="B69" s="30">
        <v>46212</v>
      </c>
      <c r="C69" s="28" t="s">
        <v>113</v>
      </c>
      <c r="D69" s="28" t="s">
        <v>136</v>
      </c>
      <c r="E69" s="38" t="s">
        <v>265</v>
      </c>
      <c r="F69" s="38" t="s">
        <v>266</v>
      </c>
      <c r="G69" s="28" t="s">
        <v>114</v>
      </c>
      <c r="H69" s="30">
        <v>46226</v>
      </c>
      <c r="I69" s="30">
        <v>46227</v>
      </c>
      <c r="J69" s="45">
        <v>5</v>
      </c>
      <c r="K69" s="33">
        <f>IF(tblActions[[#This Row],[Raised]]="","",IF(tblActions[[#This Row],[Closed]]="",AsOf-tblActions[[#This Row],[Raised]],tblActions[[#This Row],[Closed]]-tblActions[[#This Row],[Raised]]))</f>
        <v>15</v>
      </c>
      <c r="L69" s="41" t="str">
        <f>IF(tblActions[[#This Row],[Raised]]="","",IF(tblActions[[#This Row],[Closed]]&lt;&gt;"","Complete",IF(tblActions[[#This Row],[Due]]="","",IF(tblActions[[#This Row],[Due]]&lt;AsOf,"Overdue",IF(tblActions[[#This Row],[Due]]-AsOf&lt;=DueSoonDays,"Due soon","In progress")))))</f>
        <v>Complete</v>
      </c>
      <c r="M69" s="41" t="str">
        <f>IF(tblActions[[#This Row],[Raised]]="","",IF(OR(tblActions[[#This Row],[Closed]]="",tblActions[[#This Row],[Due]]=""),"",IF(tblActions[[#This Row],[Closed]]&lt;=tblActions[[#This Row],[Due]],"Yes","No")))</f>
        <v>No</v>
      </c>
      <c r="N69"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70" spans="2:14">
      <c r="B70" s="30">
        <v>46212</v>
      </c>
      <c r="C70" s="28" t="s">
        <v>113</v>
      </c>
      <c r="D70" s="28" t="s">
        <v>184</v>
      </c>
      <c r="E70" s="38" t="s">
        <v>259</v>
      </c>
      <c r="F70" s="38" t="s">
        <v>260</v>
      </c>
      <c r="G70" s="28" t="s">
        <v>114</v>
      </c>
      <c r="H70" s="30">
        <v>46240</v>
      </c>
      <c r="I70" s="30">
        <v>46235</v>
      </c>
      <c r="J70" s="45"/>
      <c r="K70" s="33">
        <f>IF(tblActions[[#This Row],[Raised]]="","",IF(tblActions[[#This Row],[Closed]]="",AsOf-tblActions[[#This Row],[Raised]],tblActions[[#This Row],[Closed]]-tblActions[[#This Row],[Raised]]))</f>
        <v>23</v>
      </c>
      <c r="L70" s="41" t="str">
        <f>IF(tblActions[[#This Row],[Raised]]="","",IF(tblActions[[#This Row],[Closed]]&lt;&gt;"","Complete",IF(tblActions[[#This Row],[Due]]="","",IF(tblActions[[#This Row],[Due]]&lt;AsOf,"Overdue",IF(tblActions[[#This Row],[Due]]-AsOf&lt;=DueSoonDays,"Due soon","In progress")))))</f>
        <v>Complete</v>
      </c>
      <c r="M70" s="41" t="str">
        <f>IF(tblActions[[#This Row],[Raised]]="","",IF(OR(tblActions[[#This Row],[Closed]]="",tblActions[[#This Row],[Due]]=""),"",IF(tblActions[[#This Row],[Closed]]&lt;=tblActions[[#This Row],[Due]],"Yes","No")))</f>
        <v>Yes</v>
      </c>
      <c r="N70"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71" spans="2:14">
      <c r="B71" s="30">
        <v>46212</v>
      </c>
      <c r="C71" s="28" t="s">
        <v>113</v>
      </c>
      <c r="D71" s="28" t="s">
        <v>200</v>
      </c>
      <c r="E71" s="38" t="s">
        <v>275</v>
      </c>
      <c r="F71" s="38" t="s">
        <v>276</v>
      </c>
      <c r="G71" s="28" t="s">
        <v>114</v>
      </c>
      <c r="H71" s="30">
        <v>46254</v>
      </c>
      <c r="I71" s="30">
        <v>46252</v>
      </c>
      <c r="J71" s="45"/>
      <c r="K71" s="33">
        <f>IF(tblActions[[#This Row],[Raised]]="","",IF(tblActions[[#This Row],[Closed]]="",AsOf-tblActions[[#This Row],[Raised]],tblActions[[#This Row],[Closed]]-tblActions[[#This Row],[Raised]]))</f>
        <v>40</v>
      </c>
      <c r="L71" s="41" t="str">
        <f>IF(tblActions[[#This Row],[Raised]]="","",IF(tblActions[[#This Row],[Closed]]&lt;&gt;"","Complete",IF(tblActions[[#This Row],[Due]]="","",IF(tblActions[[#This Row],[Due]]&lt;AsOf,"Overdue",IF(tblActions[[#This Row],[Due]]-AsOf&lt;=DueSoonDays,"Due soon","In progress")))))</f>
        <v>Complete</v>
      </c>
      <c r="M71" s="41" t="str">
        <f>IF(tblActions[[#This Row],[Raised]]="","",IF(OR(tblActions[[#This Row],[Closed]]="",tblActions[[#This Row],[Due]]=""),"",IF(tblActions[[#This Row],[Closed]]&lt;=tblActions[[#This Row],[Due]],"Yes","No")))</f>
        <v>Yes</v>
      </c>
      <c r="N71"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72" spans="2:14">
      <c r="B72" s="30">
        <v>46213</v>
      </c>
      <c r="C72" s="28" t="s">
        <v>116</v>
      </c>
      <c r="D72" s="28" t="s">
        <v>152</v>
      </c>
      <c r="E72" s="38" t="s">
        <v>267</v>
      </c>
      <c r="F72" s="38" t="s">
        <v>268</v>
      </c>
      <c r="G72" s="28" t="s">
        <v>117</v>
      </c>
      <c r="H72" s="30">
        <v>46234</v>
      </c>
      <c r="I72" s="30">
        <v>46225</v>
      </c>
      <c r="J72" s="45"/>
      <c r="K72" s="33">
        <f>IF(tblActions[[#This Row],[Raised]]="","",IF(tblActions[[#This Row],[Closed]]="",AsOf-tblActions[[#This Row],[Raised]],tblActions[[#This Row],[Closed]]-tblActions[[#This Row],[Raised]]))</f>
        <v>12</v>
      </c>
      <c r="L72" s="41" t="str">
        <f>IF(tblActions[[#This Row],[Raised]]="","",IF(tblActions[[#This Row],[Closed]]&lt;&gt;"","Complete",IF(tblActions[[#This Row],[Due]]="","",IF(tblActions[[#This Row],[Due]]&lt;AsOf,"Overdue",IF(tblActions[[#This Row],[Due]]-AsOf&lt;=DueSoonDays,"Due soon","In progress")))))</f>
        <v>Complete</v>
      </c>
      <c r="M72" s="41" t="str">
        <f>IF(tblActions[[#This Row],[Raised]]="","",IF(OR(tblActions[[#This Row],[Closed]]="",tblActions[[#This Row],[Due]]=""),"",IF(tblActions[[#This Row],[Closed]]&lt;=tblActions[[#This Row],[Due]],"Yes","No")))</f>
        <v>Yes</v>
      </c>
      <c r="N72"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73" spans="2:14">
      <c r="B73" s="30">
        <v>46213</v>
      </c>
      <c r="C73" s="28" t="s">
        <v>116</v>
      </c>
      <c r="D73" s="28" t="s">
        <v>168</v>
      </c>
      <c r="E73" s="38" t="s">
        <v>245</v>
      </c>
      <c r="F73" s="38" t="s">
        <v>246</v>
      </c>
      <c r="G73" s="28" t="s">
        <v>117</v>
      </c>
      <c r="H73" s="30">
        <v>46234</v>
      </c>
      <c r="I73" s="30">
        <v>46233</v>
      </c>
      <c r="J73" s="45"/>
      <c r="K73" s="33">
        <f>IF(tblActions[[#This Row],[Raised]]="","",IF(tblActions[[#This Row],[Closed]]="",AsOf-tblActions[[#This Row],[Raised]],tblActions[[#This Row],[Closed]]-tblActions[[#This Row],[Raised]]))</f>
        <v>20</v>
      </c>
      <c r="L73" s="41" t="str">
        <f>IF(tblActions[[#This Row],[Raised]]="","",IF(tblActions[[#This Row],[Closed]]&lt;&gt;"","Complete",IF(tblActions[[#This Row],[Due]]="","",IF(tblActions[[#This Row],[Due]]&lt;AsOf,"Overdue",IF(tblActions[[#This Row],[Due]]-AsOf&lt;=DueSoonDays,"Due soon","In progress")))))</f>
        <v>Complete</v>
      </c>
      <c r="M73" s="41" t="str">
        <f>IF(tblActions[[#This Row],[Raised]]="","",IF(OR(tblActions[[#This Row],[Closed]]="",tblActions[[#This Row],[Due]]=""),"",IF(tblActions[[#This Row],[Closed]]&lt;=tblActions[[#This Row],[Due]],"Yes","No")))</f>
        <v>Yes</v>
      </c>
      <c r="N73"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74" spans="2:14">
      <c r="B74" s="30">
        <v>46213</v>
      </c>
      <c r="C74" s="28" t="s">
        <v>116</v>
      </c>
      <c r="D74" s="28" t="s">
        <v>184</v>
      </c>
      <c r="E74" s="38" t="s">
        <v>247</v>
      </c>
      <c r="F74" s="38" t="s">
        <v>248</v>
      </c>
      <c r="G74" s="28" t="s">
        <v>117</v>
      </c>
      <c r="H74" s="30">
        <v>46241</v>
      </c>
      <c r="I74" s="30">
        <v>46250</v>
      </c>
      <c r="J74" s="45"/>
      <c r="K74" s="33">
        <f>IF(tblActions[[#This Row],[Raised]]="","",IF(tblActions[[#This Row],[Closed]]="",AsOf-tblActions[[#This Row],[Raised]],tblActions[[#This Row],[Closed]]-tblActions[[#This Row],[Raised]]))</f>
        <v>37</v>
      </c>
      <c r="L74" s="41" t="str">
        <f>IF(tblActions[[#This Row],[Raised]]="","",IF(tblActions[[#This Row],[Closed]]&lt;&gt;"","Complete",IF(tblActions[[#This Row],[Due]]="","",IF(tblActions[[#This Row],[Due]]&lt;AsOf,"Overdue",IF(tblActions[[#This Row],[Due]]-AsOf&lt;=DueSoonDays,"Due soon","In progress")))))</f>
        <v>Complete</v>
      </c>
      <c r="M74" s="41" t="str">
        <f>IF(tblActions[[#This Row],[Raised]]="","",IF(OR(tblActions[[#This Row],[Closed]]="",tblActions[[#This Row],[Due]]=""),"",IF(tblActions[[#This Row],[Closed]]&lt;=tblActions[[#This Row],[Due]],"Yes","No")))</f>
        <v>No</v>
      </c>
      <c r="N74"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75" spans="2:14">
      <c r="B75" s="30">
        <v>46213</v>
      </c>
      <c r="C75" s="28" t="s">
        <v>116</v>
      </c>
      <c r="D75" s="28" t="s">
        <v>200</v>
      </c>
      <c r="E75" s="38" t="s">
        <v>275</v>
      </c>
      <c r="F75" s="38" t="s">
        <v>276</v>
      </c>
      <c r="G75" s="28" t="s">
        <v>117</v>
      </c>
      <c r="H75" s="30">
        <v>46255</v>
      </c>
      <c r="I75" s="30">
        <v>46242</v>
      </c>
      <c r="J75" s="45"/>
      <c r="K75" s="33">
        <f>IF(tblActions[[#This Row],[Raised]]="","",IF(tblActions[[#This Row],[Closed]]="",AsOf-tblActions[[#This Row],[Raised]],tblActions[[#This Row],[Closed]]-tblActions[[#This Row],[Raised]]))</f>
        <v>29</v>
      </c>
      <c r="L75" s="41" t="str">
        <f>IF(tblActions[[#This Row],[Raised]]="","",IF(tblActions[[#This Row],[Closed]]&lt;&gt;"","Complete",IF(tblActions[[#This Row],[Due]]="","",IF(tblActions[[#This Row],[Due]]&lt;AsOf,"Overdue",IF(tblActions[[#This Row],[Due]]-AsOf&lt;=DueSoonDays,"Due soon","In progress")))))</f>
        <v>Complete</v>
      </c>
      <c r="M75" s="41" t="str">
        <f>IF(tblActions[[#This Row],[Raised]]="","",IF(OR(tblActions[[#This Row],[Closed]]="",tblActions[[#This Row],[Due]]=""),"",IF(tblActions[[#This Row],[Closed]]&lt;=tblActions[[#This Row],[Due]],"Yes","No")))</f>
        <v>Yes</v>
      </c>
      <c r="N75"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76" spans="2:14">
      <c r="B76" s="30">
        <v>46216</v>
      </c>
      <c r="C76" s="28" t="s">
        <v>119</v>
      </c>
      <c r="D76" s="28" t="s">
        <v>152</v>
      </c>
      <c r="E76" s="38" t="s">
        <v>251</v>
      </c>
      <c r="F76" s="38" t="s">
        <v>252</v>
      </c>
      <c r="G76" s="28" t="s">
        <v>120</v>
      </c>
      <c r="H76" s="30">
        <v>46230</v>
      </c>
      <c r="I76" s="30">
        <v>46222</v>
      </c>
      <c r="J76" s="45"/>
      <c r="K76" s="33">
        <f>IF(tblActions[[#This Row],[Raised]]="","",IF(tblActions[[#This Row],[Closed]]="",AsOf-tblActions[[#This Row],[Raised]],tblActions[[#This Row],[Closed]]-tblActions[[#This Row],[Raised]]))</f>
        <v>6</v>
      </c>
      <c r="L76" s="41" t="str">
        <f>IF(tblActions[[#This Row],[Raised]]="","",IF(tblActions[[#This Row],[Closed]]&lt;&gt;"","Complete",IF(tblActions[[#This Row],[Due]]="","",IF(tblActions[[#This Row],[Due]]&lt;AsOf,"Overdue",IF(tblActions[[#This Row],[Due]]-AsOf&lt;=DueSoonDays,"Due soon","In progress")))))</f>
        <v>Complete</v>
      </c>
      <c r="M76" s="41" t="str">
        <f>IF(tblActions[[#This Row],[Raised]]="","",IF(OR(tblActions[[#This Row],[Closed]]="",tblActions[[#This Row],[Due]]=""),"",IF(tblActions[[#This Row],[Closed]]&lt;=tblActions[[#This Row],[Due]],"Yes","No")))</f>
        <v>Yes</v>
      </c>
      <c r="N76"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77" spans="2:14">
      <c r="B77" s="30">
        <v>46216</v>
      </c>
      <c r="C77" s="28" t="s">
        <v>119</v>
      </c>
      <c r="D77" s="28" t="s">
        <v>168</v>
      </c>
      <c r="E77" s="38" t="s">
        <v>277</v>
      </c>
      <c r="F77" s="38" t="s">
        <v>278</v>
      </c>
      <c r="G77" s="28" t="s">
        <v>120</v>
      </c>
      <c r="H77" s="30">
        <v>46230</v>
      </c>
      <c r="I77" s="30">
        <v>46230</v>
      </c>
      <c r="J77" s="45"/>
      <c r="K77" s="33">
        <f>IF(tblActions[[#This Row],[Raised]]="","",IF(tblActions[[#This Row],[Closed]]="",AsOf-tblActions[[#This Row],[Raised]],tblActions[[#This Row],[Closed]]-tblActions[[#This Row],[Raised]]))</f>
        <v>14</v>
      </c>
      <c r="L77" s="41" t="str">
        <f>IF(tblActions[[#This Row],[Raised]]="","",IF(tblActions[[#This Row],[Closed]]&lt;&gt;"","Complete",IF(tblActions[[#This Row],[Due]]="","",IF(tblActions[[#This Row],[Due]]&lt;AsOf,"Overdue",IF(tblActions[[#This Row],[Due]]-AsOf&lt;=DueSoonDays,"Due soon","In progress")))))</f>
        <v>Complete</v>
      </c>
      <c r="M77" s="41" t="str">
        <f>IF(tblActions[[#This Row],[Raised]]="","",IF(OR(tblActions[[#This Row],[Closed]]="",tblActions[[#This Row],[Due]]=""),"",IF(tblActions[[#This Row],[Closed]]&lt;=tblActions[[#This Row],[Due]],"Yes","No")))</f>
        <v>Yes</v>
      </c>
      <c r="N77"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78" spans="2:14">
      <c r="B78" s="30">
        <v>46216</v>
      </c>
      <c r="C78" s="28" t="s">
        <v>119</v>
      </c>
      <c r="D78" s="28" t="s">
        <v>184</v>
      </c>
      <c r="E78" s="38" t="s">
        <v>271</v>
      </c>
      <c r="F78" s="38" t="s">
        <v>272</v>
      </c>
      <c r="G78" s="28" t="s">
        <v>120</v>
      </c>
      <c r="H78" s="30">
        <v>46258</v>
      </c>
      <c r="I78" s="30">
        <v>46250</v>
      </c>
      <c r="J78" s="45"/>
      <c r="K78" s="33">
        <f>IF(tblActions[[#This Row],[Raised]]="","",IF(tblActions[[#This Row],[Closed]]="",AsOf-tblActions[[#This Row],[Raised]],tblActions[[#This Row],[Closed]]-tblActions[[#This Row],[Raised]]))</f>
        <v>34</v>
      </c>
      <c r="L78" s="41" t="str">
        <f>IF(tblActions[[#This Row],[Raised]]="","",IF(tblActions[[#This Row],[Closed]]&lt;&gt;"","Complete",IF(tblActions[[#This Row],[Due]]="","",IF(tblActions[[#This Row],[Due]]&lt;AsOf,"Overdue",IF(tblActions[[#This Row],[Due]]-AsOf&lt;=DueSoonDays,"Due soon","In progress")))))</f>
        <v>Complete</v>
      </c>
      <c r="M78" s="41" t="str">
        <f>IF(tblActions[[#This Row],[Raised]]="","",IF(OR(tblActions[[#This Row],[Closed]]="",tblActions[[#This Row],[Due]]=""),"",IF(tblActions[[#This Row],[Closed]]&lt;=tblActions[[#This Row],[Due]],"Yes","No")))</f>
        <v>Yes</v>
      </c>
      <c r="N78"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79" spans="2:14">
      <c r="B79" s="30">
        <v>46216</v>
      </c>
      <c r="C79" s="28" t="s">
        <v>119</v>
      </c>
      <c r="D79" s="28" t="s">
        <v>200</v>
      </c>
      <c r="E79" s="38" t="s">
        <v>249</v>
      </c>
      <c r="F79" s="38" t="s">
        <v>250</v>
      </c>
      <c r="G79" s="28" t="s">
        <v>120</v>
      </c>
      <c r="H79" s="30">
        <v>46244</v>
      </c>
      <c r="I79" s="30">
        <v>46231</v>
      </c>
      <c r="J79" s="45"/>
      <c r="K79" s="33">
        <f>IF(tblActions[[#This Row],[Raised]]="","",IF(tblActions[[#This Row],[Closed]]="",AsOf-tblActions[[#This Row],[Raised]],tblActions[[#This Row],[Closed]]-tblActions[[#This Row],[Raised]]))</f>
        <v>15</v>
      </c>
      <c r="L79" s="41" t="str">
        <f>IF(tblActions[[#This Row],[Raised]]="","",IF(tblActions[[#This Row],[Closed]]&lt;&gt;"","Complete",IF(tblActions[[#This Row],[Due]]="","",IF(tblActions[[#This Row],[Due]]&lt;AsOf,"Overdue",IF(tblActions[[#This Row],[Due]]-AsOf&lt;=DueSoonDays,"Due soon","In progress")))))</f>
        <v>Complete</v>
      </c>
      <c r="M79" s="41" t="str">
        <f>IF(tblActions[[#This Row],[Raised]]="","",IF(OR(tblActions[[#This Row],[Closed]]="",tblActions[[#This Row],[Due]]=""),"",IF(tblActions[[#This Row],[Closed]]&lt;=tblActions[[#This Row],[Due]],"Yes","No")))</f>
        <v>Yes</v>
      </c>
      <c r="N79"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80" spans="2:14">
      <c r="B80" s="30">
        <v>46216</v>
      </c>
      <c r="C80" s="28" t="s">
        <v>122</v>
      </c>
      <c r="D80" s="28" t="s">
        <v>184</v>
      </c>
      <c r="E80" s="38" t="s">
        <v>253</v>
      </c>
      <c r="F80" s="38" t="s">
        <v>254</v>
      </c>
      <c r="G80" s="28" t="s">
        <v>123</v>
      </c>
      <c r="H80" s="30">
        <v>46244</v>
      </c>
      <c r="I80" s="30">
        <v>46255</v>
      </c>
      <c r="J80" s="45"/>
      <c r="K80" s="33">
        <f>IF(tblActions[[#This Row],[Raised]]="","",IF(tblActions[[#This Row],[Closed]]="",AsOf-tblActions[[#This Row],[Raised]],tblActions[[#This Row],[Closed]]-tblActions[[#This Row],[Raised]]))</f>
        <v>39</v>
      </c>
      <c r="L80" s="41" t="str">
        <f>IF(tblActions[[#This Row],[Raised]]="","",IF(tblActions[[#This Row],[Closed]]&lt;&gt;"","Complete",IF(tblActions[[#This Row],[Due]]="","",IF(tblActions[[#This Row],[Due]]&lt;AsOf,"Overdue",IF(tblActions[[#This Row],[Due]]-AsOf&lt;=DueSoonDays,"Due soon","In progress")))))</f>
        <v>Complete</v>
      </c>
      <c r="M80" s="41" t="str">
        <f>IF(tblActions[[#This Row],[Raised]]="","",IF(OR(tblActions[[#This Row],[Closed]]="",tblActions[[#This Row],[Due]]=""),"",IF(tblActions[[#This Row],[Closed]]&lt;=tblActions[[#This Row],[Due]],"Yes","No")))</f>
        <v>No</v>
      </c>
      <c r="N80"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81" spans="2:14">
      <c r="B81" s="30">
        <v>46216</v>
      </c>
      <c r="C81" s="28" t="s">
        <v>122</v>
      </c>
      <c r="D81" s="28" t="s">
        <v>200</v>
      </c>
      <c r="E81" s="38" t="s">
        <v>261</v>
      </c>
      <c r="F81" s="38" t="s">
        <v>262</v>
      </c>
      <c r="G81" s="28" t="s">
        <v>123</v>
      </c>
      <c r="H81" s="30">
        <v>46237</v>
      </c>
      <c r="I81" s="30">
        <v>46244</v>
      </c>
      <c r="J81" s="45"/>
      <c r="K81" s="33">
        <f>IF(tblActions[[#This Row],[Raised]]="","",IF(tblActions[[#This Row],[Closed]]="",AsOf-tblActions[[#This Row],[Raised]],tblActions[[#This Row],[Closed]]-tblActions[[#This Row],[Raised]]))</f>
        <v>28</v>
      </c>
      <c r="L81" s="41" t="str">
        <f>IF(tblActions[[#This Row],[Raised]]="","",IF(tblActions[[#This Row],[Closed]]&lt;&gt;"","Complete",IF(tblActions[[#This Row],[Due]]="","",IF(tblActions[[#This Row],[Due]]&lt;AsOf,"Overdue",IF(tblActions[[#This Row],[Due]]-AsOf&lt;=DueSoonDays,"Due soon","In progress")))))</f>
        <v>Complete</v>
      </c>
      <c r="M81" s="41" t="str">
        <f>IF(tblActions[[#This Row],[Raised]]="","",IF(OR(tblActions[[#This Row],[Closed]]="",tblActions[[#This Row],[Due]]=""),"",IF(tblActions[[#This Row],[Closed]]&lt;=tblActions[[#This Row],[Due]],"Yes","No")))</f>
        <v>No</v>
      </c>
      <c r="N81"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82" spans="2:14">
      <c r="B82" s="30">
        <v>46216</v>
      </c>
      <c r="C82" s="28" t="s">
        <v>125</v>
      </c>
      <c r="D82" s="28" t="s">
        <v>168</v>
      </c>
      <c r="E82" s="38" t="s">
        <v>245</v>
      </c>
      <c r="F82" s="38" t="s">
        <v>246</v>
      </c>
      <c r="G82" s="28" t="s">
        <v>126</v>
      </c>
      <c r="H82" s="30">
        <v>46237</v>
      </c>
      <c r="I82" s="30">
        <v>46233</v>
      </c>
      <c r="J82" s="45"/>
      <c r="K82" s="33">
        <f>IF(tblActions[[#This Row],[Raised]]="","",IF(tblActions[[#This Row],[Closed]]="",AsOf-tblActions[[#This Row],[Raised]],tblActions[[#This Row],[Closed]]-tblActions[[#This Row],[Raised]]))</f>
        <v>17</v>
      </c>
      <c r="L82" s="41" t="str">
        <f>IF(tblActions[[#This Row],[Raised]]="","",IF(tblActions[[#This Row],[Closed]]&lt;&gt;"","Complete",IF(tblActions[[#This Row],[Due]]="","",IF(tblActions[[#This Row],[Due]]&lt;AsOf,"Overdue",IF(tblActions[[#This Row],[Due]]-AsOf&lt;=DueSoonDays,"Due soon","In progress")))))</f>
        <v>Complete</v>
      </c>
      <c r="M82" s="41" t="str">
        <f>IF(tblActions[[#This Row],[Raised]]="","",IF(OR(tblActions[[#This Row],[Closed]]="",tblActions[[#This Row],[Due]]=""),"",IF(tblActions[[#This Row],[Closed]]&lt;=tblActions[[#This Row],[Due]],"Yes","No")))</f>
        <v>Yes</v>
      </c>
      <c r="N82"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83" spans="2:14">
      <c r="B83" s="30">
        <v>46216</v>
      </c>
      <c r="C83" s="28" t="s">
        <v>125</v>
      </c>
      <c r="D83" s="28" t="s">
        <v>184</v>
      </c>
      <c r="E83" s="38" t="s">
        <v>271</v>
      </c>
      <c r="F83" s="38" t="s">
        <v>272</v>
      </c>
      <c r="G83" s="28" t="s">
        <v>126</v>
      </c>
      <c r="H83" s="30">
        <v>46244</v>
      </c>
      <c r="I83" s="30">
        <v>46256</v>
      </c>
      <c r="J83" s="45"/>
      <c r="K83" s="33">
        <f>IF(tblActions[[#This Row],[Raised]]="","",IF(tblActions[[#This Row],[Closed]]="",AsOf-tblActions[[#This Row],[Raised]],tblActions[[#This Row],[Closed]]-tblActions[[#This Row],[Raised]]))</f>
        <v>40</v>
      </c>
      <c r="L83" s="41" t="str">
        <f>IF(tblActions[[#This Row],[Raised]]="","",IF(tblActions[[#This Row],[Closed]]&lt;&gt;"","Complete",IF(tblActions[[#This Row],[Due]]="","",IF(tblActions[[#This Row],[Due]]&lt;AsOf,"Overdue",IF(tblActions[[#This Row],[Due]]-AsOf&lt;=DueSoonDays,"Due soon","In progress")))))</f>
        <v>Complete</v>
      </c>
      <c r="M83" s="41" t="str">
        <f>IF(tblActions[[#This Row],[Raised]]="","",IF(OR(tblActions[[#This Row],[Closed]]="",tblActions[[#This Row],[Due]]=""),"",IF(tblActions[[#This Row],[Closed]]&lt;=tblActions[[#This Row],[Due]],"Yes","No")))</f>
        <v>No</v>
      </c>
      <c r="N83"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84" spans="2:14">
      <c r="B84" s="30">
        <v>46216</v>
      </c>
      <c r="C84" s="28" t="s">
        <v>125</v>
      </c>
      <c r="D84" s="28" t="s">
        <v>200</v>
      </c>
      <c r="E84" s="38" t="s">
        <v>249</v>
      </c>
      <c r="F84" s="38" t="s">
        <v>250</v>
      </c>
      <c r="G84" s="28" t="s">
        <v>126</v>
      </c>
      <c r="H84" s="30">
        <v>46237</v>
      </c>
      <c r="I84" s="30">
        <v>46233</v>
      </c>
      <c r="J84" s="45"/>
      <c r="K84" s="33">
        <f>IF(tblActions[[#This Row],[Raised]]="","",IF(tblActions[[#This Row],[Closed]]="",AsOf-tblActions[[#This Row],[Raised]],tblActions[[#This Row],[Closed]]-tblActions[[#This Row],[Raised]]))</f>
        <v>17</v>
      </c>
      <c r="L84" s="41" t="str">
        <f>IF(tblActions[[#This Row],[Raised]]="","",IF(tblActions[[#This Row],[Closed]]&lt;&gt;"","Complete",IF(tblActions[[#This Row],[Due]]="","",IF(tblActions[[#This Row],[Due]]&lt;AsOf,"Overdue",IF(tblActions[[#This Row],[Due]]-AsOf&lt;=DueSoonDays,"Due soon","In progress")))))</f>
        <v>Complete</v>
      </c>
      <c r="M84" s="41" t="str">
        <f>IF(tblActions[[#This Row],[Raised]]="","",IF(OR(tblActions[[#This Row],[Closed]]="",tblActions[[#This Row],[Due]]=""),"",IF(tblActions[[#This Row],[Closed]]&lt;=tblActions[[#This Row],[Due]],"Yes","No")))</f>
        <v>Yes</v>
      </c>
      <c r="N84"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85" spans="2:14">
      <c r="B85" s="30">
        <v>46244</v>
      </c>
      <c r="C85" s="28" t="s">
        <v>110</v>
      </c>
      <c r="D85" s="28" t="s">
        <v>168</v>
      </c>
      <c r="E85" s="38" t="s">
        <v>281</v>
      </c>
      <c r="F85" s="38" t="s">
        <v>282</v>
      </c>
      <c r="G85" s="28" t="s">
        <v>111</v>
      </c>
      <c r="H85" s="30">
        <v>46258</v>
      </c>
      <c r="I85" s="30">
        <v>46259</v>
      </c>
      <c r="J85" s="45"/>
      <c r="K85" s="33">
        <f>IF(tblActions[[#This Row],[Raised]]="","",IF(tblActions[[#This Row],[Closed]]="",AsOf-tblActions[[#This Row],[Raised]],tblActions[[#This Row],[Closed]]-tblActions[[#This Row],[Raised]]))</f>
        <v>15</v>
      </c>
      <c r="L85" s="41" t="str">
        <f>IF(tblActions[[#This Row],[Raised]]="","",IF(tblActions[[#This Row],[Closed]]&lt;&gt;"","Complete",IF(tblActions[[#This Row],[Due]]="","",IF(tblActions[[#This Row],[Due]]&lt;AsOf,"Overdue",IF(tblActions[[#This Row],[Due]]-AsOf&lt;=DueSoonDays,"Due soon","In progress")))))</f>
        <v>Complete</v>
      </c>
      <c r="M85" s="41" t="str">
        <f>IF(tblActions[[#This Row],[Raised]]="","",IF(OR(tblActions[[#This Row],[Closed]]="",tblActions[[#This Row],[Due]]=""),"",IF(tblActions[[#This Row],[Closed]]&lt;=tblActions[[#This Row],[Due]],"Yes","No")))</f>
        <v>No</v>
      </c>
      <c r="N85"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86" spans="2:14">
      <c r="B86" s="30">
        <v>46244</v>
      </c>
      <c r="C86" s="28" t="s">
        <v>110</v>
      </c>
      <c r="D86" s="28" t="s">
        <v>184</v>
      </c>
      <c r="E86" s="38" t="s">
        <v>253</v>
      </c>
      <c r="F86" s="38" t="s">
        <v>254</v>
      </c>
      <c r="G86" s="28" t="s">
        <v>111</v>
      </c>
      <c r="H86" s="30">
        <v>46265</v>
      </c>
      <c r="I86" s="30"/>
      <c r="J86" s="45"/>
      <c r="K86" s="33">
        <f>IF(tblActions[[#This Row],[Raised]]="","",IF(tblActions[[#This Row],[Closed]]="",AsOf-tblActions[[#This Row],[Raised]],tblActions[[#This Row],[Closed]]-tblActions[[#This Row],[Raised]]))</f>
        <v>53</v>
      </c>
      <c r="L86" s="41" t="str">
        <f>IF(tblActions[[#This Row],[Raised]]="","",IF(tblActions[[#This Row],[Closed]]&lt;&gt;"","Complete",IF(tblActions[[#This Row],[Due]]="","",IF(tblActions[[#This Row],[Due]]&lt;AsOf,"Overdue",IF(tblActions[[#This Row],[Due]]-AsOf&lt;=DueSoonDays,"Due soon","In progress")))))</f>
        <v>Overdue</v>
      </c>
      <c r="M86" s="41">
        <f>IF(tblActions[[#This Row],[Raised]]="","",IF(OR(tblActions[[#This Row],[Closed]]="",tblActions[[#This Row],[Due]]=""),"",IF(tblActions[[#This Row],[Closed]]&lt;=tblActions[[#This Row],[Due]],"Yes","No")))</f>
        <v/>
      </c>
      <c r="N86"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87" spans="2:14">
      <c r="B87" s="30">
        <v>46244</v>
      </c>
      <c r="C87" s="28" t="s">
        <v>110</v>
      </c>
      <c r="D87" s="28" t="s">
        <v>200</v>
      </c>
      <c r="E87" s="38" t="s">
        <v>275</v>
      </c>
      <c r="F87" s="38" t="s">
        <v>276</v>
      </c>
      <c r="G87" s="28" t="s">
        <v>111</v>
      </c>
      <c r="H87" s="30">
        <v>46265</v>
      </c>
      <c r="I87" s="30">
        <v>46256</v>
      </c>
      <c r="J87" s="45"/>
      <c r="K87" s="33">
        <f>IF(tblActions[[#This Row],[Raised]]="","",IF(tblActions[[#This Row],[Closed]]="",AsOf-tblActions[[#This Row],[Raised]],tblActions[[#This Row],[Closed]]-tblActions[[#This Row],[Raised]]))</f>
        <v>12</v>
      </c>
      <c r="L87" s="41" t="str">
        <f>IF(tblActions[[#This Row],[Raised]]="","",IF(tblActions[[#This Row],[Closed]]&lt;&gt;"","Complete",IF(tblActions[[#This Row],[Due]]="","",IF(tblActions[[#This Row],[Due]]&lt;AsOf,"Overdue",IF(tblActions[[#This Row],[Due]]-AsOf&lt;=DueSoonDays,"Due soon","In progress")))))</f>
        <v>Complete</v>
      </c>
      <c r="M87" s="41" t="str">
        <f>IF(tblActions[[#This Row],[Raised]]="","",IF(OR(tblActions[[#This Row],[Closed]]="",tblActions[[#This Row],[Due]]=""),"",IF(tblActions[[#This Row],[Closed]]&lt;=tblActions[[#This Row],[Due]],"Yes","No")))</f>
        <v>Yes</v>
      </c>
      <c r="N87"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88" spans="2:14">
      <c r="B88" s="30">
        <v>46244</v>
      </c>
      <c r="C88" s="28" t="s">
        <v>113</v>
      </c>
      <c r="D88" s="28" t="s">
        <v>152</v>
      </c>
      <c r="E88" s="38" t="s">
        <v>273</v>
      </c>
      <c r="F88" s="38" t="s">
        <v>274</v>
      </c>
      <c r="G88" s="28" t="s">
        <v>114</v>
      </c>
      <c r="H88" s="30">
        <v>46265</v>
      </c>
      <c r="I88" s="30">
        <v>46259</v>
      </c>
      <c r="J88" s="45"/>
      <c r="K88" s="33">
        <f>IF(tblActions[[#This Row],[Raised]]="","",IF(tblActions[[#This Row],[Closed]]="",AsOf-tblActions[[#This Row],[Raised]],tblActions[[#This Row],[Closed]]-tblActions[[#This Row],[Raised]]))</f>
        <v>15</v>
      </c>
      <c r="L88" s="41" t="str">
        <f>IF(tblActions[[#This Row],[Raised]]="","",IF(tblActions[[#This Row],[Closed]]&lt;&gt;"","Complete",IF(tblActions[[#This Row],[Due]]="","",IF(tblActions[[#This Row],[Due]]&lt;AsOf,"Overdue",IF(tblActions[[#This Row],[Due]]-AsOf&lt;=DueSoonDays,"Due soon","In progress")))))</f>
        <v>Complete</v>
      </c>
      <c r="M88" s="41" t="str">
        <f>IF(tblActions[[#This Row],[Raised]]="","",IF(OR(tblActions[[#This Row],[Closed]]="",tblActions[[#This Row],[Due]]=""),"",IF(tblActions[[#This Row],[Closed]]&lt;=tblActions[[#This Row],[Due]],"Yes","No")))</f>
        <v>Yes</v>
      </c>
      <c r="N88"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89" spans="2:14">
      <c r="B89" s="30">
        <v>46244</v>
      </c>
      <c r="C89" s="28" t="s">
        <v>113</v>
      </c>
      <c r="D89" s="28" t="s">
        <v>184</v>
      </c>
      <c r="E89" s="38" t="s">
        <v>271</v>
      </c>
      <c r="F89" s="38" t="s">
        <v>272</v>
      </c>
      <c r="G89" s="28" t="s">
        <v>114</v>
      </c>
      <c r="H89" s="30">
        <v>46286</v>
      </c>
      <c r="I89" s="30">
        <v>46266</v>
      </c>
      <c r="J89" s="45"/>
      <c r="K89" s="33">
        <f>IF(tblActions[[#This Row],[Raised]]="","",IF(tblActions[[#This Row],[Closed]]="",AsOf-tblActions[[#This Row],[Raised]],tblActions[[#This Row],[Closed]]-tblActions[[#This Row],[Raised]]))</f>
        <v>22</v>
      </c>
      <c r="L89" s="41" t="str">
        <f>IF(tblActions[[#This Row],[Raised]]="","",IF(tblActions[[#This Row],[Closed]]&lt;&gt;"","Complete",IF(tblActions[[#This Row],[Due]]="","",IF(tblActions[[#This Row],[Due]]&lt;AsOf,"Overdue",IF(tblActions[[#This Row],[Due]]-AsOf&lt;=DueSoonDays,"Due soon","In progress")))))</f>
        <v>Complete</v>
      </c>
      <c r="M89" s="41" t="str">
        <f>IF(tblActions[[#This Row],[Raised]]="","",IF(OR(tblActions[[#This Row],[Closed]]="",tblActions[[#This Row],[Due]]=""),"",IF(tblActions[[#This Row],[Closed]]&lt;=tblActions[[#This Row],[Due]],"Yes","No")))</f>
        <v>Yes</v>
      </c>
      <c r="N89"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90" spans="2:14">
      <c r="B90" s="30">
        <v>46244</v>
      </c>
      <c r="C90" s="28" t="s">
        <v>113</v>
      </c>
      <c r="D90" s="28" t="s">
        <v>200</v>
      </c>
      <c r="E90" s="38" t="s">
        <v>255</v>
      </c>
      <c r="F90" s="38" t="s">
        <v>256</v>
      </c>
      <c r="G90" s="28" t="s">
        <v>114</v>
      </c>
      <c r="H90" s="30">
        <v>46265</v>
      </c>
      <c r="I90" s="30">
        <v>46258</v>
      </c>
      <c r="J90" s="45"/>
      <c r="K90" s="33">
        <f>IF(tblActions[[#This Row],[Raised]]="","",IF(tblActions[[#This Row],[Closed]]="",AsOf-tblActions[[#This Row],[Raised]],tblActions[[#This Row],[Closed]]-tblActions[[#This Row],[Raised]]))</f>
        <v>14</v>
      </c>
      <c r="L90" s="41" t="str">
        <f>IF(tblActions[[#This Row],[Raised]]="","",IF(tblActions[[#This Row],[Closed]]&lt;&gt;"","Complete",IF(tblActions[[#This Row],[Due]]="","",IF(tblActions[[#This Row],[Due]]&lt;AsOf,"Overdue",IF(tblActions[[#This Row],[Due]]-AsOf&lt;=DueSoonDays,"Due soon","In progress")))))</f>
        <v>Complete</v>
      </c>
      <c r="M90" s="41" t="str">
        <f>IF(tblActions[[#This Row],[Raised]]="","",IF(OR(tblActions[[#This Row],[Closed]]="",tblActions[[#This Row],[Due]]=""),"",IF(tblActions[[#This Row],[Closed]]&lt;=tblActions[[#This Row],[Due]],"Yes","No")))</f>
        <v>Yes</v>
      </c>
      <c r="N90"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91" spans="2:14">
      <c r="B91" s="30">
        <v>46244</v>
      </c>
      <c r="C91" s="28" t="s">
        <v>116</v>
      </c>
      <c r="D91" s="28" t="s">
        <v>168</v>
      </c>
      <c r="E91" s="38" t="s">
        <v>245</v>
      </c>
      <c r="F91" s="38" t="s">
        <v>246</v>
      </c>
      <c r="G91" s="28" t="s">
        <v>117</v>
      </c>
      <c r="H91" s="30">
        <v>46265</v>
      </c>
      <c r="I91" s="30">
        <v>46265</v>
      </c>
      <c r="J91" s="45"/>
      <c r="K91" s="33">
        <f>IF(tblActions[[#This Row],[Raised]]="","",IF(tblActions[[#This Row],[Closed]]="",AsOf-tblActions[[#This Row],[Raised]],tblActions[[#This Row],[Closed]]-tblActions[[#This Row],[Raised]]))</f>
        <v>21</v>
      </c>
      <c r="L91" s="41" t="str">
        <f>IF(tblActions[[#This Row],[Raised]]="","",IF(tblActions[[#This Row],[Closed]]&lt;&gt;"","Complete",IF(tblActions[[#This Row],[Due]]="","",IF(tblActions[[#This Row],[Due]]&lt;AsOf,"Overdue",IF(tblActions[[#This Row],[Due]]-AsOf&lt;=DueSoonDays,"Due soon","In progress")))))</f>
        <v>Complete</v>
      </c>
      <c r="M91" s="41" t="str">
        <f>IF(tblActions[[#This Row],[Raised]]="","",IF(OR(tblActions[[#This Row],[Closed]]="",tblActions[[#This Row],[Due]]=""),"",IF(tblActions[[#This Row],[Closed]]&lt;=tblActions[[#This Row],[Due]],"Yes","No")))</f>
        <v>Yes</v>
      </c>
      <c r="N91"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92" spans="2:14">
      <c r="B92" s="30">
        <v>46244</v>
      </c>
      <c r="C92" s="28" t="s">
        <v>116</v>
      </c>
      <c r="D92" s="28" t="s">
        <v>184</v>
      </c>
      <c r="E92" s="38" t="s">
        <v>247</v>
      </c>
      <c r="F92" s="38" t="s">
        <v>248</v>
      </c>
      <c r="G92" s="28" t="s">
        <v>117</v>
      </c>
      <c r="H92" s="30">
        <v>46272</v>
      </c>
      <c r="I92" s="30">
        <v>46282</v>
      </c>
      <c r="J92" s="45"/>
      <c r="K92" s="33">
        <f>IF(tblActions[[#This Row],[Raised]]="","",IF(tblActions[[#This Row],[Closed]]="",AsOf-tblActions[[#This Row],[Raised]],tblActions[[#This Row],[Closed]]-tblActions[[#This Row],[Raised]]))</f>
        <v>38</v>
      </c>
      <c r="L92" s="41" t="str">
        <f>IF(tblActions[[#This Row],[Raised]]="","",IF(tblActions[[#This Row],[Closed]]&lt;&gt;"","Complete",IF(tblActions[[#This Row],[Due]]="","",IF(tblActions[[#This Row],[Due]]&lt;AsOf,"Overdue",IF(tblActions[[#This Row],[Due]]-AsOf&lt;=DueSoonDays,"Due soon","In progress")))))</f>
        <v>Complete</v>
      </c>
      <c r="M92" s="41" t="str">
        <f>IF(tblActions[[#This Row],[Raised]]="","",IF(OR(tblActions[[#This Row],[Closed]]="",tblActions[[#This Row],[Due]]=""),"",IF(tblActions[[#This Row],[Closed]]&lt;=tblActions[[#This Row],[Due]],"Yes","No")))</f>
        <v>No</v>
      </c>
      <c r="N92"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93" spans="2:14">
      <c r="B93" s="30">
        <v>46244</v>
      </c>
      <c r="C93" s="28" t="s">
        <v>116</v>
      </c>
      <c r="D93" s="28" t="s">
        <v>200</v>
      </c>
      <c r="E93" s="38" t="s">
        <v>275</v>
      </c>
      <c r="F93" s="38" t="s">
        <v>276</v>
      </c>
      <c r="G93" s="28" t="s">
        <v>117</v>
      </c>
      <c r="H93" s="30">
        <v>46272</v>
      </c>
      <c r="I93" s="30"/>
      <c r="J93" s="45"/>
      <c r="K93" s="33">
        <f>IF(tblActions[[#This Row],[Raised]]="","",IF(tblActions[[#This Row],[Closed]]="",AsOf-tblActions[[#This Row],[Raised]],tblActions[[#This Row],[Closed]]-tblActions[[#This Row],[Raised]]))</f>
        <v>53</v>
      </c>
      <c r="L93" s="41" t="str">
        <f>IF(tblActions[[#This Row],[Raised]]="","",IF(tblActions[[#This Row],[Closed]]&lt;&gt;"","Complete",IF(tblActions[[#This Row],[Due]]="","",IF(tblActions[[#This Row],[Due]]&lt;AsOf,"Overdue",IF(tblActions[[#This Row],[Due]]-AsOf&lt;=DueSoonDays,"Due soon","In progress")))))</f>
        <v>Overdue</v>
      </c>
      <c r="M93" s="41">
        <f>IF(tblActions[[#This Row],[Raised]]="","",IF(OR(tblActions[[#This Row],[Closed]]="",tblActions[[#This Row],[Due]]=""),"",IF(tblActions[[#This Row],[Closed]]&lt;=tblActions[[#This Row],[Due]],"Yes","No")))</f>
        <v/>
      </c>
      <c r="N93"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94" spans="2:14">
      <c r="B94" s="30">
        <v>46245</v>
      </c>
      <c r="C94" s="28" t="s">
        <v>119</v>
      </c>
      <c r="D94" s="28" t="s">
        <v>184</v>
      </c>
      <c r="E94" s="38" t="s">
        <v>253</v>
      </c>
      <c r="F94" s="38" t="s">
        <v>254</v>
      </c>
      <c r="G94" s="28" t="s">
        <v>120</v>
      </c>
      <c r="H94" s="30">
        <v>46273</v>
      </c>
      <c r="I94" s="30">
        <v>46262</v>
      </c>
      <c r="J94" s="45"/>
      <c r="K94" s="33">
        <f>IF(tblActions[[#This Row],[Raised]]="","",IF(tblActions[[#This Row],[Closed]]="",AsOf-tblActions[[#This Row],[Raised]],tblActions[[#This Row],[Closed]]-tblActions[[#This Row],[Raised]]))</f>
        <v>17</v>
      </c>
      <c r="L94" s="41" t="str">
        <f>IF(tblActions[[#This Row],[Raised]]="","",IF(tblActions[[#This Row],[Closed]]&lt;&gt;"","Complete",IF(tblActions[[#This Row],[Due]]="","",IF(tblActions[[#This Row],[Due]]&lt;AsOf,"Overdue",IF(tblActions[[#This Row],[Due]]-AsOf&lt;=DueSoonDays,"Due soon","In progress")))))</f>
        <v>Complete</v>
      </c>
      <c r="M94" s="41" t="str">
        <f>IF(tblActions[[#This Row],[Raised]]="","",IF(OR(tblActions[[#This Row],[Closed]]="",tblActions[[#This Row],[Due]]=""),"",IF(tblActions[[#This Row],[Closed]]&lt;=tblActions[[#This Row],[Due]],"Yes","No")))</f>
        <v>Yes</v>
      </c>
      <c r="N94"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95" spans="2:14">
      <c r="B95" s="30">
        <v>46245</v>
      </c>
      <c r="C95" s="28" t="s">
        <v>119</v>
      </c>
      <c r="D95" s="28" t="s">
        <v>200</v>
      </c>
      <c r="E95" s="38" t="s">
        <v>275</v>
      </c>
      <c r="F95" s="38" t="s">
        <v>276</v>
      </c>
      <c r="G95" s="28" t="s">
        <v>120</v>
      </c>
      <c r="H95" s="30">
        <v>46266</v>
      </c>
      <c r="I95" s="30">
        <v>46267</v>
      </c>
      <c r="J95" s="45"/>
      <c r="K95" s="33">
        <f>IF(tblActions[[#This Row],[Raised]]="","",IF(tblActions[[#This Row],[Closed]]="",AsOf-tblActions[[#This Row],[Raised]],tblActions[[#This Row],[Closed]]-tblActions[[#This Row],[Raised]]))</f>
        <v>22</v>
      </c>
      <c r="L95" s="41" t="str">
        <f>IF(tblActions[[#This Row],[Raised]]="","",IF(tblActions[[#This Row],[Closed]]&lt;&gt;"","Complete",IF(tblActions[[#This Row],[Due]]="","",IF(tblActions[[#This Row],[Due]]&lt;AsOf,"Overdue",IF(tblActions[[#This Row],[Due]]-AsOf&lt;=DueSoonDays,"Due soon","In progress")))))</f>
        <v>Complete</v>
      </c>
      <c r="M95" s="41" t="str">
        <f>IF(tblActions[[#This Row],[Raised]]="","",IF(OR(tblActions[[#This Row],[Closed]]="",tblActions[[#This Row],[Due]]=""),"",IF(tblActions[[#This Row],[Closed]]&lt;=tblActions[[#This Row],[Due]],"Yes","No")))</f>
        <v>No</v>
      </c>
      <c r="N95"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96" spans="2:14">
      <c r="B96" s="30">
        <v>46246</v>
      </c>
      <c r="C96" s="28" t="s">
        <v>122</v>
      </c>
      <c r="D96" s="28" t="s">
        <v>152</v>
      </c>
      <c r="E96" s="38" t="s">
        <v>267</v>
      </c>
      <c r="F96" s="38" t="s">
        <v>268</v>
      </c>
      <c r="G96" s="28" t="s">
        <v>123</v>
      </c>
      <c r="H96" s="30">
        <v>46260</v>
      </c>
      <c r="I96" s="30">
        <v>46258</v>
      </c>
      <c r="J96" s="45"/>
      <c r="K96" s="33">
        <f>IF(tblActions[[#This Row],[Raised]]="","",IF(tblActions[[#This Row],[Closed]]="",AsOf-tblActions[[#This Row],[Raised]],tblActions[[#This Row],[Closed]]-tblActions[[#This Row],[Raised]]))</f>
        <v>12</v>
      </c>
      <c r="L96" s="41" t="str">
        <f>IF(tblActions[[#This Row],[Raised]]="","",IF(tblActions[[#This Row],[Closed]]&lt;&gt;"","Complete",IF(tblActions[[#This Row],[Due]]="","",IF(tblActions[[#This Row],[Due]]&lt;AsOf,"Overdue",IF(tblActions[[#This Row],[Due]]-AsOf&lt;=DueSoonDays,"Due soon","In progress")))))</f>
        <v>Complete</v>
      </c>
      <c r="M96" s="41" t="str">
        <f>IF(tblActions[[#This Row],[Raised]]="","",IF(OR(tblActions[[#This Row],[Closed]]="",tblActions[[#This Row],[Due]]=""),"",IF(tblActions[[#This Row],[Closed]]&lt;=tblActions[[#This Row],[Due]],"Yes","No")))</f>
        <v>Yes</v>
      </c>
      <c r="N96"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97" spans="2:14">
      <c r="B97" s="30">
        <v>46246</v>
      </c>
      <c r="C97" s="28" t="s">
        <v>122</v>
      </c>
      <c r="D97" s="28" t="s">
        <v>184</v>
      </c>
      <c r="E97" s="38" t="s">
        <v>253</v>
      </c>
      <c r="F97" s="38" t="s">
        <v>254</v>
      </c>
      <c r="G97" s="28" t="s">
        <v>123</v>
      </c>
      <c r="H97" s="30">
        <v>46288</v>
      </c>
      <c r="I97" s="30"/>
      <c r="J97" s="45"/>
      <c r="K97" s="33">
        <f>IF(tblActions[[#This Row],[Raised]]="","",IF(tblActions[[#This Row],[Closed]]="",AsOf-tblActions[[#This Row],[Raised]],tblActions[[#This Row],[Closed]]-tblActions[[#This Row],[Raised]]))</f>
        <v>51</v>
      </c>
      <c r="L97" s="41" t="str">
        <f>IF(tblActions[[#This Row],[Raised]]="","",IF(tblActions[[#This Row],[Closed]]&lt;&gt;"","Complete",IF(tblActions[[#This Row],[Due]]="","",IF(tblActions[[#This Row],[Due]]&lt;AsOf,"Overdue",IF(tblActions[[#This Row],[Due]]-AsOf&lt;=DueSoonDays,"Due soon","In progress")))))</f>
        <v>Overdue</v>
      </c>
      <c r="M97" s="41">
        <f>IF(tblActions[[#This Row],[Raised]]="","",IF(OR(tblActions[[#This Row],[Closed]]="",tblActions[[#This Row],[Due]]=""),"",IF(tblActions[[#This Row],[Closed]]&lt;=tblActions[[#This Row],[Due]],"Yes","No")))</f>
        <v/>
      </c>
      <c r="N97"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98" spans="2:14">
      <c r="B98" s="30">
        <v>46246</v>
      </c>
      <c r="C98" s="28" t="s">
        <v>122</v>
      </c>
      <c r="D98" s="28" t="s">
        <v>200</v>
      </c>
      <c r="E98" s="38" t="s">
        <v>255</v>
      </c>
      <c r="F98" s="38" t="s">
        <v>256</v>
      </c>
      <c r="G98" s="28" t="s">
        <v>123</v>
      </c>
      <c r="H98" s="30">
        <v>46274</v>
      </c>
      <c r="I98" s="30">
        <v>46289</v>
      </c>
      <c r="J98" s="45"/>
      <c r="K98" s="33">
        <f>IF(tblActions[[#This Row],[Raised]]="","",IF(tblActions[[#This Row],[Closed]]="",AsOf-tblActions[[#This Row],[Raised]],tblActions[[#This Row],[Closed]]-tblActions[[#This Row],[Raised]]))</f>
        <v>43</v>
      </c>
      <c r="L98" s="41" t="str">
        <f>IF(tblActions[[#This Row],[Raised]]="","",IF(tblActions[[#This Row],[Closed]]&lt;&gt;"","Complete",IF(tblActions[[#This Row],[Due]]="","",IF(tblActions[[#This Row],[Due]]&lt;AsOf,"Overdue",IF(tblActions[[#This Row],[Due]]-AsOf&lt;=DueSoonDays,"Due soon","In progress")))))</f>
        <v>Complete</v>
      </c>
      <c r="M98" s="41" t="str">
        <f>IF(tblActions[[#This Row],[Raised]]="","",IF(OR(tblActions[[#This Row],[Closed]]="",tblActions[[#This Row],[Due]]=""),"",IF(tblActions[[#This Row],[Closed]]&lt;=tblActions[[#This Row],[Due]],"Yes","No")))</f>
        <v>No</v>
      </c>
      <c r="N98"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99" spans="2:14">
      <c r="B99" s="30">
        <v>46247</v>
      </c>
      <c r="C99" s="28" t="s">
        <v>125</v>
      </c>
      <c r="D99" s="28" t="s">
        <v>152</v>
      </c>
      <c r="E99" s="38" t="s">
        <v>251</v>
      </c>
      <c r="F99" s="38" t="s">
        <v>252</v>
      </c>
      <c r="G99" s="28" t="s">
        <v>126</v>
      </c>
      <c r="H99" s="30">
        <v>46268</v>
      </c>
      <c r="I99" s="30">
        <v>46266</v>
      </c>
      <c r="J99" s="45"/>
      <c r="K99" s="33">
        <f>IF(tblActions[[#This Row],[Raised]]="","",IF(tblActions[[#This Row],[Closed]]="",AsOf-tblActions[[#This Row],[Raised]],tblActions[[#This Row],[Closed]]-tblActions[[#This Row],[Raised]]))</f>
        <v>19</v>
      </c>
      <c r="L99" s="41" t="str">
        <f>IF(tblActions[[#This Row],[Raised]]="","",IF(tblActions[[#This Row],[Closed]]&lt;&gt;"","Complete",IF(tblActions[[#This Row],[Due]]="","",IF(tblActions[[#This Row],[Due]]&lt;AsOf,"Overdue",IF(tblActions[[#This Row],[Due]]-AsOf&lt;=DueSoonDays,"Due soon","In progress")))))</f>
        <v>Complete</v>
      </c>
      <c r="M99" s="41" t="str">
        <f>IF(tblActions[[#This Row],[Raised]]="","",IF(OR(tblActions[[#This Row],[Closed]]="",tblActions[[#This Row],[Due]]=""),"",IF(tblActions[[#This Row],[Closed]]&lt;=tblActions[[#This Row],[Due]],"Yes","No")))</f>
        <v>Yes</v>
      </c>
      <c r="N99"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100" spans="2:14">
      <c r="B100" s="30">
        <v>46247</v>
      </c>
      <c r="C100" s="28" t="s">
        <v>125</v>
      </c>
      <c r="D100" s="28" t="s">
        <v>184</v>
      </c>
      <c r="E100" s="38" t="s">
        <v>247</v>
      </c>
      <c r="F100" s="38" t="s">
        <v>248</v>
      </c>
      <c r="G100" s="28" t="s">
        <v>126</v>
      </c>
      <c r="H100" s="30">
        <v>46289</v>
      </c>
      <c r="I100" s="30">
        <v>46285</v>
      </c>
      <c r="J100" s="45"/>
      <c r="K100" s="33">
        <f>IF(tblActions[[#This Row],[Raised]]="","",IF(tblActions[[#This Row],[Closed]]="",AsOf-tblActions[[#This Row],[Raised]],tblActions[[#This Row],[Closed]]-tblActions[[#This Row],[Raised]]))</f>
        <v>38</v>
      </c>
      <c r="L100" s="41" t="str">
        <f>IF(tblActions[[#This Row],[Raised]]="","",IF(tblActions[[#This Row],[Closed]]&lt;&gt;"","Complete",IF(tblActions[[#This Row],[Due]]="","",IF(tblActions[[#This Row],[Due]]&lt;AsOf,"Overdue",IF(tblActions[[#This Row],[Due]]-AsOf&lt;=DueSoonDays,"Due soon","In progress")))))</f>
        <v>Complete</v>
      </c>
      <c r="M100" s="41" t="str">
        <f>IF(tblActions[[#This Row],[Raised]]="","",IF(OR(tblActions[[#This Row],[Closed]]="",tblActions[[#This Row],[Due]]=""),"",IF(tblActions[[#This Row],[Closed]]&lt;=tblActions[[#This Row],[Due]],"Yes","No")))</f>
        <v>Yes</v>
      </c>
      <c r="N100"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101" spans="2:14">
      <c r="B101" s="30">
        <v>46247</v>
      </c>
      <c r="C101" s="28" t="s">
        <v>125</v>
      </c>
      <c r="D101" s="28" t="s">
        <v>200</v>
      </c>
      <c r="E101" s="38" t="s">
        <v>261</v>
      </c>
      <c r="F101" s="38" t="s">
        <v>262</v>
      </c>
      <c r="G101" s="28" t="s">
        <v>126</v>
      </c>
      <c r="H101" s="30">
        <v>46268</v>
      </c>
      <c r="I101" s="30">
        <v>46263</v>
      </c>
      <c r="J101" s="45"/>
      <c r="K101" s="33">
        <f>IF(tblActions[[#This Row],[Raised]]="","",IF(tblActions[[#This Row],[Closed]]="",AsOf-tblActions[[#This Row],[Raised]],tblActions[[#This Row],[Closed]]-tblActions[[#This Row],[Raised]]))</f>
        <v>16</v>
      </c>
      <c r="L101" s="41" t="str">
        <f>IF(tblActions[[#This Row],[Raised]]="","",IF(tblActions[[#This Row],[Closed]]&lt;&gt;"","Complete",IF(tblActions[[#This Row],[Due]]="","",IF(tblActions[[#This Row],[Due]]&lt;AsOf,"Overdue",IF(tblActions[[#This Row],[Due]]-AsOf&lt;=DueSoonDays,"Due soon","In progress")))))</f>
        <v>Complete</v>
      </c>
      <c r="M101" s="41" t="str">
        <f>IF(tblActions[[#This Row],[Raised]]="","",IF(OR(tblActions[[#This Row],[Closed]]="",tblActions[[#This Row],[Due]]=""),"",IF(tblActions[[#This Row],[Closed]]&lt;=tblActions[[#This Row],[Due]],"Yes","No")))</f>
        <v>Yes</v>
      </c>
      <c r="N101"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102" spans="2:14">
      <c r="B102" s="30">
        <v>46273</v>
      </c>
      <c r="C102" s="28" t="s">
        <v>110</v>
      </c>
      <c r="D102" s="28" t="s">
        <v>168</v>
      </c>
      <c r="E102" s="38" t="s">
        <v>281</v>
      </c>
      <c r="F102" s="38" t="s">
        <v>282</v>
      </c>
      <c r="G102" s="28" t="s">
        <v>111</v>
      </c>
      <c r="H102" s="30">
        <v>46287</v>
      </c>
      <c r="I102" s="30">
        <v>46286</v>
      </c>
      <c r="J102" s="45"/>
      <c r="K102" s="33">
        <f>IF(tblActions[[#This Row],[Raised]]="","",IF(tblActions[[#This Row],[Closed]]="",AsOf-tblActions[[#This Row],[Raised]],tblActions[[#This Row],[Closed]]-tblActions[[#This Row],[Raised]]))</f>
        <v>13</v>
      </c>
      <c r="L102" s="41" t="str">
        <f>IF(tblActions[[#This Row],[Raised]]="","",IF(tblActions[[#This Row],[Closed]]&lt;&gt;"","Complete",IF(tblActions[[#This Row],[Due]]="","",IF(tblActions[[#This Row],[Due]]&lt;AsOf,"Overdue",IF(tblActions[[#This Row],[Due]]-AsOf&lt;=DueSoonDays,"Due soon","In progress")))))</f>
        <v>Complete</v>
      </c>
      <c r="M102" s="41" t="str">
        <f>IF(tblActions[[#This Row],[Raised]]="","",IF(OR(tblActions[[#This Row],[Closed]]="",tblActions[[#This Row],[Due]]=""),"",IF(tblActions[[#This Row],[Closed]]&lt;=tblActions[[#This Row],[Due]],"Yes","No")))</f>
        <v>Yes</v>
      </c>
      <c r="N102"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103" spans="2:14">
      <c r="B103" s="30">
        <v>46273</v>
      </c>
      <c r="C103" s="28" t="s">
        <v>110</v>
      </c>
      <c r="D103" s="28" t="s">
        <v>184</v>
      </c>
      <c r="E103" s="38" t="s">
        <v>247</v>
      </c>
      <c r="F103" s="38" t="s">
        <v>248</v>
      </c>
      <c r="G103" s="28" t="s">
        <v>111</v>
      </c>
      <c r="H103" s="30">
        <v>46315</v>
      </c>
      <c r="I103" s="30"/>
      <c r="J103" s="45"/>
      <c r="K103" s="33">
        <f>IF(tblActions[[#This Row],[Raised]]="","",IF(tblActions[[#This Row],[Closed]]="",AsOf-tblActions[[#This Row],[Raised]],tblActions[[#This Row],[Closed]]-tblActions[[#This Row],[Raised]]))</f>
        <v>24</v>
      </c>
      <c r="L103" s="41" t="str">
        <f>IF(tblActions[[#This Row],[Raised]]="","",IF(tblActions[[#This Row],[Closed]]&lt;&gt;"","Complete",IF(tblActions[[#This Row],[Due]]="","",IF(tblActions[[#This Row],[Due]]&lt;AsOf,"Overdue",IF(tblActions[[#This Row],[Due]]-AsOf&lt;=DueSoonDays,"Due soon","In progress")))))</f>
        <v>In progress</v>
      </c>
      <c r="M103" s="41">
        <f>IF(tblActions[[#This Row],[Raised]]="","",IF(OR(tblActions[[#This Row],[Closed]]="",tblActions[[#This Row],[Due]]=""),"",IF(tblActions[[#This Row],[Closed]]&lt;=tblActions[[#This Row],[Due]],"Yes","No")))</f>
        <v/>
      </c>
      <c r="N103"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104" spans="2:14">
      <c r="B104" s="30">
        <v>46273</v>
      </c>
      <c r="C104" s="28" t="s">
        <v>110</v>
      </c>
      <c r="D104" s="28" t="s">
        <v>200</v>
      </c>
      <c r="E104" s="38" t="s">
        <v>261</v>
      </c>
      <c r="F104" s="38" t="s">
        <v>262</v>
      </c>
      <c r="G104" s="28" t="s">
        <v>111</v>
      </c>
      <c r="H104" s="30">
        <v>46301</v>
      </c>
      <c r="I104" s="30"/>
      <c r="J104" s="45"/>
      <c r="K104" s="33">
        <f>IF(tblActions[[#This Row],[Raised]]="","",IF(tblActions[[#This Row],[Closed]]="",AsOf-tblActions[[#This Row],[Raised]],tblActions[[#This Row],[Closed]]-tblActions[[#This Row],[Raised]]))</f>
        <v>24</v>
      </c>
      <c r="L104" s="41" t="str">
        <f>IF(tblActions[[#This Row],[Raised]]="","",IF(tblActions[[#This Row],[Closed]]&lt;&gt;"","Complete",IF(tblActions[[#This Row],[Due]]="","",IF(tblActions[[#This Row],[Due]]&lt;AsOf,"Overdue",IF(tblActions[[#This Row],[Due]]-AsOf&lt;=DueSoonDays,"Due soon","In progress")))))</f>
        <v>Due soon</v>
      </c>
      <c r="M104" s="41">
        <f>IF(tblActions[[#This Row],[Raised]]="","",IF(OR(tblActions[[#This Row],[Closed]]="",tblActions[[#This Row],[Due]]=""),"",IF(tblActions[[#This Row],[Closed]]&lt;=tblActions[[#This Row],[Due]],"Yes","No")))</f>
        <v/>
      </c>
      <c r="N104"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105" spans="2:14">
      <c r="B105" s="30">
        <v>46274</v>
      </c>
      <c r="C105" s="28" t="s">
        <v>113</v>
      </c>
      <c r="D105" s="28" t="s">
        <v>184</v>
      </c>
      <c r="E105" s="38" t="s">
        <v>253</v>
      </c>
      <c r="F105" s="38" t="s">
        <v>254</v>
      </c>
      <c r="G105" s="28" t="s">
        <v>114</v>
      </c>
      <c r="H105" s="30">
        <v>46302</v>
      </c>
      <c r="I105" s="30"/>
      <c r="J105" s="45"/>
      <c r="K105" s="33">
        <f>IF(tblActions[[#This Row],[Raised]]="","",IF(tblActions[[#This Row],[Closed]]="",AsOf-tblActions[[#This Row],[Raised]],tblActions[[#This Row],[Closed]]-tblActions[[#This Row],[Raised]]))</f>
        <v>23</v>
      </c>
      <c r="L105" s="41" t="str">
        <f>IF(tblActions[[#This Row],[Raised]]="","",IF(tblActions[[#This Row],[Closed]]&lt;&gt;"","Complete",IF(tblActions[[#This Row],[Due]]="","",IF(tblActions[[#This Row],[Due]]&lt;AsOf,"Overdue",IF(tblActions[[#This Row],[Due]]-AsOf&lt;=DueSoonDays,"Due soon","In progress")))))</f>
        <v>Due soon</v>
      </c>
      <c r="M105" s="41">
        <f>IF(tblActions[[#This Row],[Raised]]="","",IF(OR(tblActions[[#This Row],[Closed]]="",tblActions[[#This Row],[Due]]=""),"",IF(tblActions[[#This Row],[Closed]]&lt;=tblActions[[#This Row],[Due]],"Yes","No")))</f>
        <v/>
      </c>
      <c r="N105"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106" spans="2:14">
      <c r="B106" s="30">
        <v>46274</v>
      </c>
      <c r="C106" s="28" t="s">
        <v>113</v>
      </c>
      <c r="D106" s="28" t="s">
        <v>200</v>
      </c>
      <c r="E106" s="38" t="s">
        <v>261</v>
      </c>
      <c r="F106" s="38" t="s">
        <v>262</v>
      </c>
      <c r="G106" s="28" t="s">
        <v>114</v>
      </c>
      <c r="H106" s="30">
        <v>46302</v>
      </c>
      <c r="I106" s="30"/>
      <c r="J106" s="45"/>
      <c r="K106" s="33">
        <f>IF(tblActions[[#This Row],[Raised]]="","",IF(tblActions[[#This Row],[Closed]]="",AsOf-tblActions[[#This Row],[Raised]],tblActions[[#This Row],[Closed]]-tblActions[[#This Row],[Raised]]))</f>
        <v>23</v>
      </c>
      <c r="L106" s="41" t="str">
        <f>IF(tblActions[[#This Row],[Raised]]="","",IF(tblActions[[#This Row],[Closed]]&lt;&gt;"","Complete",IF(tblActions[[#This Row],[Due]]="","",IF(tblActions[[#This Row],[Due]]&lt;AsOf,"Overdue",IF(tblActions[[#This Row],[Due]]-AsOf&lt;=DueSoonDays,"Due soon","In progress")))))</f>
        <v>Due soon</v>
      </c>
      <c r="M106" s="41">
        <f>IF(tblActions[[#This Row],[Raised]]="","",IF(OR(tblActions[[#This Row],[Closed]]="",tblActions[[#This Row],[Due]]=""),"",IF(tblActions[[#This Row],[Closed]]&lt;=tblActions[[#This Row],[Due]],"Yes","No")))</f>
        <v/>
      </c>
      <c r="N106"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107" spans="2:14">
      <c r="B107" s="30">
        <v>46275</v>
      </c>
      <c r="C107" s="28" t="s">
        <v>116</v>
      </c>
      <c r="D107" s="28" t="s">
        <v>152</v>
      </c>
      <c r="E107" s="38" t="s">
        <v>251</v>
      </c>
      <c r="F107" s="38" t="s">
        <v>252</v>
      </c>
      <c r="G107" s="28" t="s">
        <v>117</v>
      </c>
      <c r="H107" s="30">
        <v>46296</v>
      </c>
      <c r="I107" s="30"/>
      <c r="J107" s="45"/>
      <c r="K107" s="33">
        <f>IF(tblActions[[#This Row],[Raised]]="","",IF(tblActions[[#This Row],[Closed]]="",AsOf-tblActions[[#This Row],[Raised]],tblActions[[#This Row],[Closed]]-tblActions[[#This Row],[Raised]]))</f>
        <v>22</v>
      </c>
      <c r="L107" s="41" t="str">
        <f>IF(tblActions[[#This Row],[Raised]]="","",IF(tblActions[[#This Row],[Closed]]&lt;&gt;"","Complete",IF(tblActions[[#This Row],[Due]]="","",IF(tblActions[[#This Row],[Due]]&lt;AsOf,"Overdue",IF(tblActions[[#This Row],[Due]]-AsOf&lt;=DueSoonDays,"Due soon","In progress")))))</f>
        <v>Overdue</v>
      </c>
      <c r="M107" s="41">
        <f>IF(tblActions[[#This Row],[Raised]]="","",IF(OR(tblActions[[#This Row],[Closed]]="",tblActions[[#This Row],[Due]]=""),"",IF(tblActions[[#This Row],[Closed]]&lt;=tblActions[[#This Row],[Due]],"Yes","No")))</f>
        <v/>
      </c>
      <c r="N107"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108" spans="2:14">
      <c r="B108" s="30">
        <v>46275</v>
      </c>
      <c r="C108" s="28" t="s">
        <v>116</v>
      </c>
      <c r="D108" s="28" t="s">
        <v>168</v>
      </c>
      <c r="E108" s="38" t="s">
        <v>245</v>
      </c>
      <c r="F108" s="38" t="s">
        <v>246</v>
      </c>
      <c r="G108" s="28" t="s">
        <v>117</v>
      </c>
      <c r="H108" s="30">
        <v>46289</v>
      </c>
      <c r="I108" s="30">
        <v>46290</v>
      </c>
      <c r="J108" s="45"/>
      <c r="K108" s="33">
        <f>IF(tblActions[[#This Row],[Raised]]="","",IF(tblActions[[#This Row],[Closed]]="",AsOf-tblActions[[#This Row],[Raised]],tblActions[[#This Row],[Closed]]-tblActions[[#This Row],[Raised]]))</f>
        <v>15</v>
      </c>
      <c r="L108" s="41" t="str">
        <f>IF(tblActions[[#This Row],[Raised]]="","",IF(tblActions[[#This Row],[Closed]]&lt;&gt;"","Complete",IF(tblActions[[#This Row],[Due]]="","",IF(tblActions[[#This Row],[Due]]&lt;AsOf,"Overdue",IF(tblActions[[#This Row],[Due]]-AsOf&lt;=DueSoonDays,"Due soon","In progress")))))</f>
        <v>Complete</v>
      </c>
      <c r="M108" s="41" t="str">
        <f>IF(tblActions[[#This Row],[Raised]]="","",IF(OR(tblActions[[#This Row],[Closed]]="",tblActions[[#This Row],[Due]]=""),"",IF(tblActions[[#This Row],[Closed]]&lt;=tblActions[[#This Row],[Due]],"Yes","No")))</f>
        <v>No</v>
      </c>
      <c r="N108"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109" spans="2:14">
      <c r="B109" s="30">
        <v>46275</v>
      </c>
      <c r="C109" s="28" t="s">
        <v>116</v>
      </c>
      <c r="D109" s="28" t="s">
        <v>184</v>
      </c>
      <c r="E109" s="38" t="s">
        <v>247</v>
      </c>
      <c r="F109" s="38" t="s">
        <v>248</v>
      </c>
      <c r="G109" s="28" t="s">
        <v>117</v>
      </c>
      <c r="H109" s="30">
        <v>46296</v>
      </c>
      <c r="I109" s="30"/>
      <c r="J109" s="45"/>
      <c r="K109" s="33">
        <f>IF(tblActions[[#This Row],[Raised]]="","",IF(tblActions[[#This Row],[Closed]]="",AsOf-tblActions[[#This Row],[Raised]],tblActions[[#This Row],[Closed]]-tblActions[[#This Row],[Raised]]))</f>
        <v>22</v>
      </c>
      <c r="L109" s="41" t="str">
        <f>IF(tblActions[[#This Row],[Raised]]="","",IF(tblActions[[#This Row],[Closed]]&lt;&gt;"","Complete",IF(tblActions[[#This Row],[Due]]="","",IF(tblActions[[#This Row],[Due]]&lt;AsOf,"Overdue",IF(tblActions[[#This Row],[Due]]-AsOf&lt;=DueSoonDays,"Due soon","In progress")))))</f>
        <v>Overdue</v>
      </c>
      <c r="M109" s="41">
        <f>IF(tblActions[[#This Row],[Raised]]="","",IF(OR(tblActions[[#This Row],[Closed]]="",tblActions[[#This Row],[Due]]=""),"",IF(tblActions[[#This Row],[Closed]]&lt;=tblActions[[#This Row],[Due]],"Yes","No")))</f>
        <v/>
      </c>
      <c r="N109"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110" spans="2:14">
      <c r="B110" s="30">
        <v>46275</v>
      </c>
      <c r="C110" s="28" t="s">
        <v>116</v>
      </c>
      <c r="D110" s="28" t="s">
        <v>200</v>
      </c>
      <c r="E110" s="38" t="s">
        <v>249</v>
      </c>
      <c r="F110" s="38" t="s">
        <v>250</v>
      </c>
      <c r="G110" s="28" t="s">
        <v>117</v>
      </c>
      <c r="H110" s="30">
        <v>46317</v>
      </c>
      <c r="I110" s="30"/>
      <c r="J110" s="45"/>
      <c r="K110" s="33">
        <f>IF(tblActions[[#This Row],[Raised]]="","",IF(tblActions[[#This Row],[Closed]]="",AsOf-tblActions[[#This Row],[Raised]],tblActions[[#This Row],[Closed]]-tblActions[[#This Row],[Raised]]))</f>
        <v>22</v>
      </c>
      <c r="L110" s="41" t="str">
        <f>IF(tblActions[[#This Row],[Raised]]="","",IF(tblActions[[#This Row],[Closed]]&lt;&gt;"","Complete",IF(tblActions[[#This Row],[Due]]="","",IF(tblActions[[#This Row],[Due]]&lt;AsOf,"Overdue",IF(tblActions[[#This Row],[Due]]-AsOf&lt;=DueSoonDays,"Due soon","In progress")))))</f>
        <v>In progress</v>
      </c>
      <c r="M110" s="41">
        <f>IF(tblActions[[#This Row],[Raised]]="","",IF(OR(tblActions[[#This Row],[Closed]]="",tblActions[[#This Row],[Due]]=""),"",IF(tblActions[[#This Row],[Closed]]&lt;=tblActions[[#This Row],[Due]],"Yes","No")))</f>
        <v/>
      </c>
      <c r="N110"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111" spans="2:14">
      <c r="B111" s="30">
        <v>46276</v>
      </c>
      <c r="C111" s="28" t="s">
        <v>119</v>
      </c>
      <c r="D111" s="28" t="s">
        <v>184</v>
      </c>
      <c r="E111" s="38" t="s">
        <v>247</v>
      </c>
      <c r="F111" s="38" t="s">
        <v>248</v>
      </c>
      <c r="G111" s="28" t="s">
        <v>120</v>
      </c>
      <c r="H111" s="30">
        <v>46304</v>
      </c>
      <c r="I111" s="30"/>
      <c r="J111" s="45"/>
      <c r="K111" s="33">
        <f>IF(tblActions[[#This Row],[Raised]]="","",IF(tblActions[[#This Row],[Closed]]="",AsOf-tblActions[[#This Row],[Raised]],tblActions[[#This Row],[Closed]]-tblActions[[#This Row],[Raised]]))</f>
        <v>21</v>
      </c>
      <c r="L111" s="41" t="str">
        <f>IF(tblActions[[#This Row],[Raised]]="","",IF(tblActions[[#This Row],[Closed]]&lt;&gt;"","Complete",IF(tblActions[[#This Row],[Due]]="","",IF(tblActions[[#This Row],[Due]]&lt;AsOf,"Overdue",IF(tblActions[[#This Row],[Due]]-AsOf&lt;=DueSoonDays,"Due soon","In progress")))))</f>
        <v>Due soon</v>
      </c>
      <c r="M111" s="41">
        <f>IF(tblActions[[#This Row],[Raised]]="","",IF(OR(tblActions[[#This Row],[Closed]]="",tblActions[[#This Row],[Due]]=""),"",IF(tblActions[[#This Row],[Closed]]&lt;=tblActions[[#This Row],[Due]],"Yes","No")))</f>
        <v/>
      </c>
      <c r="N111"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112" spans="2:14">
      <c r="B112" s="30">
        <v>46276</v>
      </c>
      <c r="C112" s="28" t="s">
        <v>119</v>
      </c>
      <c r="D112" s="28" t="s">
        <v>200</v>
      </c>
      <c r="E112" s="38" t="s">
        <v>275</v>
      </c>
      <c r="F112" s="38" t="s">
        <v>276</v>
      </c>
      <c r="G112" s="28" t="s">
        <v>120</v>
      </c>
      <c r="H112" s="30">
        <v>46304</v>
      </c>
      <c r="I112" s="30">
        <v>46291</v>
      </c>
      <c r="J112" s="45"/>
      <c r="K112" s="33">
        <f>IF(tblActions[[#This Row],[Raised]]="","",IF(tblActions[[#This Row],[Closed]]="",AsOf-tblActions[[#This Row],[Raised]],tblActions[[#This Row],[Closed]]-tblActions[[#This Row],[Raised]]))</f>
        <v>15</v>
      </c>
      <c r="L112" s="41" t="str">
        <f>IF(tblActions[[#This Row],[Raised]]="","",IF(tblActions[[#This Row],[Closed]]&lt;&gt;"","Complete",IF(tblActions[[#This Row],[Due]]="","",IF(tblActions[[#This Row],[Due]]&lt;AsOf,"Overdue",IF(tblActions[[#This Row],[Due]]-AsOf&lt;=DueSoonDays,"Due soon","In progress")))))</f>
        <v>Complete</v>
      </c>
      <c r="M112" s="41" t="str">
        <f>IF(tblActions[[#This Row],[Raised]]="","",IF(OR(tblActions[[#This Row],[Closed]]="",tblActions[[#This Row],[Due]]=""),"",IF(tblActions[[#This Row],[Closed]]&lt;=tblActions[[#This Row],[Due]],"Yes","No")))</f>
        <v>Yes</v>
      </c>
      <c r="N112"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113" spans="2:14">
      <c r="B113" s="30">
        <v>46279</v>
      </c>
      <c r="C113" s="28" t="s">
        <v>122</v>
      </c>
      <c r="D113" s="28" t="s">
        <v>184</v>
      </c>
      <c r="E113" s="38" t="s">
        <v>271</v>
      </c>
      <c r="F113" s="38" t="s">
        <v>272</v>
      </c>
      <c r="G113" s="28" t="s">
        <v>123</v>
      </c>
      <c r="H113" s="30">
        <v>46307</v>
      </c>
      <c r="I113" s="30"/>
      <c r="J113" s="45"/>
      <c r="K113" s="33">
        <f>IF(tblActions[[#This Row],[Raised]]="","",IF(tblActions[[#This Row],[Closed]]="",AsOf-tblActions[[#This Row],[Raised]],tblActions[[#This Row],[Closed]]-tblActions[[#This Row],[Raised]]))</f>
        <v>18</v>
      </c>
      <c r="L113" s="41" t="str">
        <f>IF(tblActions[[#This Row],[Raised]]="","",IF(tblActions[[#This Row],[Closed]]&lt;&gt;"","Complete",IF(tblActions[[#This Row],[Due]]="","",IF(tblActions[[#This Row],[Due]]&lt;AsOf,"Overdue",IF(tblActions[[#This Row],[Due]]-AsOf&lt;=DueSoonDays,"Due soon","In progress")))))</f>
        <v>In progress</v>
      </c>
      <c r="M113" s="41">
        <f>IF(tblActions[[#This Row],[Raised]]="","",IF(OR(tblActions[[#This Row],[Closed]]="",tblActions[[#This Row],[Due]]=""),"",IF(tblActions[[#This Row],[Closed]]&lt;=tblActions[[#This Row],[Due]],"Yes","No")))</f>
        <v/>
      </c>
      <c r="N113"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114" spans="2:14">
      <c r="B114" s="30">
        <v>46279</v>
      </c>
      <c r="C114" s="28" t="s">
        <v>122</v>
      </c>
      <c r="D114" s="28" t="s">
        <v>200</v>
      </c>
      <c r="E114" s="38" t="s">
        <v>249</v>
      </c>
      <c r="F114" s="38" t="s">
        <v>250</v>
      </c>
      <c r="G114" s="28" t="s">
        <v>123</v>
      </c>
      <c r="H114" s="30">
        <v>46300</v>
      </c>
      <c r="I114" s="30"/>
      <c r="J114" s="45"/>
      <c r="K114" s="33">
        <f>IF(tblActions[[#This Row],[Raised]]="","",IF(tblActions[[#This Row],[Closed]]="",AsOf-tblActions[[#This Row],[Raised]],tblActions[[#This Row],[Closed]]-tblActions[[#This Row],[Raised]]))</f>
        <v>18</v>
      </c>
      <c r="L114" s="41" t="str">
        <f>IF(tblActions[[#This Row],[Raised]]="","",IF(tblActions[[#This Row],[Closed]]&lt;&gt;"","Complete",IF(tblActions[[#This Row],[Due]]="","",IF(tblActions[[#This Row],[Due]]&lt;AsOf,"Overdue",IF(tblActions[[#This Row],[Due]]-AsOf&lt;=DueSoonDays,"Due soon","In progress")))))</f>
        <v>Due soon</v>
      </c>
      <c r="M114" s="41">
        <f>IF(tblActions[[#This Row],[Raised]]="","",IF(OR(tblActions[[#This Row],[Closed]]="",tblActions[[#This Row],[Due]]=""),"",IF(tblActions[[#This Row],[Closed]]&lt;=tblActions[[#This Row],[Due]],"Yes","No")))</f>
        <v/>
      </c>
      <c r="N114"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115" spans="2:14">
      <c r="B115" s="30">
        <v>46279</v>
      </c>
      <c r="C115" s="28" t="s">
        <v>125</v>
      </c>
      <c r="D115" s="28" t="s">
        <v>184</v>
      </c>
      <c r="E115" s="38" t="s">
        <v>271</v>
      </c>
      <c r="F115" s="38" t="s">
        <v>272</v>
      </c>
      <c r="G115" s="28" t="s">
        <v>126</v>
      </c>
      <c r="H115" s="30">
        <v>46321</v>
      </c>
      <c r="I115" s="30"/>
      <c r="J115" s="45"/>
      <c r="K115" s="33">
        <f>IF(tblActions[[#This Row],[Raised]]="","",IF(tblActions[[#This Row],[Closed]]="",AsOf-tblActions[[#This Row],[Raised]],tblActions[[#This Row],[Closed]]-tblActions[[#This Row],[Raised]]))</f>
        <v>18</v>
      </c>
      <c r="L115" s="41" t="str">
        <f>IF(tblActions[[#This Row],[Raised]]="","",IF(tblActions[[#This Row],[Closed]]&lt;&gt;"","Complete",IF(tblActions[[#This Row],[Due]]="","",IF(tblActions[[#This Row],[Due]]&lt;AsOf,"Overdue",IF(tblActions[[#This Row],[Due]]-AsOf&lt;=DueSoonDays,"Due soon","In progress")))))</f>
        <v>In progress</v>
      </c>
      <c r="M115" s="41">
        <f>IF(tblActions[[#This Row],[Raised]]="","",IF(OR(tblActions[[#This Row],[Closed]]="",tblActions[[#This Row],[Due]]=""),"",IF(tblActions[[#This Row],[Closed]]&lt;=tblActions[[#This Row],[Due]],"Yes","No")))</f>
        <v/>
      </c>
      <c r="N115"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row r="116" spans="2:14">
      <c r="B116" s="30">
        <v>46279</v>
      </c>
      <c r="C116" s="28" t="s">
        <v>125</v>
      </c>
      <c r="D116" s="28" t="s">
        <v>200</v>
      </c>
      <c r="E116" s="38" t="s">
        <v>255</v>
      </c>
      <c r="F116" s="38" t="s">
        <v>256</v>
      </c>
      <c r="G116" s="28" t="s">
        <v>126</v>
      </c>
      <c r="H116" s="30">
        <v>46300</v>
      </c>
      <c r="I116" s="30"/>
      <c r="J116" s="45"/>
      <c r="K116" s="33">
        <f>IF(tblActions[[#This Row],[Raised]]="","",IF(tblActions[[#This Row],[Closed]]="",AsOf-tblActions[[#This Row],[Raised]],tblActions[[#This Row],[Closed]]-tblActions[[#This Row],[Raised]]))</f>
        <v>18</v>
      </c>
      <c r="L116" s="41" t="str">
        <f>IF(tblActions[[#This Row],[Raised]]="","",IF(tblActions[[#This Row],[Closed]]&lt;&gt;"","Complete",IF(tblActions[[#This Row],[Due]]="","",IF(tblActions[[#This Row],[Due]]&lt;AsOf,"Overdue",IF(tblActions[[#This Row],[Due]]-AsOf&lt;=DueSoonDays,"Due soon","In progress")))))</f>
        <v>Due soon</v>
      </c>
      <c r="M116" s="41">
        <f>IF(tblActions[[#This Row],[Raised]]="","",IF(OR(tblActions[[#This Row],[Closed]]="",tblActions[[#This Row],[Due]]=""),"",IF(tblActions[[#This Row],[Closed]]&lt;=tblActions[[#This Row],[Due]],"Yes","No")))</f>
        <v/>
      </c>
      <c r="N116" s="43" t="str">
        <f>IF(tblActions[[#This Row],[Raised]]="","",IF(tblActions[[#This Row],[Area]]="","Missing area",IF(tblActions[[#This Row],[S]]="","Missing s",IF(tblActions[[#This Row],[Finding]]="","Missing finding",IF(tblActions[[#This Row],[Due]]="","Missing due",IF(COUNTIF(tblAreas[Area],tblActions[[#This Row],[Area]])=0,"Area not on Setup list",IF(tblActions[[#This Row],[Due]]&lt;tblActions[[#This Row],[Raised]],"Due before raised",IF(AND(tblActions[[#This Row],[Closed]]&lt;&gt;"",tblActions[[#This Row],[Closed]]&lt;tblActions[[#This Row],[Raised]]),"Closed before raised",IF(OR(tblActions[[#This Row],[Raised]]&gt;AsOf,AND(tblActions[[#This Row],[Closed]]&lt;&gt;"",tblActions[[#This Row],[Closed]]&gt;AsOf)),"Date after the status date",IF(AND(tblActions[[#This Row],[Space freed]]&lt;&gt;"",tblActions[[#This Row],[S]]&lt;&gt;"Sort"),"Space freed on a non-Sort action","OK"))))))))))</f>
        <v>OK</v>
      </c>
    </row>
  </sheetData>
  <mergeCells count="3">
    <mergeCell ref="A1:N1"/>
    <mergeCell ref="B2:M2"/>
    <mergeCell ref="B4:N4"/>
  </mergeCells>
  <conditionalFormatting sqref="L7:L616">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M7:M616">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N7:N616">
    <cfRule type="expression" dxfId="3" priority="41">
      <formula>$N7="OK"</formula>
    </cfRule>
    <cfRule type="expression" dxfId="1" priority="42">
      <formula>AND($N7&lt;&gt;"",$N7&lt;&gt;"OK")</formula>
    </cfRule>
  </conditionalFormatting>
  <dataValidations count="9">
    <dataValidation type="date" allowBlank="1" showInputMessage="1" showErrorMessage="1" errorTitle="Check this entry" error="Enter a date between 01 Jan 2000 and 31 Dec 2100." promptTitle="Raised" prompt="Enter a date between 01 Jan 2000 and 31 Dec 2100." sqref="B7:B616">
      <formula1>36526</formula1>
      <formula2>73415</formula2>
    </dataValidation>
    <dataValidation type="list" allowBlank="1" showInputMessage="1" showErrorMessage="1" errorTitle="Check this entry" error="Pick from the list (edit the list on Setup: Areas)." promptTitle="Area" prompt="Pick from the list (edit the list on Setup: Areas)." sqref="C7:C616">
      <formula1>Areas</formula1>
    </dataValidation>
    <dataValidation type="list" allowBlank="1" showInputMessage="1" showErrorMessage="1" errorTitle="Check this entry" error="Pick one of: Sort, Set in order, Shine, Standardize, Sustain." promptTitle="S" prompt="Pick one of: Sort, Set in order, Shine, Standardize, Sustain." sqref="D7:D616">
      <formula1>"Sort,Set in order,Shine,Standardize,Sustain"</formula1>
    </dataValidation>
    <dataValidation type="textLength" allowBlank="1" showInputMessage="1" showErrorMessage="1" errorTitle="Check this entry" error="Text up to 160 characters." promptTitle="Finding" prompt="Text up to 160 characters." sqref="E7:E616">
      <formula1>0</formula1>
      <formula2>160</formula2>
    </dataValidation>
    <dataValidation type="textLength" allowBlank="1" showInputMessage="1" showErrorMessage="1" errorTitle="Check this entry" error="Text up to 160 characters." promptTitle="Action" prompt="Text up to 160 characters." sqref="F7:F616">
      <formula1>0</formula1>
      <formula2>160</formula2>
    </dataValidation>
    <dataValidation type="textLength" allowBlank="1" showInputMessage="1" showErrorMessage="1" errorTitle="Check this entry" error="Text up to 40 characters." promptTitle="Owner" prompt="Text up to 40 characters." sqref="G7:G616">
      <formula1>0</formula1>
      <formula2>40</formula2>
    </dataValidation>
    <dataValidation type="date" allowBlank="1" showInputMessage="1" showErrorMessage="1" errorTitle="Check this entry" error="Enter a date between 01 Jan 2000 and 31 Dec 2100." promptTitle="Due" prompt="Enter a date between 01 Jan 2000 and 31 Dec 2100." sqref="H7:H616">
      <formula1>36526</formula1>
      <formula2>73415</formula2>
    </dataValidation>
    <dataValidation type="date" allowBlank="1" showInputMessage="1" showErrorMessage="1" errorTitle="Check this entry" error="Enter a date between 01 Jan 2000 and 31 Dec 2100." promptTitle="Closed" prompt="The date the action was done and checked. Leave blank while it is open. Enter a date between 01 Jan 2000 and 31 Dec 2100." sqref="I7:I616">
      <formula1>36526</formula1>
      <formula2>73415</formula2>
    </dataValidation>
    <dataValidation type="decimal" allowBlank="1" showInputMessage="1" showErrorMessage="1" errorTitle="Check this entry" error="Enter a number from 0 to 100,000." promptTitle="Space freed" prompt="Floor area a Sort action freed for other use, in the unit on Setup. Leave blank for other actions. Enter a number from 0 to 100,000." sqref="J7:J616">
      <formula1>0</formula1>
      <formula2>100000</formula2>
    </dataValidation>
  </dataValidations>
  <hyperlinks>
    <hyperlink ref="N2" r:id="rId1" tooltip="Free manufacturing calculators and templates"/>
  </hyperlinks>
  <pageMargins left="0.4" right="0.4" top="0.7" bottom="0.65" header="0.3" footer="0.3"/>
  <pageSetup fitToHeight="0" orientation="landscape"/>
  <headerFooter>
    <oddHeader>&amp;L&amp;8MFG Calcs - 5S Audit Checklist&amp;R&amp;8&amp;A</oddHeader>
    <oddFooter>&amp;L&amp;8mfgcalcs.com - free manufacturing templates&amp;R&amp;8Page &amp;P of &amp;N</oddFooter>
  </headerFooter>
  <tableParts count="1">
    <tablePart r:id="rId2"/>
  </tableParts>
</worksheet>
</file>

<file path=xl/worksheets/sheet6.xml><?xml version="1.0" encoding="utf-8"?>
<worksheet xmlns="http://schemas.openxmlformats.org/spreadsheetml/2006/main" xmlns:r="http://schemas.openxmlformats.org/officeDocument/2006/relationships">
  <sheetPr>
    <tabColor rgb="FF1BA37A"/>
    <pageSetUpPr fitToPage="1"/>
  </sheetPr>
  <dimension ref="A1:M88"/>
  <sheetViews>
    <sheetView showGridLines="0" zoomScale="90" zoomScaleNormal="90" workbookViewId="0"/>
  </sheetViews>
  <sheetFormatPr defaultRowHeight="15"/>
  <cols>
    <col min="1" max="1" width="2.7109375" customWidth="1"/>
    <col min="2" max="2" width="20.7109375" customWidth="1"/>
    <col min="3" max="12" width="10.7109375" customWidth="1"/>
  </cols>
  <sheetData>
    <row r="1" spans="1:13" ht="30" customHeight="1">
      <c r="A1" s="1" t="s">
        <v>0</v>
      </c>
      <c r="B1" s="1"/>
      <c r="C1" s="1"/>
      <c r="D1" s="1"/>
      <c r="E1" s="1"/>
      <c r="F1" s="1"/>
      <c r="G1" s="1"/>
      <c r="H1" s="1"/>
      <c r="I1" s="1"/>
      <c r="J1" s="1"/>
      <c r="K1" s="1"/>
      <c r="L1" s="1"/>
      <c r="M1" s="1"/>
    </row>
    <row r="2" spans="1:13" ht="21" customHeight="1">
      <c r="B2" s="2" t="s">
        <v>28</v>
      </c>
      <c r="C2" s="2"/>
      <c r="D2" s="2"/>
      <c r="E2" s="2"/>
      <c r="F2" s="2"/>
      <c r="G2" s="2"/>
      <c r="H2" s="2"/>
      <c r="I2" s="2"/>
      <c r="J2" s="2"/>
      <c r="K2" s="2"/>
      <c r="L2" s="3" t="s">
        <v>2</v>
      </c>
      <c r="M2" s="3"/>
    </row>
    <row r="3" spans="1:13" ht="6" customHeight="1"/>
    <row r="4" spans="1:13">
      <c r="B4" s="46" t="str">
        <f>IF(COUNT(tblAudits[Month])=0,"No audits logged yet.",PlantName&amp;": "&amp;COUNT(tblAudits[Month])&amp;" audits from "&amp;TEXT(MIN(tblAudits[Audit date]),"d mmm yyyy")&amp;" to "&amp;TEXT(MAX(tblAudits[Audit date]),"d mmm yyyy")&amp;"; latest month "&amp;TEXT(MAX(tblAudits[Month]),"mmmm yyyy")&amp;". Actions as of "&amp;TEXT(AsOf,"d mmm yyyy")&amp;".")</f>
        <v>Kestrel Fabrication (example): 36 audits from 8 Apr 2026 to 14 Sep 2026; latest month September 2026. Actions as of 2 Oct 2026.</v>
      </c>
      <c r="C4" s="46"/>
      <c r="D4" s="46"/>
      <c r="E4" s="46"/>
      <c r="F4" s="46"/>
      <c r="G4" s="46"/>
      <c r="H4" s="46"/>
      <c r="I4" s="46"/>
      <c r="J4" s="46"/>
      <c r="K4" s="46"/>
      <c r="L4" s="46"/>
    </row>
    <row r="6" spans="1:13" ht="18" customHeight="1">
      <c r="B6" s="47" t="s">
        <v>283</v>
      </c>
      <c r="C6" s="47"/>
      <c r="D6" s="47" t="s">
        <v>284</v>
      </c>
      <c r="E6" s="47"/>
      <c r="F6" s="47"/>
      <c r="G6" s="47" t="s">
        <v>285</v>
      </c>
      <c r="H6" s="47"/>
      <c r="I6" s="47"/>
      <c r="J6" s="47" t="s">
        <v>286</v>
      </c>
      <c r="K6" s="47"/>
      <c r="L6" s="47"/>
    </row>
    <row r="7" spans="1:13" ht="21" customHeight="1">
      <c r="B7" s="48">
        <f>IF(COUNT(tblAudits[Month])=0,"",SUMIFS(tblAudits[Total (pts)],tblAudits[Month],MAX(tblAudits[Month]))/(COUNTIFS(tblAudits[Month],MAX(tblAudits[Month]))*AuditMax))</f>
        <v>0.718333333333333</v>
      </c>
      <c r="C7" s="48"/>
      <c r="D7" s="49">
        <f>IF(COUNT(tblAudits[Month])&lt;2,"",IF(IFERROR(LARGE(tblAudits[Month],COUNTIF(tblAudits[Month],MAX(tblAudits[Month]))+1),"")="","",SUMIFS(tblAudits[Total (pts)],tblAudits[Month],MAX(tblAudits[Month]))/(COUNTIFS(tblAudits[Month],MAX(tblAudits[Month]))*AuditMax)-SUMIFS(tblAudits[Total (pts)],tblAudits[Month],IFERROR(LARGE(tblAudits[Month],COUNTIF(tblAudits[Month],MAX(tblAudits[Month]))+1),""))/(COUNTIFS(tblAudits[Month],IFERROR(LARGE(tblAudits[Month],COUNTIF(tblAudits[Month],MAX(tblAudits[Month]))+1),""))*AuditMax)))</f>
        <v>0.0616666666666668</v>
      </c>
      <c r="E7" s="49"/>
      <c r="F7" s="49"/>
      <c r="G7" s="50">
        <f>COUNTIFS($F$62:$F$67,"&lt;"&amp;TargetScore)</f>
        <v>4</v>
      </c>
      <c r="H7" s="50"/>
      <c r="I7" s="50"/>
      <c r="J7" s="51" t="str">
        <f>IF(COUNT($F$71:$F$75)=0,"",INDEX($B$71:$B$75,MATCH(MIN($F$71:$F$75),$F$71:$F$75,0)))</f>
        <v>Sustain</v>
      </c>
      <c r="K7" s="51"/>
      <c r="L7" s="51"/>
    </row>
    <row r="8" spans="1:13" ht="21" customHeight="1">
      <c r="B8" s="48"/>
      <c r="C8" s="48"/>
      <c r="D8" s="49"/>
      <c r="E8" s="49"/>
      <c r="F8" s="49"/>
      <c r="G8" s="50"/>
      <c r="H8" s="50"/>
      <c r="I8" s="50"/>
      <c r="J8" s="51"/>
      <c r="K8" s="51"/>
      <c r="L8" s="51"/>
    </row>
    <row r="9" spans="1:13">
      <c r="B9" s="52">
        <f>TargetScore</f>
        <v>0.8</v>
      </c>
      <c r="C9" s="52"/>
      <c r="D9" s="53" t="s">
        <v>287</v>
      </c>
      <c r="E9" s="53"/>
      <c r="F9" s="53"/>
      <c r="G9" s="53" t="s">
        <v>288</v>
      </c>
      <c r="H9" s="53"/>
      <c r="I9" s="53"/>
      <c r="J9" s="53" t="s">
        <v>289</v>
      </c>
      <c r="K9" s="53"/>
      <c r="L9" s="53"/>
    </row>
    <row r="10" spans="1:13" ht="18" customHeight="1">
      <c r="B10" s="54" t="str">
        <f>IF(NOT(ISNUMBER(KpiScore)),"No data",IF(KpiScore&gt;=(TargetScore),"On target",IF(KpiScore&gt;=(TargetScore)*(1-0.05),"Near target","Below target")))</f>
        <v>Below target</v>
      </c>
      <c r="C10" s="54"/>
      <c r="D10" s="54"/>
      <c r="E10" s="54"/>
      <c r="F10" s="54"/>
      <c r="G10" s="54"/>
      <c r="H10" s="54"/>
      <c r="I10" s="54"/>
      <c r="J10" s="54"/>
      <c r="K10" s="54"/>
      <c r="L10" s="54"/>
    </row>
    <row r="29" spans="2:12" ht="18" customHeight="1">
      <c r="B29" s="47" t="s">
        <v>290</v>
      </c>
      <c r="C29" s="47"/>
      <c r="D29" s="47" t="s">
        <v>291</v>
      </c>
      <c r="E29" s="47"/>
      <c r="F29" s="47"/>
      <c r="G29" s="47" t="s">
        <v>292</v>
      </c>
      <c r="H29" s="47"/>
      <c r="I29" s="47"/>
      <c r="J29" s="47" t="str">
        <f>"VALUE OF SPACE FREED ("&amp;Currency&amp;"/YR, EST.)"</f>
        <v>VALUE OF SPACE FREED (GBP/YR, EST.)</v>
      </c>
      <c r="K29" s="47"/>
      <c r="L29" s="47"/>
    </row>
    <row r="30" spans="2:12" ht="21" customHeight="1">
      <c r="B30" s="50">
        <f>COUNTIFS(tblActions[Status],"&lt;&gt;Complete",tblActions[Raised],"&gt;0")</f>
        <v>18</v>
      </c>
      <c r="C30" s="50"/>
      <c r="D30" s="50">
        <f>COUNTIFS(tblActions[Status],"Overdue")</f>
        <v>8</v>
      </c>
      <c r="E30" s="50"/>
      <c r="F30" s="50"/>
      <c r="G30" s="48">
        <f>IF((COUNTIFS(tblActions[Closed on time],"Yes")+COUNTIFS(tblActions[Closed on time],"No"))=0,"",(COUNTIFS(tblActions[Closed on time],"Yes"))/(COUNTIFS(tblActions[Closed on time],"Yes")+COUNTIFS(tblActions[Closed on time],"No")))</f>
        <v>0.554347826086957</v>
      </c>
      <c r="H30" s="48"/>
      <c r="I30" s="48"/>
      <c r="J30" s="50">
        <f>SUMIFS(tblActions[Space freed],tblActions[Status],"Complete")*SpaceCost</f>
        <v>4180</v>
      </c>
      <c r="K30" s="50"/>
      <c r="L30" s="50"/>
    </row>
    <row r="31" spans="2:12" ht="21" customHeight="1">
      <c r="B31" s="50"/>
      <c r="C31" s="50"/>
      <c r="D31" s="50"/>
      <c r="E31" s="50"/>
      <c r="F31" s="50"/>
      <c r="G31" s="48"/>
      <c r="H31" s="48"/>
      <c r="I31" s="48"/>
      <c r="J31" s="50"/>
      <c r="K31" s="50"/>
      <c r="L31" s="50"/>
    </row>
    <row r="32" spans="2:12">
      <c r="B32" s="53" t="s">
        <v>293</v>
      </c>
      <c r="C32" s="53"/>
      <c r="D32" s="53" t="s">
        <v>294</v>
      </c>
      <c r="E32" s="53"/>
      <c r="F32" s="53"/>
      <c r="G32" s="52">
        <f>TargetOnTime</f>
        <v>0.9</v>
      </c>
      <c r="H32" s="52"/>
      <c r="I32" s="52"/>
      <c r="J32" s="53" t="s">
        <v>295</v>
      </c>
      <c r="K32" s="53"/>
      <c r="L32" s="53"/>
    </row>
    <row r="33" spans="2:12" ht="18" customHeight="1">
      <c r="B33" s="54"/>
      <c r="C33" s="54"/>
      <c r="D33" s="54"/>
      <c r="E33" s="54"/>
      <c r="F33" s="54"/>
      <c r="G33" s="54" t="str">
        <f>IF(NOT(ISNUMBER(KpiOnTime)),"No data",IF(KpiOnTime&gt;=(TargetOnTime),"On target",IF(KpiOnTime&gt;=(TargetOnTime)*(1-0.05),"Near target","Below target")))</f>
        <v>Below target</v>
      </c>
      <c r="H33" s="54"/>
      <c r="I33" s="54"/>
      <c r="J33" s="54"/>
      <c r="K33" s="54"/>
      <c r="L33" s="54"/>
    </row>
    <row r="51" spans="2:13">
      <c r="B51" s="34" t="s">
        <v>296</v>
      </c>
      <c r="C51" s="34"/>
      <c r="D51" s="34"/>
      <c r="E51" s="34"/>
      <c r="F51" s="34"/>
      <c r="G51" s="34"/>
      <c r="H51" s="34"/>
    </row>
    <row r="52" spans="2:13">
      <c r="B52" s="55" t="s">
        <v>69</v>
      </c>
      <c r="C52" s="56">
        <f>INDEX($B$80:$B$85,1)</f>
        <v>46113</v>
      </c>
      <c r="D52" s="56">
        <f>INDEX($B$80:$B$85,2)</f>
        <v>46143</v>
      </c>
      <c r="E52" s="56">
        <f>INDEX($B$80:$B$85,3)</f>
        <v>46174</v>
      </c>
      <c r="F52" s="56">
        <f>INDEX($B$80:$B$85,4)</f>
        <v>46204</v>
      </c>
      <c r="G52" s="56">
        <f>INDEX($B$80:$B$85,5)</f>
        <v>46235</v>
      </c>
      <c r="H52" s="56">
        <f>INDEX($B$80:$B$85,6)</f>
        <v>46266</v>
      </c>
    </row>
    <row r="53" spans="2:13">
      <c r="B53" s="57" t="str">
        <f>IFERROR(INDEX(tblAreas[Area],1)&amp;"","")</f>
        <v>Laser cutting</v>
      </c>
      <c r="C53" s="58">
        <f>IF($B$53="","",IF($C$52="","",IF((COUNTIFS(tblAudits[Area],$B$53,tblAudits[Month],$C$52)*AuditMax)=0,"",(SUMIFS(tblAudits[Total (pts)],tblAudits[Area],$B$53,tblAudits[Month],$C$52))/(COUNTIFS(tblAudits[Area],$B$53,tblAudits[Month],$C$52)*AuditMax))))</f>
        <v>0.4</v>
      </c>
      <c r="D53" s="58">
        <f>IF($B$53="","",IF($D$52="","",IF((COUNTIFS(tblAudits[Area],$B$53,tblAudits[Month],$D$52)*AuditMax)=0,"",(SUMIFS(tblAudits[Total (pts)],tblAudits[Area],$B$53,tblAudits[Month],$D$52))/(COUNTIFS(tblAudits[Area],$B$53,tblAudits[Month],$D$52)*AuditMax))))</f>
        <v>0.48</v>
      </c>
      <c r="E53" s="58">
        <f>IF($B$53="","",IF($E$52="","",IF((COUNTIFS(tblAudits[Area],$B$53,tblAudits[Month],$E$52)*AuditMax)=0,"",(SUMIFS(tblAudits[Total (pts)],tblAudits[Area],$B$53,tblAudits[Month],$E$52))/(COUNTIFS(tblAudits[Area],$B$53,tblAudits[Month],$E$52)*AuditMax))))</f>
        <v>0.49</v>
      </c>
      <c r="F53" s="58">
        <f>IF($B$53="","",IF($F$52="","",IF((COUNTIFS(tblAudits[Area],$B$53,tblAudits[Month],$F$52)*AuditMax)=0,"",(SUMIFS(tblAudits[Total (pts)],tblAudits[Area],$B$53,tblAudits[Month],$F$52))/(COUNTIFS(tblAudits[Area],$B$53,tblAudits[Month],$F$52)*AuditMax))))</f>
        <v>0.58</v>
      </c>
      <c r="G53" s="58">
        <f>IF($B$53="","",IF($G$52="","",IF((COUNTIFS(tblAudits[Area],$B$53,tblAudits[Month],$G$52)*AuditMax)=0,"",(SUMIFS(tblAudits[Total (pts)],tblAudits[Area],$B$53,tblAudits[Month],$G$52))/(COUNTIFS(tblAudits[Area],$B$53,tblAudits[Month],$G$52)*AuditMax))))</f>
        <v>0.64</v>
      </c>
      <c r="H53" s="58">
        <f>IF($B$53="","",IF($H$52="","",IF((COUNTIFS(tblAudits[Area],$B$53,tblAudits[Month],$H$52)*AuditMax)=0,"",(SUMIFS(tblAudits[Total (pts)],tblAudits[Area],$B$53,tblAudits[Month],$H$52))/(COUNTIFS(tblAudits[Area],$B$53,tblAudits[Month],$H$52)*AuditMax))))</f>
        <v>0.71</v>
      </c>
    </row>
    <row r="54" spans="2:13">
      <c r="B54" s="57" t="str">
        <f>IFERROR(INDEX(tblAreas[Area],2)&amp;"","")</f>
        <v>Press brake</v>
      </c>
      <c r="C54" s="58">
        <f>IF($B$54="","",IF($C$52="","",IF((COUNTIFS(tblAudits[Area],$B$54,tblAudits[Month],$C$52)*AuditMax)=0,"",(SUMIFS(tblAudits[Total (pts)],tblAudits[Area],$B$54,tblAudits[Month],$C$52))/(COUNTIFS(tblAudits[Area],$B$54,tblAudits[Month],$C$52)*AuditMax))))</f>
        <v>0.41</v>
      </c>
      <c r="D54" s="58">
        <f>IF($B$54="","",IF($D$52="","",IF((COUNTIFS(tblAudits[Area],$B$54,tblAudits[Month],$D$52)*AuditMax)=0,"",(SUMIFS(tblAudits[Total (pts)],tblAudits[Area],$B$54,tblAudits[Month],$D$52))/(COUNTIFS(tblAudits[Area],$B$54,tblAudits[Month],$D$52)*AuditMax))))</f>
        <v>0.46</v>
      </c>
      <c r="E54" s="58">
        <f>IF($B$54="","",IF($E$52="","",IF((COUNTIFS(tblAudits[Area],$B$54,tblAudits[Month],$E$52)*AuditMax)=0,"",(SUMIFS(tblAudits[Total (pts)],tblAudits[Area],$B$54,tblAudits[Month],$E$52))/(COUNTIFS(tblAudits[Area],$B$54,tblAudits[Month],$E$52)*AuditMax))))</f>
        <v>0.49</v>
      </c>
      <c r="F54" s="58">
        <f>IF($B$54="","",IF($F$52="","",IF((COUNTIFS(tblAudits[Area],$B$54,tblAudits[Month],$F$52)*AuditMax)=0,"",(SUMIFS(tblAudits[Total (pts)],tblAudits[Area],$B$54,tblAudits[Month],$F$52))/(COUNTIFS(tblAudits[Area],$B$54,tblAudits[Month],$F$52)*AuditMax))))</f>
        <v>0.58</v>
      </c>
      <c r="G54" s="58">
        <f>IF($B$54="","",IF($G$52="","",IF((COUNTIFS(tblAudits[Area],$B$54,tblAudits[Month],$G$52)*AuditMax)=0,"",(SUMIFS(tblAudits[Total (pts)],tblAudits[Area],$B$54,tblAudits[Month],$G$52))/(COUNTIFS(tblAudits[Area],$B$54,tblAudits[Month],$G$52)*AuditMax))))</f>
        <v>0.61</v>
      </c>
      <c r="H54" s="58">
        <f>IF($B$54="","",IF($H$52="","",IF((COUNTIFS(tblAudits[Area],$B$54,tblAudits[Month],$H$52)*AuditMax)=0,"",(SUMIFS(tblAudits[Total (pts)],tblAudits[Area],$B$54,tblAudits[Month],$H$52))/(COUNTIFS(tblAudits[Area],$B$54,tblAudits[Month],$H$52)*AuditMax))))</f>
        <v>0.68</v>
      </c>
    </row>
    <row r="55" spans="2:13">
      <c r="B55" s="57" t="str">
        <f>IFERROR(INDEX(tblAreas[Area],3)&amp;"","")</f>
        <v>Welding</v>
      </c>
      <c r="C55" s="58">
        <f>IF($B$55="","",IF($C$52="","",IF((COUNTIFS(tblAudits[Area],$B$55,tblAudits[Month],$C$52)*AuditMax)=0,"",(SUMIFS(tblAudits[Total (pts)],tblAudits[Area],$B$55,tblAudits[Month],$C$52))/(COUNTIFS(tblAudits[Area],$B$55,tblAudits[Month],$C$52)*AuditMax))))</f>
        <v>0.32</v>
      </c>
      <c r="D55" s="58">
        <f>IF($B$55="","",IF($D$52="","",IF((COUNTIFS(tblAudits[Area],$B$55,tblAudits[Month],$D$52)*AuditMax)=0,"",(SUMIFS(tblAudits[Total (pts)],tblAudits[Area],$B$55,tblAudits[Month],$D$52))/(COUNTIFS(tblAudits[Area],$B$55,tblAudits[Month],$D$52)*AuditMax))))</f>
        <v>0.38</v>
      </c>
      <c r="E55" s="58">
        <f>IF($B$55="","",IF($E$52="","",IF((COUNTIFS(tblAudits[Area],$B$55,tblAudits[Month],$E$52)*AuditMax)=0,"",(SUMIFS(tblAudits[Total (pts)],tblAudits[Area],$B$55,tblAudits[Month],$E$52))/(COUNTIFS(tblAudits[Area],$B$55,tblAudits[Month],$E$52)*AuditMax))))</f>
        <v>0.42</v>
      </c>
      <c r="F55" s="58">
        <f>IF($B$55="","",IF($F$52="","",IF((COUNTIFS(tblAudits[Area],$B$55,tblAudits[Month],$F$52)*AuditMax)=0,"",(SUMIFS(tblAudits[Total (pts)],tblAudits[Area],$B$55,tblAudits[Month],$F$52))/(COUNTIFS(tblAudits[Area],$B$55,tblAudits[Month],$F$52)*AuditMax))))</f>
        <v>0.45</v>
      </c>
      <c r="G55" s="58">
        <f>IF($B$55="","",IF($G$52="","",IF((COUNTIFS(tblAudits[Area],$B$55,tblAudits[Month],$G$52)*AuditMax)=0,"",(SUMIFS(tblAudits[Total (pts)],tblAudits[Area],$B$55,tblAudits[Month],$G$52))/(COUNTIFS(tblAudits[Area],$B$55,tblAudits[Month],$G$52)*AuditMax))))</f>
        <v>0.49</v>
      </c>
      <c r="H55" s="58">
        <f>IF($B$55="","",IF($H$52="","",IF((COUNTIFS(tblAudits[Area],$B$55,tblAudits[Month],$H$52)*AuditMax)=0,"",(SUMIFS(tblAudits[Total (pts)],tblAudits[Area],$B$55,tblAudits[Month],$H$52))/(COUNTIFS(tblAudits[Area],$B$55,tblAudits[Month],$H$52)*AuditMax))))</f>
        <v>0.52</v>
      </c>
    </row>
    <row r="56" spans="2:13">
      <c r="B56" s="57" t="str">
        <f>IFERROR(INDEX(tblAreas[Area],4)&amp;"","")</f>
        <v>Paint line</v>
      </c>
      <c r="C56" s="58">
        <f>IF($B$56="","",IF($C$52="","",IF((COUNTIFS(tblAudits[Area],$B$56,tblAudits[Month],$C$52)*AuditMax)=0,"",(SUMIFS(tblAudits[Total (pts)],tblAudits[Area],$B$56,tblAudits[Month],$C$52))/(COUNTIFS(tblAudits[Area],$B$56,tblAudits[Month],$C$52)*AuditMax))))</f>
        <v>0.39</v>
      </c>
      <c r="D56" s="58">
        <f>IF($B$56="","",IF($D$52="","",IF((COUNTIFS(tblAudits[Area],$B$56,tblAudits[Month],$D$52)*AuditMax)=0,"",(SUMIFS(tblAudits[Total (pts)],tblAudits[Area],$B$56,tblAudits[Month],$D$52))/(COUNTIFS(tblAudits[Area],$B$56,tblAudits[Month],$D$52)*AuditMax))))</f>
        <v>0.44</v>
      </c>
      <c r="E56" s="58">
        <f>IF($B$56="","",IF($E$52="","",IF((COUNTIFS(tblAudits[Area],$B$56,tblAudits[Month],$E$52)*AuditMax)=0,"",(SUMIFS(tblAudits[Total (pts)],tblAudits[Area],$B$56,tblAudits[Month],$E$52))/(COUNTIFS(tblAudits[Area],$B$56,tblAudits[Month],$E$52)*AuditMax))))</f>
        <v>0.53</v>
      </c>
      <c r="F56" s="58">
        <f>IF($B$56="","",IF($F$52="","",IF((COUNTIFS(tblAudits[Area],$B$56,tblAudits[Month],$F$52)*AuditMax)=0,"",(SUMIFS(tblAudits[Total (pts)],tblAudits[Area],$B$56,tblAudits[Month],$F$52))/(COUNTIFS(tblAudits[Area],$B$56,tblAudits[Month],$F$52)*AuditMax))))</f>
        <v>0.55</v>
      </c>
      <c r="G56" s="58">
        <f>IF($B$56="","",IF($G$52="","",IF((COUNTIFS(tblAudits[Area],$B$56,tblAudits[Month],$G$52)*AuditMax)=0,"",(SUMIFS(tblAudits[Total (pts)],tblAudits[Area],$B$56,tblAudits[Month],$G$52))/(COUNTIFS(tblAudits[Area],$B$56,tblAudits[Month],$G$52)*AuditMax))))</f>
        <v>0.64</v>
      </c>
      <c r="H56" s="58">
        <f>IF($B$56="","",IF($H$52="","",IF((COUNTIFS(tblAudits[Area],$B$56,tblAudits[Month],$H$52)*AuditMax)=0,"",(SUMIFS(tblAudits[Total (pts)],tblAudits[Area],$B$56,tblAudits[Month],$H$52))/(COUNTIFS(tblAudits[Area],$B$56,tblAudits[Month],$H$52)*AuditMax))))</f>
        <v>0.69</v>
      </c>
    </row>
    <row r="57" spans="2:13">
      <c r="B57" s="57" t="str">
        <f>IFERROR(INDEX(tblAreas[Area],5)&amp;"","")</f>
        <v>Assembly</v>
      </c>
      <c r="C57" s="58">
        <f>IF($B$57="","",IF($C$52="","",IF((COUNTIFS(tblAudits[Area],$B$57,tblAudits[Month],$C$52)*AuditMax)=0,"",(SUMIFS(tblAudits[Total (pts)],tblAudits[Area],$B$57,tblAudits[Month],$C$52))/(COUNTIFS(tblAudits[Area],$B$57,tblAudits[Month],$C$52)*AuditMax))))</f>
        <v>0.44</v>
      </c>
      <c r="D57" s="58">
        <f>IF($B$57="","",IF($D$52="","",IF((COUNTIFS(tblAudits[Area],$B$57,tblAudits[Month],$D$52)*AuditMax)=0,"",(SUMIFS(tblAudits[Total (pts)],tblAudits[Area],$B$57,tblAudits[Month],$D$52))/(COUNTIFS(tblAudits[Area],$B$57,tblAudits[Month],$D$52)*AuditMax))))</f>
        <v>0.55</v>
      </c>
      <c r="E57" s="58">
        <f>IF($B$57="","",IF($E$52="","",IF((COUNTIFS(tblAudits[Area],$B$57,tblAudits[Month],$E$52)*AuditMax)=0,"",(SUMIFS(tblAudits[Total (pts)],tblAudits[Area],$B$57,tblAudits[Month],$E$52))/(COUNTIFS(tblAudits[Area],$B$57,tblAudits[Month],$E$52)*AuditMax))))</f>
        <v>0.63</v>
      </c>
      <c r="F57" s="58">
        <f>IF($B$57="","",IF($F$52="","",IF((COUNTIFS(tblAudits[Area],$B$57,tblAudits[Month],$F$52)*AuditMax)=0,"",(SUMIFS(tblAudits[Total (pts)],tblAudits[Area],$B$57,tblAudits[Month],$F$52))/(COUNTIFS(tblAudits[Area],$B$57,tblAudits[Month],$F$52)*AuditMax))))</f>
        <v>0.68</v>
      </c>
      <c r="G57" s="58">
        <f>IF($B$57="","",IF($G$52="","",IF((COUNTIFS(tblAudits[Area],$B$57,tblAudits[Month],$G$52)*AuditMax)=0,"",(SUMIFS(tblAudits[Total (pts)],tblAudits[Area],$B$57,tblAudits[Month],$G$52))/(COUNTIFS(tblAudits[Area],$B$57,tblAudits[Month],$G$52)*AuditMax))))</f>
        <v>0.75</v>
      </c>
      <c r="H57" s="58">
        <f>IF($B$57="","",IF($H$52="","",IF((COUNTIFS(tblAudits[Area],$B$57,tblAudits[Month],$H$52)*AuditMax)=0,"",(SUMIFS(tblAudits[Total (pts)],tblAudits[Area],$B$57,tblAudits[Month],$H$52))/(COUNTIFS(tblAudits[Area],$B$57,tblAudits[Month],$H$52)*AuditMax))))</f>
        <v>0.83</v>
      </c>
    </row>
    <row r="58" spans="2:13">
      <c r="B58" s="57" t="str">
        <f>IFERROR(INDEX(tblAreas[Area],6)&amp;"","")</f>
        <v>Stores</v>
      </c>
      <c r="C58" s="58">
        <f>IF($B$58="","",IF($C$52="","",IF((COUNTIFS(tblAudits[Area],$B$58,tblAudits[Month],$C$52)*AuditMax)=0,"",(SUMIFS(tblAudits[Total (pts)],tblAudits[Area],$B$58,tblAudits[Month],$C$52))/(COUNTIFS(tblAudits[Area],$B$58,tblAudits[Month],$C$52)*AuditMax))))</f>
        <v>0.41</v>
      </c>
      <c r="D58" s="58">
        <f>IF($B$58="","",IF($D$52="","",IF((COUNTIFS(tblAudits[Area],$B$58,tblAudits[Month],$D$52)*AuditMax)=0,"",(SUMIFS(tblAudits[Total (pts)],tblAudits[Area],$B$58,tblAudits[Month],$D$52))/(COUNTIFS(tblAudits[Area],$B$58,tblAudits[Month],$D$52)*AuditMax))))</f>
        <v>0.51</v>
      </c>
      <c r="E58" s="58">
        <f>IF($B$58="","",IF($E$52="","",IF((COUNTIFS(tblAudits[Area],$B$58,tblAudits[Month],$E$52)*AuditMax)=0,"",(SUMIFS(tblAudits[Total (pts)],tblAudits[Area],$B$58,tblAudits[Month],$E$52))/(COUNTIFS(tblAudits[Area],$B$58,tblAudits[Month],$E$52)*AuditMax))))</f>
        <v>0.61</v>
      </c>
      <c r="F58" s="58">
        <f>IF($B$58="","",IF($F$52="","",IF((COUNTIFS(tblAudits[Area],$B$58,tblAudits[Month],$F$52)*AuditMax)=0,"",(SUMIFS(tblAudits[Total (pts)],tblAudits[Area],$B$58,tblAudits[Month],$F$52))/(COUNTIFS(tblAudits[Area],$B$58,tblAudits[Month],$F$52)*AuditMax))))</f>
        <v>0.71</v>
      </c>
      <c r="G58" s="58">
        <f>IF($B$58="","",IF($G$52="","",IF((COUNTIFS(tblAudits[Area],$B$58,tblAudits[Month],$G$52)*AuditMax)=0,"",(SUMIFS(tblAudits[Total (pts)],tblAudits[Area],$B$58,tblAudits[Month],$G$52))/(COUNTIFS(tblAudits[Area],$B$58,tblAudits[Month],$G$52)*AuditMax))))</f>
        <v>0.81</v>
      </c>
      <c r="H58" s="58">
        <f>IF($B$58="","",IF($H$52="","",IF((COUNTIFS(tblAudits[Area],$B$58,tblAudits[Month],$H$52)*AuditMax)=0,"",(SUMIFS(tblAudits[Total (pts)],tblAudits[Area],$B$58,tblAudits[Month],$H$52))/(COUNTIFS(tblAudits[Area],$B$58,tblAudits[Month],$H$52)*AuditMax))))</f>
        <v>0.88</v>
      </c>
    </row>
    <row r="60" spans="2:13">
      <c r="B60" s="34" t="s">
        <v>297</v>
      </c>
      <c r="C60" s="34"/>
      <c r="D60" s="34"/>
      <c r="E60" s="34"/>
      <c r="F60" s="34"/>
      <c r="G60" s="34"/>
      <c r="H60" s="34"/>
      <c r="I60" s="34"/>
      <c r="J60" s="34"/>
      <c r="K60" s="34"/>
      <c r="L60" s="34"/>
      <c r="M60" s="34"/>
    </row>
    <row r="61" spans="2:13" ht="32" customHeight="1">
      <c r="B61" s="55" t="s">
        <v>69</v>
      </c>
      <c r="C61" s="35" t="s">
        <v>70</v>
      </c>
      <c r="D61" s="35"/>
      <c r="E61" s="35" t="s">
        <v>298</v>
      </c>
      <c r="F61" s="35" t="s">
        <v>66</v>
      </c>
      <c r="G61" s="35" t="s">
        <v>223</v>
      </c>
      <c r="H61" s="35"/>
      <c r="I61" s="35" t="s">
        <v>299</v>
      </c>
      <c r="J61" s="35" t="s">
        <v>300</v>
      </c>
      <c r="K61" s="35" t="s">
        <v>301</v>
      </c>
      <c r="L61" s="35" t="s">
        <v>302</v>
      </c>
      <c r="M61" s="35" t="s">
        <v>303</v>
      </c>
    </row>
    <row r="62" spans="2:13">
      <c r="B62" s="57" t="str">
        <f>IFERROR(INDEX(tblAreas[Area],1)&amp;"","")</f>
        <v>Laser cutting</v>
      </c>
      <c r="C62" s="39" t="str">
        <f>IF($B$62="","",INDEX(tblAreas[Owner],1))</f>
        <v>R. Okafor</v>
      </c>
      <c r="D62" s="39"/>
      <c r="E62" s="59">
        <f>IF($B$62="","",IF(SUMPRODUCT(MAX((tblAudits[Area]=$B$62)*tblAudits[Audit date]))=0,"",SUMPRODUCT(MAX((tblAudits[Area]=$B$62)*tblAudits[Audit date]))))</f>
        <v>46273</v>
      </c>
      <c r="F62" s="40">
        <f>IF($B$62="","",IF($E$62="","",SUMIFS(tblAudits[Total (pts)],tblAudits[Area],$B$62,tblAudits[Audit date],$E$62)/(COUNTIFS(tblAudits[Area],$B$62,tblAudits[Audit date],$E$62)*AuditMax)))</f>
        <v>0.71</v>
      </c>
      <c r="G62" s="39" t="str">
        <f>IF($B$62="","",IF($F$62="","",IF($F$62&gt;=TargetScore,"On target",IF($F$62&gt;=TargetScore*0.95,"Near target","Below target"))))</f>
        <v>Below target</v>
      </c>
      <c r="H62" s="39"/>
      <c r="I62" s="60">
        <f>IF($B$62="","",IF($E$62="","",IF(SUMPRODUCT(MAX((tblAudits[Area]=$B$62)*(tblAudits[Audit date]&lt;$E$62)*tblAudits[Audit date]))=0,"",$F$62-SUMIFS(tblAudits[Total (pts)],tblAudits[Area],$B$62,tblAudits[Audit date],SUMPRODUCT(MAX((tblAudits[Area]=$B$62)*(tblAudits[Audit date]&lt;$E$62)*tblAudits[Audit date])))/(COUNTIFS(tblAudits[Area],$B$62,tblAudits[Audit date],SUMPRODUCT(MAX((tblAudits[Area]=$B$62)*(tblAudits[Audit date]&lt;$E$62)*tblAudits[Audit date])))*AuditMax))))</f>
        <v>0.07</v>
      </c>
      <c r="J62" s="33">
        <f>IF($B$62="","",COUNTIFS(tblActions[Area],$B$62,tblActions[Status],"&lt;&gt;Complete",tblActions[Raised],"&gt;0"))</f>
        <v>4</v>
      </c>
      <c r="K62" s="33">
        <f>IF($B$62="","",COUNTIFS(tblActions[Area],$B$62,tblActions[Status],"Overdue"))</f>
        <v>2</v>
      </c>
      <c r="L62" s="33">
        <f>IF($B$62="","",$J$62-$K$62)</f>
        <v>2</v>
      </c>
      <c r="M62" s="61">
        <f>TargetScore</f>
        <v>0.8</v>
      </c>
    </row>
    <row r="63" spans="2:13">
      <c r="B63" s="57" t="str">
        <f>IFERROR(INDEX(tblAreas[Area],2)&amp;"","")</f>
        <v>Press brake</v>
      </c>
      <c r="C63" s="39" t="str">
        <f>IF($B$63="","",INDEX(tblAreas[Owner],2))</f>
        <v>M. Lindqvist</v>
      </c>
      <c r="D63" s="39"/>
      <c r="E63" s="59">
        <f>IF($B$63="","",IF(SUMPRODUCT(MAX((tblAudits[Area]=$B$63)*tblAudits[Audit date]))=0,"",SUMPRODUCT(MAX((tblAudits[Area]=$B$63)*tblAudits[Audit date]))))</f>
        <v>46274</v>
      </c>
      <c r="F63" s="40">
        <f>IF($B$63="","",IF($E$63="","",SUMIFS(tblAudits[Total (pts)],tblAudits[Area],$B$63,tblAudits[Audit date],$E$63)/(COUNTIFS(tblAudits[Area],$B$63,tblAudits[Audit date],$E$63)*AuditMax)))</f>
        <v>0.68</v>
      </c>
      <c r="G63" s="39" t="str">
        <f>IF($B$63="","",IF($F$63="","",IF($F$63&gt;=TargetScore,"On target",IF($F$63&gt;=TargetScore*0.95,"Near target","Below target"))))</f>
        <v>Below target</v>
      </c>
      <c r="H63" s="39"/>
      <c r="I63" s="60">
        <f>IF($B$63="","",IF($E$63="","",IF(SUMPRODUCT(MAX((tblAudits[Area]=$B$63)*(tblAudits[Audit date]&lt;$E$63)*tblAudits[Audit date]))=0,"",$F$63-SUMIFS(tblAudits[Total (pts)],tblAudits[Area],$B$63,tblAudits[Audit date],SUMPRODUCT(MAX((tblAudits[Area]=$B$63)*(tblAudits[Audit date]&lt;$E$63)*tblAudits[Audit date])))/(COUNTIFS(tblAudits[Area],$B$63,tblAudits[Audit date],SUMPRODUCT(MAX((tblAudits[Area]=$B$63)*(tblAudits[Audit date]&lt;$E$63)*tblAudits[Audit date])))*AuditMax))))</f>
        <v>0.0700000000000001</v>
      </c>
      <c r="J63" s="33">
        <f>IF($B$63="","",COUNTIFS(tblActions[Area],$B$63,tblActions[Status],"&lt;&gt;Complete",tblActions[Raised],"&gt;0"))</f>
        <v>2</v>
      </c>
      <c r="K63" s="33">
        <f>IF($B$63="","",COUNTIFS(tblActions[Area],$B$63,tblActions[Status],"Overdue"))</f>
        <v>0</v>
      </c>
      <c r="L63" s="33">
        <f>IF($B$63="","",$J$63-$K$63)</f>
        <v>2</v>
      </c>
      <c r="M63" s="61">
        <f>TargetScore</f>
        <v>0.8</v>
      </c>
    </row>
    <row r="64" spans="2:13">
      <c r="B64" s="57" t="str">
        <f>IFERROR(INDEX(tblAreas[Area],3)&amp;"","")</f>
        <v>Welding</v>
      </c>
      <c r="C64" s="39" t="str">
        <f>IF($B$64="","",INDEX(tblAreas[Owner],3))</f>
        <v>J. Patel</v>
      </c>
      <c r="D64" s="39"/>
      <c r="E64" s="59">
        <f>IF($B$64="","",IF(SUMPRODUCT(MAX((tblAudits[Area]=$B$64)*tblAudits[Audit date]))=0,"",SUMPRODUCT(MAX((tblAudits[Area]=$B$64)*tblAudits[Audit date]))))</f>
        <v>46275</v>
      </c>
      <c r="F64" s="40">
        <f>IF($B$64="","",IF($E$64="","",SUMIFS(tblAudits[Total (pts)],tblAudits[Area],$B$64,tblAudits[Audit date],$E$64)/(COUNTIFS(tblAudits[Area],$B$64,tblAudits[Audit date],$E$64)*AuditMax)))</f>
        <v>0.52</v>
      </c>
      <c r="G64" s="39" t="str">
        <f>IF($B$64="","",IF($F$64="","",IF($F$64&gt;=TargetScore,"On target",IF($F$64&gt;=TargetScore*0.95,"Near target","Below target"))))</f>
        <v>Below target</v>
      </c>
      <c r="H64" s="39"/>
      <c r="I64" s="60">
        <f>IF($B$64="","",IF($E$64="","",IF(SUMPRODUCT(MAX((tblAudits[Area]=$B$64)*(tblAudits[Audit date]&lt;$E$64)*tblAudits[Audit date]))=0,"",$F$64-SUMIFS(tblAudits[Total (pts)],tblAudits[Area],$B$64,tblAudits[Audit date],SUMPRODUCT(MAX((tblAudits[Area]=$B$64)*(tblAudits[Audit date]&lt;$E$64)*tblAudits[Audit date])))/(COUNTIFS(tblAudits[Area],$B$64,tblAudits[Audit date],SUMPRODUCT(MAX((tblAudits[Area]=$B$64)*(tblAudits[Audit date]&lt;$E$64)*tblAudits[Audit date])))*AuditMax))))</f>
        <v>0.03</v>
      </c>
      <c r="J64" s="33">
        <f>IF($B$64="","",COUNTIFS(tblActions[Area],$B$64,tblActions[Status],"&lt;&gt;Complete",tblActions[Raised],"&gt;0"))</f>
        <v>4</v>
      </c>
      <c r="K64" s="33">
        <f>IF($B$64="","",COUNTIFS(tblActions[Area],$B$64,tblActions[Status],"Overdue"))</f>
        <v>3</v>
      </c>
      <c r="L64" s="33">
        <f>IF($B$64="","",$J$64-$K$64)</f>
        <v>1</v>
      </c>
      <c r="M64" s="61">
        <f>TargetScore</f>
        <v>0.8</v>
      </c>
    </row>
    <row r="65" spans="2:13">
      <c r="B65" s="57" t="str">
        <f>IFERROR(INDEX(tblAreas[Area],4)&amp;"","")</f>
        <v>Paint line</v>
      </c>
      <c r="C65" s="39" t="str">
        <f>IF($B$65="","",INDEX(tblAreas[Owner],4))</f>
        <v>S. Moreau</v>
      </c>
      <c r="D65" s="39"/>
      <c r="E65" s="59">
        <f>IF($B$65="","",IF(SUMPRODUCT(MAX((tblAudits[Area]=$B$65)*tblAudits[Audit date]))=0,"",SUMPRODUCT(MAX((tblAudits[Area]=$B$65)*tblAudits[Audit date]))))</f>
        <v>46276</v>
      </c>
      <c r="F65" s="40">
        <f>IF($B$65="","",IF($E$65="","",SUMIFS(tblAudits[Total (pts)],tblAudits[Area],$B$65,tblAudits[Audit date],$E$65)/(COUNTIFS(tblAudits[Area],$B$65,tblAudits[Audit date],$E$65)*AuditMax)))</f>
        <v>0.69</v>
      </c>
      <c r="G65" s="39" t="str">
        <f>IF($B$65="","",IF($F$65="","",IF($F$65&gt;=TargetScore,"On target",IF($F$65&gt;=TargetScore*0.95,"Near target","Below target"))))</f>
        <v>Below target</v>
      </c>
      <c r="H65" s="39"/>
      <c r="I65" s="60">
        <f>IF($B$65="","",IF($E$65="","",IF(SUMPRODUCT(MAX((tblAudits[Area]=$B$65)*(tblAudits[Audit date]&lt;$E$65)*tblAudits[Audit date]))=0,"",$F$65-SUMIFS(tblAudits[Total (pts)],tblAudits[Area],$B$65,tblAudits[Audit date],SUMPRODUCT(MAX((tblAudits[Area]=$B$65)*(tblAudits[Audit date]&lt;$E$65)*tblAudits[Audit date])))/(COUNTIFS(tblAudits[Area],$B$65,tblAudits[Audit date],SUMPRODUCT(MAX((tblAudits[Area]=$B$65)*(tblAudits[Audit date]&lt;$E$65)*tblAudits[Audit date])))*AuditMax))))</f>
        <v>0.0499999999999999</v>
      </c>
      <c r="J65" s="33">
        <f>IF($B$65="","",COUNTIFS(tblActions[Area],$B$65,tblActions[Status],"&lt;&gt;Complete",tblActions[Raised],"&gt;0"))</f>
        <v>2</v>
      </c>
      <c r="K65" s="33">
        <f>IF($B$65="","",COUNTIFS(tblActions[Area],$B$65,tblActions[Status],"Overdue"))</f>
        <v>1</v>
      </c>
      <c r="L65" s="33">
        <f>IF($B$65="","",$J$65-$K$65)</f>
        <v>1</v>
      </c>
      <c r="M65" s="61">
        <f>TargetScore</f>
        <v>0.8</v>
      </c>
    </row>
    <row r="66" spans="2:13">
      <c r="B66" s="57" t="str">
        <f>IFERROR(INDEX(tblAreas[Area],5)&amp;"","")</f>
        <v>Assembly</v>
      </c>
      <c r="C66" s="39" t="str">
        <f>IF($B$66="","",INDEX(tblAreas[Owner],5))</f>
        <v>T. Nguyen</v>
      </c>
      <c r="D66" s="39"/>
      <c r="E66" s="59">
        <f>IF($B$66="","",IF(SUMPRODUCT(MAX((tblAudits[Area]=$B$66)*tblAudits[Audit date]))=0,"",SUMPRODUCT(MAX((tblAudits[Area]=$B$66)*tblAudits[Audit date]))))</f>
        <v>46279</v>
      </c>
      <c r="F66" s="40">
        <f>IF($B$66="","",IF($E$66="","",SUMIFS(tblAudits[Total (pts)],tblAudits[Area],$B$66,tblAudits[Audit date],$E$66)/(COUNTIFS(tblAudits[Area],$B$66,tblAudits[Audit date],$E$66)*AuditMax)))</f>
        <v>0.83</v>
      </c>
      <c r="G66" s="39" t="str">
        <f>IF($B$66="","",IF($F$66="","",IF($F$66&gt;=TargetScore,"On target",IF($F$66&gt;=TargetScore*0.95,"Near target","Below target"))))</f>
        <v>On target</v>
      </c>
      <c r="H66" s="39"/>
      <c r="I66" s="60">
        <f>IF($B$66="","",IF($E$66="","",IF(SUMPRODUCT(MAX((tblAudits[Area]=$B$66)*(tblAudits[Audit date]&lt;$E$66)*tblAudits[Audit date]))=0,"",$F$66-SUMIFS(tblAudits[Total (pts)],tblAudits[Area],$B$66,tblAudits[Audit date],SUMPRODUCT(MAX((tblAudits[Area]=$B$66)*(tblAudits[Audit date]&lt;$E$66)*tblAudits[Audit date])))/(COUNTIFS(tblAudits[Area],$B$66,tblAudits[Audit date],SUMPRODUCT(MAX((tblAudits[Area]=$B$66)*(tblAudits[Audit date]&lt;$E$66)*tblAudits[Audit date])))*AuditMax))))</f>
        <v>0.08</v>
      </c>
      <c r="J66" s="33">
        <f>IF($B$66="","",COUNTIFS(tblActions[Area],$B$66,tblActions[Status],"&lt;&gt;Complete",tblActions[Raised],"&gt;0"))</f>
        <v>4</v>
      </c>
      <c r="K66" s="33">
        <f>IF($B$66="","",COUNTIFS(tblActions[Area],$B$66,tblActions[Status],"Overdue"))</f>
        <v>2</v>
      </c>
      <c r="L66" s="33">
        <f>IF($B$66="","",$J$66-$K$66)</f>
        <v>2</v>
      </c>
      <c r="M66" s="61">
        <f>TargetScore</f>
        <v>0.8</v>
      </c>
    </row>
    <row r="67" spans="2:13">
      <c r="B67" s="57" t="str">
        <f>IFERROR(INDEX(tblAreas[Area],6)&amp;"","")</f>
        <v>Stores</v>
      </c>
      <c r="C67" s="39" t="str">
        <f>IF($B$67="","",INDEX(tblAreas[Owner],6))</f>
        <v>A. Kowalski</v>
      </c>
      <c r="D67" s="39"/>
      <c r="E67" s="59">
        <f>IF($B$67="","",IF(SUMPRODUCT(MAX((tblAudits[Area]=$B$67)*tblAudits[Audit date]))=0,"",SUMPRODUCT(MAX((tblAudits[Area]=$B$67)*tblAudits[Audit date]))))</f>
        <v>46279</v>
      </c>
      <c r="F67" s="40">
        <f>IF($B$67="","",IF($E$67="","",SUMIFS(tblAudits[Total (pts)],tblAudits[Area],$B$67,tblAudits[Audit date],$E$67)/(COUNTIFS(tblAudits[Area],$B$67,tblAudits[Audit date],$E$67)*AuditMax)))</f>
        <v>0.88</v>
      </c>
      <c r="G67" s="39" t="str">
        <f>IF($B$67="","",IF($F$67="","",IF($F$67&gt;=TargetScore,"On target",IF($F$67&gt;=TargetScore*0.95,"Near target","Below target"))))</f>
        <v>On target</v>
      </c>
      <c r="H67" s="39"/>
      <c r="I67" s="60">
        <f>IF($B$67="","",IF($E$67="","",IF(SUMPRODUCT(MAX((tblAudits[Area]=$B$67)*(tblAudits[Audit date]&lt;$E$67)*tblAudits[Audit date]))=0,"",$F$67-SUMIFS(tblAudits[Total (pts)],tblAudits[Area],$B$67,tblAudits[Audit date],SUMPRODUCT(MAX((tblAudits[Area]=$B$67)*(tblAudits[Audit date]&lt;$E$67)*tblAudits[Audit date])))/(COUNTIFS(tblAudits[Area],$B$67,tblAudits[Audit date],SUMPRODUCT(MAX((tblAudits[Area]=$B$67)*(tblAudits[Audit date]&lt;$E$67)*tblAudits[Audit date])))*AuditMax))))</f>
        <v>0.07</v>
      </c>
      <c r="J67" s="33">
        <f>IF($B$67="","",COUNTIFS(tblActions[Area],$B$67,tblActions[Status],"&lt;&gt;Complete",tblActions[Raised],"&gt;0"))</f>
        <v>2</v>
      </c>
      <c r="K67" s="33">
        <f>IF($B$67="","",COUNTIFS(tblActions[Area],$B$67,tblActions[Status],"Overdue"))</f>
        <v>0</v>
      </c>
      <c r="L67" s="33">
        <f>IF($B$67="","",$J$67-$K$67)</f>
        <v>2</v>
      </c>
      <c r="M67" s="61">
        <f>TargetScore</f>
        <v>0.8</v>
      </c>
    </row>
    <row r="69" spans="2:13">
      <c r="B69" s="34" t="s">
        <v>304</v>
      </c>
      <c r="C69" s="34"/>
      <c r="D69" s="34"/>
      <c r="E69" s="34"/>
      <c r="F69" s="34"/>
      <c r="G69" s="34"/>
      <c r="H69" s="34"/>
      <c r="I69" s="34"/>
      <c r="J69" s="34"/>
    </row>
    <row r="70" spans="2:13" ht="32" customHeight="1">
      <c r="B70" s="55" t="s">
        <v>129</v>
      </c>
      <c r="C70" s="35" t="s">
        <v>305</v>
      </c>
      <c r="D70" s="35" t="s">
        <v>306</v>
      </c>
      <c r="E70" s="35" t="s">
        <v>307</v>
      </c>
      <c r="F70" s="35" t="s">
        <v>308</v>
      </c>
      <c r="G70" s="35" t="s">
        <v>309</v>
      </c>
      <c r="H70" s="35" t="s">
        <v>303</v>
      </c>
      <c r="I70" s="35" t="s">
        <v>300</v>
      </c>
      <c r="J70" s="35" t="s">
        <v>310</v>
      </c>
    </row>
    <row r="71" spans="2:13">
      <c r="B71" s="57" t="s">
        <v>136</v>
      </c>
      <c r="C71" s="33">
        <f>COUNTIFS(tblCriteria[S],$B$71)</f>
        <v>5</v>
      </c>
      <c r="D71" s="33">
        <f>$C$71*PointsPerItem</f>
        <v>20</v>
      </c>
      <c r="E71" s="40">
        <f>IF(COUNTIFS(tblAudits[Month],MIN(tblAudits[Month]))*$D$71=0,"",CHOOSE(1,SUMIFS(tblAudits[Sort (pts)],tblAudits[Month],MIN(tblAudits[Month])),SUMIFS(tblAudits[Set in order (pts)],tblAudits[Month],MIN(tblAudits[Month])),SUMIFS(tblAudits[Shine (pts)],tblAudits[Month],MIN(tblAudits[Month])),SUMIFS(tblAudits[Standardize (pts)],tblAudits[Month],MIN(tblAudits[Month])),SUMIFS(tblAudits[Sustain (pts)],tblAudits[Month],MIN(tblAudits[Month])))/(COUNTIFS(tblAudits[Month],MIN(tblAudits[Month]))*$D$71))</f>
        <v>0.458333333333333</v>
      </c>
      <c r="F71" s="40">
        <f>IF(COUNTIFS(tblAudits[Month],MAX(tblAudits[Month]))*$D$71=0,"",CHOOSE(1,SUMIFS(tblAudits[Sort (pts)],tblAudits[Month],MAX(tblAudits[Month])),SUMIFS(tblAudits[Set in order (pts)],tblAudits[Month],MAX(tblAudits[Month])),SUMIFS(tblAudits[Shine (pts)],tblAudits[Month],MAX(tblAudits[Month])),SUMIFS(tblAudits[Standardize (pts)],tblAudits[Month],MAX(tblAudits[Month])),SUMIFS(tblAudits[Sustain (pts)],tblAudits[Month],MAX(tblAudits[Month])))/(COUNTIFS(tblAudits[Month],MAX(tblAudits[Month]))*$D$71))</f>
        <v>0.883333333333333</v>
      </c>
      <c r="G71" s="60">
        <f>IF(OR($E$71="",$F$71=""),"",$F$71-$E$71)</f>
        <v>0.425</v>
      </c>
      <c r="H71" s="61">
        <f>TargetScore</f>
        <v>0.8</v>
      </c>
      <c r="I71" s="33">
        <f>COUNTIFS(tblActions[S],$B$71,tblActions[Status],"&lt;&gt;Complete",tblActions[Raised],"&gt;0")</f>
        <v>0</v>
      </c>
      <c r="J71" s="33">
        <f>COUNTIFS(tblActions[S],$B$71,tblActions[Status],"Overdue")</f>
        <v>0</v>
      </c>
    </row>
    <row r="72" spans="2:13">
      <c r="B72" s="57" t="s">
        <v>152</v>
      </c>
      <c r="C72" s="33">
        <f>COUNTIFS(tblCriteria[S],$B$72)</f>
        <v>5</v>
      </c>
      <c r="D72" s="33">
        <f>$C$72*PointsPerItem</f>
        <v>20</v>
      </c>
      <c r="E72" s="40">
        <f>IF(COUNTIFS(tblAudits[Month],MIN(tblAudits[Month]))*$D$72=0,"",CHOOSE(2,SUMIFS(tblAudits[Sort (pts)],tblAudits[Month],MIN(tblAudits[Month])),SUMIFS(tblAudits[Set in order (pts)],tblAudits[Month],MIN(tblAudits[Month])),SUMIFS(tblAudits[Shine (pts)],tblAudits[Month],MIN(tblAudits[Month])),SUMIFS(tblAudits[Standardize (pts)],tblAudits[Month],MIN(tblAudits[Month])),SUMIFS(tblAudits[Sustain (pts)],tblAudits[Month],MIN(tblAudits[Month])))/(COUNTIFS(tblAudits[Month],MIN(tblAudits[Month]))*$D$72))</f>
        <v>0.45</v>
      </c>
      <c r="F72" s="40">
        <f>IF(COUNTIFS(tblAudits[Month],MAX(tblAudits[Month]))*$D$72=0,"",CHOOSE(2,SUMIFS(tblAudits[Sort (pts)],tblAudits[Month],MAX(tblAudits[Month])),SUMIFS(tblAudits[Set in order (pts)],tblAudits[Month],MAX(tblAudits[Month])),SUMIFS(tblAudits[Shine (pts)],tblAudits[Month],MAX(tblAudits[Month])),SUMIFS(tblAudits[Standardize (pts)],tblAudits[Month],MAX(tblAudits[Month])),SUMIFS(tblAudits[Sustain (pts)],tblAudits[Month],MAX(tblAudits[Month])))/(COUNTIFS(tblAudits[Month],MAX(tblAudits[Month]))*$D$72))</f>
        <v>0.833333333333333</v>
      </c>
      <c r="G72" s="60">
        <f>IF(OR($E$72="",$F$72=""),"",$F$72-$E$72)</f>
        <v>0.383333333333333</v>
      </c>
      <c r="H72" s="61">
        <f>TargetScore</f>
        <v>0.8</v>
      </c>
      <c r="I72" s="33">
        <f>COUNTIFS(tblActions[S],$B$72,tblActions[Status],"&lt;&gt;Complete",tblActions[Raised],"&gt;0")</f>
        <v>2</v>
      </c>
      <c r="J72" s="33">
        <f>COUNTIFS(tblActions[S],$B$72,tblActions[Status],"Overdue")</f>
        <v>2</v>
      </c>
    </row>
    <row r="73" spans="2:13">
      <c r="B73" s="57" t="s">
        <v>168</v>
      </c>
      <c r="C73" s="33">
        <f>COUNTIFS(tblCriteria[S],$B$73)</f>
        <v>5</v>
      </c>
      <c r="D73" s="33">
        <f>$C$73*PointsPerItem</f>
        <v>20</v>
      </c>
      <c r="E73" s="40">
        <f>IF(COUNTIFS(tblAudits[Month],MIN(tblAudits[Month]))*$D$73=0,"",CHOOSE(3,SUMIFS(tblAudits[Sort (pts)],tblAudits[Month],MIN(tblAudits[Month])),SUMIFS(tblAudits[Set in order (pts)],tblAudits[Month],MIN(tblAudits[Month])),SUMIFS(tblAudits[Shine (pts)],tblAudits[Month],MIN(tblAudits[Month])),SUMIFS(tblAudits[Standardize (pts)],tblAudits[Month],MIN(tblAudits[Month])),SUMIFS(tblAudits[Sustain (pts)],tblAudits[Month],MIN(tblAudits[Month])))/(COUNTIFS(tblAudits[Month],MIN(tblAudits[Month]))*$D$73))</f>
        <v>0.425</v>
      </c>
      <c r="F73" s="40">
        <f>IF(COUNTIFS(tblAudits[Month],MAX(tblAudits[Month]))*$D$73=0,"",CHOOSE(3,SUMIFS(tblAudits[Sort (pts)],tblAudits[Month],MAX(tblAudits[Month])),SUMIFS(tblAudits[Set in order (pts)],tblAudits[Month],MAX(tblAudits[Month])),SUMIFS(tblAudits[Shine (pts)],tblAudits[Month],MAX(tblAudits[Month])),SUMIFS(tblAudits[Standardize (pts)],tblAudits[Month],MAX(tblAudits[Month])),SUMIFS(tblAudits[Sustain (pts)],tblAudits[Month],MAX(tblAudits[Month])))/(COUNTIFS(tblAudits[Month],MAX(tblAudits[Month]))*$D$73))</f>
        <v>0.75</v>
      </c>
      <c r="G73" s="60">
        <f>IF(OR($E$73="",$F$73=""),"",$F$73-$E$73)</f>
        <v>0.325</v>
      </c>
      <c r="H73" s="61">
        <f>TargetScore</f>
        <v>0.8</v>
      </c>
      <c r="I73" s="33">
        <f>COUNTIFS(tblActions[S],$B$73,tblActions[Status],"&lt;&gt;Complete",tblActions[Raised],"&gt;0")</f>
        <v>1</v>
      </c>
      <c r="J73" s="33">
        <f>COUNTIFS(tblActions[S],$B$73,tblActions[Status],"Overdue")</f>
        <v>1</v>
      </c>
    </row>
    <row r="74" spans="2:13">
      <c r="B74" s="57" t="s">
        <v>184</v>
      </c>
      <c r="C74" s="33">
        <f>COUNTIFS(tblCriteria[S],$B$74)</f>
        <v>5</v>
      </c>
      <c r="D74" s="33">
        <f>$C$74*PointsPerItem</f>
        <v>20</v>
      </c>
      <c r="E74" s="40">
        <f>IF(COUNTIFS(tblAudits[Month],MIN(tblAudits[Month]))*$D$74=0,"",CHOOSE(4,SUMIFS(tblAudits[Sort (pts)],tblAudits[Month],MIN(tblAudits[Month])),SUMIFS(tblAudits[Set in order (pts)],tblAudits[Month],MIN(tblAudits[Month])),SUMIFS(tblAudits[Shine (pts)],tblAudits[Month],MIN(tblAudits[Month])),SUMIFS(tblAudits[Standardize (pts)],tblAudits[Month],MIN(tblAudits[Month])),SUMIFS(tblAudits[Sustain (pts)],tblAudits[Month],MIN(tblAudits[Month])))/(COUNTIFS(tblAudits[Month],MIN(tblAudits[Month]))*$D$74))</f>
        <v>0.35</v>
      </c>
      <c r="F74" s="40">
        <f>IF(COUNTIFS(tblAudits[Month],MAX(tblAudits[Month]))*$D$74=0,"",CHOOSE(4,SUMIFS(tblAudits[Sort (pts)],tblAudits[Month],MAX(tblAudits[Month])),SUMIFS(tblAudits[Set in order (pts)],tblAudits[Month],MAX(tblAudits[Month])),SUMIFS(tblAudits[Shine (pts)],tblAudits[Month],MAX(tblAudits[Month])),SUMIFS(tblAudits[Standardize (pts)],tblAudits[Month],MAX(tblAudits[Month])),SUMIFS(tblAudits[Sustain (pts)],tblAudits[Month],MAX(tblAudits[Month])))/(COUNTIFS(tblAudits[Month],MAX(tblAudits[Month]))*$D$74))</f>
        <v>0.625</v>
      </c>
      <c r="G74" s="60">
        <f>IF(OR($E$74="",$F$74=""),"",$F$74-$E$74)</f>
        <v>0.275</v>
      </c>
      <c r="H74" s="61">
        <f>TargetScore</f>
        <v>0.8</v>
      </c>
      <c r="I74" s="33">
        <f>COUNTIFS(tblActions[S],$B$74,tblActions[Status],"&lt;&gt;Complete",tblActions[Raised],"&gt;0")</f>
        <v>9</v>
      </c>
      <c r="J74" s="33">
        <f>COUNTIFS(tblActions[S],$B$74,tblActions[Status],"Overdue")</f>
        <v>4</v>
      </c>
    </row>
    <row r="75" spans="2:13">
      <c r="B75" s="57" t="s">
        <v>200</v>
      </c>
      <c r="C75" s="33">
        <f>COUNTIFS(tblCriteria[S],$B$75)</f>
        <v>5</v>
      </c>
      <c r="D75" s="33">
        <f>$C$75*PointsPerItem</f>
        <v>20</v>
      </c>
      <c r="E75" s="40">
        <f>IF(COUNTIFS(tblAudits[Month],MIN(tblAudits[Month]))*$D$75=0,"",CHOOSE(5,SUMIFS(tblAudits[Sort (pts)],tblAudits[Month],MIN(tblAudits[Month])),SUMIFS(tblAudits[Set in order (pts)],tblAudits[Month],MIN(tblAudits[Month])),SUMIFS(tblAudits[Shine (pts)],tblAudits[Month],MIN(tblAudits[Month])),SUMIFS(tblAudits[Standardize (pts)],tblAudits[Month],MIN(tblAudits[Month])),SUMIFS(tblAudits[Sustain (pts)],tblAudits[Month],MIN(tblAudits[Month])))/(COUNTIFS(tblAudits[Month],MIN(tblAudits[Month]))*$D$75))</f>
        <v>0.291666666666667</v>
      </c>
      <c r="F75" s="40">
        <f>IF(COUNTIFS(tblAudits[Month],MAX(tblAudits[Month]))*$D$75=0,"",CHOOSE(5,SUMIFS(tblAudits[Sort (pts)],tblAudits[Month],MAX(tblAudits[Month])),SUMIFS(tblAudits[Set in order (pts)],tblAudits[Month],MAX(tblAudits[Month])),SUMIFS(tblAudits[Shine (pts)],tblAudits[Month],MAX(tblAudits[Month])),SUMIFS(tblAudits[Standardize (pts)],tblAudits[Month],MAX(tblAudits[Month])),SUMIFS(tblAudits[Sustain (pts)],tblAudits[Month],MAX(tblAudits[Month])))/(COUNTIFS(tblAudits[Month],MAX(tblAudits[Month]))*$D$75))</f>
        <v>0.5</v>
      </c>
      <c r="G75" s="60">
        <f>IF(OR($E$75="",$F$75=""),"",$F$75-$E$75)</f>
        <v>0.208333333333333</v>
      </c>
      <c r="H75" s="61">
        <f>TargetScore</f>
        <v>0.8</v>
      </c>
      <c r="I75" s="33">
        <f>COUNTIFS(tblActions[S],$B$75,tblActions[Status],"&lt;&gt;Complete",tblActions[Raised],"&gt;0")</f>
        <v>6</v>
      </c>
      <c r="J75" s="33">
        <f>COUNTIFS(tblActions[S],$B$75,tblActions[Status],"Overdue")</f>
        <v>1</v>
      </c>
    </row>
    <row r="77" spans="2:13">
      <c r="B77" s="34" t="s">
        <v>311</v>
      </c>
      <c r="C77" s="34"/>
      <c r="D77" s="34"/>
      <c r="E77" s="34"/>
      <c r="F77" s="34"/>
      <c r="G77" s="34"/>
      <c r="H77" s="34"/>
    </row>
    <row r="78" spans="2:13" ht="32" customHeight="1">
      <c r="B78" s="55" t="s">
        <v>225</v>
      </c>
      <c r="C78" s="35" t="s">
        <v>312</v>
      </c>
      <c r="D78" s="35" t="s">
        <v>313</v>
      </c>
      <c r="E78" s="35" t="s">
        <v>303</v>
      </c>
      <c r="F78" s="35" t="s">
        <v>224</v>
      </c>
      <c r="G78" s="35" t="s">
        <v>314</v>
      </c>
      <c r="H78" s="35" t="s">
        <v>239</v>
      </c>
    </row>
    <row r="79" spans="2:13" ht="14" customHeight="1">
      <c r="B79" s="44"/>
      <c r="C79" s="44"/>
      <c r="D79" s="44"/>
      <c r="E79" s="44"/>
      <c r="F79" s="44"/>
      <c r="G79" s="44"/>
      <c r="H79" s="44" t="str">
        <f>AreaUnit</f>
        <v>m²</v>
      </c>
    </row>
    <row r="80" spans="2:13">
      <c r="B80" s="62">
        <f>IF($B$81="","",IFERROR(LARGE(tblAudits[Month],COUNTIF(tblAudits[Month],"&gt;="&amp;$B$81)+1),""))</f>
        <v>46113</v>
      </c>
      <c r="C80" s="33">
        <f>IF($B$80="","",COUNTIFS(tblAudits[Month],$B$80))</f>
        <v>6</v>
      </c>
      <c r="D80" s="40">
        <f>IF($B$80="","",IF((COUNTIFS(tblAudits[Month],$B$80)*AuditMax)=0,"",(SUMIFS(tblAudits[Total (pts)],tblAudits[Month],$B$80))/(COUNTIFS(tblAudits[Month],$B$80)*AuditMax)))</f>
        <v>0.395</v>
      </c>
      <c r="E80" s="61">
        <f>TargetScore</f>
        <v>0.8</v>
      </c>
      <c r="F80" s="33">
        <f>IF($B$80="","",COUNTIFS(tblActions[Raised],"&gt;="&amp;$B$80,tblActions[Raised],"&lt;"&amp;DATE(YEAR($B$80),MONTH($B$80)+1,1)))</f>
        <v>21</v>
      </c>
      <c r="G80" s="33">
        <f>IF($B$80="","",COUNTIFS(tblActions[Closed],"&gt;="&amp;$B$80,tblActions[Closed],"&lt;"&amp;DATE(YEAR($B$80),MONTH($B$80)+1,1)))</f>
        <v>10</v>
      </c>
      <c r="H80" s="63">
        <f>IF($B$80="","",SUMIFS(tblActions[Space freed],tblActions[Closed],"&gt;="&amp;$B$80,tblActions[Closed],"&lt;"&amp;DATE(YEAR($B$80),MONTH($B$80)+1,1)))</f>
        <v>6</v>
      </c>
    </row>
    <row r="81" spans="2:12">
      <c r="B81" s="62">
        <f>IF($B$82="","",IFERROR(LARGE(tblAudits[Month],COUNTIF(tblAudits[Month],"&gt;="&amp;$B$82)+1),""))</f>
        <v>46143</v>
      </c>
      <c r="C81" s="33">
        <f>IF($B$81="","",COUNTIFS(tblAudits[Month],$B$81))</f>
        <v>6</v>
      </c>
      <c r="D81" s="40">
        <f>IF($B$81="","",IF((COUNTIFS(tblAudits[Month],$B$81)*AuditMax)=0,"",(SUMIFS(tblAudits[Total (pts)],tblAudits[Month],$B$81))/(COUNTIFS(tblAudits[Month],$B$81)*AuditMax)))</f>
        <v>0.47</v>
      </c>
      <c r="E81" s="61">
        <f>TargetScore</f>
        <v>0.8</v>
      </c>
      <c r="F81" s="33">
        <f>IF($B$81="","",COUNTIFS(tblActions[Raised],"&gt;="&amp;$B$81,tblActions[Raised],"&lt;"&amp;DATE(YEAR($B$81),MONTH($B$81)+1,1)))</f>
        <v>19</v>
      </c>
      <c r="G81" s="33">
        <f>IF($B$81="","",COUNTIFS(tblActions[Closed],"&gt;="&amp;$B$81,tblActions[Closed],"&lt;"&amp;DATE(YEAR($B$81),MONTH($B$81)+1,1)))</f>
        <v>17</v>
      </c>
      <c r="H81" s="63">
        <f>IF($B$81="","",SUMIFS(tblActions[Space freed],tblActions[Closed],"&gt;="&amp;$B$81,tblActions[Closed],"&lt;"&amp;DATE(YEAR($B$81),MONTH($B$81)+1,1)))</f>
        <v>24</v>
      </c>
    </row>
    <row r="82" spans="2:12">
      <c r="B82" s="62">
        <f>IF($B$83="","",IFERROR(LARGE(tblAudits[Month],COUNTIF(tblAudits[Month],"&gt;="&amp;$B$83)+1),""))</f>
        <v>46174</v>
      </c>
      <c r="C82" s="33">
        <f>IF($B$82="","",COUNTIFS(tblAudits[Month],$B$82))</f>
        <v>6</v>
      </c>
      <c r="D82" s="40">
        <f>IF($B$82="","",IF((COUNTIFS(tblAudits[Month],$B$82)*AuditMax)=0,"",(SUMIFS(tblAudits[Total (pts)],tblAudits[Month],$B$82))/(COUNTIFS(tblAudits[Month],$B$82)*AuditMax)))</f>
        <v>0.528333333333333</v>
      </c>
      <c r="E82" s="61">
        <f>TargetScore</f>
        <v>0.8</v>
      </c>
      <c r="F82" s="33">
        <f>IF($B$82="","",COUNTIFS(tblActions[Raised],"&gt;="&amp;$B$82,tblActions[Raised],"&lt;"&amp;DATE(YEAR($B$82),MONTH($B$82)+1,1)))</f>
        <v>19</v>
      </c>
      <c r="G82" s="33">
        <f>IF($B$82="","",COUNTIFS(tblActions[Closed],"&gt;="&amp;$B$82,tblActions[Closed],"&lt;"&amp;DATE(YEAR($B$82),MONTH($B$82)+1,1)))</f>
        <v>16</v>
      </c>
      <c r="H82" s="63">
        <f>IF($B$82="","",SUMIFS(tblActions[Space freed],tblActions[Closed],"&gt;="&amp;$B$82,tblActions[Closed],"&lt;"&amp;DATE(YEAR($B$82),MONTH($B$82)+1,1)))</f>
        <v>9</v>
      </c>
    </row>
    <row r="83" spans="2:12">
      <c r="B83" s="62">
        <f>IF($B$84="","",IFERROR(LARGE(tblAudits[Month],COUNTIF(tblAudits[Month],"&gt;="&amp;$B$84)+1),""))</f>
        <v>46204</v>
      </c>
      <c r="C83" s="33">
        <f>IF($B$83="","",COUNTIFS(tblAudits[Month],$B$83))</f>
        <v>6</v>
      </c>
      <c r="D83" s="40">
        <f>IF($B$83="","",IF((COUNTIFS(tblAudits[Month],$B$83)*AuditMax)=0,"",(SUMIFS(tblAudits[Total (pts)],tblAudits[Month],$B$83))/(COUNTIFS(tblAudits[Month],$B$83)*AuditMax)))</f>
        <v>0.591666666666667</v>
      </c>
      <c r="E83" s="61">
        <f>TargetScore</f>
        <v>0.8</v>
      </c>
      <c r="F83" s="33">
        <f>IF($B$83="","",COUNTIFS(tblActions[Raised],"&gt;="&amp;$B$83,tblActions[Raised],"&lt;"&amp;DATE(YEAR($B$83),MONTH($B$83)+1,1)))</f>
        <v>19</v>
      </c>
      <c r="G83" s="33">
        <f>IF($B$83="","",COUNTIFS(tblActions[Closed],"&gt;="&amp;$B$83,tblActions[Closed],"&lt;"&amp;DATE(YEAR($B$83),MONTH($B$83)+1,1)))</f>
        <v>21</v>
      </c>
      <c r="H83" s="63">
        <f>IF($B$83="","",SUMIFS(tblActions[Space freed],tblActions[Closed],"&gt;="&amp;$B$83,tblActions[Closed],"&lt;"&amp;DATE(YEAR($B$83),MONTH($B$83)+1,1)))</f>
        <v>5</v>
      </c>
    </row>
    <row r="84" spans="2:12">
      <c r="B84" s="62">
        <f>IF($B$85="","",IFERROR(LARGE(tblAudits[Month],COUNTIF(tblAudits[Month],"&gt;="&amp;$B$85)+1),""))</f>
        <v>46235</v>
      </c>
      <c r="C84" s="33">
        <f>IF($B$84="","",COUNTIFS(tblAudits[Month],$B$84))</f>
        <v>6</v>
      </c>
      <c r="D84" s="40">
        <f>IF($B$84="","",IF((COUNTIFS(tblAudits[Month],$B$84)*AuditMax)=0,"",(SUMIFS(tblAudits[Total (pts)],tblAudits[Month],$B$84))/(COUNTIFS(tblAudits[Month],$B$84)*AuditMax)))</f>
        <v>0.656666666666667</v>
      </c>
      <c r="E84" s="61">
        <f>TargetScore</f>
        <v>0.8</v>
      </c>
      <c r="F84" s="33">
        <f>IF($B$84="","",COUNTIFS(tblActions[Raised],"&gt;="&amp;$B$84,tblActions[Raised],"&lt;"&amp;DATE(YEAR($B$84),MONTH($B$84)+1,1)))</f>
        <v>17</v>
      </c>
      <c r="G84" s="33">
        <f>IF($B$84="","",COUNTIFS(tblActions[Closed],"&gt;="&amp;$B$84,tblActions[Closed],"&lt;"&amp;DATE(YEAR($B$84),MONTH($B$84)+1,1)))</f>
        <v>19</v>
      </c>
      <c r="H84" s="63">
        <f>IF($B$84="","",SUMIFS(tblActions[Space freed],tblActions[Closed],"&gt;="&amp;$B$84,tblActions[Closed],"&lt;"&amp;DATE(YEAR($B$84),MONTH($B$84)+1,1)))</f>
        <v>0</v>
      </c>
    </row>
    <row r="85" spans="2:12">
      <c r="B85" s="62">
        <f>IF(COUNT(tblAudits[Month])=0,"",MAX(tblAudits[Month]))</f>
        <v>46266</v>
      </c>
      <c r="C85" s="33">
        <f>IF($B$85="","",COUNTIFS(tblAudits[Month],$B$85))</f>
        <v>6</v>
      </c>
      <c r="D85" s="40">
        <f>IF($B$85="","",IF((COUNTIFS(tblAudits[Month],$B$85)*AuditMax)=0,"",(SUMIFS(tblAudits[Total (pts)],tblAudits[Month],$B$85))/(COUNTIFS(tblAudits[Month],$B$85)*AuditMax)))</f>
        <v>0.718333333333333</v>
      </c>
      <c r="E85" s="61">
        <f>TargetScore</f>
        <v>0.8</v>
      </c>
      <c r="F85" s="33">
        <f>IF($B$85="","",COUNTIFS(tblActions[Raised],"&gt;="&amp;$B$85,tblActions[Raised],"&lt;"&amp;DATE(YEAR($B$85),MONTH($B$85)+1,1)))</f>
        <v>15</v>
      </c>
      <c r="G85" s="33">
        <f>IF($B$85="","",COUNTIFS(tblActions[Closed],"&gt;="&amp;$B$85,tblActions[Closed],"&lt;"&amp;DATE(YEAR($B$85),MONTH($B$85)+1,1)))</f>
        <v>9</v>
      </c>
      <c r="H85" s="63">
        <f>IF($B$85="","",SUMIFS(tblActions[Space freed],tblActions[Closed],"&gt;="&amp;$B$85,tblActions[Closed],"&lt;"&amp;DATE(YEAR($B$85),MONTH($B$85)+1,1)))</f>
        <v>0</v>
      </c>
    </row>
    <row r="86" spans="2:12" ht="8" customHeight="1"/>
    <row r="87" spans="2:12" ht="26.76" customHeight="1">
      <c r="B87" s="21" t="s">
        <v>315</v>
      </c>
      <c r="C87" s="21"/>
      <c r="D87" s="21"/>
      <c r="E87" s="21"/>
      <c r="F87" s="21"/>
      <c r="G87" s="21"/>
      <c r="H87" s="21"/>
      <c r="I87" s="21"/>
      <c r="J87" s="21"/>
      <c r="K87" s="21"/>
      <c r="L87" s="21"/>
    </row>
    <row r="88" spans="2:12">
      <c r="B88" s="64">
        <f>IF(COUNTA(tblAreas[Area])&gt;6,"The Areas list is longer than the Dashboard blocks: some areas are not shown.","")</f>
        <v/>
      </c>
      <c r="C88" s="64"/>
      <c r="D88" s="64"/>
      <c r="E88" s="64"/>
      <c r="F88" s="64"/>
      <c r="G88" s="64"/>
      <c r="H88" s="64"/>
      <c r="I88" s="64"/>
      <c r="J88" s="64"/>
      <c r="K88" s="64"/>
      <c r="L88" s="64"/>
    </row>
  </sheetData>
  <sheetProtection sheet="1" formatColumns="0" formatRows="0"/>
  <mergeCells count="56">
    <mergeCell ref="A1:M1"/>
    <mergeCell ref="B2:K2"/>
    <mergeCell ref="L2:M2"/>
    <mergeCell ref="B4:L4"/>
    <mergeCell ref="B6:C6"/>
    <mergeCell ref="B7:C8"/>
    <mergeCell ref="B9:C9"/>
    <mergeCell ref="B10:C10"/>
    <mergeCell ref="D6:F6"/>
    <mergeCell ref="D7:F8"/>
    <mergeCell ref="D9:F9"/>
    <mergeCell ref="D10:F10"/>
    <mergeCell ref="G6:I6"/>
    <mergeCell ref="G7:I8"/>
    <mergeCell ref="G9:I9"/>
    <mergeCell ref="G10:I10"/>
    <mergeCell ref="J6:L6"/>
    <mergeCell ref="J7:L8"/>
    <mergeCell ref="J9:L9"/>
    <mergeCell ref="J10:L10"/>
    <mergeCell ref="B29:C29"/>
    <mergeCell ref="B30:C31"/>
    <mergeCell ref="B32:C32"/>
    <mergeCell ref="B33:C33"/>
    <mergeCell ref="D29:F29"/>
    <mergeCell ref="D30:F31"/>
    <mergeCell ref="D32:F32"/>
    <mergeCell ref="D33:F33"/>
    <mergeCell ref="G29:I29"/>
    <mergeCell ref="G30:I31"/>
    <mergeCell ref="G32:I32"/>
    <mergeCell ref="G33:I33"/>
    <mergeCell ref="J29:L29"/>
    <mergeCell ref="J30:L31"/>
    <mergeCell ref="J32:L32"/>
    <mergeCell ref="J33:L33"/>
    <mergeCell ref="B51:H51"/>
    <mergeCell ref="B60:M60"/>
    <mergeCell ref="C61:D61"/>
    <mergeCell ref="G61:H61"/>
    <mergeCell ref="C62:D62"/>
    <mergeCell ref="C63:D63"/>
    <mergeCell ref="C64:D64"/>
    <mergeCell ref="C65:D65"/>
    <mergeCell ref="C66:D66"/>
    <mergeCell ref="C67:D67"/>
    <mergeCell ref="G62:H62"/>
    <mergeCell ref="G63:H63"/>
    <mergeCell ref="G64:H64"/>
    <mergeCell ref="G65:H65"/>
    <mergeCell ref="G66:H66"/>
    <mergeCell ref="G67:H67"/>
    <mergeCell ref="B69:J69"/>
    <mergeCell ref="B77:H77"/>
    <mergeCell ref="B87:L87"/>
    <mergeCell ref="B88:L88"/>
  </mergeCells>
  <conditionalFormatting sqref="B10">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C53:H58">
    <cfRule type="expression" dxfId="0" priority="41" stopIfTrue="1">
      <formula>AND(ISNUMBER(C53),C53&gt;=(TargetScore))</formula>
    </cfRule>
    <cfRule type="expression" dxfId="1" priority="42" stopIfTrue="1">
      <formula>AND(ISNUMBER(C53),C53&gt;=(TargetScore)*(1-0.05))</formula>
    </cfRule>
    <cfRule type="expression" dxfId="2" priority="43">
      <formula>ISNUMBER(C53)</formula>
    </cfRule>
  </conditionalFormatting>
  <conditionalFormatting sqref="D80:D85">
    <cfRule type="expression" dxfId="3" priority="70" stopIfTrue="1">
      <formula>AND(ISNUMBER(D80),D80&gt;=(TargetScore))</formula>
    </cfRule>
    <cfRule type="expression" dxfId="4" priority="71" stopIfTrue="1">
      <formula>AND(ISNUMBER(D80),D80&gt;=(TargetScore)*(1-0.05))</formula>
    </cfRule>
    <cfRule type="expression" dxfId="5" priority="72">
      <formula>ISNUMBER(D80)</formula>
    </cfRule>
  </conditionalFormatting>
  <conditionalFormatting sqref="F62:F67">
    <cfRule type="expression" dxfId="3" priority="44" stopIfTrue="1">
      <formula>AND(ISNUMBER(F62),F62&gt;=(TargetScore))</formula>
    </cfRule>
    <cfRule type="expression" dxfId="4" priority="45" stopIfTrue="1">
      <formula>AND(ISNUMBER(F62),F62&gt;=(TargetScore)*(1-0.05))</formula>
    </cfRule>
    <cfRule type="expression" dxfId="5" priority="46">
      <formula>ISNUMBER(F62)</formula>
    </cfRule>
  </conditionalFormatting>
  <conditionalFormatting sqref="F71:F75">
    <cfRule type="expression" dxfId="3" priority="67" stopIfTrue="1">
      <formula>AND(ISNUMBER(F71),F71&gt;=(TargetScore))</formula>
    </cfRule>
    <cfRule type="expression" dxfId="4" priority="68" stopIfTrue="1">
      <formula>AND(ISNUMBER(F71),F71&gt;=(TargetScore)*(1-0.05))</formula>
    </cfRule>
    <cfRule type="expression" dxfId="5" priority="69">
      <formula>ISNUMBER(F71)</formula>
    </cfRule>
  </conditionalFormatting>
  <conditionalFormatting sqref="G33">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G62:G67">
    <cfRule type="cellIs" dxfId="0" priority="47" operator="equal">
      <formula>"On target"</formula>
    </cfRule>
    <cfRule type="cellIs" dxfId="0" priority="48" operator="equal">
      <formula>"PASS"</formula>
    </cfRule>
    <cfRule type="cellIs" dxfId="0" priority="49" operator="equal">
      <formula>"OK"</formula>
    </cfRule>
    <cfRule type="cellIs" dxfId="0" priority="50" operator="equal">
      <formula>"Within limits"</formula>
    </cfRule>
    <cfRule type="cellIs" dxfId="0" priority="51" operator="equal">
      <formula>"Under capacity"</formula>
    </cfRule>
    <cfRule type="cellIs" dxfId="0" priority="52" operator="equal">
      <formula>"Complete"</formula>
    </cfRule>
    <cfRule type="cellIs" dxfId="0" priority="53" operator="equal">
      <formula>"Yes"</formula>
    </cfRule>
    <cfRule type="cellIs" dxfId="1" priority="54" operator="equal">
      <formula>"Near target"</formula>
    </cfRule>
    <cfRule type="cellIs" dxfId="1" priority="55" operator="equal">
      <formula>"Check"</formula>
    </cfRule>
    <cfRule type="cellIs" dxfId="1" priority="56" operator="equal">
      <formula>"Due soon"</formula>
    </cfRule>
    <cfRule type="cellIs" dxfId="1" priority="57" operator="equal">
      <formula>"Near capacity"</formula>
    </cfRule>
    <cfRule type="cellIs" dxfId="1" priority="58" operator="equal">
      <formula>"In progress"</formula>
    </cfRule>
    <cfRule type="cellIs" dxfId="1" priority="59" operator="equal">
      <formula>"Partial"</formula>
    </cfRule>
    <cfRule type="cellIs" dxfId="2" priority="60" operator="equal">
      <formula>"Below target"</formula>
    </cfRule>
    <cfRule type="cellIs" dxfId="2" priority="61" operator="equal">
      <formula>"Above target"</formula>
    </cfRule>
    <cfRule type="cellIs" dxfId="2" priority="62" operator="equal">
      <formula>"FAIL"</formula>
    </cfRule>
    <cfRule type="cellIs" dxfId="2" priority="63" operator="equal">
      <formula>"Over capacity"</formula>
    </cfRule>
    <cfRule type="cellIs" dxfId="2" priority="64" operator="equal">
      <formula>"Overdue"</formula>
    </cfRule>
    <cfRule type="cellIs" dxfId="2" priority="65" operator="equal">
      <formula>"Out of limits"</formula>
    </cfRule>
    <cfRule type="cellIs" dxfId="2" priority="66" operator="equal">
      <formula>"No"</formula>
    </cfRule>
  </conditionalFormatting>
  <hyperlinks>
    <hyperlink ref="L2" r:id="rId1" tooltip="Free manufacturing calculators and templates"/>
  </hyperlinks>
  <pageMargins left="0.4" right="0.4" top="0.7" bottom="0.65" header="0.3" footer="0.3"/>
  <pageSetup fitToHeight="0" orientation="landscape"/>
  <headerFooter>
    <oddHeader>&amp;L&amp;8MFG Calcs - 5S Audit Checklist&amp;R&amp;8&amp;A</oddHeader>
    <oddFooter>&amp;L&amp;8mfgcalcs.com - free manufacturing templates&amp;R&amp;8Page &amp;P of &amp;N</oddFooter>
  </headerFooter>
  <rowBreaks count="3" manualBreakCount="3">
    <brk id="28" max="16383" man="1"/>
    <brk id="58" max="16383" man="1"/>
    <brk id="76" max="16383" man="1"/>
  </rowBreaks>
  <drawing r:id="rId2"/>
</worksheet>
</file>

<file path=xl/worksheets/sheet7.xml><?xml version="1.0" encoding="utf-8"?>
<worksheet xmlns="http://schemas.openxmlformats.org/spreadsheetml/2006/main" xmlns:r="http://schemas.openxmlformats.org/officeDocument/2006/relationships">
  <sheetPr>
    <tabColor rgb="FF6B7280"/>
    <pageSetUpPr fitToPage="1"/>
  </sheetPr>
  <dimension ref="A1:D59"/>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30</v>
      </c>
      <c r="C2" s="2"/>
      <c r="D2" s="3" t="s">
        <v>2</v>
      </c>
    </row>
    <row r="3" spans="1:4" ht="6" customHeight="1"/>
    <row r="4" spans="1:4" ht="21" customHeight="1">
      <c r="B4" s="8" t="s">
        <v>316</v>
      </c>
      <c r="C4" s="8"/>
      <c r="D4" s="8"/>
    </row>
    <row r="5" spans="1:4" ht="5" customHeight="1"/>
    <row r="6" spans="1:4" ht="55.8" customHeight="1">
      <c r="B6" s="10" t="s">
        <v>317</v>
      </c>
      <c r="C6" s="10"/>
      <c r="D6" s="10"/>
    </row>
    <row r="8" spans="1:4" ht="21" customHeight="1">
      <c r="B8" s="8" t="s">
        <v>318</v>
      </c>
      <c r="C8" s="8"/>
      <c r="D8" s="8"/>
    </row>
    <row r="9" spans="1:4" ht="5" customHeight="1"/>
    <row r="10" spans="1:4" ht="20" customHeight="1">
      <c r="B10" s="55" t="s">
        <v>319</v>
      </c>
      <c r="C10" s="55" t="s">
        <v>320</v>
      </c>
      <c r="D10" s="35" t="s">
        <v>321</v>
      </c>
    </row>
    <row r="11" spans="1:4" ht="30.4" customHeight="1">
      <c r="B11" s="65" t="s">
        <v>322</v>
      </c>
      <c r="C11" s="66" t="s">
        <v>323</v>
      </c>
      <c r="D11" s="67" t="s">
        <v>82</v>
      </c>
    </row>
    <row r="12" spans="1:4" ht="17.2" customHeight="1">
      <c r="B12" s="65" t="s">
        <v>83</v>
      </c>
      <c r="C12" s="66" t="s">
        <v>324</v>
      </c>
      <c r="D12" s="67" t="s">
        <v>82</v>
      </c>
    </row>
    <row r="13" spans="1:4" ht="17.2" customHeight="1">
      <c r="B13" s="65" t="s">
        <v>325</v>
      </c>
      <c r="C13" s="66" t="s">
        <v>326</v>
      </c>
      <c r="D13" s="67" t="s">
        <v>82</v>
      </c>
    </row>
    <row r="14" spans="1:4" ht="30.4" customHeight="1">
      <c r="B14" s="65" t="s">
        <v>66</v>
      </c>
      <c r="C14" s="66" t="s">
        <v>327</v>
      </c>
      <c r="D14" s="67" t="s">
        <v>328</v>
      </c>
    </row>
    <row r="15" spans="1:4" ht="17.2" customHeight="1">
      <c r="B15" s="65" t="s">
        <v>224</v>
      </c>
      <c r="C15" s="66" t="s">
        <v>329</v>
      </c>
      <c r="D15" s="67" t="s">
        <v>330</v>
      </c>
    </row>
    <row r="16" spans="1:4" ht="17.2" customHeight="1">
      <c r="B16" s="65" t="s">
        <v>240</v>
      </c>
      <c r="C16" s="66" t="s">
        <v>331</v>
      </c>
      <c r="D16" s="67" t="s">
        <v>78</v>
      </c>
    </row>
    <row r="17" spans="2:4" ht="30.4" customHeight="1">
      <c r="B17" s="65" t="s">
        <v>332</v>
      </c>
      <c r="C17" s="66" t="s">
        <v>333</v>
      </c>
      <c r="D17" s="67" t="s">
        <v>334</v>
      </c>
    </row>
    <row r="18" spans="2:4" ht="30.4" customHeight="1">
      <c r="B18" s="65" t="s">
        <v>241</v>
      </c>
      <c r="C18" s="66" t="s">
        <v>335</v>
      </c>
      <c r="D18" s="67" t="s">
        <v>328</v>
      </c>
    </row>
    <row r="19" spans="2:4" ht="30.4" customHeight="1">
      <c r="B19" s="65" t="s">
        <v>336</v>
      </c>
      <c r="C19" s="66" t="s">
        <v>337</v>
      </c>
      <c r="D19" s="67" t="s">
        <v>328</v>
      </c>
    </row>
    <row r="20" spans="2:4" ht="30.4" customHeight="1">
      <c r="B20" s="65" t="s">
        <v>338</v>
      </c>
      <c r="C20" s="66" t="s">
        <v>339</v>
      </c>
      <c r="D20" s="67" t="s">
        <v>328</v>
      </c>
    </row>
    <row r="21" spans="2:4" ht="30.4" customHeight="1">
      <c r="B21" s="65" t="s">
        <v>340</v>
      </c>
      <c r="C21" s="66" t="s">
        <v>341</v>
      </c>
      <c r="D21" s="67" t="s">
        <v>342</v>
      </c>
    </row>
    <row r="22" spans="2:4" ht="43.6" customHeight="1">
      <c r="B22" s="65" t="s">
        <v>343</v>
      </c>
      <c r="C22" s="66" t="s">
        <v>344</v>
      </c>
      <c r="D22" s="67" t="s">
        <v>345</v>
      </c>
    </row>
    <row r="24" spans="2:4" ht="21" customHeight="1">
      <c r="B24" s="8" t="s">
        <v>346</v>
      </c>
      <c r="C24" s="8"/>
      <c r="D24" s="8"/>
    </row>
    <row r="25" spans="2:4" ht="5" customHeight="1"/>
    <row r="26" spans="2:4" ht="29.4" customHeight="1">
      <c r="B26" s="26" t="s">
        <v>59</v>
      </c>
      <c r="C26" s="10" t="s">
        <v>347</v>
      </c>
      <c r="D26" s="10"/>
    </row>
    <row r="27" spans="2:4" ht="16.2" customHeight="1">
      <c r="B27" s="26" t="s">
        <v>59</v>
      </c>
      <c r="C27" s="10" t="s">
        <v>348</v>
      </c>
      <c r="D27" s="10"/>
    </row>
    <row r="28" spans="2:4" ht="16.2" customHeight="1">
      <c r="B28" s="26" t="s">
        <v>59</v>
      </c>
      <c r="C28" s="10" t="s">
        <v>349</v>
      </c>
      <c r="D28" s="10"/>
    </row>
    <row r="29" spans="2:4" ht="29.4" customHeight="1">
      <c r="B29" s="26" t="s">
        <v>59</v>
      </c>
      <c r="C29" s="10" t="s">
        <v>350</v>
      </c>
      <c r="D29" s="10"/>
    </row>
    <row r="31" spans="2:4" ht="21" customHeight="1">
      <c r="B31" s="8" t="s">
        <v>351</v>
      </c>
      <c r="C31" s="8"/>
      <c r="D31" s="8"/>
    </row>
    <row r="32" spans="2:4" ht="5" customHeight="1"/>
    <row r="33" spans="2:4" ht="29.4" customHeight="1">
      <c r="B33" s="26" t="s">
        <v>59</v>
      </c>
      <c r="C33" s="10" t="s">
        <v>352</v>
      </c>
      <c r="D33" s="10"/>
    </row>
    <row r="34" spans="2:4" ht="29.4" customHeight="1">
      <c r="B34" s="26" t="s">
        <v>59</v>
      </c>
      <c r="C34" s="10" t="s">
        <v>353</v>
      </c>
      <c r="D34" s="10"/>
    </row>
    <row r="35" spans="2:4" ht="16.2" customHeight="1">
      <c r="B35" s="26" t="s">
        <v>59</v>
      </c>
      <c r="C35" s="10" t="s">
        <v>354</v>
      </c>
      <c r="D35" s="10"/>
    </row>
    <row r="36" spans="2:4" ht="16.2" customHeight="1">
      <c r="B36" s="26" t="s">
        <v>59</v>
      </c>
      <c r="C36" s="10" t="s">
        <v>355</v>
      </c>
      <c r="D36" s="10"/>
    </row>
    <row r="38" spans="2:4" ht="21" customHeight="1">
      <c r="B38" s="8" t="s">
        <v>356</v>
      </c>
      <c r="C38" s="8"/>
      <c r="D38" s="8"/>
    </row>
    <row r="39" spans="2:4" ht="5" customHeight="1"/>
    <row r="40" spans="2:4" ht="55.8" customHeight="1">
      <c r="B40" s="10" t="s">
        <v>357</v>
      </c>
      <c r="C40" s="10"/>
      <c r="D40" s="10"/>
    </row>
    <row r="41" spans="2:4">
      <c r="B41" s="24" t="s">
        <v>358</v>
      </c>
      <c r="C41" s="24"/>
      <c r="D41" s="24"/>
    </row>
    <row r="43" spans="2:4" ht="21" customHeight="1">
      <c r="B43" s="8" t="s">
        <v>46</v>
      </c>
      <c r="C43" s="8"/>
      <c r="D43" s="8"/>
    </row>
    <row r="44" spans="2:4" ht="5" customHeight="1"/>
    <row r="45" spans="2:4" ht="42.6" customHeight="1">
      <c r="B45" s="10" t="s">
        <v>359</v>
      </c>
      <c r="C45" s="10"/>
      <c r="D45" s="10"/>
    </row>
    <row r="47" spans="2:4" ht="21" customHeight="1">
      <c r="B47" s="8" t="s">
        <v>360</v>
      </c>
      <c r="C47" s="8"/>
      <c r="D47" s="8"/>
    </row>
    <row r="48" spans="2:4" ht="5" customHeight="1"/>
    <row r="49" spans="2:4" ht="29.4" customHeight="1">
      <c r="B49" s="26" t="s">
        <v>59</v>
      </c>
      <c r="C49" s="10" t="s">
        <v>361</v>
      </c>
      <c r="D49" s="10"/>
    </row>
    <row r="50" spans="2:4" ht="16.2" customHeight="1">
      <c r="B50" s="26" t="s">
        <v>59</v>
      </c>
      <c r="C50" s="10" t="s">
        <v>362</v>
      </c>
      <c r="D50" s="10"/>
    </row>
    <row r="51" spans="2:4" ht="29.4" customHeight="1">
      <c r="B51" s="26" t="s">
        <v>59</v>
      </c>
      <c r="C51" s="10" t="s">
        <v>363</v>
      </c>
      <c r="D51" s="10"/>
    </row>
    <row r="52" spans="2:4">
      <c r="B52" s="21" t="s">
        <v>364</v>
      </c>
      <c r="C52" s="21"/>
      <c r="D52" s="21"/>
    </row>
    <row r="54" spans="2:4" ht="21" customHeight="1">
      <c r="B54" s="8" t="s">
        <v>365</v>
      </c>
      <c r="C54" s="8"/>
      <c r="D54" s="8"/>
    </row>
    <row r="55" spans="2:4" ht="5" customHeight="1"/>
    <row r="56" spans="2:4">
      <c r="B56" s="55" t="s">
        <v>54</v>
      </c>
      <c r="C56" s="55" t="s">
        <v>309</v>
      </c>
      <c r="D56" s="35" t="s">
        <v>366</v>
      </c>
    </row>
    <row r="57" spans="2:4" ht="16.2" customHeight="1">
      <c r="B57" s="68" t="s">
        <v>367</v>
      </c>
      <c r="C57" s="69" t="s">
        <v>368</v>
      </c>
      <c r="D57" s="70" t="s">
        <v>369</v>
      </c>
    </row>
    <row r="59" spans="2:4">
      <c r="B59" s="21" t="s">
        <v>65</v>
      </c>
      <c r="C59" s="21"/>
      <c r="D59" s="21"/>
    </row>
  </sheetData>
  <sheetProtection sheet="1" formatColumns="0" formatRows="0"/>
  <mergeCells count="27">
    <mergeCell ref="A1:D1"/>
    <mergeCell ref="B2:C2"/>
    <mergeCell ref="B4:D4"/>
    <mergeCell ref="B6:D6"/>
    <mergeCell ref="B8:D8"/>
    <mergeCell ref="B24:D24"/>
    <mergeCell ref="C26:D26"/>
    <mergeCell ref="C27:D27"/>
    <mergeCell ref="C28:D28"/>
    <mergeCell ref="C29:D29"/>
    <mergeCell ref="B31:D31"/>
    <mergeCell ref="C33:D33"/>
    <mergeCell ref="C34:D34"/>
    <mergeCell ref="C35:D35"/>
    <mergeCell ref="C36:D36"/>
    <mergeCell ref="B38:D38"/>
    <mergeCell ref="B40:D40"/>
    <mergeCell ref="B41:D41"/>
    <mergeCell ref="B43:D43"/>
    <mergeCell ref="B45:D45"/>
    <mergeCell ref="B47:D47"/>
    <mergeCell ref="C49:D49"/>
    <mergeCell ref="C50:D50"/>
    <mergeCell ref="C51:D51"/>
    <mergeCell ref="B52:D52"/>
    <mergeCell ref="B54:D54"/>
    <mergeCell ref="B59:D59"/>
  </mergeCells>
  <hyperlinks>
    <hyperlink ref="D2" r:id="rId1" tooltip="Free manufacturing calculators and templates"/>
    <hyperlink ref="B41" r:id="rId2"/>
  </hyperlinks>
  <printOptions horizontalCentered="1"/>
  <pageMargins left="0.4" right="0.4" top="0.7" bottom="0.65" header="0.3" footer="0.3"/>
  <pageSetup fitToHeight="0" orientation="portrait"/>
  <headerFooter>
    <oddHeader>&amp;L&amp;8MFG Calcs - 5S Audit Checklist&amp;R&amp;8&amp;A</oddHeader>
    <oddFooter>&amp;L&amp;8mfgcalcs.com - free manufacturing templates&amp;R&amp;8Page &amp;P of &amp;N</oddFooter>
  </headerFooter>
  <rowBreaks count="2" manualBreakCount="2">
    <brk id="23" max="16383" man="1"/>
    <brk id="53" max="16383" man="1"/>
  </rowBreaks>
</worksheet>
</file>

<file path=xl/worksheets/sheet8.xml><?xml version="1.0" encoding="utf-8"?>
<worksheet xmlns="http://schemas.openxmlformats.org/spreadsheetml/2006/main" xmlns:r="http://schemas.openxmlformats.org/officeDocument/2006/relationships">
  <sheetPr>
    <tabColor rgb="FF2C3440"/>
    <pageSetUpPr fitToPage="1"/>
  </sheetPr>
  <dimension ref="A1:R75"/>
  <sheetViews>
    <sheetView showGridLines="0" workbookViewId="0"/>
  </sheetViews>
  <sheetFormatPr defaultRowHeight="15"/>
  <cols>
    <col min="1" max="1" width="2.7109375" customWidth="1"/>
    <col min="2" max="19" width="12.7109375" customWidth="1"/>
  </cols>
  <sheetData>
    <row r="1" spans="1:18" ht="30" customHeight="1">
      <c r="A1" s="1" t="s">
        <v>0</v>
      </c>
      <c r="B1" s="1"/>
      <c r="C1" s="1"/>
      <c r="D1" s="1"/>
      <c r="E1" s="1"/>
      <c r="F1" s="1"/>
      <c r="G1" s="1"/>
      <c r="H1" s="1"/>
      <c r="I1" s="1"/>
      <c r="J1" s="1"/>
      <c r="K1" s="1"/>
      <c r="L1" s="1"/>
      <c r="M1" s="1"/>
      <c r="N1" s="1"/>
      <c r="O1" s="1"/>
      <c r="P1" s="1"/>
      <c r="Q1" s="1"/>
      <c r="R1" s="1"/>
    </row>
    <row r="2" spans="1:18" ht="21" customHeight="1">
      <c r="B2" s="2" t="s">
        <v>32</v>
      </c>
      <c r="C2" s="2"/>
      <c r="D2" s="2"/>
      <c r="E2" s="2"/>
      <c r="F2" s="2"/>
      <c r="G2" s="2"/>
      <c r="H2" s="2"/>
      <c r="I2" s="2"/>
      <c r="J2" s="2"/>
      <c r="K2" s="2"/>
      <c r="L2" s="2"/>
      <c r="M2" s="2"/>
      <c r="N2" s="2"/>
      <c r="O2" s="2"/>
      <c r="P2" s="2"/>
      <c r="Q2" s="2"/>
      <c r="R2" s="3" t="s">
        <v>2</v>
      </c>
    </row>
    <row r="3" spans="1:18" ht="6" customHeight="1"/>
    <row r="4" spans="1:18" ht="30" customHeight="1">
      <c r="B4" s="71" t="s">
        <v>370</v>
      </c>
      <c r="C4" s="71"/>
      <c r="D4" s="22" t="str">
        <f>IF(COUNTIF($K$11:$K$36,"PASS")=26,"PASS","FAIL")</f>
        <v>PASS</v>
      </c>
      <c r="E4" s="22"/>
      <c r="F4" s="23" t="str">
        <f>COUNTIF($K$11:$K$36,"PASS")&amp;" of 26 checks pass"</f>
        <v>26 of 26 checks pass</v>
      </c>
      <c r="G4" s="23"/>
      <c r="H4" s="23"/>
      <c r="I4" s="23"/>
      <c r="J4" s="23"/>
    </row>
    <row r="6" spans="1:18" ht="29.4" customHeight="1">
      <c r="B6" s="10" t="s">
        <v>371</v>
      </c>
      <c r="C6" s="10"/>
      <c r="D6" s="10"/>
      <c r="E6" s="10"/>
      <c r="F6" s="10"/>
      <c r="G6" s="10"/>
      <c r="H6" s="10"/>
      <c r="I6" s="10"/>
      <c r="J6" s="10"/>
      <c r="K6" s="10"/>
      <c r="L6" s="10"/>
    </row>
    <row r="8" spans="1:18" ht="21" customHeight="1">
      <c r="B8" s="8" t="s">
        <v>372</v>
      </c>
      <c r="C8" s="8"/>
      <c r="D8" s="8"/>
      <c r="E8" s="8"/>
      <c r="F8" s="8"/>
      <c r="G8" s="8"/>
      <c r="H8" s="8"/>
      <c r="I8" s="8"/>
      <c r="J8" s="8"/>
      <c r="K8" s="8"/>
      <c r="L8" s="8"/>
    </row>
    <row r="9" spans="1:18" ht="5" customHeight="1"/>
    <row r="10" spans="1:18" ht="30" customHeight="1">
      <c r="B10" s="35" t="s">
        <v>128</v>
      </c>
      <c r="C10" s="55" t="s">
        <v>226</v>
      </c>
      <c r="D10" s="55"/>
      <c r="E10" s="55"/>
      <c r="F10" s="55"/>
      <c r="G10" s="35" t="s">
        <v>373</v>
      </c>
      <c r="H10" s="35" t="s">
        <v>374</v>
      </c>
      <c r="I10" s="35" t="s">
        <v>375</v>
      </c>
      <c r="J10" s="35" t="s">
        <v>376</v>
      </c>
      <c r="K10" s="35" t="s">
        <v>377</v>
      </c>
    </row>
    <row r="11" spans="1:18" ht="16.2" customHeight="1">
      <c r="B11" s="72">
        <v>1</v>
      </c>
      <c r="C11" s="69" t="s">
        <v>378</v>
      </c>
      <c r="D11" s="69"/>
      <c r="E11" s="69"/>
      <c r="F11" s="69"/>
      <c r="G11" s="73">
        <v>54</v>
      </c>
      <c r="H11" s="33">
        <f>$K$56</f>
        <v>54</v>
      </c>
      <c r="I11" s="74">
        <f>IF(AND(ISNUMBER($G$11),ISNUMBER($H$11)),ABS($H$11-$G$11),"")</f>
        <v>0</v>
      </c>
      <c r="J11" s="75">
        <v>1E-09</v>
      </c>
      <c r="K11" s="41" t="str">
        <f>IF(AND(ISNUMBER($G$11),ISNUMBER($H$11)),IF(ABS($H$11-$G$11)&lt;=$J$11,"PASS","FAIL"),"FAIL")</f>
        <v>PASS</v>
      </c>
    </row>
    <row r="12" spans="1:18" ht="16.2" customHeight="1">
      <c r="B12" s="72">
        <v>2</v>
      </c>
      <c r="C12" s="69" t="s">
        <v>379</v>
      </c>
      <c r="D12" s="69"/>
      <c r="E12" s="69"/>
      <c r="F12" s="69"/>
      <c r="G12" s="61">
        <v>0.54</v>
      </c>
      <c r="H12" s="40">
        <f>$M$56</f>
        <v>0.54</v>
      </c>
      <c r="I12" s="74">
        <f>IF(AND(ISNUMBER($G$12),ISNUMBER($H$12)),ABS($H$12-$G$12),"")</f>
        <v>0</v>
      </c>
      <c r="J12" s="75">
        <v>1E-09</v>
      </c>
      <c r="K12" s="41" t="str">
        <f>IF(AND(ISNUMBER($G$12),ISNUMBER($H$12)),IF(ABS($H$12-$G$12)&lt;=$J$12,"PASS","FAIL"),"FAIL")</f>
        <v>PASS</v>
      </c>
    </row>
    <row r="13" spans="1:18" ht="16.2" customHeight="1">
      <c r="B13" s="72">
        <v>3</v>
      </c>
      <c r="C13" s="69" t="s">
        <v>380</v>
      </c>
      <c r="D13" s="69"/>
      <c r="E13" s="69"/>
      <c r="F13" s="69"/>
      <c r="G13" s="68" t="s">
        <v>381</v>
      </c>
      <c r="H13" s="39" t="str">
        <f>$N$56</f>
        <v>Below target</v>
      </c>
      <c r="I13" s="39"/>
      <c r="J13" s="70" t="s">
        <v>382</v>
      </c>
      <c r="K13" s="41" t="str">
        <f>IF($H$13&amp;""=$G$13&amp;"","PASS","FAIL")</f>
        <v>PASS</v>
      </c>
    </row>
    <row r="14" spans="1:18" ht="16.2" customHeight="1">
      <c r="B14" s="72">
        <v>4</v>
      </c>
      <c r="C14" s="69" t="s">
        <v>383</v>
      </c>
      <c r="D14" s="69"/>
      <c r="E14" s="69"/>
      <c r="F14" s="69"/>
      <c r="G14" s="73">
        <v>85</v>
      </c>
      <c r="H14" s="33">
        <f>$K$59</f>
        <v>85</v>
      </c>
      <c r="I14" s="74">
        <f>IF(AND(ISNUMBER($G$14),ISNUMBER($H$14)),ABS($H$14-$G$14),"")</f>
        <v>0</v>
      </c>
      <c r="J14" s="75">
        <v>1E-09</v>
      </c>
      <c r="K14" s="41" t="str">
        <f>IF(AND(ISNUMBER($G$14),ISNUMBER($H$14)),IF(ABS($H$14-$G$14)&lt;=$J$14,"PASS","FAIL"),"FAIL")</f>
        <v>PASS</v>
      </c>
    </row>
    <row r="15" spans="1:18" ht="16.2" customHeight="1">
      <c r="B15" s="72">
        <v>5</v>
      </c>
      <c r="C15" s="69" t="s">
        <v>384</v>
      </c>
      <c r="D15" s="69"/>
      <c r="E15" s="69"/>
      <c r="F15" s="69"/>
      <c r="G15" s="61">
        <v>0.85</v>
      </c>
      <c r="H15" s="40">
        <f>$M$59</f>
        <v>0.85</v>
      </c>
      <c r="I15" s="74">
        <f>IF(AND(ISNUMBER($G$15),ISNUMBER($H$15)),ABS($H$15-$G$15),"")</f>
        <v>0</v>
      </c>
      <c r="J15" s="75">
        <v>1E-09</v>
      </c>
      <c r="K15" s="41" t="str">
        <f>IF(AND(ISNUMBER($G$15),ISNUMBER($H$15)),IF(ABS($H$15-$G$15)&lt;=$J$15,"PASS","FAIL"),"FAIL")</f>
        <v>PASS</v>
      </c>
    </row>
    <row r="16" spans="1:18" ht="16.2" customHeight="1">
      <c r="B16" s="72">
        <v>6</v>
      </c>
      <c r="C16" s="69" t="s">
        <v>385</v>
      </c>
      <c r="D16" s="69"/>
      <c r="E16" s="69"/>
      <c r="F16" s="69"/>
      <c r="G16" s="68" t="s">
        <v>386</v>
      </c>
      <c r="H16" s="39" t="str">
        <f>$N$59</f>
        <v>On target</v>
      </c>
      <c r="I16" s="39"/>
      <c r="J16" s="70" t="s">
        <v>382</v>
      </c>
      <c r="K16" s="41" t="str">
        <f>IF($H$16&amp;""=$G$16&amp;"","PASS","FAIL")</f>
        <v>PASS</v>
      </c>
    </row>
    <row r="17" spans="2:11" ht="16.2" customHeight="1">
      <c r="B17" s="72">
        <v>7</v>
      </c>
      <c r="C17" s="69" t="s">
        <v>387</v>
      </c>
      <c r="D17" s="69"/>
      <c r="E17" s="69"/>
      <c r="F17" s="69"/>
      <c r="G17" s="68" t="s">
        <v>381</v>
      </c>
      <c r="H17" s="39" t="str">
        <f>$N$58</f>
        <v>Below target</v>
      </c>
      <c r="I17" s="39"/>
      <c r="J17" s="70" t="s">
        <v>382</v>
      </c>
      <c r="K17" s="41" t="str">
        <f>IF($H$17&amp;""=$G$17&amp;"","PASS","FAIL")</f>
        <v>PASS</v>
      </c>
    </row>
    <row r="18" spans="2:11" ht="16.2" customHeight="1">
      <c r="B18" s="72">
        <v>8</v>
      </c>
      <c r="C18" s="69" t="s">
        <v>388</v>
      </c>
      <c r="D18" s="69"/>
      <c r="E18" s="69"/>
      <c r="F18" s="69"/>
      <c r="G18" s="68" t="s">
        <v>389</v>
      </c>
      <c r="H18" s="39" t="str">
        <f>$Q$60</f>
        <v>Sort above its maximum</v>
      </c>
      <c r="I18" s="39"/>
      <c r="J18" s="70" t="s">
        <v>382</v>
      </c>
      <c r="K18" s="41" t="str">
        <f>IF($H$18&amp;""=$G$18&amp;"","PASS","FAIL")</f>
        <v>PASS</v>
      </c>
    </row>
    <row r="19" spans="2:11" ht="16.2" customHeight="1">
      <c r="B19" s="72">
        <v>9</v>
      </c>
      <c r="C19" s="69" t="s">
        <v>390</v>
      </c>
      <c r="D19" s="69"/>
      <c r="E19" s="69"/>
      <c r="F19" s="69"/>
      <c r="G19" s="73">
        <v>10</v>
      </c>
      <c r="H19" s="33">
        <f>$K$70</f>
        <v>10</v>
      </c>
      <c r="I19" s="74">
        <f>IF(AND(ISNUMBER($G$19),ISNUMBER($H$19)),ABS($H$19-$G$19),"")</f>
        <v>0</v>
      </c>
      <c r="J19" s="75">
        <v>1E-09</v>
      </c>
      <c r="K19" s="41" t="str">
        <f>IF(AND(ISNUMBER($G$19),ISNUMBER($H$19)),IF(ABS($H$19-$G$19)&lt;=$J$19,"PASS","FAIL"),"FAIL")</f>
        <v>PASS</v>
      </c>
    </row>
    <row r="20" spans="2:11" ht="16.2" customHeight="1">
      <c r="B20" s="72">
        <v>10</v>
      </c>
      <c r="C20" s="69" t="s">
        <v>391</v>
      </c>
      <c r="D20" s="69"/>
      <c r="E20" s="69"/>
      <c r="F20" s="69"/>
      <c r="G20" s="68" t="s">
        <v>392</v>
      </c>
      <c r="H20" s="39" t="str">
        <f>$L$70</f>
        <v>Complete</v>
      </c>
      <c r="I20" s="39"/>
      <c r="J20" s="70" t="s">
        <v>382</v>
      </c>
      <c r="K20" s="41" t="str">
        <f>IF($H$20&amp;""=$G$20&amp;"","PASS","FAIL")</f>
        <v>PASS</v>
      </c>
    </row>
    <row r="21" spans="2:11" ht="16.2" customHeight="1">
      <c r="B21" s="72">
        <v>11</v>
      </c>
      <c r="C21" s="69" t="s">
        <v>393</v>
      </c>
      <c r="D21" s="69"/>
      <c r="E21" s="69"/>
      <c r="F21" s="69"/>
      <c r="G21" s="73">
        <v>28</v>
      </c>
      <c r="H21" s="33">
        <f>$K$71</f>
        <v>28</v>
      </c>
      <c r="I21" s="74">
        <f>IF(AND(ISNUMBER($G$21),ISNUMBER($H$21)),ABS($H$21-$G$21),"")</f>
        <v>0</v>
      </c>
      <c r="J21" s="75">
        <v>1E-09</v>
      </c>
      <c r="K21" s="41" t="str">
        <f>IF(AND(ISNUMBER($G$21),ISNUMBER($H$21)),IF(ABS($H$21-$G$21)&lt;=$J$21,"PASS","FAIL"),"FAIL")</f>
        <v>PASS</v>
      </c>
    </row>
    <row r="22" spans="2:11" ht="16.2" customHeight="1">
      <c r="B22" s="72">
        <v>12</v>
      </c>
      <c r="C22" s="69" t="s">
        <v>394</v>
      </c>
      <c r="D22" s="69"/>
      <c r="E22" s="69"/>
      <c r="F22" s="69"/>
      <c r="G22" s="68" t="s">
        <v>392</v>
      </c>
      <c r="H22" s="39" t="str">
        <f>$L$71</f>
        <v>Complete</v>
      </c>
      <c r="I22" s="39"/>
      <c r="J22" s="70" t="s">
        <v>382</v>
      </c>
      <c r="K22" s="41" t="str">
        <f>IF($H$22&amp;""=$G$22&amp;"","PASS","FAIL")</f>
        <v>PASS</v>
      </c>
    </row>
    <row r="23" spans="2:11" ht="16.2" customHeight="1">
      <c r="B23" s="72">
        <v>13</v>
      </c>
      <c r="C23" s="69" t="s">
        <v>395</v>
      </c>
      <c r="D23" s="69"/>
      <c r="E23" s="69"/>
      <c r="F23" s="69"/>
      <c r="G23" s="73">
        <v>23</v>
      </c>
      <c r="H23" s="33">
        <f>$K$72</f>
        <v>23</v>
      </c>
      <c r="I23" s="74">
        <f>IF(AND(ISNUMBER($G$23),ISNUMBER($H$23)),ABS($H$23-$G$23),"")</f>
        <v>0</v>
      </c>
      <c r="J23" s="75">
        <v>1E-09</v>
      </c>
      <c r="K23" s="41" t="str">
        <f>IF(AND(ISNUMBER($G$23),ISNUMBER($H$23)),IF(ABS($H$23-$G$23)&lt;=$J$23,"PASS","FAIL"),"FAIL")</f>
        <v>PASS</v>
      </c>
    </row>
    <row r="24" spans="2:11" ht="16.2" customHeight="1">
      <c r="B24" s="72">
        <v>14</v>
      </c>
      <c r="C24" s="69" t="s">
        <v>396</v>
      </c>
      <c r="D24" s="69"/>
      <c r="E24" s="69"/>
      <c r="F24" s="69"/>
      <c r="G24" s="68" t="s">
        <v>301</v>
      </c>
      <c r="H24" s="39" t="str">
        <f>$L$72</f>
        <v>Overdue</v>
      </c>
      <c r="I24" s="39"/>
      <c r="J24" s="70" t="s">
        <v>382</v>
      </c>
      <c r="K24" s="41" t="str">
        <f>IF($H$24&amp;""=$G$24&amp;"","PASS","FAIL")</f>
        <v>PASS</v>
      </c>
    </row>
    <row r="25" spans="2:11" ht="16.2" customHeight="1">
      <c r="B25" s="72">
        <v>15</v>
      </c>
      <c r="C25" s="69" t="s">
        <v>397</v>
      </c>
      <c r="D25" s="69"/>
      <c r="E25" s="69"/>
      <c r="F25" s="69"/>
      <c r="G25" s="73">
        <v>22</v>
      </c>
      <c r="H25" s="33">
        <f>$K$73</f>
        <v>22</v>
      </c>
      <c r="I25" s="74">
        <f>IF(AND(ISNUMBER($G$25),ISNUMBER($H$25)),ABS($H$25-$G$25),"")</f>
        <v>0</v>
      </c>
      <c r="J25" s="75">
        <v>1E-09</v>
      </c>
      <c r="K25" s="41" t="str">
        <f>IF(AND(ISNUMBER($G$25),ISNUMBER($H$25)),IF(ABS($H$25-$G$25)&lt;=$J$25,"PASS","FAIL"),"FAIL")</f>
        <v>PASS</v>
      </c>
    </row>
    <row r="26" spans="2:11" ht="16.2" customHeight="1">
      <c r="B26" s="72">
        <v>16</v>
      </c>
      <c r="C26" s="69" t="s">
        <v>398</v>
      </c>
      <c r="D26" s="69"/>
      <c r="E26" s="69"/>
      <c r="F26" s="69"/>
      <c r="G26" s="68" t="s">
        <v>399</v>
      </c>
      <c r="H26" s="39" t="str">
        <f>$L$73</f>
        <v>In progress</v>
      </c>
      <c r="I26" s="39"/>
      <c r="J26" s="70" t="s">
        <v>382</v>
      </c>
      <c r="K26" s="41" t="str">
        <f>IF($H$26&amp;""=$G$26&amp;"","PASS","FAIL")</f>
        <v>PASS</v>
      </c>
    </row>
    <row r="27" spans="2:11" ht="16.2" customHeight="1">
      <c r="B27" s="72">
        <v>17</v>
      </c>
      <c r="C27" s="69" t="s">
        <v>400</v>
      </c>
      <c r="D27" s="69"/>
      <c r="E27" s="69"/>
      <c r="F27" s="69"/>
      <c r="G27" s="73">
        <v>22</v>
      </c>
      <c r="H27" s="33">
        <f>$K$74</f>
        <v>22</v>
      </c>
      <c r="I27" s="74">
        <f>IF(AND(ISNUMBER($G$27),ISNUMBER($H$27)),ABS($H$27-$G$27),"")</f>
        <v>0</v>
      </c>
      <c r="J27" s="75">
        <v>1E-09</v>
      </c>
      <c r="K27" s="41" t="str">
        <f>IF(AND(ISNUMBER($G$27),ISNUMBER($H$27)),IF(ABS($H$27-$G$27)&lt;=$J$27,"PASS","FAIL"),"FAIL")</f>
        <v>PASS</v>
      </c>
    </row>
    <row r="28" spans="2:11" ht="16.2" customHeight="1">
      <c r="B28" s="72">
        <v>18</v>
      </c>
      <c r="C28" s="69" t="s">
        <v>401</v>
      </c>
      <c r="D28" s="69"/>
      <c r="E28" s="69"/>
      <c r="F28" s="69"/>
      <c r="G28" s="68" t="s">
        <v>399</v>
      </c>
      <c r="H28" s="39" t="str">
        <f>$L$74</f>
        <v>In progress</v>
      </c>
      <c r="I28" s="39"/>
      <c r="J28" s="70" t="s">
        <v>382</v>
      </c>
      <c r="K28" s="41" t="str">
        <f>IF($H$28&amp;""=$G$28&amp;"","PASS","FAIL")</f>
        <v>PASS</v>
      </c>
    </row>
    <row r="29" spans="2:11" ht="16.2" customHeight="1">
      <c r="B29" s="72">
        <v>19</v>
      </c>
      <c r="C29" s="69" t="s">
        <v>402</v>
      </c>
      <c r="D29" s="69"/>
      <c r="E29" s="69"/>
      <c r="F29" s="69"/>
      <c r="G29" s="68" t="s">
        <v>403</v>
      </c>
      <c r="H29" s="39" t="str">
        <f>$M$71</f>
        <v>No</v>
      </c>
      <c r="I29" s="39"/>
      <c r="J29" s="70" t="s">
        <v>382</v>
      </c>
      <c r="K29" s="41" t="str">
        <f>IF($H$29&amp;""=$G$29&amp;"","PASS","FAIL")</f>
        <v>PASS</v>
      </c>
    </row>
    <row r="30" spans="2:11" ht="16.2" customHeight="1">
      <c r="B30" s="72">
        <v>20</v>
      </c>
      <c r="C30" s="69" t="s">
        <v>404</v>
      </c>
      <c r="D30" s="69"/>
      <c r="E30" s="69"/>
      <c r="F30" s="69"/>
      <c r="G30" s="68" t="s">
        <v>405</v>
      </c>
      <c r="H30" s="39" t="str">
        <f>$N$75</f>
        <v>Due before raised</v>
      </c>
      <c r="I30" s="39"/>
      <c r="J30" s="70" t="s">
        <v>382</v>
      </c>
      <c r="K30" s="41" t="str">
        <f>IF($H$30&amp;""=$G$30&amp;"","PASS","FAIL")</f>
        <v>PASS</v>
      </c>
    </row>
    <row r="31" spans="2:11" ht="16.2" customHeight="1">
      <c r="B31" s="72">
        <v>21</v>
      </c>
      <c r="C31" s="69" t="s">
        <v>406</v>
      </c>
      <c r="D31" s="69"/>
      <c r="E31" s="69"/>
      <c r="F31" s="69"/>
      <c r="G31" s="61">
        <v>0.7133333333333334</v>
      </c>
      <c r="H31" s="40">
        <f>IF(COUNT(tblVerifyAudits[Month])=0,"",SUMIFS(tblVerifyAudits[Total (pts)],tblVerifyAudits[Month],MAX(tblVerifyAudits[Month]))/(COUNTIFS(tblVerifyAudits[Month],MAX(tblVerifyAudits[Month]))*$E$44))</f>
        <v>0.713333333333333</v>
      </c>
      <c r="I31" s="74">
        <f>IF(AND(ISNUMBER($G$31),ISNUMBER($H$31)),ABS($H$31-$G$31),"")</f>
        <v>0</v>
      </c>
      <c r="J31" s="75">
        <v>1E-09</v>
      </c>
      <c r="K31" s="41" t="str">
        <f>IF(AND(ISNUMBER($G$31),ISNUMBER($H$31)),IF(ABS($H$31-$G$31)&lt;=$J$31,"PASS","FAIL"),"FAIL")</f>
        <v>PASS</v>
      </c>
    </row>
    <row r="32" spans="2:11" ht="16.2" customHeight="1">
      <c r="B32" s="72">
        <v>22</v>
      </c>
      <c r="C32" s="69" t="s">
        <v>407</v>
      </c>
      <c r="D32" s="69"/>
      <c r="E32" s="69"/>
      <c r="F32" s="69"/>
      <c r="G32" s="76">
        <v>0.04833333333333334</v>
      </c>
      <c r="H32" s="60">
        <f>IF(COUNT(tblVerifyAudits[Month])&lt;2,"",IF(IFERROR(LARGE(tblVerifyAudits[Month],COUNTIF(tblVerifyAudits[Month],MAX(tblVerifyAudits[Month]))+1),"")="","",SUMIFS(tblVerifyAudits[Total (pts)],tblVerifyAudits[Month],MAX(tblVerifyAudits[Month]))/(COUNTIFS(tblVerifyAudits[Month],MAX(tblVerifyAudits[Month]))*$E$44)-SUMIFS(tblVerifyAudits[Total (pts)],tblVerifyAudits[Month],IFERROR(LARGE(tblVerifyAudits[Month],COUNTIF(tblVerifyAudits[Month],MAX(tblVerifyAudits[Month]))+1),""))/(COUNTIFS(tblVerifyAudits[Month],IFERROR(LARGE(tblVerifyAudits[Month],COUNTIF(tblVerifyAudits[Month],MAX(tblVerifyAudits[Month]))+1),""))*$E$44)))</f>
        <v>0.0483333333333333</v>
      </c>
      <c r="I32" s="74">
        <f>IF(AND(ISNUMBER($G$32),ISNUMBER($H$32)),ABS($H$32-$G$32),"")</f>
        <v>0</v>
      </c>
      <c r="J32" s="75">
        <v>1E-09</v>
      </c>
      <c r="K32" s="41" t="str">
        <f>IF(AND(ISNUMBER($G$32),ISNUMBER($H$32)),IF(ABS($H$32-$G$32)&lt;=$J$32,"PASS","FAIL"),"FAIL")</f>
        <v>PASS</v>
      </c>
    </row>
    <row r="33" spans="2:12" ht="16.2" customHeight="1">
      <c r="B33" s="72">
        <v>23</v>
      </c>
      <c r="C33" s="69" t="s">
        <v>408</v>
      </c>
      <c r="D33" s="69"/>
      <c r="E33" s="69"/>
      <c r="F33" s="69"/>
      <c r="G33" s="73">
        <v>3</v>
      </c>
      <c r="H33" s="33">
        <f>COUNTIFS(tblVerifyActions[Status],"&lt;&gt;Complete",tblVerifyActions[Raised],"&gt;0")</f>
        <v>3</v>
      </c>
      <c r="I33" s="74">
        <f>IF(AND(ISNUMBER($G$33),ISNUMBER($H$33)),ABS($H$33-$G$33),"")</f>
        <v>0</v>
      </c>
      <c r="J33" s="75">
        <v>1E-09</v>
      </c>
      <c r="K33" s="41" t="str">
        <f>IF(AND(ISNUMBER($G$33),ISNUMBER($H$33)),IF(ABS($H$33-$G$33)&lt;=$J$33,"PASS","FAIL"),"FAIL")</f>
        <v>PASS</v>
      </c>
    </row>
    <row r="34" spans="2:12" ht="16.2" customHeight="1">
      <c r="B34" s="72">
        <v>24</v>
      </c>
      <c r="C34" s="69" t="s">
        <v>409</v>
      </c>
      <c r="D34" s="69"/>
      <c r="E34" s="69"/>
      <c r="F34" s="69"/>
      <c r="G34" s="73">
        <v>1</v>
      </c>
      <c r="H34" s="33">
        <f>COUNTIFS(tblVerifyActions[Status],"Overdue")</f>
        <v>1</v>
      </c>
      <c r="I34" s="74">
        <f>IF(AND(ISNUMBER($G$34),ISNUMBER($H$34)),ABS($H$34-$G$34),"")</f>
        <v>0</v>
      </c>
      <c r="J34" s="75">
        <v>1E-09</v>
      </c>
      <c r="K34" s="41" t="str">
        <f>IF(AND(ISNUMBER($G$34),ISNUMBER($H$34)),IF(ABS($H$34-$G$34)&lt;=$J$34,"PASS","FAIL"),"FAIL")</f>
        <v>PASS</v>
      </c>
    </row>
    <row r="35" spans="2:12" ht="16.2" customHeight="1">
      <c r="B35" s="72">
        <v>25</v>
      </c>
      <c r="C35" s="69" t="s">
        <v>410</v>
      </c>
      <c r="D35" s="69"/>
      <c r="E35" s="69"/>
      <c r="F35" s="69"/>
      <c r="G35" s="61">
        <v>0.3333333333333333</v>
      </c>
      <c r="H35" s="40">
        <f>IF((COUNTIFS(tblVerifyActions[Closed on time],"Yes")+COUNTIFS(tblVerifyActions[Closed on time],"No"))=0,"",(COUNTIFS(tblVerifyActions[Closed on time],"Yes"))/(COUNTIFS(tblVerifyActions[Closed on time],"Yes")+COUNTIFS(tblVerifyActions[Closed on time],"No")))</f>
        <v>0.333333333333333</v>
      </c>
      <c r="I35" s="74">
        <f>IF(AND(ISNUMBER($G$35),ISNUMBER($H$35)),ABS($H$35-$G$35),"")</f>
        <v>0</v>
      </c>
      <c r="J35" s="75">
        <v>1E-09</v>
      </c>
      <c r="K35" s="41" t="str">
        <f>IF(AND(ISNUMBER($G$35),ISNUMBER($H$35)),IF(ABS($H$35-$G$35)&lt;=$J$35,"PASS","FAIL"),"FAIL")</f>
        <v>PASS</v>
      </c>
    </row>
    <row r="36" spans="2:12" ht="16.2" customHeight="1">
      <c r="B36" s="72">
        <v>26</v>
      </c>
      <c r="C36" s="69" t="s">
        <v>411</v>
      </c>
      <c r="D36" s="69"/>
      <c r="E36" s="69"/>
      <c r="F36" s="69"/>
      <c r="G36" s="77">
        <v>117</v>
      </c>
      <c r="H36" s="78">
        <f>SUMIFS(tblVerifyActions[Space freed],tblVerifyActions[Status],"Complete")*$E$52</f>
        <v>117</v>
      </c>
      <c r="I36" s="74">
        <f>IF(AND(ISNUMBER($G$36),ISNUMBER($H$36)),ABS($H$36-$G$36),"")</f>
        <v>0</v>
      </c>
      <c r="J36" s="75">
        <v>1E-09</v>
      </c>
      <c r="K36" s="41" t="str">
        <f>IF(AND(ISNUMBER($G$36),ISNUMBER($H$36)),IF(ABS($H$36-$G$36)&lt;=$J$36,"PASS","FAIL"),"FAIL")</f>
        <v>PASS</v>
      </c>
    </row>
    <row r="38" spans="2:12" ht="21" customHeight="1">
      <c r="B38" s="8" t="s">
        <v>412</v>
      </c>
      <c r="C38" s="8"/>
      <c r="D38" s="8"/>
      <c r="E38" s="8"/>
      <c r="F38" s="8"/>
      <c r="G38" s="8"/>
      <c r="H38" s="8"/>
      <c r="I38" s="8"/>
      <c r="J38" s="8"/>
      <c r="K38" s="8"/>
      <c r="L38" s="8"/>
    </row>
    <row r="39" spans="2:12" ht="5" customHeight="1"/>
    <row r="40" spans="2:12">
      <c r="B40" s="21" t="s">
        <v>413</v>
      </c>
      <c r="C40" s="21"/>
      <c r="D40" s="21"/>
      <c r="E40" s="21"/>
      <c r="F40" s="21"/>
      <c r="G40" s="21"/>
      <c r="H40" s="21"/>
      <c r="I40" s="21"/>
      <c r="J40" s="21"/>
      <c r="K40" s="21"/>
      <c r="L40" s="21"/>
    </row>
    <row r="41" spans="2:12">
      <c r="B41" s="34" t="s">
        <v>414</v>
      </c>
      <c r="C41" s="34"/>
      <c r="D41" s="34"/>
      <c r="E41" s="34"/>
      <c r="F41" s="34"/>
    </row>
    <row r="42" spans="2:12">
      <c r="B42" s="27" t="s">
        <v>75</v>
      </c>
      <c r="C42" s="27"/>
      <c r="D42" s="27"/>
      <c r="E42" s="61">
        <v>0.8</v>
      </c>
      <c r="F42" s="7"/>
    </row>
    <row r="43" spans="2:12">
      <c r="B43" s="27" t="s">
        <v>415</v>
      </c>
      <c r="C43" s="27"/>
      <c r="D43" s="27"/>
      <c r="E43" s="73">
        <v>4</v>
      </c>
      <c r="F43" s="7"/>
    </row>
    <row r="44" spans="2:12">
      <c r="B44" s="27" t="s">
        <v>83</v>
      </c>
      <c r="C44" s="27"/>
      <c r="D44" s="27"/>
      <c r="E44" s="73">
        <v>100</v>
      </c>
      <c r="F44" s="7"/>
    </row>
    <row r="45" spans="2:12">
      <c r="B45" s="27" t="s">
        <v>84</v>
      </c>
      <c r="C45" s="27"/>
      <c r="D45" s="27"/>
      <c r="E45" s="73">
        <v>20</v>
      </c>
      <c r="F45" s="7"/>
    </row>
    <row r="46" spans="2:12">
      <c r="B46" s="27" t="s">
        <v>85</v>
      </c>
      <c r="C46" s="27"/>
      <c r="D46" s="27"/>
      <c r="E46" s="73">
        <v>20</v>
      </c>
      <c r="F46" s="7"/>
    </row>
    <row r="47" spans="2:12">
      <c r="B47" s="27" t="s">
        <v>86</v>
      </c>
      <c r="C47" s="27"/>
      <c r="D47" s="27"/>
      <c r="E47" s="73">
        <v>20</v>
      </c>
      <c r="F47" s="7"/>
    </row>
    <row r="48" spans="2:12">
      <c r="B48" s="27" t="s">
        <v>87</v>
      </c>
      <c r="C48" s="27"/>
      <c r="D48" s="27"/>
      <c r="E48" s="73">
        <v>20</v>
      </c>
      <c r="F48" s="7"/>
    </row>
    <row r="49" spans="2:18">
      <c r="B49" s="27" t="s">
        <v>88</v>
      </c>
      <c r="C49" s="27"/>
      <c r="D49" s="27"/>
      <c r="E49" s="73">
        <v>20</v>
      </c>
      <c r="F49" s="7"/>
    </row>
    <row r="50" spans="2:18">
      <c r="B50" s="27" t="s">
        <v>76</v>
      </c>
      <c r="C50" s="27"/>
      <c r="D50" s="27"/>
      <c r="E50" s="79">
        <v>46297</v>
      </c>
      <c r="F50" s="7"/>
    </row>
    <row r="51" spans="2:18">
      <c r="B51" s="27" t="s">
        <v>416</v>
      </c>
      <c r="C51" s="27"/>
      <c r="D51" s="27"/>
      <c r="E51" s="73">
        <v>7</v>
      </c>
      <c r="F51" s="7"/>
    </row>
    <row r="52" spans="2:18">
      <c r="B52" s="27" t="s">
        <v>106</v>
      </c>
      <c r="C52" s="27"/>
      <c r="D52" s="27"/>
      <c r="E52" s="77">
        <v>18</v>
      </c>
      <c r="F52" s="7"/>
    </row>
    <row r="54" spans="2:18">
      <c r="B54" s="34" t="s">
        <v>417</v>
      </c>
      <c r="C54" s="34"/>
      <c r="D54" s="34"/>
      <c r="E54" s="34"/>
      <c r="F54" s="34"/>
      <c r="G54" s="34"/>
      <c r="H54" s="34"/>
      <c r="I54" s="34"/>
      <c r="J54" s="34"/>
      <c r="K54" s="34"/>
      <c r="L54" s="34"/>
    </row>
    <row r="55" spans="2:18" ht="32" customHeight="1">
      <c r="B55" s="35" t="s">
        <v>215</v>
      </c>
      <c r="C55" s="35" t="s">
        <v>69</v>
      </c>
      <c r="D55" s="35" t="s">
        <v>216</v>
      </c>
      <c r="E55" s="35" t="s">
        <v>217</v>
      </c>
      <c r="F55" s="35" t="s">
        <v>218</v>
      </c>
      <c r="G55" s="35" t="s">
        <v>219</v>
      </c>
      <c r="H55" s="35" t="s">
        <v>220</v>
      </c>
      <c r="I55" s="35" t="s">
        <v>221</v>
      </c>
      <c r="J55" s="35" t="s">
        <v>70</v>
      </c>
      <c r="K55" s="35" t="s">
        <v>222</v>
      </c>
      <c r="L55" s="35" t="s">
        <v>132</v>
      </c>
      <c r="M55" s="35" t="s">
        <v>66</v>
      </c>
      <c r="N55" s="35" t="s">
        <v>223</v>
      </c>
      <c r="O55" s="35" t="s">
        <v>224</v>
      </c>
      <c r="P55" s="35" t="s">
        <v>225</v>
      </c>
      <c r="Q55" s="35" t="s">
        <v>226</v>
      </c>
      <c r="R55" s="35" t="s">
        <v>227</v>
      </c>
    </row>
    <row r="56" spans="2:18">
      <c r="B56" s="79">
        <v>46244</v>
      </c>
      <c r="C56" s="68" t="s">
        <v>418</v>
      </c>
      <c r="D56" s="68" t="s">
        <v>419</v>
      </c>
      <c r="E56" s="73">
        <v>14</v>
      </c>
      <c r="F56" s="73">
        <v>12</v>
      </c>
      <c r="G56" s="73">
        <v>11</v>
      </c>
      <c r="H56" s="73">
        <v>9</v>
      </c>
      <c r="I56" s="73">
        <v>8</v>
      </c>
      <c r="J56" s="68" t="s">
        <v>420</v>
      </c>
      <c r="K56" s="33">
        <f>IF(tblVerifyAudits[[#This Row],[Audit date]]="","",tblVerifyAudits[[#This Row],[Sort (pts)]]+tblVerifyAudits[[#This Row],[Set in order (pts)]]+tblVerifyAudits[[#This Row],[Shine (pts)]]+tblVerifyAudits[[#This Row],[Standardize (pts)]]+tblVerifyAudits[[#This Row],[Sustain (pts)]])</f>
        <v>54</v>
      </c>
      <c r="L56" s="33">
        <f>IF(tblVerifyAudits[[#This Row],[Audit date]]="","",$E$44)</f>
        <v>100</v>
      </c>
      <c r="M56" s="40">
        <f>IF(tblVerifyAudits[[#This Row],[Audit date]]="","",IF(tblVerifyAudits[[#This Row],[Max (pts)]]&gt;0,tblVerifyAudits[[#This Row],[Total (pts)]]/tblVerifyAudits[[#This Row],[Max (pts)]],""))</f>
        <v>0.54</v>
      </c>
      <c r="N56" s="41" t="str">
        <f>IF(NOT(ISNUMBER(tblVerifyAudits[[#This Row],[Score]])),"",IF(tblVerifyAudits[[#This Row],[Score]]&gt;=$E$42,"On target",IF(tblVerifyAudits[[#This Row],[Score]]&gt;=$E$42*(1-0.05),"Near target","Below target")))</f>
        <v>Below target</v>
      </c>
      <c r="O56" s="73">
        <v>2</v>
      </c>
      <c r="P56" s="42">
        <f>IF(tblVerifyAudits[[#This Row],[Audit date]]="","",DATE(YEAR(tblVerifyAudits[[#This Row],[Audit date]]),MONTH(tblVerifyAudits[[#This Row],[Audit date]]),1))</f>
        <v>46235</v>
      </c>
      <c r="Q56" s="43" t="str">
        <f>IF(tblVerifyAudits[[#This Row],[Audit date]]="","",IF(tblVerifyAudits[[#This Row],[Area]]="","Missing area",IF(tblVerifyAudits[[#This Row],[Owner]]="","Area not on Setup list",IF(COUNT(tblVerifyAudits[[#This Row],[Sort (pts)]],tblVerifyAudits[[#This Row],[Set in order (pts)]],tblVerifyAudits[[#This Row],[Shine (pts)]],tblVerifyAudits[[#This Row],[Standardize (pts)]],tblVerifyAudits[[#This Row],[Sustain (pts)]])&lt;5,"Missing a section score",IF(tblVerifyAudits[[#This Row],[Sort (pts)]]&gt;$E$45,"Sort above its maximum",IF(tblVerifyAudits[[#This Row],[Set in order (pts)]]&gt;$E$46,"Set in order above its maximum",IF(tblVerifyAudits[[#This Row],[Shine (pts)]]&gt;$E$47,"Shine above its maximum",IF(tblVerifyAudits[[#This Row],[Standardize (pts)]]&gt;$E$48,"Standardize above its maximum",IF(tblVerifyAudits[[#This Row],[Sustain (pts)]]&gt;$E$49,"Sustain above its maximum",IF(COUNTIFS(tblVerifyAudits[Audit date],tblVerifyAudits[[#This Row],[Audit date]],tblVerifyAudits[Area],tblVerifyAudits[[#This Row],[Area]])&gt;1,"Duplicate audit row","OK"))))))))))</f>
        <v>OK</v>
      </c>
      <c r="R56" s="68"/>
    </row>
    <row r="57" spans="2:18">
      <c r="B57" s="79">
        <v>46245</v>
      </c>
      <c r="C57" s="68" t="s">
        <v>421</v>
      </c>
      <c r="D57" s="68" t="s">
        <v>422</v>
      </c>
      <c r="E57" s="73">
        <v>18</v>
      </c>
      <c r="F57" s="73">
        <v>17</v>
      </c>
      <c r="G57" s="73">
        <v>16</v>
      </c>
      <c r="H57" s="73">
        <v>15</v>
      </c>
      <c r="I57" s="73">
        <v>13</v>
      </c>
      <c r="J57" s="68" t="s">
        <v>423</v>
      </c>
      <c r="K57" s="33">
        <f>IF(tblVerifyAudits[[#This Row],[Audit date]]="","",tblVerifyAudits[[#This Row],[Sort (pts)]]+tblVerifyAudits[[#This Row],[Set in order (pts)]]+tblVerifyAudits[[#This Row],[Shine (pts)]]+tblVerifyAudits[[#This Row],[Standardize (pts)]]+tblVerifyAudits[[#This Row],[Sustain (pts)]])</f>
        <v>79</v>
      </c>
      <c r="L57" s="33">
        <f>IF(tblVerifyAudits[[#This Row],[Audit date]]="","",$E$44)</f>
        <v>100</v>
      </c>
      <c r="M57" s="40">
        <f>IF(tblVerifyAudits[[#This Row],[Audit date]]="","",IF(tblVerifyAudits[[#This Row],[Max (pts)]]&gt;0,tblVerifyAudits[[#This Row],[Total (pts)]]/tblVerifyAudits[[#This Row],[Max (pts)]],""))</f>
        <v>0.79</v>
      </c>
      <c r="N57" s="41" t="str">
        <f>IF(NOT(ISNUMBER(tblVerifyAudits[[#This Row],[Score]])),"",IF(tblVerifyAudits[[#This Row],[Score]]&gt;=$E$42,"On target",IF(tblVerifyAudits[[#This Row],[Score]]&gt;=$E$42*(1-0.05),"Near target","Below target")))</f>
        <v>Near target</v>
      </c>
      <c r="O57" s="73">
        <v>2</v>
      </c>
      <c r="P57" s="42">
        <f>IF(tblVerifyAudits[[#This Row],[Audit date]]="","",DATE(YEAR(tblVerifyAudits[[#This Row],[Audit date]]),MONTH(tblVerifyAudits[[#This Row],[Audit date]]),1))</f>
        <v>46235</v>
      </c>
      <c r="Q57" s="43" t="str">
        <f>IF(tblVerifyAudits[[#This Row],[Audit date]]="","",IF(tblVerifyAudits[[#This Row],[Area]]="","Missing area",IF(tblVerifyAudits[[#This Row],[Owner]]="","Area not on Setup list",IF(COUNT(tblVerifyAudits[[#This Row],[Sort (pts)]],tblVerifyAudits[[#This Row],[Set in order (pts)]],tblVerifyAudits[[#This Row],[Shine (pts)]],tblVerifyAudits[[#This Row],[Standardize (pts)]],tblVerifyAudits[[#This Row],[Sustain (pts)]])&lt;5,"Missing a section score",IF(tblVerifyAudits[[#This Row],[Sort (pts)]]&gt;$E$45,"Sort above its maximum",IF(tblVerifyAudits[[#This Row],[Set in order (pts)]]&gt;$E$46,"Set in order above its maximum",IF(tblVerifyAudits[[#This Row],[Shine (pts)]]&gt;$E$47,"Shine above its maximum",IF(tblVerifyAudits[[#This Row],[Standardize (pts)]]&gt;$E$48,"Standardize above its maximum",IF(tblVerifyAudits[[#This Row],[Sustain (pts)]]&gt;$E$49,"Sustain above its maximum",IF(COUNTIFS(tblVerifyAudits[Audit date],tblVerifyAudits[[#This Row],[Audit date]],tblVerifyAudits[Area],tblVerifyAudits[[#This Row],[Area]])&gt;1,"Duplicate audit row","OK"))))))))))</f>
        <v>OK</v>
      </c>
      <c r="R57" s="68"/>
    </row>
    <row r="58" spans="2:18">
      <c r="B58" s="79">
        <v>46274</v>
      </c>
      <c r="C58" s="68" t="s">
        <v>418</v>
      </c>
      <c r="D58" s="68" t="s">
        <v>422</v>
      </c>
      <c r="E58" s="73">
        <v>17</v>
      </c>
      <c r="F58" s="73">
        <v>15</v>
      </c>
      <c r="G58" s="73">
        <v>14</v>
      </c>
      <c r="H58" s="73">
        <v>12</v>
      </c>
      <c r="I58" s="73">
        <v>10</v>
      </c>
      <c r="J58" s="68" t="s">
        <v>420</v>
      </c>
      <c r="K58" s="33">
        <f>IF(tblVerifyAudits[[#This Row],[Audit date]]="","",tblVerifyAudits[[#This Row],[Sort (pts)]]+tblVerifyAudits[[#This Row],[Set in order (pts)]]+tblVerifyAudits[[#This Row],[Shine (pts)]]+tblVerifyAudits[[#This Row],[Standardize (pts)]]+tblVerifyAudits[[#This Row],[Sustain (pts)]])</f>
        <v>68</v>
      </c>
      <c r="L58" s="33">
        <f>IF(tblVerifyAudits[[#This Row],[Audit date]]="","",$E$44)</f>
        <v>100</v>
      </c>
      <c r="M58" s="40">
        <f>IF(tblVerifyAudits[[#This Row],[Audit date]]="","",IF(tblVerifyAudits[[#This Row],[Max (pts)]]&gt;0,tblVerifyAudits[[#This Row],[Total (pts)]]/tblVerifyAudits[[#This Row],[Max (pts)]],""))</f>
        <v>0.68</v>
      </c>
      <c r="N58" s="41" t="str">
        <f>IF(NOT(ISNUMBER(tblVerifyAudits[[#This Row],[Score]])),"",IF(tblVerifyAudits[[#This Row],[Score]]&gt;=$E$42,"On target",IF(tblVerifyAudits[[#This Row],[Score]]&gt;=$E$42*(1-0.05),"Near target","Below target")))</f>
        <v>Below target</v>
      </c>
      <c r="O58" s="73">
        <v>2</v>
      </c>
      <c r="P58" s="42">
        <f>IF(tblVerifyAudits[[#This Row],[Audit date]]="","",DATE(YEAR(tblVerifyAudits[[#This Row],[Audit date]]),MONTH(tblVerifyAudits[[#This Row],[Audit date]]),1))</f>
        <v>46266</v>
      </c>
      <c r="Q58" s="43" t="str">
        <f>IF(tblVerifyAudits[[#This Row],[Audit date]]="","",IF(tblVerifyAudits[[#This Row],[Area]]="","Missing area",IF(tblVerifyAudits[[#This Row],[Owner]]="","Area not on Setup list",IF(COUNT(tblVerifyAudits[[#This Row],[Sort (pts)]],tblVerifyAudits[[#This Row],[Set in order (pts)]],tblVerifyAudits[[#This Row],[Shine (pts)]],tblVerifyAudits[[#This Row],[Standardize (pts)]],tblVerifyAudits[[#This Row],[Sustain (pts)]])&lt;5,"Missing a section score",IF(tblVerifyAudits[[#This Row],[Sort (pts)]]&gt;$E$45,"Sort above its maximum",IF(tblVerifyAudits[[#This Row],[Set in order (pts)]]&gt;$E$46,"Set in order above its maximum",IF(tblVerifyAudits[[#This Row],[Shine (pts)]]&gt;$E$47,"Shine above its maximum",IF(tblVerifyAudits[[#This Row],[Standardize (pts)]]&gt;$E$48,"Standardize above its maximum",IF(tblVerifyAudits[[#This Row],[Sustain (pts)]]&gt;$E$49,"Sustain above its maximum",IF(COUNTIFS(tblVerifyAudits[Audit date],tblVerifyAudits[[#This Row],[Audit date]],tblVerifyAudits[Area],tblVerifyAudits[[#This Row],[Area]])&gt;1,"Duplicate audit row","OK"))))))))))</f>
        <v>OK</v>
      </c>
      <c r="R58" s="68"/>
    </row>
    <row r="59" spans="2:18">
      <c r="B59" s="79">
        <v>46275</v>
      </c>
      <c r="C59" s="68" t="s">
        <v>421</v>
      </c>
      <c r="D59" s="68" t="s">
        <v>419</v>
      </c>
      <c r="E59" s="73">
        <v>20</v>
      </c>
      <c r="F59" s="73">
        <v>18</v>
      </c>
      <c r="G59" s="73">
        <v>17</v>
      </c>
      <c r="H59" s="73">
        <v>16</v>
      </c>
      <c r="I59" s="73">
        <v>14</v>
      </c>
      <c r="J59" s="68" t="s">
        <v>423</v>
      </c>
      <c r="K59" s="33">
        <f>IF(tblVerifyAudits[[#This Row],[Audit date]]="","",tblVerifyAudits[[#This Row],[Sort (pts)]]+tblVerifyAudits[[#This Row],[Set in order (pts)]]+tblVerifyAudits[[#This Row],[Shine (pts)]]+tblVerifyAudits[[#This Row],[Standardize (pts)]]+tblVerifyAudits[[#This Row],[Sustain (pts)]])</f>
        <v>85</v>
      </c>
      <c r="L59" s="33">
        <f>IF(tblVerifyAudits[[#This Row],[Audit date]]="","",$E$44)</f>
        <v>100</v>
      </c>
      <c r="M59" s="40">
        <f>IF(tblVerifyAudits[[#This Row],[Audit date]]="","",IF(tblVerifyAudits[[#This Row],[Max (pts)]]&gt;0,tblVerifyAudits[[#This Row],[Total (pts)]]/tblVerifyAudits[[#This Row],[Max (pts)]],""))</f>
        <v>0.85</v>
      </c>
      <c r="N59" s="41" t="str">
        <f>IF(NOT(ISNUMBER(tblVerifyAudits[[#This Row],[Score]])),"",IF(tblVerifyAudits[[#This Row],[Score]]&gt;=$E$42,"On target",IF(tblVerifyAudits[[#This Row],[Score]]&gt;=$E$42*(1-0.05),"Near target","Below target")))</f>
        <v>On target</v>
      </c>
      <c r="O59" s="73">
        <v>2</v>
      </c>
      <c r="P59" s="42">
        <f>IF(tblVerifyAudits[[#This Row],[Audit date]]="","",DATE(YEAR(tblVerifyAudits[[#This Row],[Audit date]]),MONTH(tblVerifyAudits[[#This Row],[Audit date]]),1))</f>
        <v>46266</v>
      </c>
      <c r="Q59" s="43" t="str">
        <f>IF(tblVerifyAudits[[#This Row],[Audit date]]="","",IF(tblVerifyAudits[[#This Row],[Area]]="","Missing area",IF(tblVerifyAudits[[#This Row],[Owner]]="","Area not on Setup list",IF(COUNT(tblVerifyAudits[[#This Row],[Sort (pts)]],tblVerifyAudits[[#This Row],[Set in order (pts)]],tblVerifyAudits[[#This Row],[Shine (pts)]],tblVerifyAudits[[#This Row],[Standardize (pts)]],tblVerifyAudits[[#This Row],[Sustain (pts)]])&lt;5,"Missing a section score",IF(tblVerifyAudits[[#This Row],[Sort (pts)]]&gt;$E$45,"Sort above its maximum",IF(tblVerifyAudits[[#This Row],[Set in order (pts)]]&gt;$E$46,"Set in order above its maximum",IF(tblVerifyAudits[[#This Row],[Shine (pts)]]&gt;$E$47,"Shine above its maximum",IF(tblVerifyAudits[[#This Row],[Standardize (pts)]]&gt;$E$48,"Standardize above its maximum",IF(tblVerifyAudits[[#This Row],[Sustain (pts)]]&gt;$E$49,"Sustain above its maximum",IF(COUNTIFS(tblVerifyAudits[Audit date],tblVerifyAudits[[#This Row],[Audit date]],tblVerifyAudits[Area],tblVerifyAudits[[#This Row],[Area]])&gt;1,"Duplicate audit row","OK"))))))))))</f>
        <v>OK</v>
      </c>
      <c r="R59" s="68"/>
    </row>
    <row r="60" spans="2:18">
      <c r="B60" s="79">
        <v>46276</v>
      </c>
      <c r="C60" s="68" t="s">
        <v>424</v>
      </c>
      <c r="D60" s="68" t="s">
        <v>419</v>
      </c>
      <c r="E60" s="73">
        <v>21</v>
      </c>
      <c r="F60" s="73">
        <v>10</v>
      </c>
      <c r="G60" s="73">
        <v>10</v>
      </c>
      <c r="H60" s="73">
        <v>10</v>
      </c>
      <c r="I60" s="73">
        <v>10</v>
      </c>
      <c r="J60" s="68" t="s">
        <v>425</v>
      </c>
      <c r="K60" s="33">
        <f>IF(tblVerifyAudits[[#This Row],[Audit date]]="","",tblVerifyAudits[[#This Row],[Sort (pts)]]+tblVerifyAudits[[#This Row],[Set in order (pts)]]+tblVerifyAudits[[#This Row],[Shine (pts)]]+tblVerifyAudits[[#This Row],[Standardize (pts)]]+tblVerifyAudits[[#This Row],[Sustain (pts)]])</f>
        <v>61</v>
      </c>
      <c r="L60" s="33">
        <f>IF(tblVerifyAudits[[#This Row],[Audit date]]="","",$E$44)</f>
        <v>100</v>
      </c>
      <c r="M60" s="40">
        <f>IF(tblVerifyAudits[[#This Row],[Audit date]]="","",IF(tblVerifyAudits[[#This Row],[Max (pts)]]&gt;0,tblVerifyAudits[[#This Row],[Total (pts)]]/tblVerifyAudits[[#This Row],[Max (pts)]],""))</f>
        <v>0.61</v>
      </c>
      <c r="N60" s="41" t="str">
        <f>IF(NOT(ISNUMBER(tblVerifyAudits[[#This Row],[Score]])),"",IF(tblVerifyAudits[[#This Row],[Score]]&gt;=$E$42,"On target",IF(tblVerifyAudits[[#This Row],[Score]]&gt;=$E$42*(1-0.05),"Near target","Below target")))</f>
        <v>Below target</v>
      </c>
      <c r="O60" s="73">
        <v>0</v>
      </c>
      <c r="P60" s="42">
        <f>IF(tblVerifyAudits[[#This Row],[Audit date]]="","",DATE(YEAR(tblVerifyAudits[[#This Row],[Audit date]]),MONTH(tblVerifyAudits[[#This Row],[Audit date]]),1))</f>
        <v>46266</v>
      </c>
      <c r="Q60" s="43" t="str">
        <f>IF(tblVerifyAudits[[#This Row],[Audit date]]="","",IF(tblVerifyAudits[[#This Row],[Area]]="","Missing area",IF(tblVerifyAudits[[#This Row],[Owner]]="","Area not on Setup list",IF(COUNT(tblVerifyAudits[[#This Row],[Sort (pts)]],tblVerifyAudits[[#This Row],[Set in order (pts)]],tblVerifyAudits[[#This Row],[Shine (pts)]],tblVerifyAudits[[#This Row],[Standardize (pts)]],tblVerifyAudits[[#This Row],[Sustain (pts)]])&lt;5,"Missing a section score",IF(tblVerifyAudits[[#This Row],[Sort (pts)]]&gt;$E$45,"Sort above its maximum",IF(tblVerifyAudits[[#This Row],[Set in order (pts)]]&gt;$E$46,"Set in order above its maximum",IF(tblVerifyAudits[[#This Row],[Shine (pts)]]&gt;$E$47,"Shine above its maximum",IF(tblVerifyAudits[[#This Row],[Standardize (pts)]]&gt;$E$48,"Standardize above its maximum",IF(tblVerifyAudits[[#This Row],[Sustain (pts)]]&gt;$E$49,"Sustain above its maximum",IF(COUNTIFS(tblVerifyAudits[Audit date],tblVerifyAudits[[#This Row],[Audit date]],tblVerifyAudits[Area],tblVerifyAudits[[#This Row],[Area]])&gt;1,"Duplicate audit row","OK"))))))))))</f>
        <v>Sort above its maximum</v>
      </c>
      <c r="R60" s="68"/>
    </row>
    <row r="62" spans="2:18">
      <c r="B62" s="34" t="s">
        <v>426</v>
      </c>
      <c r="C62" s="34"/>
      <c r="D62" s="34"/>
      <c r="E62" s="34"/>
      <c r="F62" s="34"/>
      <c r="G62" s="34"/>
      <c r="H62" s="34"/>
      <c r="I62" s="34"/>
      <c r="J62" s="34"/>
      <c r="K62" s="34"/>
      <c r="L62" s="34"/>
    </row>
    <row r="63" spans="2:18" ht="20" customHeight="1">
      <c r="B63" s="35" t="s">
        <v>69</v>
      </c>
      <c r="C63" s="35" t="s">
        <v>70</v>
      </c>
      <c r="D63" s="35" t="s">
        <v>71</v>
      </c>
    </row>
    <row r="64" spans="2:18">
      <c r="B64" s="68" t="s">
        <v>418</v>
      </c>
      <c r="C64" s="68" t="s">
        <v>420</v>
      </c>
      <c r="D64" s="68" t="s">
        <v>230</v>
      </c>
    </row>
    <row r="65" spans="2:14">
      <c r="B65" s="68" t="s">
        <v>421</v>
      </c>
      <c r="C65" s="68" t="s">
        <v>423</v>
      </c>
      <c r="D65" s="68" t="s">
        <v>230</v>
      </c>
    </row>
    <row r="67" spans="2:14">
      <c r="B67" s="34" t="s">
        <v>427</v>
      </c>
      <c r="C67" s="34"/>
      <c r="D67" s="34"/>
      <c r="E67" s="34"/>
      <c r="F67" s="34"/>
      <c r="G67" s="34"/>
      <c r="H67" s="34"/>
      <c r="I67" s="34"/>
      <c r="J67" s="34"/>
      <c r="K67" s="34"/>
      <c r="L67" s="34"/>
    </row>
    <row r="68" spans="2:14" ht="14" customHeight="1">
      <c r="B68" s="44"/>
      <c r="C68" s="44"/>
      <c r="D68" s="44"/>
      <c r="E68" s="44"/>
      <c r="F68" s="44"/>
      <c r="G68" s="44"/>
      <c r="H68" s="44"/>
      <c r="I68" s="44"/>
      <c r="J68" s="44" t="str">
        <f>AreaUnit</f>
        <v>m²</v>
      </c>
      <c r="K68" s="44" t="s">
        <v>78</v>
      </c>
      <c r="L68" s="44"/>
      <c r="M68" s="44"/>
      <c r="N68" s="44"/>
    </row>
    <row r="69" spans="2:14" ht="32" customHeight="1">
      <c r="B69" s="35" t="s">
        <v>234</v>
      </c>
      <c r="C69" s="35" t="s">
        <v>69</v>
      </c>
      <c r="D69" s="35" t="s">
        <v>129</v>
      </c>
      <c r="E69" s="35" t="s">
        <v>235</v>
      </c>
      <c r="F69" s="35" t="s">
        <v>236</v>
      </c>
      <c r="G69" s="35" t="s">
        <v>70</v>
      </c>
      <c r="H69" s="35" t="s">
        <v>237</v>
      </c>
      <c r="I69" s="35" t="s">
        <v>238</v>
      </c>
      <c r="J69" s="35" t="s">
        <v>239</v>
      </c>
      <c r="K69" s="35" t="s">
        <v>240</v>
      </c>
      <c r="L69" s="35" t="s">
        <v>223</v>
      </c>
      <c r="M69" s="35" t="s">
        <v>241</v>
      </c>
      <c r="N69" s="35" t="s">
        <v>226</v>
      </c>
    </row>
    <row r="70" spans="2:14">
      <c r="B70" s="79">
        <v>46244</v>
      </c>
      <c r="C70" s="68" t="s">
        <v>418</v>
      </c>
      <c r="D70" s="68" t="s">
        <v>136</v>
      </c>
      <c r="E70" s="68" t="s">
        <v>428</v>
      </c>
      <c r="F70" s="68" t="s">
        <v>429</v>
      </c>
      <c r="G70" s="68" t="s">
        <v>430</v>
      </c>
      <c r="H70" s="79">
        <v>46258</v>
      </c>
      <c r="I70" s="79">
        <v>46254</v>
      </c>
      <c r="J70" s="80">
        <v>6.5</v>
      </c>
      <c r="K70" s="33">
        <f>IF(tblVerifyActions[[#This Row],[Raised]]="","",IF(tblVerifyActions[[#This Row],[Closed]]="",$E$50-tblVerifyActions[[#This Row],[Raised]],tblVerifyActions[[#This Row],[Closed]]-tblVerifyActions[[#This Row],[Raised]]))</f>
        <v>10</v>
      </c>
      <c r="L70" s="41" t="str">
        <f>IF(tblVerifyActions[[#This Row],[Raised]]="","",IF(tblVerifyActions[[#This Row],[Closed]]&lt;&gt;"","Complete",IF(tblVerifyActions[[#This Row],[Due]]="","",IF(tblVerifyActions[[#This Row],[Due]]&lt;$E$50,"Overdue",IF(tblVerifyActions[[#This Row],[Due]]-$E$50&lt;=$E$51,"Due soon","In progress")))))</f>
        <v>Complete</v>
      </c>
      <c r="M70" s="41" t="str">
        <f>IF(tblVerifyActions[[#This Row],[Raised]]="","",IF(OR(tblVerifyActions[[#This Row],[Closed]]="",tblVerifyActions[[#This Row],[Due]]=""),"",IF(tblVerifyActions[[#This Row],[Closed]]&lt;=tblVerifyActions[[#This Row],[Due]],"Yes","No")))</f>
        <v>Yes</v>
      </c>
      <c r="N70" s="43" t="str">
        <f>IF(tblVerifyActions[[#This Row],[Raised]]="","",IF(tblVerifyActions[[#This Row],[Area]]="","Missing area",IF(tblVerifyActions[[#This Row],[S]]="","Missing s",IF(tblVerifyActions[[#This Row],[Finding]]="","Missing finding",IF(tblVerifyActions[[#This Row],[Due]]="","Missing due",IF(COUNTIF(tblVerifyAreas[Area],tblVerifyActions[[#This Row],[Area]])=0,"Area not on Setup list",IF(tblVerifyActions[[#This Row],[Due]]&lt;tblVerifyActions[[#This Row],[Raised]],"Due before raised",IF(AND(tblVerifyActions[[#This Row],[Closed]]&lt;&gt;"",tblVerifyActions[[#This Row],[Closed]]&lt;tblVerifyActions[[#This Row],[Raised]]),"Closed before raised",IF(OR(tblVerifyActions[[#This Row],[Raised]]&gt;$E$50,AND(tblVerifyActions[[#This Row],[Closed]]&lt;&gt;"",tblVerifyActions[[#This Row],[Closed]]&gt;$E$50)),"Date after the status date",IF(AND(tblVerifyActions[[#This Row],[Space freed]]&lt;&gt;"",tblVerifyActions[[#This Row],[S]]&lt;&gt;"Sort"),"Space freed on a non-Sort action","OK"))))))))))</f>
        <v>OK</v>
      </c>
    </row>
    <row r="71" spans="2:14">
      <c r="B71" s="79">
        <v>46244</v>
      </c>
      <c r="C71" s="68" t="s">
        <v>418</v>
      </c>
      <c r="D71" s="68" t="s">
        <v>168</v>
      </c>
      <c r="E71" s="68" t="s">
        <v>431</v>
      </c>
      <c r="F71" s="68" t="s">
        <v>432</v>
      </c>
      <c r="G71" s="68" t="s">
        <v>430</v>
      </c>
      <c r="H71" s="79">
        <v>46265</v>
      </c>
      <c r="I71" s="79">
        <v>46272</v>
      </c>
      <c r="J71" s="80"/>
      <c r="K71" s="33">
        <f>IF(tblVerifyActions[[#This Row],[Raised]]="","",IF(tblVerifyActions[[#This Row],[Closed]]="",$E$50-tblVerifyActions[[#This Row],[Raised]],tblVerifyActions[[#This Row],[Closed]]-tblVerifyActions[[#This Row],[Raised]]))</f>
        <v>28</v>
      </c>
      <c r="L71" s="41" t="str">
        <f>IF(tblVerifyActions[[#This Row],[Raised]]="","",IF(tblVerifyActions[[#This Row],[Closed]]&lt;&gt;"","Complete",IF(tblVerifyActions[[#This Row],[Due]]="","",IF(tblVerifyActions[[#This Row],[Due]]&lt;$E$50,"Overdue",IF(tblVerifyActions[[#This Row],[Due]]-$E$50&lt;=$E$51,"Due soon","In progress")))))</f>
        <v>Complete</v>
      </c>
      <c r="M71" s="41" t="str">
        <f>IF(tblVerifyActions[[#This Row],[Raised]]="","",IF(OR(tblVerifyActions[[#This Row],[Closed]]="",tblVerifyActions[[#This Row],[Due]]=""),"",IF(tblVerifyActions[[#This Row],[Closed]]&lt;=tblVerifyActions[[#This Row],[Due]],"Yes","No")))</f>
        <v>No</v>
      </c>
      <c r="N71" s="43" t="str">
        <f>IF(tblVerifyActions[[#This Row],[Raised]]="","",IF(tblVerifyActions[[#This Row],[Area]]="","Missing area",IF(tblVerifyActions[[#This Row],[S]]="","Missing s",IF(tblVerifyActions[[#This Row],[Finding]]="","Missing finding",IF(tblVerifyActions[[#This Row],[Due]]="","Missing due",IF(COUNTIF(tblVerifyAreas[Area],tblVerifyActions[[#This Row],[Area]])=0,"Area not on Setup list",IF(tblVerifyActions[[#This Row],[Due]]&lt;tblVerifyActions[[#This Row],[Raised]],"Due before raised",IF(AND(tblVerifyActions[[#This Row],[Closed]]&lt;&gt;"",tblVerifyActions[[#This Row],[Closed]]&lt;tblVerifyActions[[#This Row],[Raised]]),"Closed before raised",IF(OR(tblVerifyActions[[#This Row],[Raised]]&gt;$E$50,AND(tblVerifyActions[[#This Row],[Closed]]&lt;&gt;"",tblVerifyActions[[#This Row],[Closed]]&gt;$E$50)),"Date after the status date",IF(AND(tblVerifyActions[[#This Row],[Space freed]]&lt;&gt;"",tblVerifyActions[[#This Row],[S]]&lt;&gt;"Sort"),"Space freed on a non-Sort action","OK"))))))))))</f>
        <v>OK</v>
      </c>
    </row>
    <row r="72" spans="2:14">
      <c r="B72" s="79">
        <v>46274</v>
      </c>
      <c r="C72" s="68" t="s">
        <v>418</v>
      </c>
      <c r="D72" s="68" t="s">
        <v>200</v>
      </c>
      <c r="E72" s="68" t="s">
        <v>433</v>
      </c>
      <c r="F72" s="68" t="s">
        <v>434</v>
      </c>
      <c r="G72" s="68" t="s">
        <v>430</v>
      </c>
      <c r="H72" s="79">
        <v>46295</v>
      </c>
      <c r="I72" s="79"/>
      <c r="J72" s="80"/>
      <c r="K72" s="33">
        <f>IF(tblVerifyActions[[#This Row],[Raised]]="","",IF(tblVerifyActions[[#This Row],[Closed]]="",$E$50-tblVerifyActions[[#This Row],[Raised]],tblVerifyActions[[#This Row],[Closed]]-tblVerifyActions[[#This Row],[Raised]]))</f>
        <v>23</v>
      </c>
      <c r="L72" s="41" t="str">
        <f>IF(tblVerifyActions[[#This Row],[Raised]]="","",IF(tblVerifyActions[[#This Row],[Closed]]&lt;&gt;"","Complete",IF(tblVerifyActions[[#This Row],[Due]]="","",IF(tblVerifyActions[[#This Row],[Due]]&lt;$E$50,"Overdue",IF(tblVerifyActions[[#This Row],[Due]]-$E$50&lt;=$E$51,"Due soon","In progress")))))</f>
        <v>Overdue</v>
      </c>
      <c r="M72" s="41">
        <f>IF(tblVerifyActions[[#This Row],[Raised]]="","",IF(OR(tblVerifyActions[[#This Row],[Closed]]="",tblVerifyActions[[#This Row],[Due]]=""),"",IF(tblVerifyActions[[#This Row],[Closed]]&lt;=tblVerifyActions[[#This Row],[Due]],"Yes","No")))</f>
        <v/>
      </c>
      <c r="N72" s="43" t="str">
        <f>IF(tblVerifyActions[[#This Row],[Raised]]="","",IF(tblVerifyActions[[#This Row],[Area]]="","Missing area",IF(tblVerifyActions[[#This Row],[S]]="","Missing s",IF(tblVerifyActions[[#This Row],[Finding]]="","Missing finding",IF(tblVerifyActions[[#This Row],[Due]]="","Missing due",IF(COUNTIF(tblVerifyAreas[Area],tblVerifyActions[[#This Row],[Area]])=0,"Area not on Setup list",IF(tblVerifyActions[[#This Row],[Due]]&lt;tblVerifyActions[[#This Row],[Raised]],"Due before raised",IF(AND(tblVerifyActions[[#This Row],[Closed]]&lt;&gt;"",tblVerifyActions[[#This Row],[Closed]]&lt;tblVerifyActions[[#This Row],[Raised]]),"Closed before raised",IF(OR(tblVerifyActions[[#This Row],[Raised]]&gt;$E$50,AND(tblVerifyActions[[#This Row],[Closed]]&lt;&gt;"",tblVerifyActions[[#This Row],[Closed]]&gt;$E$50)),"Date after the status date",IF(AND(tblVerifyActions[[#This Row],[Space freed]]&lt;&gt;"",tblVerifyActions[[#This Row],[S]]&lt;&gt;"Sort"),"Space freed on a non-Sort action","OK"))))))))))</f>
        <v>OK</v>
      </c>
    </row>
    <row r="73" spans="2:14">
      <c r="B73" s="79">
        <v>46275</v>
      </c>
      <c r="C73" s="68" t="s">
        <v>421</v>
      </c>
      <c r="D73" s="68" t="s">
        <v>184</v>
      </c>
      <c r="E73" s="68" t="s">
        <v>435</v>
      </c>
      <c r="F73" s="68" t="s">
        <v>436</v>
      </c>
      <c r="G73" s="68" t="s">
        <v>430</v>
      </c>
      <c r="H73" s="79">
        <v>46310</v>
      </c>
      <c r="I73" s="79"/>
      <c r="J73" s="80"/>
      <c r="K73" s="33">
        <f>IF(tblVerifyActions[[#This Row],[Raised]]="","",IF(tblVerifyActions[[#This Row],[Closed]]="",$E$50-tblVerifyActions[[#This Row],[Raised]],tblVerifyActions[[#This Row],[Closed]]-tblVerifyActions[[#This Row],[Raised]]))</f>
        <v>22</v>
      </c>
      <c r="L73" s="41" t="str">
        <f>IF(tblVerifyActions[[#This Row],[Raised]]="","",IF(tblVerifyActions[[#This Row],[Closed]]&lt;&gt;"","Complete",IF(tblVerifyActions[[#This Row],[Due]]="","",IF(tblVerifyActions[[#This Row],[Due]]&lt;$E$50,"Overdue",IF(tblVerifyActions[[#This Row],[Due]]-$E$50&lt;=$E$51,"Due soon","In progress")))))</f>
        <v>In progress</v>
      </c>
      <c r="M73" s="41">
        <f>IF(tblVerifyActions[[#This Row],[Raised]]="","",IF(OR(tblVerifyActions[[#This Row],[Closed]]="",tblVerifyActions[[#This Row],[Due]]=""),"",IF(tblVerifyActions[[#This Row],[Closed]]&lt;=tblVerifyActions[[#This Row],[Due]],"Yes","No")))</f>
        <v/>
      </c>
      <c r="N73" s="43" t="str">
        <f>IF(tblVerifyActions[[#This Row],[Raised]]="","",IF(tblVerifyActions[[#This Row],[Area]]="","Missing area",IF(tblVerifyActions[[#This Row],[S]]="","Missing s",IF(tblVerifyActions[[#This Row],[Finding]]="","Missing finding",IF(tblVerifyActions[[#This Row],[Due]]="","Missing due",IF(COUNTIF(tblVerifyAreas[Area],tblVerifyActions[[#This Row],[Area]])=0,"Area not on Setup list",IF(tblVerifyActions[[#This Row],[Due]]&lt;tblVerifyActions[[#This Row],[Raised]],"Due before raised",IF(AND(tblVerifyActions[[#This Row],[Closed]]&lt;&gt;"",tblVerifyActions[[#This Row],[Closed]]&lt;tblVerifyActions[[#This Row],[Raised]]),"Closed before raised",IF(OR(tblVerifyActions[[#This Row],[Raised]]&gt;$E$50,AND(tblVerifyActions[[#This Row],[Closed]]&lt;&gt;"",tblVerifyActions[[#This Row],[Closed]]&gt;$E$50)),"Date after the status date",IF(AND(tblVerifyActions[[#This Row],[Space freed]]&lt;&gt;"",tblVerifyActions[[#This Row],[S]]&lt;&gt;"Sort"),"Space freed on a non-Sort action","OK"))))))))))</f>
        <v>OK</v>
      </c>
    </row>
    <row r="74" spans="2:14">
      <c r="B74" s="79">
        <v>46275</v>
      </c>
      <c r="C74" s="68" t="s">
        <v>421</v>
      </c>
      <c r="D74" s="68" t="s">
        <v>136</v>
      </c>
      <c r="E74" s="68" t="s">
        <v>437</v>
      </c>
      <c r="F74" s="68" t="s">
        <v>438</v>
      </c>
      <c r="G74" s="68" t="s">
        <v>430</v>
      </c>
      <c r="H74" s="79">
        <v>46325</v>
      </c>
      <c r="I74" s="79"/>
      <c r="J74" s="80"/>
      <c r="K74" s="33">
        <f>IF(tblVerifyActions[[#This Row],[Raised]]="","",IF(tblVerifyActions[[#This Row],[Closed]]="",$E$50-tblVerifyActions[[#This Row],[Raised]],tblVerifyActions[[#This Row],[Closed]]-tblVerifyActions[[#This Row],[Raised]]))</f>
        <v>22</v>
      </c>
      <c r="L74" s="41" t="str">
        <f>IF(tblVerifyActions[[#This Row],[Raised]]="","",IF(tblVerifyActions[[#This Row],[Closed]]&lt;&gt;"","Complete",IF(tblVerifyActions[[#This Row],[Due]]="","",IF(tblVerifyActions[[#This Row],[Due]]&lt;$E$50,"Overdue",IF(tblVerifyActions[[#This Row],[Due]]-$E$50&lt;=$E$51,"Due soon","In progress")))))</f>
        <v>In progress</v>
      </c>
      <c r="M74" s="41">
        <f>IF(tblVerifyActions[[#This Row],[Raised]]="","",IF(OR(tblVerifyActions[[#This Row],[Closed]]="",tblVerifyActions[[#This Row],[Due]]=""),"",IF(tblVerifyActions[[#This Row],[Closed]]&lt;=tblVerifyActions[[#This Row],[Due]],"Yes","No")))</f>
        <v/>
      </c>
      <c r="N74" s="43" t="str">
        <f>IF(tblVerifyActions[[#This Row],[Raised]]="","",IF(tblVerifyActions[[#This Row],[Area]]="","Missing area",IF(tblVerifyActions[[#This Row],[S]]="","Missing s",IF(tblVerifyActions[[#This Row],[Finding]]="","Missing finding",IF(tblVerifyActions[[#This Row],[Due]]="","Missing due",IF(COUNTIF(tblVerifyAreas[Area],tblVerifyActions[[#This Row],[Area]])=0,"Area not on Setup list",IF(tblVerifyActions[[#This Row],[Due]]&lt;tblVerifyActions[[#This Row],[Raised]],"Due before raised",IF(AND(tblVerifyActions[[#This Row],[Closed]]&lt;&gt;"",tblVerifyActions[[#This Row],[Closed]]&lt;tblVerifyActions[[#This Row],[Raised]]),"Closed before raised",IF(OR(tblVerifyActions[[#This Row],[Raised]]&gt;$E$50,AND(tblVerifyActions[[#This Row],[Closed]]&lt;&gt;"",tblVerifyActions[[#This Row],[Closed]]&gt;$E$50)),"Date after the status date",IF(AND(tblVerifyActions[[#This Row],[Space freed]]&lt;&gt;"",tblVerifyActions[[#This Row],[S]]&lt;&gt;"Sort"),"Space freed on a non-Sort action","OK"))))))))))</f>
        <v>OK</v>
      </c>
    </row>
    <row r="75" spans="2:14">
      <c r="B75" s="79">
        <v>46275</v>
      </c>
      <c r="C75" s="68" t="s">
        <v>421</v>
      </c>
      <c r="D75" s="68" t="s">
        <v>168</v>
      </c>
      <c r="E75" s="68" t="s">
        <v>439</v>
      </c>
      <c r="F75" s="68" t="s">
        <v>440</v>
      </c>
      <c r="G75" s="68" t="s">
        <v>430</v>
      </c>
      <c r="H75" s="79">
        <v>46266</v>
      </c>
      <c r="I75" s="79">
        <v>46277</v>
      </c>
      <c r="J75" s="80"/>
      <c r="K75" s="33">
        <f>IF(tblVerifyActions[[#This Row],[Raised]]="","",IF(tblVerifyActions[[#This Row],[Closed]]="",$E$50-tblVerifyActions[[#This Row],[Raised]],tblVerifyActions[[#This Row],[Closed]]-tblVerifyActions[[#This Row],[Raised]]))</f>
        <v>2</v>
      </c>
      <c r="L75" s="41" t="str">
        <f>IF(tblVerifyActions[[#This Row],[Raised]]="","",IF(tblVerifyActions[[#This Row],[Closed]]&lt;&gt;"","Complete",IF(tblVerifyActions[[#This Row],[Due]]="","",IF(tblVerifyActions[[#This Row],[Due]]&lt;$E$50,"Overdue",IF(tblVerifyActions[[#This Row],[Due]]-$E$50&lt;=$E$51,"Due soon","In progress")))))</f>
        <v>Complete</v>
      </c>
      <c r="M75" s="41" t="str">
        <f>IF(tblVerifyActions[[#This Row],[Raised]]="","",IF(OR(tblVerifyActions[[#This Row],[Closed]]="",tblVerifyActions[[#This Row],[Due]]=""),"",IF(tblVerifyActions[[#This Row],[Closed]]&lt;=tblVerifyActions[[#This Row],[Due]],"Yes","No")))</f>
        <v>No</v>
      </c>
      <c r="N75" s="43" t="str">
        <f>IF(tblVerifyActions[[#This Row],[Raised]]="","",IF(tblVerifyActions[[#This Row],[Area]]="","Missing area",IF(tblVerifyActions[[#This Row],[S]]="","Missing s",IF(tblVerifyActions[[#This Row],[Finding]]="","Missing finding",IF(tblVerifyActions[[#This Row],[Due]]="","Missing due",IF(COUNTIF(tblVerifyAreas[Area],tblVerifyActions[[#This Row],[Area]])=0,"Area not on Setup list",IF(tblVerifyActions[[#This Row],[Due]]&lt;tblVerifyActions[[#This Row],[Raised]],"Due before raised",IF(AND(tblVerifyActions[[#This Row],[Closed]]&lt;&gt;"",tblVerifyActions[[#This Row],[Closed]]&lt;tblVerifyActions[[#This Row],[Raised]]),"Closed before raised",IF(OR(tblVerifyActions[[#This Row],[Raised]]&gt;$E$50,AND(tblVerifyActions[[#This Row],[Closed]]&lt;&gt;"",tblVerifyActions[[#This Row],[Closed]]&gt;$E$50)),"Date after the status date",IF(AND(tblVerifyActions[[#This Row],[Space freed]]&lt;&gt;"",tblVerifyActions[[#This Row],[S]]&lt;&gt;"Sort"),"Space freed on a non-Sort action","OK"))))))))))</f>
        <v>Due before raised</v>
      </c>
    </row>
  </sheetData>
  <sheetProtection sheet="1" formatColumns="0" formatRows="0"/>
  <mergeCells count="51">
    <mergeCell ref="A1:R1"/>
    <mergeCell ref="B2:Q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B38:L38"/>
    <mergeCell ref="B40:L40"/>
    <mergeCell ref="B41:F41"/>
    <mergeCell ref="B42:D42"/>
    <mergeCell ref="B43:D43"/>
    <mergeCell ref="B44:D44"/>
    <mergeCell ref="B45:D45"/>
    <mergeCell ref="B46:D46"/>
    <mergeCell ref="B47:D47"/>
    <mergeCell ref="B48:D48"/>
    <mergeCell ref="B49:D49"/>
    <mergeCell ref="B50:D50"/>
    <mergeCell ref="B51:D51"/>
    <mergeCell ref="B52:D52"/>
    <mergeCell ref="B54:L54"/>
    <mergeCell ref="B62:L62"/>
    <mergeCell ref="B67:L67"/>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K11:K36">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N70:N75">
    <cfRule type="expression" dxfId="3" priority="43">
      <formula>$N70="OK"</formula>
    </cfRule>
    <cfRule type="expression" dxfId="1" priority="44">
      <formula>AND($N70&lt;&gt;"",$N70&lt;&gt;"OK")</formula>
    </cfRule>
  </conditionalFormatting>
  <conditionalFormatting sqref="Q56:Q60">
    <cfRule type="expression" dxfId="3" priority="41">
      <formula>$Q56="OK"</formula>
    </cfRule>
    <cfRule type="expression" dxfId="1" priority="42">
      <formula>AND($Q56&lt;&gt;"",$Q56&lt;&gt;"OK")</formula>
    </cfRule>
  </conditionalFormatting>
  <hyperlinks>
    <hyperlink ref="R2" r:id="rId1" tooltip="Free manufacturing calculators and templates"/>
  </hyperlinks>
  <printOptions horizontalCentered="1"/>
  <pageMargins left="0.4" right="0.4" top="0.7" bottom="0.65" header="0.3" footer="0.3"/>
  <pageSetup fitToHeight="0" orientation="landscape"/>
  <headerFooter>
    <oddHeader>&amp;L&amp;8MFG Calcs - 5S Audit Checklist&amp;R&amp;8&amp;A</oddHeader>
    <oddFooter>&amp;L&amp;8mfgcalcs.com - free manufacturing templates&amp;R&amp;8Page &amp;P of &amp;N</oddFooter>
  </headerFooter>
  <rowBreaks count="1" manualBreakCount="1">
    <brk id="40" max="16383" man="1"/>
  </rowBreaks>
  <tableParts count="3">
    <tablePart r:id="rId2"/>
    <tablePart r:id="rId3"/>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37</vt:i4>
      </vt:variant>
    </vt:vector>
  </HeadingPairs>
  <TitlesOfParts>
    <vt:vector size="45" baseType="lpstr">
      <vt:lpstr>Start Here</vt:lpstr>
      <vt:lpstr>Setup</vt:lpstr>
      <vt:lpstr>Checklist</vt:lpstr>
      <vt:lpstr>Audit Log</vt:lpstr>
      <vt:lpstr>Actions</vt:lpstr>
      <vt:lpstr>Dashboard</vt:lpstr>
      <vt:lpstr>Method</vt:lpstr>
      <vt:lpstr>Verify</vt:lpstr>
      <vt:lpstr>AreaUnit</vt:lpstr>
      <vt:lpstr>AsOf</vt:lpstr>
      <vt:lpstr>AuditMax</vt:lpstr>
      <vt:lpstr>Currency</vt:lpstr>
      <vt:lpstr>DueSoonDays</vt:lpstr>
      <vt:lpstr>KpiBelow</vt:lpstr>
      <vt:lpstr>KpiChange</vt:lpstr>
      <vt:lpstr>KpiOnTime</vt:lpstr>
      <vt:lpstr>KpiOpen</vt:lpstr>
      <vt:lpstr>KpiOverdue</vt:lpstr>
      <vt:lpstr>KpiScore</vt:lpstr>
      <vt:lpstr>KpiSpaceValue</vt:lpstr>
      <vt:lpstr>KpiWeak</vt:lpstr>
      <vt:lpstr>MaxSet</vt:lpstr>
      <vt:lpstr>MaxShine</vt:lpstr>
      <vt:lpstr>MaxSort</vt:lpstr>
      <vt:lpstr>MaxStd</vt:lpstr>
      <vt:lpstr>MaxSustain</vt:lpstr>
      <vt:lpstr>PlantName</vt:lpstr>
      <vt:lpstr>PointsPerItem</vt:lpstr>
      <vt:lpstr>Actions!Print_Area</vt:lpstr>
      <vt:lpstr>'Audit Log'!Print_Area</vt:lpstr>
      <vt:lpstr>Checklist!Print_Area</vt:lpstr>
      <vt:lpstr>Dashboard!Print_Area</vt:lpstr>
      <vt:lpstr>Method!Print_Area</vt:lpstr>
      <vt:lpstr>Setup!Print_Area</vt:lpstr>
      <vt:lpstr>'Start Here'!Print_Area</vt:lpstr>
      <vt:lpstr>Verify!Print_Area</vt:lpstr>
      <vt:lpstr>Actions!Print_Titles</vt:lpstr>
      <vt:lpstr>'Audit Log'!Print_Titles</vt:lpstr>
      <vt:lpstr>Checklist!Print_Titles</vt:lpstr>
      <vt:lpstr>Method!Print_Titles</vt:lpstr>
      <vt:lpstr>SelfCheck</vt:lpstr>
      <vt:lpstr>SelfCheckSummary</vt:lpstr>
      <vt:lpstr>SpaceCost</vt:lpstr>
      <vt:lpstr>TargetOnTime</vt:lpstr>
      <vt:lpstr>TargetScore</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5S Audit Checklist - free Excel template from MFG Calcs</dc:title>
  <dc:subject>Score each area against a 25-point 5S checklist every month, track the findings to closure, and see the 5S score by area, by S and by month against your target.</dc:subject>
  <dc:creator>MFG Calcs</dc:creator>
  <cp:keywords>5S, 5S audit, 5S checklist, sort set in order shine standardize sustain, lean, workplace organization, red tag, audit score</cp:keywords>
  <dc:description>https://www.mfgcalcs.com/templates/five-s-audit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five-s-audit</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checklist</vt:lpwstr>
  </property>
  <property fmtid="{D5CDD505-2E9C-101B-9397-08002B2CF9AE}" pid="6" name="Template URL">
    <vt:lpwstr>https://www.mfgcalcs.com/templates/five-s-audit</vt:lpwstr>
  </property>
  <property fmtid="{D5CDD505-2E9C-101B-9397-08002B2CF9AE}" pid="7" name="Template sheet roles">
    <vt:lpwstr>Start Here=start;Setup=setup;Checklist=work;Audit Log=work;Actions=work;Dashboard=dashboard;Method=method;Verify=verify</vt:lpwstr>
  </property>
</Properties>
</file>