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hipment Log" sheetId="3" r:id="rId3"/>
    <sheet name="Dashboard" sheetId="4" r:id="rId4"/>
    <sheet name="Method" sheetId="5" r:id="rId5"/>
    <sheet name="Verify" sheetId="6" r:id="rId6"/>
  </sheets>
  <definedNames>
    <definedName name="Carriers">tblCarriers[Carrier]</definedName>
    <definedName name="CompanyName">Setup!$C$6</definedName>
    <definedName name="Currency">Setup!$C$7</definedName>
    <definedName name="DashFrom">Dashboard!$C$4</definedName>
    <definedName name="DashTo">Dashboard!$G$4</definedName>
    <definedName name="FFrom">IF(DashFrom="",0,DashFrom)</definedName>
    <definedName name="FTo">IF(DashTo="",2958465,DashTo)</definedName>
    <definedName name="KpiExtras">Dashboard!$J$8</definedName>
    <definedName name="KpiPerUnit">Dashboard!$D$8</definedName>
    <definedName name="KpiShare">Dashboard!$G$8</definedName>
    <definedName name="KpiSpend">Dashboard!$B$8</definedName>
    <definedName name="Lanes">tblLanes[Lane]</definedName>
    <definedName name="Modes">tblModes[Mode]</definedName>
    <definedName name="_xlnm.Print_Area" localSheetId="3">Dashboard!$A$1:$L$74</definedName>
    <definedName name="_xlnm.Print_Area" localSheetId="4">Method!$A$1:$D$60</definedName>
    <definedName name="_xlnm.Print_Area" localSheetId="1">Setup!$A$1:$E$38</definedName>
    <definedName name="_xlnm.Print_Area" localSheetId="2">'Shipment Log'!$A$1:$X$102</definedName>
    <definedName name="_xlnm.Print_Area" localSheetId="0">'Start Here'!$A$1:$F$55</definedName>
    <definedName name="_xlnm.Print_Area" localSheetId="5">Verify!$A$1:$X$76</definedName>
    <definedName name="_xlnm.Print_Titles" localSheetId="4">Method!$1:$2</definedName>
    <definedName name="_xlnm.Print_Titles" localSheetId="2">'Shipment Log'!$1:$6</definedName>
    <definedName name="SelfCheck">Verify!$D$4</definedName>
    <definedName name="SelfCheckSummary">Verify!$F$4</definedName>
    <definedName name="TargetPct">Setup!$C$9</definedName>
    <definedName name="WeightUnit">Setup!$C$8</definedName>
  </definedNames>
  <calcPr calcId="124519" fullCalcOnLoad="1"/>
</workbook>
</file>

<file path=xl/sharedStrings.xml><?xml version="1.0" encoding="utf-8"?>
<sst xmlns="http://schemas.openxmlformats.org/spreadsheetml/2006/main" count="972" uniqueCount="367">
  <si>
    <t>Freight Cost Per Unit</t>
  </si>
  <si>
    <t>Read this first: what the workbook does and how to use it.</t>
  </si>
  <si>
    <t>mfgcalcs.com</t>
  </si>
  <si>
    <t>Log every freight invoice and see freight cost per unit, per weight and as a share of product value by lane, carrier and week.</t>
  </si>
  <si>
    <t>For: Logistics and transport managers, buyers, cost estimators and plant controllers who pay for or quote freight.</t>
  </si>
  <si>
    <t>Version 1.0.0  ·  updated 15 October 2026</t>
  </si>
  <si>
    <t>Quick start</t>
  </si>
  <si>
    <t>1.</t>
  </si>
  <si>
    <t>On Setup, type your company name, currency, weight unit and freight budget (as a share of product value), then replace the example lanes, carriers and modes.</t>
  </si>
  <si>
    <t>2.</t>
  </si>
  <si>
    <t>On Shipment Log, add one row per freight invoice: date, lane, carrier, units, weight, product value, and the base, fuel and accessorial charges.</t>
  </si>
  <si>
    <t>3.</t>
  </si>
  <si>
    <t>Read the Check column: anything other than OK names the problem in words.</t>
  </si>
  <si>
    <t>4.</t>
  </si>
  <si>
    <t>Open the Dashboard. Set the From and To dates to look at one month or quarter; compare lanes and carriers in the tables below the charts.</t>
  </si>
  <si>
    <t>What is in this workbook</t>
  </si>
  <si>
    <t>Start Here</t>
  </si>
  <si>
    <t>Setup</t>
  </si>
  <si>
    <t>Company, currency, weight unit, your freight budget and the lane, carrier and mode lists.</t>
  </si>
  <si>
    <t>Shipment Log</t>
  </si>
  <si>
    <t>One row per freight invoice: what moved, on which lane and carrier, and every charge on the invoice.</t>
  </si>
  <si>
    <t>Dashboard</t>
  </si>
  <si>
    <t>Freight spend, cost per unit and share of product value against your budget, for the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</si>
  <si>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</si>
  <si>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</si>
  <si>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</si>
  <si>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</si>
  <si>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</si>
  <si>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</si>
  <si>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</si>
  <si>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</si>
  <si>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</si>
  <si>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</si>
  <si>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</si>
  <si>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</si>
  <si>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</si>
  <si>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</si>
  <si>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</si>
  <si>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</si>
  <si>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</si>
  <si>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</si>
  <si>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</si>
  <si>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</si>
  <si>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Freight Cost Per Unit Calculator on mfgcalcs.com</t>
  </si>
  <si>
    <t>Latest version</t>
  </si>
  <si>
    <t>mfgcalcs.com/templates/freight-cost-per-unit</t>
  </si>
  <si>
    <t>More free templates</t>
  </si>
  <si>
    <t>mfgcalcs.com/templates</t>
  </si>
  <si>
    <t>Version</t>
  </si>
  <si>
    <t>1.0.0 (updated 15 October 2026)</t>
  </si>
  <si>
    <t>About the example data</t>
  </si>
  <si>
    <t>Every number already in this workbook is example data for Carrick Fittings, a fictional business invented for this template, so the dashboard and charts show something meaningful on day one. It covers 96 shipments on six lanes with four carriers over twelve weeks (6 July to 25 September 2026), generated from a fixed seed; carrier names and rates are invented.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</si>
  <si>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</si>
  <si>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</si>
  <si>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</si>
  <si>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</si>
  <si>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</si>
  <si>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</si>
  <si>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</si>
  <si>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</si>
  <si>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Lane</t>
  </si>
  <si>
    <t>Origin</t>
  </si>
  <si>
    <t>Destination</t>
  </si>
  <si>
    <t>Notes</t>
  </si>
  <si>
    <t>Carrier</t>
  </si>
  <si>
    <t>Services</t>
  </si>
  <si>
    <t>Mode</t>
  </si>
  <si>
    <t>Billing basis</t>
  </si>
  <si>
    <t>Company and budget</t>
  </si>
  <si>
    <t>Company or site</t>
  </si>
  <si>
    <t>Carrick Fittings (example)</t>
  </si>
  <si>
    <t>Currency label</t>
  </si>
  <si>
    <t>GBP</t>
  </si>
  <si>
    <t>Weight unit</t>
  </si>
  <si>
    <t>kg</t>
  </si>
  <si>
    <t>Freight budget (share of product value)</t>
  </si>
  <si>
    <t>The budget is yours to set; this workbook assumes no industry benchmark. 'Near target' means up to 5% above the budget (4.0% to 4.2% against a 4.0% budget); above that a row, lane or week reads 'Above target'.</t>
  </si>
  <si>
    <t>Lists that feed the dropdowns</t>
  </si>
  <si>
    <t>Edit, add or remove rows; the Shipment Log dropdowns read these lists. Keep names unique: log rows that use a name no longer on the list are flagged in their Check column.</t>
  </si>
  <si>
    <t>Lanes (origin to destination)</t>
  </si>
  <si>
    <t>Leeds - London DC</t>
  </si>
  <si>
    <t>Leeds plant</t>
  </si>
  <si>
    <t>London distribution centre</t>
  </si>
  <si>
    <t>Weekly full load</t>
  </si>
  <si>
    <t>Leeds - Birmingham</t>
  </si>
  <si>
    <t>Birmingham customers</t>
  </si>
  <si>
    <t>Pallet network</t>
  </si>
  <si>
    <t>Leeds - Glasgow</t>
  </si>
  <si>
    <t>Glasgow customers</t>
  </si>
  <si>
    <t>Two carriers alternate</t>
  </si>
  <si>
    <t>Leeds - Bristol</t>
  </si>
  <si>
    <t>Bristol customers</t>
  </si>
  <si>
    <t>Leeds - Rotterdam</t>
  </si>
  <si>
    <t>Rotterdam distributor</t>
  </si>
  <si>
    <t>Weekly export groupage</t>
  </si>
  <si>
    <t>Leeds - UK parcels</t>
  </si>
  <si>
    <t>Small orders, UK-wide</t>
  </si>
  <si>
    <t>Spares kits</t>
  </si>
  <si>
    <t>Carriers (example names)</t>
  </si>
  <si>
    <t>Example Haulage</t>
  </si>
  <si>
    <t>Full and part loads</t>
  </si>
  <si>
    <t>Invented name and rates</t>
  </si>
  <si>
    <t>Example Pallets</t>
  </si>
  <si>
    <t>Example Forwarder</t>
  </si>
  <si>
    <t>Export groupage and customs</t>
  </si>
  <si>
    <t>Example Parcels</t>
  </si>
  <si>
    <t>Parcel collections</t>
  </si>
  <si>
    <t>Transport modes</t>
  </si>
  <si>
    <t>Full load</t>
  </si>
  <si>
    <t>Per vehicle and distance</t>
  </si>
  <si>
    <t>Part load</t>
  </si>
  <si>
    <t>Per pallet space or weight</t>
  </si>
  <si>
    <t>Per pallet, by size and weight class</t>
  </si>
  <si>
    <t>Export groupage</t>
  </si>
  <si>
    <t>Per pallet or cubic metre, plus port and customs fees</t>
  </si>
  <si>
    <t>Parcel</t>
  </si>
  <si>
    <t>Per parcel, by weight band</t>
  </si>
  <si>
    <t>Ship date</t>
  </si>
  <si>
    <t>Reference</t>
  </si>
  <si>
    <t>Units shipped</t>
  </si>
  <si>
    <t>Pallets</t>
  </si>
  <si>
    <t>Gross weight</t>
  </si>
  <si>
    <t>Product value</t>
  </si>
  <si>
    <t>Base charge</t>
  </si>
  <si>
    <t>Fuel surcharge</t>
  </si>
  <si>
    <t>Accessorials</t>
  </si>
  <si>
    <t>Total freight</t>
  </si>
  <si>
    <t>Fuel and extras</t>
  </si>
  <si>
    <t>Freight per unit</t>
  </si>
  <si>
    <t>Extras per unit</t>
  </si>
  <si>
    <t>Freight per weight</t>
  </si>
  <si>
    <t>Freight per pallet</t>
  </si>
  <si>
    <t>Freight share of value</t>
  </si>
  <si>
    <t>Vs budget</t>
  </si>
  <si>
    <t>View date</t>
  </si>
  <si>
    <t>Check</t>
  </si>
  <si>
    <t>Example data for Carrick Fittings (fictional; carrier names and rates are invented). Replace it with your own: select the example rows, right-click, Delete &gt; Table Rows. Yellow = you type; blue = calculated; Check names any problem.</t>
  </si>
  <si>
    <t>EP-24840</t>
  </si>
  <si>
    <t/>
  </si>
  <si>
    <t>PX-24927</t>
  </si>
  <si>
    <t>EP-24858</t>
  </si>
  <si>
    <t>EH-24812</t>
  </si>
  <si>
    <t>Waiting time at DC</t>
  </si>
  <si>
    <t>EP-24863</t>
  </si>
  <si>
    <t>Tail-lift delivery</t>
  </si>
  <si>
    <t>EH-24816</t>
  </si>
  <si>
    <t>EF-24891</t>
  </si>
  <si>
    <t>Customs entry and terminal handling</t>
  </si>
  <si>
    <t>PX-24946</t>
  </si>
  <si>
    <t>EP-24875</t>
  </si>
  <si>
    <t>PX-24955</t>
  </si>
  <si>
    <t>EP-24881</t>
  </si>
  <si>
    <t>EH-24828</t>
  </si>
  <si>
    <t>EP-24890</t>
  </si>
  <si>
    <t>EH-24843</t>
  </si>
  <si>
    <t>EF-24904</t>
  </si>
  <si>
    <t>PX-24972</t>
  </si>
  <si>
    <t>EP-24894</t>
  </si>
  <si>
    <t>PX-24991</t>
  </si>
  <si>
    <t>EP-24905</t>
  </si>
  <si>
    <t>EH-24850</t>
  </si>
  <si>
    <t>EP-24923</t>
  </si>
  <si>
    <t>EH-24858</t>
  </si>
  <si>
    <t>EF-24915</t>
  </si>
  <si>
    <t>PX-25005</t>
  </si>
  <si>
    <t>EP-24934</t>
  </si>
  <si>
    <t>PX-25015</t>
  </si>
  <si>
    <t>EP-24949</t>
  </si>
  <si>
    <t>EH-24877</t>
  </si>
  <si>
    <t>EP-24965</t>
  </si>
  <si>
    <t>EH-24881</t>
  </si>
  <si>
    <t>EF-24925</t>
  </si>
  <si>
    <t>PX-25023</t>
  </si>
  <si>
    <t>EP-24977</t>
  </si>
  <si>
    <t>PX-25035</t>
  </si>
  <si>
    <t>EP-24994</t>
  </si>
  <si>
    <t>EH-24885</t>
  </si>
  <si>
    <t>EP-25010</t>
  </si>
  <si>
    <t>EH-24895</t>
  </si>
  <si>
    <t>EF-24936</t>
  </si>
  <si>
    <t>PX-25041</t>
  </si>
  <si>
    <t>EP-25023</t>
  </si>
  <si>
    <t>PX-25051</t>
  </si>
  <si>
    <t>EP-25038</t>
  </si>
  <si>
    <t>EH-24898</t>
  </si>
  <si>
    <t>EP-25056</t>
  </si>
  <si>
    <t>EH-24904</t>
  </si>
  <si>
    <t>EF-24949</t>
  </si>
  <si>
    <t>PX-25057</t>
  </si>
  <si>
    <t>EP-25061</t>
  </si>
  <si>
    <t>PX-25072</t>
  </si>
  <si>
    <t>EP-25074</t>
  </si>
  <si>
    <t>EH-24916</t>
  </si>
  <si>
    <t>EP-25086</t>
  </si>
  <si>
    <t>EH-24927</t>
  </si>
  <si>
    <t>EF-24966</t>
  </si>
  <si>
    <t>PX-25075</t>
  </si>
  <si>
    <t>EP-25094</t>
  </si>
  <si>
    <t>PX-25084</t>
  </si>
  <si>
    <t>EP-25109</t>
  </si>
  <si>
    <t>EH-24937</t>
  </si>
  <si>
    <t>EP-25114</t>
  </si>
  <si>
    <t>EH-24944</t>
  </si>
  <si>
    <t>EF-24974</t>
  </si>
  <si>
    <t>PX-25095</t>
  </si>
  <si>
    <t>EP-25117</t>
  </si>
  <si>
    <t>PX-25103</t>
  </si>
  <si>
    <t>EP-25122</t>
  </si>
  <si>
    <t>EH-24955</t>
  </si>
  <si>
    <t>EP-25128</t>
  </si>
  <si>
    <t>EH-24961</t>
  </si>
  <si>
    <t>EF-24992</t>
  </si>
  <si>
    <t>PX-25120</t>
  </si>
  <si>
    <t>EP-25132</t>
  </si>
  <si>
    <t>PX-25133</t>
  </si>
  <si>
    <t>EP-25137</t>
  </si>
  <si>
    <t>EH-24969</t>
  </si>
  <si>
    <t>EP-25141</t>
  </si>
  <si>
    <t>EH-24975</t>
  </si>
  <si>
    <t>EF-25002</t>
  </si>
  <si>
    <t>PX-25142</t>
  </si>
  <si>
    <t>EP-25157</t>
  </si>
  <si>
    <t>PX-25147</t>
  </si>
  <si>
    <t>EP-25164</t>
  </si>
  <si>
    <t>EH-24984</t>
  </si>
  <si>
    <t>EP-25181</t>
  </si>
  <si>
    <t>EH-24992</t>
  </si>
  <si>
    <t>EF-25008</t>
  </si>
  <si>
    <t>PX-25152</t>
  </si>
  <si>
    <t>EP-25187</t>
  </si>
  <si>
    <t>PX-25159</t>
  </si>
  <si>
    <t>EP-25205</t>
  </si>
  <si>
    <t>EH-25009</t>
  </si>
  <si>
    <t>EP-25223</t>
  </si>
  <si>
    <t>EH-25013</t>
  </si>
  <si>
    <t>EF-25020</t>
  </si>
  <si>
    <t>PX-25169</t>
  </si>
  <si>
    <t>From</t>
  </si>
  <si>
    <t>To</t>
  </si>
  <si>
    <t>FREIGHT SHARE OF PRODUCT VALUE</t>
  </si>
  <si>
    <t>FUEL AND EXTRAS, SHARE OF SPEND</t>
  </si>
  <si>
    <t>Base + fuel + accessorials in view</t>
  </si>
  <si>
    <t>Total freight / units shipped</t>
  </si>
  <si>
    <t>Surcharges and accessorials</t>
  </si>
  <si>
    <t>By lane</t>
  </si>
  <si>
    <t>Shipments</t>
  </si>
  <si>
    <t>Freight spend</t>
  </si>
  <si>
    <t>Base per unit</t>
  </si>
  <si>
    <t>Fuel and extras per unit</t>
  </si>
  <si>
    <t>By carrier</t>
  </si>
  <si>
    <t>Share of spend</t>
  </si>
  <si>
    <t>Fuel and extras share</t>
  </si>
  <si>
    <t>Freight per unit by lane and carrier (blank = carrier not used on that lane)</t>
  </si>
  <si>
    <t>By week (last 12 weeks in view, oldest first)</t>
  </si>
  <si>
    <t>Week starting (Mon)</t>
  </si>
  <si>
    <t>Budget</t>
  </si>
  <si>
    <t>The Dashboard shows the 6 lanes and 4 carriers of the Setup lists. If you add more, extend the lane, carrier and lane x carrier blocks (see Method) or they will not appear here.</t>
  </si>
  <si>
    <t>What this workbook calculates</t>
  </si>
  <si>
    <t>Freight cost per unit is the whole invoice (base carriage, fuel surcharge and accessorials) divided by the product units it moved. This workbook keeps the three charges apart on every invoice row, so you can see whether a lane is dear because of its rate, its fuel surcharge or its extras, and it relates freight to the value of the goods so lanes carrying different products compare fairly. Every Dashboard figure is a ratio of sums over the invoices in view, never an average of per-row ratios, so a small parcel shipment cannot outweigh a full load.</t>
  </si>
  <si>
    <t>Calculations</t>
  </si>
  <si>
    <t>Quantity</t>
  </si>
  <si>
    <t>How it is calculated</t>
  </si>
  <si>
    <t>Units</t>
  </si>
  <si>
    <t>Base charge + fuel surcharge + accessorials, per invoice row.</t>
  </si>
  <si>
    <t>currency</t>
  </si>
  <si>
    <t>Fuel surcharge + accessorials: the part of the invoice on top of the base rate.</t>
  </si>
  <si>
    <t>Total freight / units shipped (blank when units are 0).
Excel: =[@[Total freight]]/[@[Units shipped]]</t>
  </si>
  <si>
    <t>currency/unit</t>
  </si>
  <si>
    <t>Fuel and extras / units shipped.</t>
  </si>
  <si>
    <t>Total freight / gross weight, in the weight unit chosen on Setup (no conversion is applied).</t>
  </si>
  <si>
    <t>currency/kg or lb</t>
  </si>
  <si>
    <t>Total freight / pallets; blank for parcels (0 pallets).</t>
  </si>
  <si>
    <t>currency/pallet</t>
  </si>
  <si>
    <t>Total freight / product value of the goods shipped.</t>
  </si>
  <si>
    <t>%</t>
  </si>
  <si>
    <t>On target when the share is at or below the budget on Setup; Near target up to 5% above it (budget x 1.05); Above target beyond that.</t>
  </si>
  <si>
    <t>-</t>
  </si>
  <si>
    <t>Dashboard roll-ups</t>
  </si>
  <si>
    <t>SUMIFS over the log rows whose View date is filled in (inside the From and To dates), e.g. freight per unit = SUMIFS(total freight) / SUMIFS(units); share of value = SUMIFS(total freight) / SUMIFS(product value).</t>
  </si>
  <si>
    <t>Sum of fuel and extras / sum of total freight: how much of the spend sits on top of the base rates.</t>
  </si>
  <si>
    <t>Share of spend (carrier)</t>
  </si>
  <si>
    <t>The carrier's total freight / total freight of all carriers in view.</t>
  </si>
  <si>
    <t>Lane x carrier</t>
  </si>
  <si>
    <t>Freight per unit for each lane and carrier pair: SUMIFS(total freight) / SUMIFS(units) for that lane and carrier. Blank when the carrier moved nothing on the lane.</t>
  </si>
  <si>
    <t>Weeks</t>
  </si>
  <si>
    <t>Monday of each week, counted back from the latest ship date in view; the 12 most recent weeks show.</t>
  </si>
  <si>
    <t>date</t>
  </si>
  <si>
    <t>Assumptions</t>
  </si>
  <si>
    <t>Each row is one freight invoice (or one consolidated collection) and carries only the goods it lists; for a mixed load, split the invoice into rows by product and allocate the charges on the carrier's billing basis (weight, pallets or volume).</t>
  </si>
  <si>
    <t>Units shipped use one selling unit on every row; mixing eaches and cases makes freight per unit meaningless.</t>
  </si>
  <si>
    <t>Product value uses one basis on every row (selling price or cost), so the share of value is comparable across lanes.</t>
  </si>
  <si>
    <t>Gross weight is the shipped weight; dimensional or chargeable weight used for billing is not modelled (use the Freight Cost per Pound calculator to compare billed and actual weight).</t>
  </si>
  <si>
    <t>Limitations</t>
  </si>
  <si>
    <t>Freight per unit compares lanes fairly only when they carry similar products; the share of value is the fairer cross-lane comparison.</t>
  </si>
  <si>
    <t>Duties, insurance, warehousing and handling inside your own site are not freight here; add them in a landed-cost model.</t>
  </si>
  <si>
    <t>The Dashboard has fixed blocks for 6 lanes, 4 carriers and 12 weeks; longer Setup lists need the blocks extended (a warning appears on the Dashboard).</t>
  </si>
  <si>
    <t>The budget is a single share of value for every lane; set lane-specific targets outside this workbook if your plan has them.</t>
  </si>
  <si>
    <t>Agreement with the live calculator</t>
  </si>
  <si>
    <t>For one invoice row this workbook and the live Freight Cost per Unit calculator use the same inputs and formulas: shipment freight = base + fuel + accessorials; freight per unit = shipment freight / units; fuel and additions per unit = (fuel + accessorials) / units. Freight per weight equals the Freight Cost per Pound calculator's cost per actual pound when weights are in pounds. The build checks the template's reference against both calculators' engines, including the calculator's own example (1,800 base, 240 fuel, 110 accessorials, 5,000 units: 0.43 per unit). The workbook adds the log, the budget comparison and the lane, carrier and weekly roll-ups.</t>
  </si>
  <si>
    <t>Open the Freight Cost Per Unit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</si>
  <si>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</si>
  <si>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</si>
  <si>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Landed-cost practice: freight allocated to product units on a stated basis (units, weight or value); see the MFG Calcs Landed Cost calculator.</t>
  </si>
  <si>
    <t>MFG Calcs Freight Cost per Unit calculator (freight-cost-per-unit): shipment freight = base carriage + fuel charge + accessorials, divided by units shipped.</t>
  </si>
  <si>
    <t>MFG Calcs Freight Cost per Pound calculator (freight-cost-per-pound): freight per actual shipped weight.</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</si>
  <si>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</si>
  <si>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</si>
  <si>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</si>
  <si>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</si>
  <si>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</si>
  <si>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</si>
  <si>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</si>
  <si>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</si>
  <si>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</si>
  <si>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</si>
  <si>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</si>
  <si>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</si>
  <si>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</si>
  <si>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</si>
  <si>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</si>
  <si>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</si>
  <si>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total freight</t>
  </si>
  <si>
    <t>Row 1: freight per unit</t>
  </si>
  <si>
    <t>Row 1: fuel and extras per unit</t>
  </si>
  <si>
    <t>Row 1: freight per weight</t>
  </si>
  <si>
    <t>Row 1: freight per pallet</t>
  </si>
  <si>
    <t>Row 1: freight share of value</t>
  </si>
  <si>
    <t>Row 1: status against a 4% budget</t>
  </si>
  <si>
    <t>On target</t>
  </si>
  <si>
    <t>exact</t>
  </si>
  <si>
    <t>Row 2 (parcels): freight per pallet is blank</t>
  </si>
  <si>
    <t>Row 2: status</t>
  </si>
  <si>
    <t>Above target</t>
  </si>
  <si>
    <t>Row 3: share just above budget</t>
  </si>
  <si>
    <t>Row 3: status</t>
  </si>
  <si>
    <t>Near target</t>
  </si>
  <si>
    <t>Row 4: Check reports the unknown lane</t>
  </si>
  <si>
    <t>Lane not on Setup list</t>
  </si>
  <si>
    <t>Row 5: Check reports the duplicate reference</t>
  </si>
  <si>
    <t>Duplicate reference</t>
  </si>
  <si>
    <t>All rows: freight per unit (Dashboard formula)</t>
  </si>
  <si>
    <t>All rows: freight share of value (Dashboard formula)</t>
  </si>
  <si>
    <t>All rows: fuel and extras share (Dashboard formula)</t>
  </si>
  <si>
    <t>Lane A: freight per unit</t>
  </si>
  <si>
    <t>Lane A: share of value</t>
  </si>
  <si>
    <t>Lane A with Carrier Y: freight per unit</t>
  </si>
  <si>
    <t>Fixed test inputs</t>
  </si>
  <si>
    <t>White cells are fixed test inputs; blue cells are the workbook's formulas evaluated on them.</t>
  </si>
  <si>
    <t>Parameters</t>
  </si>
  <si>
    <t>Filter: from (0 = no limit)</t>
  </si>
  <si>
    <t>Filter: to (2958465 = no limit)</t>
  </si>
  <si>
    <t>Freight budget (share of value)</t>
  </si>
  <si>
    <t>Test table: Lanes</t>
  </si>
  <si>
    <t>Lane A</t>
  </si>
  <si>
    <t>Test</t>
  </si>
  <si>
    <t>Lane B</t>
  </si>
  <si>
    <t>Test table: Carriers</t>
  </si>
  <si>
    <t>Carrier X</t>
  </si>
  <si>
    <t>Carrier Y</t>
  </si>
  <si>
    <t>Test table: Shipments</t>
  </si>
  <si>
    <t>T-1</t>
  </si>
  <si>
    <t>T-2</t>
  </si>
  <si>
    <t>T-3</t>
  </si>
  <si>
    <t>T-4</t>
  </si>
  <si>
    <t>Lane Z</t>
  </si>
  <si>
    <t>Test lane roll-up (same formulas as the Dashboard)</t>
  </si>
  <si>
    <t>Test lane x carrier freight per unit</t>
  </si>
</sst>
</file>

<file path=xl/styles.xml><?xml version="1.0" encoding="utf-8"?>
<styleSheet xmlns="http://schemas.openxmlformats.org/spreadsheetml/2006/main">
  <numFmts count="10">
    <numFmt numFmtId="164" formatCode="0.0%"/>
    <numFmt numFmtId="165" formatCode="d mmm yyyy"/>
    <numFmt numFmtId="166" formatCode="#,##0"/>
    <numFmt numFmtId="167" formatCode="#,##0.00"/>
    <numFmt numFmtId="168" formatCode="#,##0.0000"/>
    <numFmt numFmtId="169" formatCode="#,##0.000"/>
    <numFmt numFmtId="170" formatCode="0.00%"/>
    <numFmt numFmtId="171" formatCode="&quot;Budget &quot;0.00%"/>
    <numFmt numFmtId="172" formatCode="0.0E+00"/>
    <numFmt numFmtId="173"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20" fillId="0" borderId="0" xfId="0" applyFont="1" applyAlignment="1">
      <alignment horizontal="center"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65" fontId="10" fillId="4" borderId="3" xfId="0" applyNumberFormat="1" applyFont="1" applyFill="1" applyBorder="1" applyAlignment="1">
      <alignment vertical="center"/>
    </xf>
    <xf numFmtId="0" fontId="21" fillId="4" borderId="3" xfId="0" applyFont="1" applyFill="1" applyBorder="1" applyAlignment="1">
      <alignment vertical="center"/>
    </xf>
    <xf numFmtId="165" fontId="10" fillId="3" borderId="2" xfId="0" applyNumberFormat="1" applyFont="1" applyFill="1" applyBorder="1" applyAlignment="1" applyProtection="1">
      <alignment horizontal="left" vertical="center"/>
      <protection locked="0"/>
    </xf>
    <xf numFmtId="0" fontId="20" fillId="0" borderId="0" xfId="0" applyFont="1" applyAlignment="1">
      <alignment vertical="center"/>
    </xf>
    <xf numFmtId="0" fontId="22" fillId="9" borderId="6" xfId="0" applyFont="1" applyFill="1" applyBorder="1" applyAlignment="1">
      <alignment vertical="center" wrapText="1"/>
    </xf>
    <xf numFmtId="166" fontId="4" fillId="9" borderId="7" xfId="0" applyNumberFormat="1" applyFont="1" applyFill="1" applyBorder="1" applyAlignment="1">
      <alignment horizontal="left" vertical="center"/>
    </xf>
    <xf numFmtId="168"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164"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168" fontId="10" fillId="4" borderId="3" xfId="0" applyNumberFormat="1" applyFont="1" applyFill="1" applyBorder="1" applyAlignment="1">
      <alignment horizontal="center" vertical="center"/>
    </xf>
    <xf numFmtId="165" fontId="9" fillId="0" borderId="9" xfId="0" applyNumberFormat="1" applyFont="1" applyBorder="1" applyAlignment="1">
      <alignment vertical="center"/>
    </xf>
    <xf numFmtId="170"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6" fontId="9" fillId="0" borderId="9" xfId="0" applyNumberFormat="1" applyFont="1" applyBorder="1" applyAlignment="1">
      <alignment horizontal="center" vertical="center"/>
    </xf>
    <xf numFmtId="167" fontId="10" fillId="0" borderId="9" xfId="0" applyNumberFormat="1" applyFont="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8" fontId="10" fillId="0" borderId="9" xfId="0" applyNumberFormat="1" applyFont="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0" fontId="10" fillId="4" borderId="3" xfId="0" applyFont="1" applyFill="1" applyBorder="1" applyAlignment="1">
      <alignment vertical="center"/>
    </xf>
    <xf numFmtId="164" fontId="10" fillId="0" borderId="9" xfId="0" applyNumberFormat="1" applyFont="1" applyBorder="1" applyAlignment="1">
      <alignment vertical="center"/>
    </xf>
    <xf numFmtId="166" fontId="10" fillId="0" borderId="9" xfId="0" applyNumberFormat="1" applyFont="1" applyBorder="1" applyAlignment="1">
      <alignment vertical="center"/>
    </xf>
    <xf numFmtId="165"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Freight share of product value, by week</a:t>
            </a:r>
          </a:p>
        </c:rich>
      </c:tx>
      <c:layout/>
    </c:title>
    <c:plotArea>
      <c:layout/>
      <c:barChart>
        <c:barDir val="col"/>
        <c:grouping val="clustered"/>
        <c:ser>
          <c:idx val="0"/>
          <c:order val="0"/>
          <c:tx>
            <c:v>Freight share of value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numRef>
              <c:f>Dashboard!$B$60:$B$71</c:f>
              <c:numCache>
                <c:formatCode>General</c:formatCode>
                <c:ptCount val="12"/>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numCache>
            </c:numRef>
          </c:cat>
          <c:val>
            <c:numRef>
              <c:f>Dashboard!$H$60:$H$71</c:f>
              <c:numCache>
                <c:formatCode>General</c:formatCode>
                <c:ptCount val="12"/>
                <c:pt idx="0">
                  <c:v>0.0350100474706585</c:v>
                </c:pt>
                <c:pt idx="1">
                  <c:v>0.0301145482464831</c:v>
                </c:pt>
                <c:pt idx="2">
                  <c:v>0.0300205153254366</c:v>
                </c:pt>
                <c:pt idx="3">
                  <c:v>0.0314162815592282</c:v>
                </c:pt>
                <c:pt idx="4">
                  <c:v>0.029050188810627</c:v>
                </c:pt>
                <c:pt idx="5">
                  <c:v>0.033888199820367</c:v>
                </c:pt>
                <c:pt idx="6">
                  <c:v>0.0326695365915422</c:v>
                </c:pt>
                <c:pt idx="7">
                  <c:v>0.0319592526667606</c:v>
                </c:pt>
                <c:pt idx="8">
                  <c:v>0.0343372280419017</c:v>
                </c:pt>
                <c:pt idx="9">
                  <c:v>0.0307675189034722</c:v>
                </c:pt>
                <c:pt idx="10">
                  <c:v>0.0322887961029923</c:v>
                </c:pt>
                <c:pt idx="11">
                  <c:v>0.03276566596594</c:v>
                </c:pt>
              </c:numCache>
            </c:numRef>
          </c:val>
        </c:ser>
        <c:gapWidth val="60"/>
        <c:overlap val="-10"/>
        <c:axId val="50010001"/>
        <c:axId val="50010002"/>
      </c:barChart>
      <c:lineChart>
        <c:grouping val="standard"/>
        <c:ser>
          <c:idx val="1"/>
          <c:order val="1"/>
          <c:tx>
            <c:v>Budget</c:v>
          </c:tx>
          <c:spPr>
            <a:ln w="19050">
              <a:solidFill>
                <a:srgbClr val="4A5361"/>
              </a:solidFill>
              <a:prstDash val="dash"/>
            </a:ln>
          </c:spPr>
          <c:marker>
            <c:symbol val="none"/>
          </c:marker>
          <c:cat>
            <c:numRef>
              <c:f>Dashboard!$B$60:$B$71</c:f>
              <c:numCache>
                <c:formatCode>General</c:formatCode>
                <c:ptCount val="12"/>
                <c:pt idx="0">
                  <c:v>46209</c:v>
                </c:pt>
                <c:pt idx="1">
                  <c:v>46216</c:v>
                </c:pt>
                <c:pt idx="2">
                  <c:v>46223</c:v>
                </c:pt>
                <c:pt idx="3">
                  <c:v>46230</c:v>
                </c:pt>
                <c:pt idx="4">
                  <c:v>46237</c:v>
                </c:pt>
                <c:pt idx="5">
                  <c:v>46244</c:v>
                </c:pt>
                <c:pt idx="6">
                  <c:v>46251</c:v>
                </c:pt>
                <c:pt idx="7">
                  <c:v>46258</c:v>
                </c:pt>
                <c:pt idx="8">
                  <c:v>46265</c:v>
                </c:pt>
                <c:pt idx="9">
                  <c:v>46272</c:v>
                </c:pt>
                <c:pt idx="10">
                  <c:v>46279</c:v>
                </c:pt>
                <c:pt idx="11">
                  <c:v>46286</c:v>
                </c:pt>
              </c:numCache>
            </c:numRef>
          </c:cat>
          <c:val>
            <c:numRef>
              <c:f>Dashboard!$I$60:$I$71</c:f>
              <c:numCache>
                <c:formatCode>General</c:formatCode>
                <c:ptCount val="12"/>
                <c:pt idx="0">
                  <c:v>0.04</c:v>
                </c:pt>
                <c:pt idx="1">
                  <c:v>0.04</c:v>
                </c:pt>
                <c:pt idx="2">
                  <c:v>0.04</c:v>
                </c:pt>
                <c:pt idx="3">
                  <c:v>0.04</c:v>
                </c:pt>
                <c:pt idx="4">
                  <c:v>0.04</c:v>
                </c:pt>
                <c:pt idx="5">
                  <c:v>0.04</c:v>
                </c:pt>
                <c:pt idx="6">
                  <c:v>0.04</c:v>
                </c:pt>
                <c:pt idx="7">
                  <c:v>0.04</c:v>
                </c:pt>
                <c:pt idx="8">
                  <c:v>0.04</c:v>
                </c:pt>
                <c:pt idx="9">
                  <c:v>0.04</c:v>
                </c:pt>
                <c:pt idx="10">
                  <c:v>0.04</c:v>
                </c:pt>
                <c:pt idx="11">
                  <c:v>0.04</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Freight per unit by lane: base vs fuel and extras</a:t>
            </a:r>
          </a:p>
        </c:rich>
      </c:tx>
      <c:layout/>
    </c:title>
    <c:plotArea>
      <c:layout/>
      <c:barChart>
        <c:barDir val="bar"/>
        <c:grouping val="stacked"/>
        <c:ser>
          <c:idx val="0"/>
          <c:order val="0"/>
          <c:tx>
            <c:v>Base charge per unit</c:v>
          </c:tx>
          <c:spPr>
            <a:solidFill>
              <a:srgbClr val="3B64D8"/>
            </a:solidFill>
            <a:ln w="9525">
              <a:solidFill>
                <a:srgbClr val="FFFFFF"/>
              </a:solidFill>
            </a:ln>
          </c:spPr>
          <c:cat>
            <c:strRef>
              <c:f>Dashboard!$B$33:$B$38</c:f>
              <c:strCache>
                <c:ptCount val="6"/>
                <c:pt idx="0">
                  <c:v>Leeds - London DC</c:v>
                </c:pt>
                <c:pt idx="1">
                  <c:v>Leeds - Birmingham</c:v>
                </c:pt>
                <c:pt idx="2">
                  <c:v>Leeds - Glasgow</c:v>
                </c:pt>
                <c:pt idx="3">
                  <c:v>Leeds - Bristol</c:v>
                </c:pt>
                <c:pt idx="4">
                  <c:v>Leeds - Rotterdam</c:v>
                </c:pt>
                <c:pt idx="5">
                  <c:v>Leeds - UK parcels</c:v>
                </c:pt>
              </c:strCache>
            </c:strRef>
          </c:cat>
          <c:val>
            <c:numRef>
              <c:f>Dashboard!$F$33:$F$38</c:f>
              <c:numCache>
                <c:formatCode>General</c:formatCode>
                <c:ptCount val="6"/>
                <c:pt idx="0">
                  <c:v>0.0606443461781428</c:v>
                </c:pt>
                <c:pt idx="1">
                  <c:v>0.142621359223301</c:v>
                </c:pt>
                <c:pt idx="2">
                  <c:v>0.210397458524532</c:v>
                </c:pt>
                <c:pt idx="3">
                  <c:v>0.170165158371041</c:v>
                </c:pt>
                <c:pt idx="4">
                  <c:v>0.302254098360656</c:v>
                </c:pt>
                <c:pt idx="5">
                  <c:v>0.531158536585366</c:v>
                </c:pt>
              </c:numCache>
            </c:numRef>
          </c:val>
        </c:ser>
        <c:ser>
          <c:idx val="1"/>
          <c:order val="1"/>
          <c:tx>
            <c:v>Fuel and extras per unit</c:v>
          </c:tx>
          <c:spPr>
            <a:solidFill>
              <a:srgbClr val="E8702A"/>
            </a:solidFill>
            <a:ln w="9525">
              <a:solidFill>
                <a:srgbClr val="FFFFFF"/>
              </a:solidFill>
            </a:ln>
          </c:spPr>
          <c:cat>
            <c:strRef>
              <c:f>Dashboard!$B$33:$B$38</c:f>
              <c:strCache>
                <c:ptCount val="6"/>
                <c:pt idx="0">
                  <c:v>Leeds - London DC</c:v>
                </c:pt>
                <c:pt idx="1">
                  <c:v>Leeds - Birmingham</c:v>
                </c:pt>
                <c:pt idx="2">
                  <c:v>Leeds - Glasgow</c:v>
                </c:pt>
                <c:pt idx="3">
                  <c:v>Leeds - Bristol</c:v>
                </c:pt>
                <c:pt idx="4">
                  <c:v>Leeds - Rotterdam</c:v>
                </c:pt>
                <c:pt idx="5">
                  <c:v>Leeds - UK parcels</c:v>
                </c:pt>
              </c:strCache>
            </c:strRef>
          </c:cat>
          <c:val>
            <c:numRef>
              <c:f>Dashboard!$G$33:$G$38</c:f>
              <c:numCache>
                <c:formatCode>General</c:formatCode>
                <c:ptCount val="6"/>
                <c:pt idx="0">
                  <c:v>0.00930511686670878</c:v>
                </c:pt>
                <c:pt idx="1">
                  <c:v>0.0190703883495146</c:v>
                </c:pt>
                <c:pt idx="2">
                  <c:v>0.0311634309918814</c:v>
                </c:pt>
                <c:pt idx="3">
                  <c:v>0.03075</c:v>
                </c:pt>
                <c:pt idx="4">
                  <c:v>0.150610655737705</c:v>
                </c:pt>
                <c:pt idx="5">
                  <c:v>0.0566707317073171</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6</xdr:col>
      <xdr:colOff>676275</xdr:colOff>
      <xdr:row>27</xdr:row>
      <xdr:rowOff>152400</xdr:rowOff>
    </xdr:to>
    <xdr:graphicFrame macro="">
      <xdr:nvGraphicFramePr>
        <xdr:cNvPr id="2" name="Chart 1" descr="Column chart of freight as a share of product value for each week in view, with the freight bud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12</xdr:row>
      <xdr:rowOff>38100</xdr:rowOff>
    </xdr:from>
    <xdr:to>
      <xdr:col>11</xdr:col>
      <xdr:colOff>676275</xdr:colOff>
      <xdr:row>27</xdr:row>
      <xdr:rowOff>152400</xdr:rowOff>
    </xdr:to>
    <xdr:graphicFrame macro="">
      <xdr:nvGraphicFramePr>
        <xdr:cNvPr id="3" name="Chart 2" descr="Stacked bar chart of freight cost per unit for each lane, split into the base charge and the fuel surcharge plus accessorial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Lanes" displayName="tblLanes" ref="B17:E23" totalsRowShown="0">
  <autoFilter ref="B17:E23"/>
  <tableColumns count="4">
    <tableColumn id="1" name="Lane"/>
    <tableColumn id="2" name="Origin"/>
    <tableColumn id="3" name="Destination"/>
    <tableColumn id="4" name="Notes"/>
  </tableColumns>
  <tableStyleInfo name="TableStyleLight1" showFirstColumn="0" showLastColumn="0" showRowStripes="0" showColumnStripes="0"/>
</table>
</file>

<file path=xl/tables/table2.xml><?xml version="1.0" encoding="utf-8"?>
<table xmlns="http://schemas.openxmlformats.org/spreadsheetml/2006/main" id="2" name="tblCarriers" displayName="tblCarriers" ref="B26:D30" totalsRowShown="0">
  <autoFilter ref="B26:D30"/>
  <tableColumns count="3">
    <tableColumn id="1" name="Carrier"/>
    <tableColumn id="2" name="Services"/>
    <tableColumn id="3" name="Notes"/>
  </tableColumns>
  <tableStyleInfo name="TableStyleLight1" showFirstColumn="0" showLastColumn="0" showRowStripes="0" showColumnStripes="0"/>
</table>
</file>

<file path=xl/tables/table3.xml><?xml version="1.0" encoding="utf-8"?>
<table xmlns="http://schemas.openxmlformats.org/spreadsheetml/2006/main" id="3" name="tblModes" displayName="tblModes" ref="B33:C38" totalsRowShown="0">
  <autoFilter ref="B33:C38"/>
  <tableColumns count="2">
    <tableColumn id="1" name="Mode"/>
    <tableColumn id="2" name="Billing basis"/>
  </tableColumns>
  <tableStyleInfo name="TableStyleLight1" showFirstColumn="0" showLastColumn="0" showRowStripes="0" showColumnStripes="0"/>
</table>
</file>

<file path=xl/tables/table4.xml><?xml version="1.0" encoding="utf-8"?>
<table xmlns="http://schemas.openxmlformats.org/spreadsheetml/2006/main" id="4" name="tblShipments" displayName="tblShipments" ref="B6:X102" totalsRowShown="0">
  <autoFilter ref="B6:X102"/>
  <tableColumns count="23">
    <tableColumn id="1" name="Ship date"/>
    <tableColumn id="2" name="Reference"/>
    <tableColumn id="3" name="Lane"/>
    <tableColumn id="4" name="Carrier"/>
    <tableColumn id="5" name="Mode"/>
    <tableColumn id="6" name="Units shipped"/>
    <tableColumn id="7" name="Pallets"/>
    <tableColumn id="8" name="Gross weight"/>
    <tableColumn id="9" name="Product value"/>
    <tableColumn id="10" name="Base charge"/>
    <tableColumn id="11" name="Fuel surcharge"/>
    <tableColumn id="12" name="Accessorials"/>
    <tableColumn id="13" name="Total freight">
      <calculatedColumnFormula>IF(tblShipments[[#This Row],[Ship date]]="","",tblShipments[[#This Row],[Base charge]]+tblShipments[[#This Row],[Fuel surcharge]]+tblShipments[[#This Row],[Accessorials]])</calculatedColumnFormula>
    </tableColumn>
    <tableColumn id="14" name="Fuel and extras">
      <calculatedColumnFormula>IF(tblShipments[[#This Row],[Ship date]]="","",tblShipments[[#This Row],[Fuel surcharge]]+tblShipments[[#This Row],[Accessorials]])</calculatedColumnFormula>
    </tableColumn>
    <tableColumn id="15" name="Freight per unit">
      <calculatedColumnFormula>IF(tblShipments[[#This Row],[Ship date]]="","",IF(tblShipments[[#This Row],[Units shipped]]&gt;0,tblShipments[[#This Row],[Total freight]]/tblShipments[[#This Row],[Units shipped]],""))</calculatedColumnFormula>
    </tableColumn>
    <tableColumn id="16" name="Extras per unit">
      <calculatedColumnFormula>IF(tblShipments[[#This Row],[Ship date]]="","",IF(tblShipments[[#This Row],[Units shipped]]&gt;0,tblShipments[[#This Row],[Fuel and extras]]/tblShipments[[#This Row],[Units shipped]],""))</calculatedColumnFormula>
    </tableColumn>
    <tableColumn id="17" name="Freight per weight">
      <calculatedColumnFormula>IF(tblShipments[[#This Row],[Ship date]]="","",IF(tblShipments[[#This Row],[Gross weight]]&gt;0,tblShipments[[#This Row],[Total freight]]/tblShipments[[#This Row],[Gross weight]],""))</calculatedColumnFormula>
    </tableColumn>
    <tableColumn id="18" name="Freight per pallet">
      <calculatedColumnFormula>IF(tblShipments[[#This Row],[Ship date]]="","",IF(tblShipments[[#This Row],[Pallets]]&gt;0,tblShipments[[#This Row],[Total freight]]/tblShipments[[#This Row],[Pallets]],""))</calculatedColumnFormula>
    </tableColumn>
    <tableColumn id="19" name="Freight share of value">
      <calculatedColumnFormula>IF(tblShipments[[#This Row],[Ship date]]="","",IF(tblShipments[[#This Row],[Product value]]&gt;0,tblShipments[[#This Row],[Total freight]]/tblShipments[[#This Row],[Product value]],""))</calculatedColumnFormula>
    </tableColumn>
    <tableColumn id="20" name="Vs budget">
      <calculatedColumnFormula>IF(NOT(ISNUMBER(tblShipments[[#This Row],[Freight share of value]])),"",IF(tblShipments[[#This Row],[Freight share of value]]&lt;=TargetPct,"On target",IF(tblShipments[[#This Row],[Freight share of value]]&lt;=TargetPct*(1+0.05),"Near target","Above target")))</calculatedColumnFormula>
    </tableColumn>
    <tableColumn id="21" name="View date">
      <calculatedColumnFormula>IF(tblShipments[[#This Row],[Ship date]]="","",IF(AND(tblShipments[[#This Row],[Ship date]]&gt;=FFrom,tblShipments[[#This Row],[Ship date]]&lt;=FTo),tblShipments[[#This Row],[Ship date]],""))</calculatedColumnFormula>
    </tableColumn>
    <tableColumn id="22" name="Check">
      <calculatedColumnFormula>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calculatedColumnFormula>
    </tableColumn>
    <tableColumn id="23" name="Notes"/>
  </tableColumns>
  <tableStyleInfo name="TableStyleLight1" showFirstColumn="0" showLastColumn="0" showRowStripes="0" showColumnStripes="0"/>
</table>
</file>

<file path=xl/tables/table5.xml><?xml version="1.0" encoding="utf-8"?>
<table xmlns="http://schemas.openxmlformats.org/spreadsheetml/2006/main" id="5" name="tblVerifyLanes" displayName="tblVerifyLanes" ref="B40:E42" totalsRowShown="0">
  <tableColumns count="4">
    <tableColumn id="1" name="Lane"/>
    <tableColumn id="2" name="Origin"/>
    <tableColumn id="3" name="Destination"/>
    <tableColumn id="4" name="Notes"/>
  </tableColumns>
  <tableStyleInfo name="TableStyleLight1" showFirstColumn="0" showLastColumn="0" showRowStripes="0" showColumnStripes="0"/>
</table>
</file>

<file path=xl/tables/table6.xml><?xml version="1.0" encoding="utf-8"?>
<table xmlns="http://schemas.openxmlformats.org/spreadsheetml/2006/main" id="6" name="tblVerifyCarriers" displayName="tblVerifyCarriers" ref="B45:D47" totalsRowShown="0">
  <tableColumns count="3">
    <tableColumn id="1" name="Carrier"/>
    <tableColumn id="2" name="Services"/>
    <tableColumn id="3" name="Notes"/>
  </tableColumns>
  <tableStyleInfo name="TableStyleLight1" showFirstColumn="0" showLastColumn="0" showRowStripes="0" showColumnStripes="0"/>
</table>
</file>

<file path=xl/tables/table7.xml><?xml version="1.0" encoding="utf-8"?>
<table xmlns="http://schemas.openxmlformats.org/spreadsheetml/2006/main" id="7" name="tblVerifyShipments" displayName="tblVerifyShipments" ref="B51:X56" totalsRowShown="0">
  <tableColumns count="23">
    <tableColumn id="1" name="Ship date"/>
    <tableColumn id="2" name="Reference"/>
    <tableColumn id="3" name="Lane"/>
    <tableColumn id="4" name="Carrier"/>
    <tableColumn id="5" name="Mode"/>
    <tableColumn id="6" name="Units shipped"/>
    <tableColumn id="7" name="Pallets"/>
    <tableColumn id="8" name="Gross weight"/>
    <tableColumn id="9" name="Product value"/>
    <tableColumn id="10" name="Base charge"/>
    <tableColumn id="11" name="Fuel surcharge"/>
    <tableColumn id="12" name="Accessorials"/>
    <tableColumn id="13" name="Total freight">
      <calculatedColumnFormula>IF(tblVerifyShipments[[#This Row],[Ship date]]="","",tblVerifyShipments[[#This Row],[Base charge]]+tblVerifyShipments[[#This Row],[Fuel surcharge]]+tblVerifyShipments[[#This Row],[Accessorials]])</calculatedColumnFormula>
    </tableColumn>
    <tableColumn id="14" name="Fuel and extras">
      <calculatedColumnFormula>IF(tblVerifyShipments[[#This Row],[Ship date]]="","",tblVerifyShipments[[#This Row],[Fuel surcharge]]+tblVerifyShipments[[#This Row],[Accessorials]])</calculatedColumnFormula>
    </tableColumn>
    <tableColumn id="15" name="Freight per unit">
      <calculatedColumnFormula>IF(tblVerifyShipments[[#This Row],[Ship date]]="","",IF(tblVerifyShipments[[#This Row],[Units shipped]]&gt;0,tblVerifyShipments[[#This Row],[Total freight]]/tblVerifyShipments[[#This Row],[Units shipped]],""))</calculatedColumnFormula>
    </tableColumn>
    <tableColumn id="16" name="Extras per unit">
      <calculatedColumnFormula>IF(tblVerifyShipments[[#This Row],[Ship date]]="","",IF(tblVerifyShipments[[#This Row],[Units shipped]]&gt;0,tblVerifyShipments[[#This Row],[Fuel and extras]]/tblVerifyShipments[[#This Row],[Units shipped]],""))</calculatedColumnFormula>
    </tableColumn>
    <tableColumn id="17" name="Freight per weight">
      <calculatedColumnFormula>IF(tblVerifyShipments[[#This Row],[Ship date]]="","",IF(tblVerifyShipments[[#This Row],[Gross weight]]&gt;0,tblVerifyShipments[[#This Row],[Total freight]]/tblVerifyShipments[[#This Row],[Gross weight]],""))</calculatedColumnFormula>
    </tableColumn>
    <tableColumn id="18" name="Freight per pallet">
      <calculatedColumnFormula>IF(tblVerifyShipments[[#This Row],[Ship date]]="","",IF(tblVerifyShipments[[#This Row],[Pallets]]&gt;0,tblVerifyShipments[[#This Row],[Total freight]]/tblVerifyShipments[[#This Row],[Pallets]],""))</calculatedColumnFormula>
    </tableColumn>
    <tableColumn id="19" name="Freight share of value">
      <calculatedColumnFormula>IF(tblVerifyShipments[[#This Row],[Ship date]]="","",IF(tblVerifyShipments[[#This Row],[Product value]]&gt;0,tblVerifyShipments[[#This Row],[Total freight]]/tblVerifyShipments[[#This Row],[Product value]],""))</calculatedColumnFormula>
    </tableColumn>
    <tableColumn id="20" name="Vs budget">
      <calculatedColumnFormula>IF(NOT(ISNUMBER(tblVerifyShipments[[#This Row],[Freight share of value]])),"",IF(tblVerifyShipments[[#This Row],[Freight share of value]]&lt;=$E$37,"On target",IF(tblVerifyShipments[[#This Row],[Freight share of value]]&lt;=$E$37*(1+0.05),"Near target","Above target")))</calculatedColumnFormula>
    </tableColumn>
    <tableColumn id="21" name="View date">
      <calculatedColumnFormula>IF(tblVerifyShipments[[#This Row],[Ship date]]="","",IF(AND(tblVerifyShipments[[#This Row],[Ship date]]&gt;=$E$35,tblVerifyShipments[[#This Row],[Ship date]]&lt;=$E$36),tblVerifyShipments[[#This Row],[Ship date]],""))</calculatedColumnFormula>
    </tableColumn>
    <tableColumn id="22" name="Check">
      <calculatedColumnFormula>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calculatedColumnFormula>
    </tableColumn>
    <tableColumn id="23"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hyperlink" Target="https://www.mfgcalcs.com/calculators/packaging-warehousing-logistics/freight-cost-per-unit?utm_source=mfgcalcs-template&amp;utm_medium=xlsx&amp;utm_campaign=freight-cost-per-unit" TargetMode="External"/><Relationship Id="rId3" Type="http://schemas.openxmlformats.org/officeDocument/2006/relationships/hyperlink" Target="https://www.mfgcalcs.com/templates/freight-cost-per-unit?utm_source=mfgcalcs-template&amp;utm_medium=xlsx&amp;utm_campaign=freight-cost-per-unit" TargetMode="External"/><Relationship Id="rId4" Type="http://schemas.openxmlformats.org/officeDocument/2006/relationships/hyperlink" Target="https://www.mfgcalcs.com/templates?utm_source=mfgcalcs-template&amp;utm_medium=xlsx&amp;utm_campaign=freight-cost-per-uni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hyperlink" Target="https://www.mfgcalcs.com/calculators/packaging-warehousing-logistics/freight-cost-per-unit?utm_source=mfgcalcs-template&amp;utm_medium=xlsx&amp;utm_campaign=freight-cost-per-unit"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freight-cost-per-unit" TargetMode="External"/><Relationship Id="rId2" Type="http://schemas.openxmlformats.org/officeDocument/2006/relationships/table" Target="../tables/table5.xml"/><Relationship Id="rId3" Type="http://schemas.openxmlformats.org/officeDocument/2006/relationships/table" Target="../tables/table6.xml"/><Relationship Id="rId4"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19 of 19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75"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Shipment Log'!A1" tooltip="Go to Shipment Log" display="Shipment Log"/>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Freight Cost Per Unit&amp;R&amp;8&amp;A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38"/>
  <sheetViews>
    <sheetView showGridLines="0" workbookViewId="0"/>
  </sheetViews>
  <sheetFormatPr defaultRowHeight="15"/>
  <cols>
    <col min="1" max="1" width="2.7109375" customWidth="1"/>
    <col min="2" max="2" width="30.7109375" customWidth="1"/>
    <col min="3" max="3" width="18.7109375" customWidth="1"/>
    <col min="4" max="4" width="34.7109375" customWidth="1"/>
    <col min="5" max="5" width="30.7109375" customWidth="1"/>
  </cols>
  <sheetData>
    <row r="1" spans="1:5" ht="30" customHeight="1">
      <c r="A1" s="1" t="s">
        <v>0</v>
      </c>
      <c r="B1" s="1"/>
      <c r="C1" s="1"/>
      <c r="D1" s="1"/>
      <c r="E1" s="1"/>
    </row>
    <row r="2" spans="1:5" ht="21" customHeight="1">
      <c r="B2" s="2" t="s">
        <v>18</v>
      </c>
      <c r="C2" s="2"/>
      <c r="D2" s="2"/>
      <c r="E2" s="3" t="s">
        <v>2</v>
      </c>
    </row>
    <row r="3" spans="1:5" ht="6" customHeight="1"/>
    <row r="4" spans="1:5" ht="21" customHeight="1">
      <c r="B4" s="8" t="s">
        <v>68</v>
      </c>
      <c r="C4" s="8"/>
      <c r="D4" s="8"/>
      <c r="E4" s="8"/>
    </row>
    <row r="5" spans="1:5" ht="5" customHeight="1"/>
    <row r="6" spans="1:5">
      <c r="B6" s="27" t="s">
        <v>69</v>
      </c>
      <c r="C6" s="28" t="s">
        <v>70</v>
      </c>
      <c r="D6" s="28"/>
    </row>
    <row r="7" spans="1:5">
      <c r="B7" s="27" t="s">
        <v>71</v>
      </c>
      <c r="C7" s="28" t="s">
        <v>72</v>
      </c>
      <c r="D7" s="28"/>
    </row>
    <row r="8" spans="1:5">
      <c r="B8" s="27" t="s">
        <v>73</v>
      </c>
      <c r="C8" s="28" t="s">
        <v>74</v>
      </c>
      <c r="D8" s="28"/>
    </row>
    <row r="9" spans="1:5">
      <c r="B9" s="27" t="s">
        <v>75</v>
      </c>
      <c r="C9" s="29">
        <v>0.04</v>
      </c>
      <c r="D9" s="7"/>
    </row>
    <row r="11" spans="1:5" ht="35.4" customHeight="1">
      <c r="B11" s="25" t="s">
        <v>76</v>
      </c>
      <c r="C11" s="25"/>
      <c r="D11" s="25"/>
      <c r="E11" s="25"/>
    </row>
    <row r="13" spans="1:5" ht="21" customHeight="1">
      <c r="B13" s="8" t="s">
        <v>77</v>
      </c>
      <c r="C13" s="8"/>
      <c r="D13" s="8"/>
      <c r="E13" s="8"/>
    </row>
    <row r="14" spans="1:5" ht="5" customHeight="1"/>
    <row r="15" spans="1:5" ht="26.76" customHeight="1">
      <c r="B15" s="21" t="s">
        <v>78</v>
      </c>
      <c r="C15" s="21"/>
      <c r="D15" s="21"/>
      <c r="E15" s="21"/>
    </row>
    <row r="16" spans="1:5">
      <c r="B16" s="30" t="s">
        <v>79</v>
      </c>
      <c r="C16" s="30"/>
      <c r="D16" s="30"/>
      <c r="E16" s="30"/>
    </row>
    <row r="17" spans="2:5" ht="20" customHeight="1">
      <c r="B17" s="31" t="s">
        <v>60</v>
      </c>
      <c r="C17" s="31" t="s">
        <v>61</v>
      </c>
      <c r="D17" s="31" t="s">
        <v>62</v>
      </c>
      <c r="E17" s="31" t="s">
        <v>63</v>
      </c>
    </row>
    <row r="18" spans="2:5">
      <c r="B18" s="28" t="s">
        <v>80</v>
      </c>
      <c r="C18" s="28" t="s">
        <v>81</v>
      </c>
      <c r="D18" s="28" t="s">
        <v>82</v>
      </c>
      <c r="E18" s="28" t="s">
        <v>83</v>
      </c>
    </row>
    <row r="19" spans="2:5">
      <c r="B19" s="28" t="s">
        <v>84</v>
      </c>
      <c r="C19" s="28" t="s">
        <v>81</v>
      </c>
      <c r="D19" s="28" t="s">
        <v>85</v>
      </c>
      <c r="E19" s="28" t="s">
        <v>86</v>
      </c>
    </row>
    <row r="20" spans="2:5">
      <c r="B20" s="28" t="s">
        <v>87</v>
      </c>
      <c r="C20" s="28" t="s">
        <v>81</v>
      </c>
      <c r="D20" s="28" t="s">
        <v>88</v>
      </c>
      <c r="E20" s="28" t="s">
        <v>89</v>
      </c>
    </row>
    <row r="21" spans="2:5">
      <c r="B21" s="28" t="s">
        <v>90</v>
      </c>
      <c r="C21" s="28" t="s">
        <v>81</v>
      </c>
      <c r="D21" s="28" t="s">
        <v>91</v>
      </c>
      <c r="E21" s="28" t="s">
        <v>86</v>
      </c>
    </row>
    <row r="22" spans="2:5">
      <c r="B22" s="28" t="s">
        <v>92</v>
      </c>
      <c r="C22" s="28" t="s">
        <v>81</v>
      </c>
      <c r="D22" s="28" t="s">
        <v>93</v>
      </c>
      <c r="E22" s="28" t="s">
        <v>94</v>
      </c>
    </row>
    <row r="23" spans="2:5">
      <c r="B23" s="28" t="s">
        <v>95</v>
      </c>
      <c r="C23" s="28" t="s">
        <v>81</v>
      </c>
      <c r="D23" s="28" t="s">
        <v>96</v>
      </c>
      <c r="E23" s="28" t="s">
        <v>97</v>
      </c>
    </row>
    <row r="25" spans="2:5">
      <c r="B25" s="30" t="s">
        <v>98</v>
      </c>
      <c r="C25" s="30"/>
      <c r="D25" s="30"/>
    </row>
    <row r="26" spans="2:5" ht="20" customHeight="1">
      <c r="B26" s="31" t="s">
        <v>64</v>
      </c>
      <c r="C26" s="31" t="s">
        <v>65</v>
      </c>
      <c r="D26" s="31" t="s">
        <v>63</v>
      </c>
    </row>
    <row r="27" spans="2:5">
      <c r="B27" s="28" t="s">
        <v>99</v>
      </c>
      <c r="C27" s="28" t="s">
        <v>100</v>
      </c>
      <c r="D27" s="28" t="s">
        <v>101</v>
      </c>
    </row>
    <row r="28" spans="2:5">
      <c r="B28" s="28" t="s">
        <v>102</v>
      </c>
      <c r="C28" s="28" t="s">
        <v>86</v>
      </c>
      <c r="D28" s="28" t="s">
        <v>101</v>
      </c>
    </row>
    <row r="29" spans="2:5">
      <c r="B29" s="28" t="s">
        <v>103</v>
      </c>
      <c r="C29" s="28" t="s">
        <v>104</v>
      </c>
      <c r="D29" s="28" t="s">
        <v>101</v>
      </c>
    </row>
    <row r="30" spans="2:5">
      <c r="B30" s="28" t="s">
        <v>105</v>
      </c>
      <c r="C30" s="28" t="s">
        <v>106</v>
      </c>
      <c r="D30" s="28" t="s">
        <v>101</v>
      </c>
    </row>
    <row r="32" spans="2:5">
      <c r="B32" s="30" t="s">
        <v>107</v>
      </c>
      <c r="C32" s="30"/>
    </row>
    <row r="33" spans="2:3" ht="20" customHeight="1">
      <c r="B33" s="31" t="s">
        <v>66</v>
      </c>
      <c r="C33" s="31" t="s">
        <v>67</v>
      </c>
    </row>
    <row r="34" spans="2:3">
      <c r="B34" s="28" t="s">
        <v>108</v>
      </c>
      <c r="C34" s="28" t="s">
        <v>109</v>
      </c>
    </row>
    <row r="35" spans="2:3">
      <c r="B35" s="28" t="s">
        <v>110</v>
      </c>
      <c r="C35" s="28" t="s">
        <v>111</v>
      </c>
    </row>
    <row r="36" spans="2:3">
      <c r="B36" s="28" t="s">
        <v>86</v>
      </c>
      <c r="C36" s="28" t="s">
        <v>112</v>
      </c>
    </row>
    <row r="37" spans="2:3">
      <c r="B37" s="28" t="s">
        <v>113</v>
      </c>
      <c r="C37" s="28" t="s">
        <v>114</v>
      </c>
    </row>
    <row r="38" spans="2:3">
      <c r="B38" s="28" t="s">
        <v>115</v>
      </c>
      <c r="C38" s="28" t="s">
        <v>116</v>
      </c>
    </row>
  </sheetData>
  <mergeCells count="12">
    <mergeCell ref="A1:E1"/>
    <mergeCell ref="B2:D2"/>
    <mergeCell ref="B4:E4"/>
    <mergeCell ref="C6:D6"/>
    <mergeCell ref="C7:D7"/>
    <mergeCell ref="C8:D8"/>
    <mergeCell ref="B11:E11"/>
    <mergeCell ref="B13:E13"/>
    <mergeCell ref="B15:E15"/>
    <mergeCell ref="B16:E16"/>
    <mergeCell ref="B25:D25"/>
    <mergeCell ref="B32:C32"/>
  </mergeCells>
  <dataValidations count="13">
    <dataValidation type="textLength" allowBlank="1" showInputMessage="1" showErrorMessage="1" errorTitle="Check this entry" error="Text up to 80 characters." promptTitle="Company or site" prompt="Shown on the Dashboard header.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list" allowBlank="1" showInputMessage="1" showErrorMessage="1" errorTitle="Check this entry" error="Pick one of: kg, lb." promptTitle="Weight unit" prompt="The unit you type gross weights in. Freight per weight uses the same unit; nothing is converted. Pick one of: kg, lb." sqref="C8">
      <formula1>"kg,lb"</formula1>
    </dataValidation>
    <dataValidation type="decimal" allowBlank="1" showInputMessage="1" showErrorMessage="1" errorTitle="Check this entry" error="Enter a percentage from 0% to 100% (type 85% or 0.85)." promptTitle="Freight budget (share of prod..." prompt="Your own budget for freight as a share of the value of the goods shipped. Set what your plan or landed-cost model allows. Enter a percentage from 0% to 100% (type 85% or 0.85)." sqref="C9">
      <formula1>0</formula1>
      <formula2>1</formula2>
    </dataValidation>
    <dataValidation type="textLength" allowBlank="1" showInputMessage="1" showErrorMessage="1" errorTitle="Check this entry" error="Text up to 40 characters." promptTitle="Lane" prompt="Text up to 40 characters." sqref="B18:B123">
      <formula1>0</formula1>
      <formula2>40</formula2>
    </dataValidation>
    <dataValidation type="textLength" allowBlank="1" showInputMessage="1" showErrorMessage="1" errorTitle="Check this entry" error="Text up to 60 characters." promptTitle="Origin" prompt="Text up to 60 characters." sqref="C18:C123">
      <formula1>0</formula1>
      <formula2>60</formula2>
    </dataValidation>
    <dataValidation type="textLength" allowBlank="1" showInputMessage="1" showErrorMessage="1" errorTitle="Check this entry" error="Text up to 60 characters." promptTitle="Destination" prompt="Text up to 60 characters." sqref="D18:D123">
      <formula1>0</formula1>
      <formula2>60</formula2>
    </dataValidation>
    <dataValidation type="textLength" allowBlank="1" showInputMessage="1" showErrorMessage="1" errorTitle="Check this entry" error="Text up to 120 characters." promptTitle="Notes" prompt="Text up to 120 characters." sqref="E18:E123">
      <formula1>0</formula1>
      <formula2>120</formula2>
    </dataValidation>
    <dataValidation type="textLength" allowBlank="1" showInputMessage="1" showErrorMessage="1" errorTitle="Check this entry" error="Text up to 40 characters." promptTitle="Carrier" prompt="Text up to 40 characters." sqref="B27:B130">
      <formula1>0</formula1>
      <formula2>40</formula2>
    </dataValidation>
    <dataValidation type="textLength" allowBlank="1" showInputMessage="1" showErrorMessage="1" errorTitle="Check this entry" error="Text up to 60 characters." promptTitle="Services" prompt="Text up to 60 characters." sqref="C27:C130">
      <formula1>0</formula1>
      <formula2>60</formula2>
    </dataValidation>
    <dataValidation type="textLength" allowBlank="1" showInputMessage="1" showErrorMessage="1" errorTitle="Check this entry" error="Text up to 120 characters." promptTitle="Notes" prompt="Text up to 120 characters." sqref="D27:D130">
      <formula1>0</formula1>
      <formula2>120</formula2>
    </dataValidation>
    <dataValidation type="textLength" allowBlank="1" showInputMessage="1" showErrorMessage="1" errorTitle="Check this entry" error="Text up to 40 characters." promptTitle="Mode" prompt="Text up to 40 characters." sqref="B34:B138">
      <formula1>0</formula1>
      <formula2>40</formula2>
    </dataValidation>
    <dataValidation type="textLength" allowBlank="1" showInputMessage="1" showErrorMessage="1" errorTitle="Check this entry" error="Text up to 120 characters." promptTitle="Billing basis" prompt="Text up to 120 characters." sqref="C34:C138">
      <formula1>0</formula1>
      <formula2>120</formula2>
    </dataValidation>
  </dataValidations>
  <hyperlinks>
    <hyperlink ref="E2" r:id="rId1" tooltip="Free manufacturing calculators and templates"/>
  </hyperlinks>
  <pageMargins left="0.4" right="0.4" top="0.7" bottom="0.65" header="0.3" footer="0.3"/>
  <pageSetup fitToHeight="0" orientation="landscape"/>
  <headerFooter>
    <oddHeader>&amp;L&amp;8MFG Calcs - Freight Cost Per Unit&amp;R&amp;8&amp;A</oddHeader>
    <oddFooter>&amp;L&amp;8mfgcalcs.com - free manufacturing templates&amp;R&amp;8Page &amp;P of &amp;N</oddFooter>
  </headerFooter>
  <rowBreaks count="1" manualBreakCount="1">
    <brk id="24" max="16383" man="1"/>
  </rowBreaks>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X102"/>
  <sheetViews>
    <sheetView workbookViewId="0">
      <pane xSplit="4" ySplit="6" topLeftCell="E7" activePane="bottomRight" state="frozen"/>
      <selection pane="topRight" activeCell="E1" sqref="E1"/>
      <selection pane="bottomLeft" activeCell="A7" sqref="A7"/>
      <selection pane="bottomRight"/>
    </sheetView>
  </sheetViews>
  <sheetFormatPr defaultRowHeight="15"/>
  <cols>
    <col min="1" max="1" width="2.7109375" customWidth="1"/>
    <col min="2" max="2" width="12.28515625" customWidth="1"/>
    <col min="3" max="3" width="11.28515625" customWidth="1"/>
    <col min="4" max="4" width="17.7109375" customWidth="1"/>
    <col min="5" max="5" width="16.7109375" customWidth="1"/>
    <col min="6" max="6" width="13.7109375" customWidth="1"/>
    <col min="7" max="7" width="9.28515625" customWidth="1"/>
    <col min="8" max="8" width="7.7109375" customWidth="1"/>
    <col min="9" max="9" width="9.28515625" customWidth="1"/>
    <col min="10" max="10" width="11.28515625" customWidth="1"/>
    <col min="11" max="12" width="9.7109375" customWidth="1"/>
    <col min="13" max="13" width="10.28515625" customWidth="1"/>
    <col min="14" max="19" width="9.7109375" customWidth="1"/>
    <col min="20" max="20" width="10.7109375" customWidth="1"/>
    <col min="21" max="22" width="12.28515625" customWidth="1"/>
    <col min="23" max="23" width="22.7109375" customWidth="1"/>
    <col min="24" max="24" width="26.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20</v>
      </c>
      <c r="C2" s="2"/>
      <c r="D2" s="2"/>
      <c r="E2" s="2"/>
      <c r="F2" s="2"/>
      <c r="G2" s="2"/>
      <c r="H2" s="2"/>
      <c r="I2" s="2"/>
      <c r="J2" s="2"/>
      <c r="K2" s="2"/>
      <c r="L2" s="2"/>
      <c r="M2" s="2"/>
      <c r="N2" s="2"/>
      <c r="O2" s="2"/>
      <c r="P2" s="2"/>
      <c r="Q2" s="2"/>
      <c r="R2" s="2"/>
      <c r="S2" s="2"/>
      <c r="T2" s="2"/>
      <c r="U2" s="2"/>
      <c r="V2" s="2"/>
      <c r="W2" s="2"/>
      <c r="X2" s="3" t="s">
        <v>2</v>
      </c>
    </row>
    <row r="3" spans="1:24" ht="6" customHeight="1"/>
    <row r="4" spans="1:24" ht="18" customHeight="1">
      <c r="B4" s="32" t="s">
        <v>136</v>
      </c>
      <c r="C4" s="32"/>
      <c r="D4" s="32"/>
      <c r="E4" s="32"/>
      <c r="F4" s="32"/>
      <c r="G4" s="32"/>
      <c r="H4" s="32"/>
      <c r="I4" s="32"/>
      <c r="J4" s="32"/>
      <c r="K4" s="32"/>
      <c r="L4" s="32"/>
      <c r="M4" s="32"/>
      <c r="N4" s="32"/>
      <c r="O4" s="32"/>
      <c r="P4" s="32"/>
      <c r="Q4" s="32"/>
      <c r="R4" s="32"/>
      <c r="S4" s="32"/>
      <c r="T4" s="32"/>
      <c r="U4" s="32"/>
      <c r="V4" s="32"/>
      <c r="W4" s="32"/>
      <c r="X4" s="32"/>
    </row>
    <row r="5" spans="1:24" ht="14" customHeight="1">
      <c r="B5" s="33"/>
      <c r="C5" s="33"/>
      <c r="D5" s="33"/>
      <c r="E5" s="33"/>
      <c r="F5" s="33"/>
      <c r="G5" s="33"/>
      <c r="H5" s="33"/>
      <c r="I5" s="33" t="str">
        <f>WeightUnit</f>
        <v>kg</v>
      </c>
      <c r="J5" s="33" t="str">
        <f>Currency</f>
        <v>GBP</v>
      </c>
      <c r="K5" s="33" t="str">
        <f>Currency</f>
        <v>GBP</v>
      </c>
      <c r="L5" s="33" t="str">
        <f>Currency</f>
        <v>GBP</v>
      </c>
      <c r="M5" s="33" t="str">
        <f>Currency</f>
        <v>GBP</v>
      </c>
      <c r="N5" s="33" t="str">
        <f>Currency</f>
        <v>GBP</v>
      </c>
      <c r="O5" s="33" t="str">
        <f>Currency</f>
        <v>GBP</v>
      </c>
      <c r="P5" s="33" t="str">
        <f>Currency&amp;"/unit"</f>
        <v>GBP/unit</v>
      </c>
      <c r="Q5" s="33" t="str">
        <f>Currency&amp;"/unit"</f>
        <v>GBP/unit</v>
      </c>
      <c r="R5" s="33" t="str">
        <f>Currency&amp;"/"&amp;WeightUnit</f>
        <v>GBP/kg</v>
      </c>
      <c r="S5" s="33" t="str">
        <f>Currency&amp;"/pallet"</f>
        <v>GBP/pallet</v>
      </c>
      <c r="T5" s="33"/>
      <c r="U5" s="33"/>
      <c r="V5" s="33"/>
      <c r="W5" s="33"/>
      <c r="X5" s="33"/>
    </row>
    <row r="6" spans="1:24" ht="32" customHeight="1">
      <c r="B6" s="31" t="s">
        <v>117</v>
      </c>
      <c r="C6" s="31" t="s">
        <v>118</v>
      </c>
      <c r="D6" s="31" t="s">
        <v>60</v>
      </c>
      <c r="E6" s="31" t="s">
        <v>64</v>
      </c>
      <c r="F6" s="31" t="s">
        <v>66</v>
      </c>
      <c r="G6" s="31" t="s">
        <v>119</v>
      </c>
      <c r="H6" s="31" t="s">
        <v>120</v>
      </c>
      <c r="I6" s="31" t="s">
        <v>121</v>
      </c>
      <c r="J6" s="31" t="s">
        <v>122</v>
      </c>
      <c r="K6" s="31" t="s">
        <v>123</v>
      </c>
      <c r="L6" s="31" t="s">
        <v>124</v>
      </c>
      <c r="M6" s="31" t="s">
        <v>125</v>
      </c>
      <c r="N6" s="31" t="s">
        <v>126</v>
      </c>
      <c r="O6" s="31" t="s">
        <v>127</v>
      </c>
      <c r="P6" s="31" t="s">
        <v>128</v>
      </c>
      <c r="Q6" s="31" t="s">
        <v>129</v>
      </c>
      <c r="R6" s="31" t="s">
        <v>130</v>
      </c>
      <c r="S6" s="31" t="s">
        <v>131</v>
      </c>
      <c r="T6" s="31" t="s">
        <v>132</v>
      </c>
      <c r="U6" s="31" t="s">
        <v>133</v>
      </c>
      <c r="V6" s="31" t="s">
        <v>134</v>
      </c>
      <c r="W6" s="31" t="s">
        <v>135</v>
      </c>
      <c r="X6" s="31" t="s">
        <v>63</v>
      </c>
    </row>
    <row r="7" spans="1:24">
      <c r="B7" s="34">
        <v>46209</v>
      </c>
      <c r="C7" s="28" t="s">
        <v>137</v>
      </c>
      <c r="D7" s="28" t="s">
        <v>84</v>
      </c>
      <c r="E7" s="28" t="s">
        <v>102</v>
      </c>
      <c r="F7" s="28" t="s">
        <v>86</v>
      </c>
      <c r="G7" s="35">
        <v>340</v>
      </c>
      <c r="H7" s="35">
        <v>1</v>
      </c>
      <c r="I7" s="35">
        <v>222</v>
      </c>
      <c r="J7" s="36">
        <v>1972</v>
      </c>
      <c r="K7" s="36">
        <v>52</v>
      </c>
      <c r="L7" s="36">
        <v>5.98</v>
      </c>
      <c r="M7" s="36">
        <v>0</v>
      </c>
      <c r="N7" s="37">
        <f>IF(tblShipments[[#This Row],[Ship date]]="","",tblShipments[[#This Row],[Base charge]]+tblShipments[[#This Row],[Fuel surcharge]]+tblShipments[[#This Row],[Accessorials]])</f>
        <v>57.98</v>
      </c>
      <c r="O7" s="37">
        <f>IF(tblShipments[[#This Row],[Ship date]]="","",tblShipments[[#This Row],[Fuel surcharge]]+tblShipments[[#This Row],[Accessorials]])</f>
        <v>5.98</v>
      </c>
      <c r="P7" s="38">
        <f>IF(tblShipments[[#This Row],[Ship date]]="","",IF(tblShipments[[#This Row],[Units shipped]]&gt;0,tblShipments[[#This Row],[Total freight]]/tblShipments[[#This Row],[Units shipped]],""))</f>
        <v>0.170529411764706</v>
      </c>
      <c r="Q7" s="38">
        <f>IF(tblShipments[[#This Row],[Ship date]]="","",IF(tblShipments[[#This Row],[Units shipped]]&gt;0,tblShipments[[#This Row],[Fuel and extras]]/tblShipments[[#This Row],[Units shipped]],""))</f>
        <v>0.0175882352941176</v>
      </c>
      <c r="R7" s="39">
        <f>IF(tblShipments[[#This Row],[Ship date]]="","",IF(tblShipments[[#This Row],[Gross weight]]&gt;0,tblShipments[[#This Row],[Total freight]]/tblShipments[[#This Row],[Gross weight]],""))</f>
        <v>0.261171171171171</v>
      </c>
      <c r="S7" s="37">
        <f>IF(tblShipments[[#This Row],[Ship date]]="","",IF(tblShipments[[#This Row],[Pallets]]&gt;0,tblShipments[[#This Row],[Total freight]]/tblShipments[[#This Row],[Pallets]],""))</f>
        <v>57.98</v>
      </c>
      <c r="T7" s="40">
        <f>IF(tblShipments[[#This Row],[Ship date]]="","",IF(tblShipments[[#This Row],[Product value]]&gt;0,tblShipments[[#This Row],[Total freight]]/tblShipments[[#This Row],[Product value]],""))</f>
        <v>0.0294016227180527</v>
      </c>
      <c r="U7" s="41" t="str">
        <f>IF(NOT(ISNUMBER(tblShipments[[#This Row],[Freight share of value]])),"",IF(tblShipments[[#This Row],[Freight share of value]]&lt;=TargetPct,"On target",IF(tblShipments[[#This Row],[Freight share of value]]&lt;=TargetPct*(1+0.05),"Near target","Above target")))</f>
        <v>On target</v>
      </c>
      <c r="V7" s="42">
        <f>IF(tblShipments[[#This Row],[Ship date]]="","",IF(AND(tblShipments[[#This Row],[Ship date]]&gt;=FFrom,tblShipments[[#This Row],[Ship date]]&lt;=FTo),tblShipments[[#This Row],[Ship date]],""))</f>
        <v>46209</v>
      </c>
      <c r="W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 s="28" t="s">
        <v>138</v>
      </c>
    </row>
    <row r="8" spans="1:24">
      <c r="B8" s="34">
        <v>46209</v>
      </c>
      <c r="C8" s="28" t="s">
        <v>139</v>
      </c>
      <c r="D8" s="28" t="s">
        <v>95</v>
      </c>
      <c r="E8" s="28" t="s">
        <v>105</v>
      </c>
      <c r="F8" s="28" t="s">
        <v>115</v>
      </c>
      <c r="G8" s="35">
        <v>60</v>
      </c>
      <c r="H8" s="35">
        <v>0</v>
      </c>
      <c r="I8" s="35">
        <v>24</v>
      </c>
      <c r="J8" s="36">
        <v>660</v>
      </c>
      <c r="K8" s="36">
        <v>31</v>
      </c>
      <c r="L8" s="36">
        <v>2.79</v>
      </c>
      <c r="M8" s="36">
        <v>0</v>
      </c>
      <c r="N8" s="37">
        <f>IF(tblShipments[[#This Row],[Ship date]]="","",tblShipments[[#This Row],[Base charge]]+tblShipments[[#This Row],[Fuel surcharge]]+tblShipments[[#This Row],[Accessorials]])</f>
        <v>33.79</v>
      </c>
      <c r="O8" s="37">
        <f>IF(tblShipments[[#This Row],[Ship date]]="","",tblShipments[[#This Row],[Fuel surcharge]]+tblShipments[[#This Row],[Accessorials]])</f>
        <v>2.79</v>
      </c>
      <c r="P8" s="38">
        <f>IF(tblShipments[[#This Row],[Ship date]]="","",IF(tblShipments[[#This Row],[Units shipped]]&gt;0,tblShipments[[#This Row],[Total freight]]/tblShipments[[#This Row],[Units shipped]],""))</f>
        <v>0.563166666666667</v>
      </c>
      <c r="Q8" s="38">
        <f>IF(tblShipments[[#This Row],[Ship date]]="","",IF(tblShipments[[#This Row],[Units shipped]]&gt;0,tblShipments[[#This Row],[Fuel and extras]]/tblShipments[[#This Row],[Units shipped]],""))</f>
        <v>0.0465</v>
      </c>
      <c r="R8" s="39">
        <f>IF(tblShipments[[#This Row],[Ship date]]="","",IF(tblShipments[[#This Row],[Gross weight]]&gt;0,tblShipments[[#This Row],[Total freight]]/tblShipments[[#This Row],[Gross weight]],""))</f>
        <v>1.40791666666667</v>
      </c>
      <c r="S8" s="37">
        <f>IF(tblShipments[[#This Row],[Ship date]]="","",IF(tblShipments[[#This Row],[Pallets]]&gt;0,tblShipments[[#This Row],[Total freight]]/tblShipments[[#This Row],[Pallets]],""))</f>
        <v/>
      </c>
      <c r="T8" s="40">
        <f>IF(tblShipments[[#This Row],[Ship date]]="","",IF(tblShipments[[#This Row],[Product value]]&gt;0,tblShipments[[#This Row],[Total freight]]/tblShipments[[#This Row],[Product value]],""))</f>
        <v>0.0511969696969697</v>
      </c>
      <c r="U8" s="41" t="str">
        <f>IF(NOT(ISNUMBER(tblShipments[[#This Row],[Freight share of value]])),"",IF(tblShipments[[#This Row],[Freight share of value]]&lt;=TargetPct,"On target",IF(tblShipments[[#This Row],[Freight share of value]]&lt;=TargetPct*(1+0.05),"Near target","Above target")))</f>
        <v>Above target</v>
      </c>
      <c r="V8" s="42">
        <f>IF(tblShipments[[#This Row],[Ship date]]="","",IF(AND(tblShipments[[#This Row],[Ship date]]&gt;=FFrom,tblShipments[[#This Row],[Ship date]]&lt;=FTo),tblShipments[[#This Row],[Ship date]],""))</f>
        <v>46209</v>
      </c>
      <c r="W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 s="28" t="s">
        <v>138</v>
      </c>
    </row>
    <row r="9" spans="1:24">
      <c r="B9" s="34">
        <v>46210</v>
      </c>
      <c r="C9" s="28" t="s">
        <v>140</v>
      </c>
      <c r="D9" s="28" t="s">
        <v>87</v>
      </c>
      <c r="E9" s="28" t="s">
        <v>102</v>
      </c>
      <c r="F9" s="28" t="s">
        <v>86</v>
      </c>
      <c r="G9" s="35">
        <v>1240</v>
      </c>
      <c r="H9" s="35">
        <v>4</v>
      </c>
      <c r="I9" s="35">
        <v>819</v>
      </c>
      <c r="J9" s="36">
        <v>6448</v>
      </c>
      <c r="K9" s="36">
        <v>336</v>
      </c>
      <c r="L9" s="36">
        <v>38.64</v>
      </c>
      <c r="M9" s="36">
        <v>0</v>
      </c>
      <c r="N9" s="37">
        <f>IF(tblShipments[[#This Row],[Ship date]]="","",tblShipments[[#This Row],[Base charge]]+tblShipments[[#This Row],[Fuel surcharge]]+tblShipments[[#This Row],[Accessorials]])</f>
        <v>374.64</v>
      </c>
      <c r="O9" s="37">
        <f>IF(tblShipments[[#This Row],[Ship date]]="","",tblShipments[[#This Row],[Fuel surcharge]]+tblShipments[[#This Row],[Accessorials]])</f>
        <v>38.64</v>
      </c>
      <c r="P9" s="38">
        <f>IF(tblShipments[[#This Row],[Ship date]]="","",IF(tblShipments[[#This Row],[Units shipped]]&gt;0,tblShipments[[#This Row],[Total freight]]/tblShipments[[#This Row],[Units shipped]],""))</f>
        <v>0.302129032258065</v>
      </c>
      <c r="Q9" s="38">
        <f>IF(tblShipments[[#This Row],[Ship date]]="","",IF(tblShipments[[#This Row],[Units shipped]]&gt;0,tblShipments[[#This Row],[Fuel and extras]]/tblShipments[[#This Row],[Units shipped]],""))</f>
        <v>0.0311612903225806</v>
      </c>
      <c r="R9" s="39">
        <f>IF(tblShipments[[#This Row],[Ship date]]="","",IF(tblShipments[[#This Row],[Gross weight]]&gt;0,tblShipments[[#This Row],[Total freight]]/tblShipments[[#This Row],[Gross weight]],""))</f>
        <v>0.457435897435897</v>
      </c>
      <c r="S9" s="37">
        <f>IF(tblShipments[[#This Row],[Ship date]]="","",IF(tblShipments[[#This Row],[Pallets]]&gt;0,tblShipments[[#This Row],[Total freight]]/tblShipments[[#This Row],[Pallets]],""))</f>
        <v>93.66</v>
      </c>
      <c r="T9" s="40">
        <f>IF(tblShipments[[#This Row],[Ship date]]="","",IF(tblShipments[[#This Row],[Product value]]&gt;0,tblShipments[[#This Row],[Total freight]]/tblShipments[[#This Row],[Product value]],""))</f>
        <v>0.0581017369727047</v>
      </c>
      <c r="U9" s="41" t="str">
        <f>IF(NOT(ISNUMBER(tblShipments[[#This Row],[Freight share of value]])),"",IF(tblShipments[[#This Row],[Freight share of value]]&lt;=TargetPct,"On target",IF(tblShipments[[#This Row],[Freight share of value]]&lt;=TargetPct*(1+0.05),"Near target","Above target")))</f>
        <v>Above target</v>
      </c>
      <c r="V9" s="42">
        <f>IF(tblShipments[[#This Row],[Ship date]]="","",IF(AND(tblShipments[[#This Row],[Ship date]]&gt;=FFrom,tblShipments[[#This Row],[Ship date]]&lt;=FTo),tblShipments[[#This Row],[Ship date]],""))</f>
        <v>46210</v>
      </c>
      <c r="W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 s="28" t="s">
        <v>138</v>
      </c>
    </row>
    <row r="10" spans="1:24">
      <c r="B10" s="34">
        <v>46210</v>
      </c>
      <c r="C10" s="28" t="s">
        <v>141</v>
      </c>
      <c r="D10" s="28" t="s">
        <v>80</v>
      </c>
      <c r="E10" s="28" t="s">
        <v>99</v>
      </c>
      <c r="F10" s="28" t="s">
        <v>108</v>
      </c>
      <c r="G10" s="35">
        <v>9460</v>
      </c>
      <c r="H10" s="35">
        <v>22</v>
      </c>
      <c r="I10" s="35">
        <v>5469</v>
      </c>
      <c r="J10" s="36">
        <v>38786</v>
      </c>
      <c r="K10" s="36">
        <v>640</v>
      </c>
      <c r="L10" s="36">
        <v>73.59999999999999</v>
      </c>
      <c r="M10" s="36">
        <v>60</v>
      </c>
      <c r="N10" s="37">
        <f>IF(tblShipments[[#This Row],[Ship date]]="","",tblShipments[[#This Row],[Base charge]]+tblShipments[[#This Row],[Fuel surcharge]]+tblShipments[[#This Row],[Accessorials]])</f>
        <v>773.6</v>
      </c>
      <c r="O10" s="37">
        <f>IF(tblShipments[[#This Row],[Ship date]]="","",tblShipments[[#This Row],[Fuel surcharge]]+tblShipments[[#This Row],[Accessorials]])</f>
        <v>133.6</v>
      </c>
      <c r="P10" s="38">
        <f>IF(tblShipments[[#This Row],[Ship date]]="","",IF(tblShipments[[#This Row],[Units shipped]]&gt;0,tblShipments[[#This Row],[Total freight]]/tblShipments[[#This Row],[Units shipped]],""))</f>
        <v>0.0817758985200846</v>
      </c>
      <c r="Q10" s="38">
        <f>IF(tblShipments[[#This Row],[Ship date]]="","",IF(tblShipments[[#This Row],[Units shipped]]&gt;0,tblShipments[[#This Row],[Fuel and extras]]/tblShipments[[#This Row],[Units shipped]],""))</f>
        <v>0.014122621564482</v>
      </c>
      <c r="R10" s="39">
        <f>IF(tblShipments[[#This Row],[Ship date]]="","",IF(tblShipments[[#This Row],[Gross weight]]&gt;0,tblShipments[[#This Row],[Total freight]]/tblShipments[[#This Row],[Gross weight]],""))</f>
        <v>0.141451819345401</v>
      </c>
      <c r="S10" s="37">
        <f>IF(tblShipments[[#This Row],[Ship date]]="","",IF(tblShipments[[#This Row],[Pallets]]&gt;0,tblShipments[[#This Row],[Total freight]]/tblShipments[[#This Row],[Pallets]],""))</f>
        <v>35.1636363636364</v>
      </c>
      <c r="T10" s="40">
        <f>IF(tblShipments[[#This Row],[Ship date]]="","",IF(tblShipments[[#This Row],[Product value]]&gt;0,tblShipments[[#This Row],[Total freight]]/tblShipments[[#This Row],[Product value]],""))</f>
        <v>0.0199453411024597</v>
      </c>
      <c r="U10" s="41" t="str">
        <f>IF(NOT(ISNUMBER(tblShipments[[#This Row],[Freight share of value]])),"",IF(tblShipments[[#This Row],[Freight share of value]]&lt;=TargetPct,"On target",IF(tblShipments[[#This Row],[Freight share of value]]&lt;=TargetPct*(1+0.05),"Near target","Above target")))</f>
        <v>On target</v>
      </c>
      <c r="V10" s="42">
        <f>IF(tblShipments[[#This Row],[Ship date]]="","",IF(AND(tblShipments[[#This Row],[Ship date]]&gt;=FFrom,tblShipments[[#This Row],[Ship date]]&lt;=FTo),tblShipments[[#This Row],[Ship date]],""))</f>
        <v>46210</v>
      </c>
      <c r="W1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0" s="28" t="s">
        <v>142</v>
      </c>
    </row>
    <row r="11" spans="1:24">
      <c r="B11" s="34">
        <v>46211</v>
      </c>
      <c r="C11" s="28" t="s">
        <v>143</v>
      </c>
      <c r="D11" s="28" t="s">
        <v>90</v>
      </c>
      <c r="E11" s="28" t="s">
        <v>102</v>
      </c>
      <c r="F11" s="28" t="s">
        <v>86</v>
      </c>
      <c r="G11" s="35">
        <v>310</v>
      </c>
      <c r="H11" s="35">
        <v>1</v>
      </c>
      <c r="I11" s="35">
        <v>205</v>
      </c>
      <c r="J11" s="36">
        <v>1736</v>
      </c>
      <c r="K11" s="36">
        <v>61</v>
      </c>
      <c r="L11" s="36">
        <v>7.02</v>
      </c>
      <c r="M11" s="36">
        <v>18</v>
      </c>
      <c r="N11" s="37">
        <f>IF(tblShipments[[#This Row],[Ship date]]="","",tblShipments[[#This Row],[Base charge]]+tblShipments[[#This Row],[Fuel surcharge]]+tblShipments[[#This Row],[Accessorials]])</f>
        <v>86.02</v>
      </c>
      <c r="O11" s="37">
        <f>IF(tblShipments[[#This Row],[Ship date]]="","",tblShipments[[#This Row],[Fuel surcharge]]+tblShipments[[#This Row],[Accessorials]])</f>
        <v>25.02</v>
      </c>
      <c r="P11" s="38">
        <f>IF(tblShipments[[#This Row],[Ship date]]="","",IF(tblShipments[[#This Row],[Units shipped]]&gt;0,tblShipments[[#This Row],[Total freight]]/tblShipments[[#This Row],[Units shipped]],""))</f>
        <v>0.277483870967742</v>
      </c>
      <c r="Q11" s="38">
        <f>IF(tblShipments[[#This Row],[Ship date]]="","",IF(tblShipments[[#This Row],[Units shipped]]&gt;0,tblShipments[[#This Row],[Fuel and extras]]/tblShipments[[#This Row],[Units shipped]],""))</f>
        <v>0.0807096774193548</v>
      </c>
      <c r="R11" s="39">
        <f>IF(tblShipments[[#This Row],[Ship date]]="","",IF(tblShipments[[#This Row],[Gross weight]]&gt;0,tblShipments[[#This Row],[Total freight]]/tblShipments[[#This Row],[Gross weight]],""))</f>
        <v>0.419609756097561</v>
      </c>
      <c r="S11" s="37">
        <f>IF(tblShipments[[#This Row],[Ship date]]="","",IF(tblShipments[[#This Row],[Pallets]]&gt;0,tblShipments[[#This Row],[Total freight]]/tblShipments[[#This Row],[Pallets]],""))</f>
        <v>86.02</v>
      </c>
      <c r="T11" s="40">
        <f>IF(tblShipments[[#This Row],[Ship date]]="","",IF(tblShipments[[#This Row],[Product value]]&gt;0,tblShipments[[#This Row],[Total freight]]/tblShipments[[#This Row],[Product value]],""))</f>
        <v>0.0495506912442396</v>
      </c>
      <c r="U11" s="41" t="str">
        <f>IF(NOT(ISNUMBER(tblShipments[[#This Row],[Freight share of value]])),"",IF(tblShipments[[#This Row],[Freight share of value]]&lt;=TargetPct,"On target",IF(tblShipments[[#This Row],[Freight share of value]]&lt;=TargetPct*(1+0.05),"Near target","Above target")))</f>
        <v>Above target</v>
      </c>
      <c r="V11" s="42">
        <f>IF(tblShipments[[#This Row],[Ship date]]="","",IF(AND(tblShipments[[#This Row],[Ship date]]&gt;=FFrom,tblShipments[[#This Row],[Ship date]]&lt;=FTo),tblShipments[[#This Row],[Ship date]],""))</f>
        <v>46211</v>
      </c>
      <c r="W1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1" s="28" t="s">
        <v>144</v>
      </c>
    </row>
    <row r="12" spans="1:24">
      <c r="B12" s="34">
        <v>46212</v>
      </c>
      <c r="C12" s="28" t="s">
        <v>145</v>
      </c>
      <c r="D12" s="28" t="s">
        <v>87</v>
      </c>
      <c r="E12" s="28" t="s">
        <v>99</v>
      </c>
      <c r="F12" s="28" t="s">
        <v>110</v>
      </c>
      <c r="G12" s="35">
        <v>1480</v>
      </c>
      <c r="H12" s="35">
        <v>4</v>
      </c>
      <c r="I12" s="35">
        <v>958</v>
      </c>
      <c r="J12" s="36">
        <v>7696</v>
      </c>
      <c r="K12" s="36">
        <v>284</v>
      </c>
      <c r="L12" s="36">
        <v>32.66</v>
      </c>
      <c r="M12" s="36">
        <v>0</v>
      </c>
      <c r="N12" s="37">
        <f>IF(tblShipments[[#This Row],[Ship date]]="","",tblShipments[[#This Row],[Base charge]]+tblShipments[[#This Row],[Fuel surcharge]]+tblShipments[[#This Row],[Accessorials]])</f>
        <v>316.66</v>
      </c>
      <c r="O12" s="37">
        <f>IF(tblShipments[[#This Row],[Ship date]]="","",tblShipments[[#This Row],[Fuel surcharge]]+tblShipments[[#This Row],[Accessorials]])</f>
        <v>32.66</v>
      </c>
      <c r="P12" s="38">
        <f>IF(tblShipments[[#This Row],[Ship date]]="","",IF(tblShipments[[#This Row],[Units shipped]]&gt;0,tblShipments[[#This Row],[Total freight]]/tblShipments[[#This Row],[Units shipped]],""))</f>
        <v>0.213959459459459</v>
      </c>
      <c r="Q12" s="38">
        <f>IF(tblShipments[[#This Row],[Ship date]]="","",IF(tblShipments[[#This Row],[Units shipped]]&gt;0,tblShipments[[#This Row],[Fuel and extras]]/tblShipments[[#This Row],[Units shipped]],""))</f>
        <v>0.0220675675675676</v>
      </c>
      <c r="R12" s="39">
        <f>IF(tblShipments[[#This Row],[Ship date]]="","",IF(tblShipments[[#This Row],[Gross weight]]&gt;0,tblShipments[[#This Row],[Total freight]]/tblShipments[[#This Row],[Gross weight]],""))</f>
        <v>0.330542797494781</v>
      </c>
      <c r="S12" s="37">
        <f>IF(tblShipments[[#This Row],[Ship date]]="","",IF(tblShipments[[#This Row],[Pallets]]&gt;0,tblShipments[[#This Row],[Total freight]]/tblShipments[[#This Row],[Pallets]],""))</f>
        <v>79.165</v>
      </c>
      <c r="T12" s="40">
        <f>IF(tblShipments[[#This Row],[Ship date]]="","",IF(tblShipments[[#This Row],[Product value]]&gt;0,tblShipments[[#This Row],[Total freight]]/tblShipments[[#This Row],[Product value]],""))</f>
        <v>0.0411460498960499</v>
      </c>
      <c r="U12" s="41" t="str">
        <f>IF(NOT(ISNUMBER(tblShipments[[#This Row],[Freight share of value]])),"",IF(tblShipments[[#This Row],[Freight share of value]]&lt;=TargetPct,"On target",IF(tblShipments[[#This Row],[Freight share of value]]&lt;=TargetPct*(1+0.05),"Near target","Above target")))</f>
        <v>Near target</v>
      </c>
      <c r="V12" s="42">
        <f>IF(tblShipments[[#This Row],[Ship date]]="","",IF(AND(tblShipments[[#This Row],[Ship date]]&gt;=FFrom,tblShipments[[#This Row],[Ship date]]&lt;=FTo),tblShipments[[#This Row],[Ship date]],""))</f>
        <v>46212</v>
      </c>
      <c r="W1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2" s="28" t="s">
        <v>138</v>
      </c>
    </row>
    <row r="13" spans="1:24">
      <c r="B13" s="34">
        <v>46212</v>
      </c>
      <c r="C13" s="28" t="s">
        <v>146</v>
      </c>
      <c r="D13" s="28" t="s">
        <v>92</v>
      </c>
      <c r="E13" s="28" t="s">
        <v>103</v>
      </c>
      <c r="F13" s="28" t="s">
        <v>113</v>
      </c>
      <c r="G13" s="35">
        <v>1640</v>
      </c>
      <c r="H13" s="35">
        <v>4</v>
      </c>
      <c r="I13" s="35">
        <v>1002</v>
      </c>
      <c r="J13" s="36">
        <v>10496</v>
      </c>
      <c r="K13" s="36">
        <v>472</v>
      </c>
      <c r="L13" s="36">
        <v>54.28</v>
      </c>
      <c r="M13" s="36">
        <v>188</v>
      </c>
      <c r="N13" s="37">
        <f>IF(tblShipments[[#This Row],[Ship date]]="","",tblShipments[[#This Row],[Base charge]]+tblShipments[[#This Row],[Fuel surcharge]]+tblShipments[[#This Row],[Accessorials]])</f>
        <v>714.28</v>
      </c>
      <c r="O13" s="37">
        <f>IF(tblShipments[[#This Row],[Ship date]]="","",tblShipments[[#This Row],[Fuel surcharge]]+tblShipments[[#This Row],[Accessorials]])</f>
        <v>242.28</v>
      </c>
      <c r="P13" s="38">
        <f>IF(tblShipments[[#This Row],[Ship date]]="","",IF(tblShipments[[#This Row],[Units shipped]]&gt;0,tblShipments[[#This Row],[Total freight]]/tblShipments[[#This Row],[Units shipped]],""))</f>
        <v>0.435536585365854</v>
      </c>
      <c r="Q13" s="38">
        <f>IF(tblShipments[[#This Row],[Ship date]]="","",IF(tblShipments[[#This Row],[Units shipped]]&gt;0,tblShipments[[#This Row],[Fuel and extras]]/tblShipments[[#This Row],[Units shipped]],""))</f>
        <v>0.147731707317073</v>
      </c>
      <c r="R13" s="39">
        <f>IF(tblShipments[[#This Row],[Ship date]]="","",IF(tblShipments[[#This Row],[Gross weight]]&gt;0,tblShipments[[#This Row],[Total freight]]/tblShipments[[#This Row],[Gross weight]],""))</f>
        <v>0.712854291417166</v>
      </c>
      <c r="S13" s="37">
        <f>IF(tblShipments[[#This Row],[Ship date]]="","",IF(tblShipments[[#This Row],[Pallets]]&gt;0,tblShipments[[#This Row],[Total freight]]/tblShipments[[#This Row],[Pallets]],""))</f>
        <v>178.57</v>
      </c>
      <c r="T13" s="40">
        <f>IF(tblShipments[[#This Row],[Ship date]]="","",IF(tblShipments[[#This Row],[Product value]]&gt;0,tblShipments[[#This Row],[Total freight]]/tblShipments[[#This Row],[Product value]],""))</f>
        <v>0.0680525914634146</v>
      </c>
      <c r="U13" s="41" t="str">
        <f>IF(NOT(ISNUMBER(tblShipments[[#This Row],[Freight share of value]])),"",IF(tblShipments[[#This Row],[Freight share of value]]&lt;=TargetPct,"On target",IF(tblShipments[[#This Row],[Freight share of value]]&lt;=TargetPct*(1+0.05),"Near target","Above target")))</f>
        <v>Above target</v>
      </c>
      <c r="V13" s="42">
        <f>IF(tblShipments[[#This Row],[Ship date]]="","",IF(AND(tblShipments[[#This Row],[Ship date]]&gt;=FFrom,tblShipments[[#This Row],[Ship date]]&lt;=FTo),tblShipments[[#This Row],[Ship date]],""))</f>
        <v>46212</v>
      </c>
      <c r="W1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3" s="28" t="s">
        <v>147</v>
      </c>
    </row>
    <row r="14" spans="1:24">
      <c r="B14" s="34">
        <v>46212</v>
      </c>
      <c r="C14" s="28" t="s">
        <v>148</v>
      </c>
      <c r="D14" s="28" t="s">
        <v>95</v>
      </c>
      <c r="E14" s="28" t="s">
        <v>105</v>
      </c>
      <c r="F14" s="28" t="s">
        <v>115</v>
      </c>
      <c r="G14" s="35">
        <v>80</v>
      </c>
      <c r="H14" s="35">
        <v>0</v>
      </c>
      <c r="I14" s="35">
        <v>32</v>
      </c>
      <c r="J14" s="36">
        <v>880</v>
      </c>
      <c r="K14" s="36">
        <v>43.4</v>
      </c>
      <c r="L14" s="36">
        <v>3.91</v>
      </c>
      <c r="M14" s="36">
        <v>0</v>
      </c>
      <c r="N14" s="37">
        <f>IF(tblShipments[[#This Row],[Ship date]]="","",tblShipments[[#This Row],[Base charge]]+tblShipments[[#This Row],[Fuel surcharge]]+tblShipments[[#This Row],[Accessorials]])</f>
        <v>47.31</v>
      </c>
      <c r="O14" s="37">
        <f>IF(tblShipments[[#This Row],[Ship date]]="","",tblShipments[[#This Row],[Fuel surcharge]]+tblShipments[[#This Row],[Accessorials]])</f>
        <v>3.91</v>
      </c>
      <c r="P14" s="38">
        <f>IF(tblShipments[[#This Row],[Ship date]]="","",IF(tblShipments[[#This Row],[Units shipped]]&gt;0,tblShipments[[#This Row],[Total freight]]/tblShipments[[#This Row],[Units shipped]],""))</f>
        <v>0.591375</v>
      </c>
      <c r="Q14" s="38">
        <f>IF(tblShipments[[#This Row],[Ship date]]="","",IF(tblShipments[[#This Row],[Units shipped]]&gt;0,tblShipments[[#This Row],[Fuel and extras]]/tblShipments[[#This Row],[Units shipped]],""))</f>
        <v>0.048875</v>
      </c>
      <c r="R14" s="39">
        <f>IF(tblShipments[[#This Row],[Ship date]]="","",IF(tblShipments[[#This Row],[Gross weight]]&gt;0,tblShipments[[#This Row],[Total freight]]/tblShipments[[#This Row],[Gross weight]],""))</f>
        <v>1.4784375</v>
      </c>
      <c r="S14" s="37">
        <f>IF(tblShipments[[#This Row],[Ship date]]="","",IF(tblShipments[[#This Row],[Pallets]]&gt;0,tblShipments[[#This Row],[Total freight]]/tblShipments[[#This Row],[Pallets]],""))</f>
        <v/>
      </c>
      <c r="T14" s="40">
        <f>IF(tblShipments[[#This Row],[Ship date]]="","",IF(tblShipments[[#This Row],[Product value]]&gt;0,tblShipments[[#This Row],[Total freight]]/tblShipments[[#This Row],[Product value]],""))</f>
        <v>0.0537613636363636</v>
      </c>
      <c r="U14" s="41" t="str">
        <f>IF(NOT(ISNUMBER(tblShipments[[#This Row],[Freight share of value]])),"",IF(tblShipments[[#This Row],[Freight share of value]]&lt;=TargetPct,"On target",IF(tblShipments[[#This Row],[Freight share of value]]&lt;=TargetPct*(1+0.05),"Near target","Above target")))</f>
        <v>Above target</v>
      </c>
      <c r="V14" s="42">
        <f>IF(tblShipments[[#This Row],[Ship date]]="","",IF(AND(tblShipments[[#This Row],[Ship date]]&gt;=FFrom,tblShipments[[#This Row],[Ship date]]&lt;=FTo),tblShipments[[#This Row],[Ship date]],""))</f>
        <v>46212</v>
      </c>
      <c r="W1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4" s="28" t="s">
        <v>138</v>
      </c>
    </row>
    <row r="15" spans="1:24">
      <c r="B15" s="34">
        <v>46216</v>
      </c>
      <c r="C15" s="28" t="s">
        <v>149</v>
      </c>
      <c r="D15" s="28" t="s">
        <v>84</v>
      </c>
      <c r="E15" s="28" t="s">
        <v>102</v>
      </c>
      <c r="F15" s="28" t="s">
        <v>86</v>
      </c>
      <c r="G15" s="35">
        <v>760</v>
      </c>
      <c r="H15" s="35">
        <v>2</v>
      </c>
      <c r="I15" s="35">
        <v>491</v>
      </c>
      <c r="J15" s="36">
        <v>4408</v>
      </c>
      <c r="K15" s="36">
        <v>104</v>
      </c>
      <c r="L15" s="36">
        <v>11.96</v>
      </c>
      <c r="M15" s="36">
        <v>0</v>
      </c>
      <c r="N15" s="37">
        <f>IF(tblShipments[[#This Row],[Ship date]]="","",tblShipments[[#This Row],[Base charge]]+tblShipments[[#This Row],[Fuel surcharge]]+tblShipments[[#This Row],[Accessorials]])</f>
        <v>115.96</v>
      </c>
      <c r="O15" s="37">
        <f>IF(tblShipments[[#This Row],[Ship date]]="","",tblShipments[[#This Row],[Fuel surcharge]]+tblShipments[[#This Row],[Accessorials]])</f>
        <v>11.96</v>
      </c>
      <c r="P15" s="38">
        <f>IF(tblShipments[[#This Row],[Ship date]]="","",IF(tblShipments[[#This Row],[Units shipped]]&gt;0,tblShipments[[#This Row],[Total freight]]/tblShipments[[#This Row],[Units shipped]],""))</f>
        <v>0.152578947368421</v>
      </c>
      <c r="Q15" s="38">
        <f>IF(tblShipments[[#This Row],[Ship date]]="","",IF(tblShipments[[#This Row],[Units shipped]]&gt;0,tblShipments[[#This Row],[Fuel and extras]]/tblShipments[[#This Row],[Units shipped]],""))</f>
        <v>0.0157368421052632</v>
      </c>
      <c r="R15" s="39">
        <f>IF(tblShipments[[#This Row],[Ship date]]="","",IF(tblShipments[[#This Row],[Gross weight]]&gt;0,tblShipments[[#This Row],[Total freight]]/tblShipments[[#This Row],[Gross weight]],""))</f>
        <v>0.236171079429735</v>
      </c>
      <c r="S15" s="37">
        <f>IF(tblShipments[[#This Row],[Ship date]]="","",IF(tblShipments[[#This Row],[Pallets]]&gt;0,tblShipments[[#This Row],[Total freight]]/tblShipments[[#This Row],[Pallets]],""))</f>
        <v>57.98</v>
      </c>
      <c r="T15" s="40">
        <f>IF(tblShipments[[#This Row],[Ship date]]="","",IF(tblShipments[[#This Row],[Product value]]&gt;0,tblShipments[[#This Row],[Total freight]]/tblShipments[[#This Row],[Product value]],""))</f>
        <v>0.0263067150635209</v>
      </c>
      <c r="U15" s="41" t="str">
        <f>IF(NOT(ISNUMBER(tblShipments[[#This Row],[Freight share of value]])),"",IF(tblShipments[[#This Row],[Freight share of value]]&lt;=TargetPct,"On target",IF(tblShipments[[#This Row],[Freight share of value]]&lt;=TargetPct*(1+0.05),"Near target","Above target")))</f>
        <v>On target</v>
      </c>
      <c r="V15" s="42">
        <f>IF(tblShipments[[#This Row],[Ship date]]="","",IF(AND(tblShipments[[#This Row],[Ship date]]&gt;=FFrom,tblShipments[[#This Row],[Ship date]]&lt;=FTo),tblShipments[[#This Row],[Ship date]],""))</f>
        <v>46216</v>
      </c>
      <c r="W1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5" s="28" t="s">
        <v>138</v>
      </c>
    </row>
    <row r="16" spans="1:24">
      <c r="B16" s="34">
        <v>46216</v>
      </c>
      <c r="C16" s="28" t="s">
        <v>150</v>
      </c>
      <c r="D16" s="28" t="s">
        <v>95</v>
      </c>
      <c r="E16" s="28" t="s">
        <v>105</v>
      </c>
      <c r="F16" s="28" t="s">
        <v>115</v>
      </c>
      <c r="G16" s="35">
        <v>120</v>
      </c>
      <c r="H16" s="35">
        <v>0</v>
      </c>
      <c r="I16" s="35">
        <v>48</v>
      </c>
      <c r="J16" s="36">
        <v>1320</v>
      </c>
      <c r="K16" s="36">
        <v>62</v>
      </c>
      <c r="L16" s="36">
        <v>5.58</v>
      </c>
      <c r="M16" s="36">
        <v>0</v>
      </c>
      <c r="N16" s="37">
        <f>IF(tblShipments[[#This Row],[Ship date]]="","",tblShipments[[#This Row],[Base charge]]+tblShipments[[#This Row],[Fuel surcharge]]+tblShipments[[#This Row],[Accessorials]])</f>
        <v>67.58</v>
      </c>
      <c r="O16" s="37">
        <f>IF(tblShipments[[#This Row],[Ship date]]="","",tblShipments[[#This Row],[Fuel surcharge]]+tblShipments[[#This Row],[Accessorials]])</f>
        <v>5.58</v>
      </c>
      <c r="P16" s="38">
        <f>IF(tblShipments[[#This Row],[Ship date]]="","",IF(tblShipments[[#This Row],[Units shipped]]&gt;0,tblShipments[[#This Row],[Total freight]]/tblShipments[[#This Row],[Units shipped]],""))</f>
        <v>0.563166666666667</v>
      </c>
      <c r="Q16" s="38">
        <f>IF(tblShipments[[#This Row],[Ship date]]="","",IF(tblShipments[[#This Row],[Units shipped]]&gt;0,tblShipments[[#This Row],[Fuel and extras]]/tblShipments[[#This Row],[Units shipped]],""))</f>
        <v>0.0465</v>
      </c>
      <c r="R16" s="39">
        <f>IF(tblShipments[[#This Row],[Ship date]]="","",IF(tblShipments[[#This Row],[Gross weight]]&gt;0,tblShipments[[#This Row],[Total freight]]/tblShipments[[#This Row],[Gross weight]],""))</f>
        <v>1.40791666666667</v>
      </c>
      <c r="S16" s="37">
        <f>IF(tblShipments[[#This Row],[Ship date]]="","",IF(tblShipments[[#This Row],[Pallets]]&gt;0,tblShipments[[#This Row],[Total freight]]/tblShipments[[#This Row],[Pallets]],""))</f>
        <v/>
      </c>
      <c r="T16" s="40">
        <f>IF(tblShipments[[#This Row],[Ship date]]="","",IF(tblShipments[[#This Row],[Product value]]&gt;0,tblShipments[[#This Row],[Total freight]]/tblShipments[[#This Row],[Product value]],""))</f>
        <v>0.0511969696969697</v>
      </c>
      <c r="U16" s="41" t="str">
        <f>IF(NOT(ISNUMBER(tblShipments[[#This Row],[Freight share of value]])),"",IF(tblShipments[[#This Row],[Freight share of value]]&lt;=TargetPct,"On target",IF(tblShipments[[#This Row],[Freight share of value]]&lt;=TargetPct*(1+0.05),"Near target","Above target")))</f>
        <v>Above target</v>
      </c>
      <c r="V16" s="42">
        <f>IF(tblShipments[[#This Row],[Ship date]]="","",IF(AND(tblShipments[[#This Row],[Ship date]]&gt;=FFrom,tblShipments[[#This Row],[Ship date]]&lt;=FTo),tblShipments[[#This Row],[Ship date]],""))</f>
        <v>46216</v>
      </c>
      <c r="W1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6" s="28" t="s">
        <v>138</v>
      </c>
    </row>
    <row r="17" spans="2:24">
      <c r="B17" s="34">
        <v>46217</v>
      </c>
      <c r="C17" s="28" t="s">
        <v>151</v>
      </c>
      <c r="D17" s="28" t="s">
        <v>87</v>
      </c>
      <c r="E17" s="28" t="s">
        <v>102</v>
      </c>
      <c r="F17" s="28" t="s">
        <v>86</v>
      </c>
      <c r="G17" s="35">
        <v>1290</v>
      </c>
      <c r="H17" s="35">
        <v>3</v>
      </c>
      <c r="I17" s="35">
        <v>823</v>
      </c>
      <c r="J17" s="36">
        <v>6708</v>
      </c>
      <c r="K17" s="36">
        <v>252</v>
      </c>
      <c r="L17" s="36">
        <v>28.98</v>
      </c>
      <c r="M17" s="36">
        <v>0</v>
      </c>
      <c r="N17" s="37">
        <f>IF(tblShipments[[#This Row],[Ship date]]="","",tblShipments[[#This Row],[Base charge]]+tblShipments[[#This Row],[Fuel surcharge]]+tblShipments[[#This Row],[Accessorials]])</f>
        <v>280.98</v>
      </c>
      <c r="O17" s="37">
        <f>IF(tblShipments[[#This Row],[Ship date]]="","",tblShipments[[#This Row],[Fuel surcharge]]+tblShipments[[#This Row],[Accessorials]])</f>
        <v>28.98</v>
      </c>
      <c r="P17" s="38">
        <f>IF(tblShipments[[#This Row],[Ship date]]="","",IF(tblShipments[[#This Row],[Units shipped]]&gt;0,tblShipments[[#This Row],[Total freight]]/tblShipments[[#This Row],[Units shipped]],""))</f>
        <v>0.217813953488372</v>
      </c>
      <c r="Q17" s="38">
        <f>IF(tblShipments[[#This Row],[Ship date]]="","",IF(tblShipments[[#This Row],[Units shipped]]&gt;0,tblShipments[[#This Row],[Fuel and extras]]/tblShipments[[#This Row],[Units shipped]],""))</f>
        <v>0.0224651162790698</v>
      </c>
      <c r="R17" s="39">
        <f>IF(tblShipments[[#This Row],[Ship date]]="","",IF(tblShipments[[#This Row],[Gross weight]]&gt;0,tblShipments[[#This Row],[Total freight]]/tblShipments[[#This Row],[Gross weight]],""))</f>
        <v>0.341409477521264</v>
      </c>
      <c r="S17" s="37">
        <f>IF(tblShipments[[#This Row],[Ship date]]="","",IF(tblShipments[[#This Row],[Pallets]]&gt;0,tblShipments[[#This Row],[Total freight]]/tblShipments[[#This Row],[Pallets]],""))</f>
        <v>93.66</v>
      </c>
      <c r="T17" s="40">
        <f>IF(tblShipments[[#This Row],[Ship date]]="","",IF(tblShipments[[#This Row],[Product value]]&gt;0,tblShipments[[#This Row],[Total freight]]/tblShipments[[#This Row],[Product value]],""))</f>
        <v>0.0418872987477639</v>
      </c>
      <c r="U17" s="41" t="str">
        <f>IF(NOT(ISNUMBER(tblShipments[[#This Row],[Freight share of value]])),"",IF(tblShipments[[#This Row],[Freight share of value]]&lt;=TargetPct,"On target",IF(tblShipments[[#This Row],[Freight share of value]]&lt;=TargetPct*(1+0.05),"Near target","Above target")))</f>
        <v>Near target</v>
      </c>
      <c r="V17" s="42">
        <f>IF(tblShipments[[#This Row],[Ship date]]="","",IF(AND(tblShipments[[#This Row],[Ship date]]&gt;=FFrom,tblShipments[[#This Row],[Ship date]]&lt;=FTo),tblShipments[[#This Row],[Ship date]],""))</f>
        <v>46217</v>
      </c>
      <c r="W1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7" s="28" t="s">
        <v>138</v>
      </c>
    </row>
    <row r="18" spans="2:24">
      <c r="B18" s="34">
        <v>46217</v>
      </c>
      <c r="C18" s="28" t="s">
        <v>152</v>
      </c>
      <c r="D18" s="28" t="s">
        <v>80</v>
      </c>
      <c r="E18" s="28" t="s">
        <v>99</v>
      </c>
      <c r="F18" s="28" t="s">
        <v>108</v>
      </c>
      <c r="G18" s="35">
        <v>10920</v>
      </c>
      <c r="H18" s="35">
        <v>26</v>
      </c>
      <c r="I18" s="35">
        <v>6328</v>
      </c>
      <c r="J18" s="36">
        <v>44772</v>
      </c>
      <c r="K18" s="36">
        <v>640</v>
      </c>
      <c r="L18" s="36">
        <v>73.59999999999999</v>
      </c>
      <c r="M18" s="36">
        <v>0</v>
      </c>
      <c r="N18" s="37">
        <f>IF(tblShipments[[#This Row],[Ship date]]="","",tblShipments[[#This Row],[Base charge]]+tblShipments[[#This Row],[Fuel surcharge]]+tblShipments[[#This Row],[Accessorials]])</f>
        <v>713.6</v>
      </c>
      <c r="O18" s="37">
        <f>IF(tblShipments[[#This Row],[Ship date]]="","",tblShipments[[#This Row],[Fuel surcharge]]+tblShipments[[#This Row],[Accessorials]])</f>
        <v>73.6</v>
      </c>
      <c r="P18" s="38">
        <f>IF(tblShipments[[#This Row],[Ship date]]="","",IF(tblShipments[[#This Row],[Units shipped]]&gt;0,tblShipments[[#This Row],[Total freight]]/tblShipments[[#This Row],[Units shipped]],""))</f>
        <v>0.0653479853479854</v>
      </c>
      <c r="Q18" s="38">
        <f>IF(tblShipments[[#This Row],[Ship date]]="","",IF(tblShipments[[#This Row],[Units shipped]]&gt;0,tblShipments[[#This Row],[Fuel and extras]]/tblShipments[[#This Row],[Units shipped]],""))</f>
        <v>0.00673992673992674</v>
      </c>
      <c r="R18" s="39">
        <f>IF(tblShipments[[#This Row],[Ship date]]="","",IF(tblShipments[[#This Row],[Gross weight]]&gt;0,tblShipments[[#This Row],[Total freight]]/tblShipments[[#This Row],[Gross weight]],""))</f>
        <v>0.112768647281922</v>
      </c>
      <c r="S18" s="37">
        <f>IF(tblShipments[[#This Row],[Ship date]]="","",IF(tblShipments[[#This Row],[Pallets]]&gt;0,tblShipments[[#This Row],[Total freight]]/tblShipments[[#This Row],[Pallets]],""))</f>
        <v>27.4461538461538</v>
      </c>
      <c r="T18" s="40">
        <f>IF(tblShipments[[#This Row],[Ship date]]="","",IF(tblShipments[[#This Row],[Product value]]&gt;0,tblShipments[[#This Row],[Total freight]]/tblShipments[[#This Row],[Product value]],""))</f>
        <v>0.0159385330117037</v>
      </c>
      <c r="U18" s="41" t="str">
        <f>IF(NOT(ISNUMBER(tblShipments[[#This Row],[Freight share of value]])),"",IF(tblShipments[[#This Row],[Freight share of value]]&lt;=TargetPct,"On target",IF(tblShipments[[#This Row],[Freight share of value]]&lt;=TargetPct*(1+0.05),"Near target","Above target")))</f>
        <v>On target</v>
      </c>
      <c r="V18" s="42">
        <f>IF(tblShipments[[#This Row],[Ship date]]="","",IF(AND(tblShipments[[#This Row],[Ship date]]&gt;=FFrom,tblShipments[[#This Row],[Ship date]]&lt;=FTo),tblShipments[[#This Row],[Ship date]],""))</f>
        <v>46217</v>
      </c>
      <c r="W1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8" s="28" t="s">
        <v>138</v>
      </c>
    </row>
    <row r="19" spans="2:24">
      <c r="B19" s="34">
        <v>46218</v>
      </c>
      <c r="C19" s="28" t="s">
        <v>153</v>
      </c>
      <c r="D19" s="28" t="s">
        <v>90</v>
      </c>
      <c r="E19" s="28" t="s">
        <v>102</v>
      </c>
      <c r="F19" s="28" t="s">
        <v>86</v>
      </c>
      <c r="G19" s="35">
        <v>700</v>
      </c>
      <c r="H19" s="35">
        <v>2</v>
      </c>
      <c r="I19" s="35">
        <v>456</v>
      </c>
      <c r="J19" s="36">
        <v>3920</v>
      </c>
      <c r="K19" s="36">
        <v>122</v>
      </c>
      <c r="L19" s="36">
        <v>14.03</v>
      </c>
      <c r="M19" s="36">
        <v>0</v>
      </c>
      <c r="N19" s="37">
        <f>IF(tblShipments[[#This Row],[Ship date]]="","",tblShipments[[#This Row],[Base charge]]+tblShipments[[#This Row],[Fuel surcharge]]+tblShipments[[#This Row],[Accessorials]])</f>
        <v>136.03</v>
      </c>
      <c r="O19" s="37">
        <f>IF(tblShipments[[#This Row],[Ship date]]="","",tblShipments[[#This Row],[Fuel surcharge]]+tblShipments[[#This Row],[Accessorials]])</f>
        <v>14.03</v>
      </c>
      <c r="P19" s="38">
        <f>IF(tblShipments[[#This Row],[Ship date]]="","",IF(tblShipments[[#This Row],[Units shipped]]&gt;0,tblShipments[[#This Row],[Total freight]]/tblShipments[[#This Row],[Units shipped]],""))</f>
        <v>0.194328571428571</v>
      </c>
      <c r="Q19" s="38">
        <f>IF(tblShipments[[#This Row],[Ship date]]="","",IF(tblShipments[[#This Row],[Units shipped]]&gt;0,tblShipments[[#This Row],[Fuel and extras]]/tblShipments[[#This Row],[Units shipped]],""))</f>
        <v>0.0200428571428571</v>
      </c>
      <c r="R19" s="39">
        <f>IF(tblShipments[[#This Row],[Ship date]]="","",IF(tblShipments[[#This Row],[Gross weight]]&gt;0,tblShipments[[#This Row],[Total freight]]/tblShipments[[#This Row],[Gross weight]],""))</f>
        <v>0.298311403508772</v>
      </c>
      <c r="S19" s="37">
        <f>IF(tblShipments[[#This Row],[Ship date]]="","",IF(tblShipments[[#This Row],[Pallets]]&gt;0,tblShipments[[#This Row],[Total freight]]/tblShipments[[#This Row],[Pallets]],""))</f>
        <v>68.015</v>
      </c>
      <c r="T19" s="40">
        <f>IF(tblShipments[[#This Row],[Ship date]]="","",IF(tblShipments[[#This Row],[Product value]]&gt;0,tblShipments[[#This Row],[Total freight]]/tblShipments[[#This Row],[Product value]],""))</f>
        <v>0.0347015306122449</v>
      </c>
      <c r="U19" s="41" t="str">
        <f>IF(NOT(ISNUMBER(tblShipments[[#This Row],[Freight share of value]])),"",IF(tblShipments[[#This Row],[Freight share of value]]&lt;=TargetPct,"On target",IF(tblShipments[[#This Row],[Freight share of value]]&lt;=TargetPct*(1+0.05),"Near target","Above target")))</f>
        <v>On target</v>
      </c>
      <c r="V19" s="42">
        <f>IF(tblShipments[[#This Row],[Ship date]]="","",IF(AND(tblShipments[[#This Row],[Ship date]]&gt;=FFrom,tblShipments[[#This Row],[Ship date]]&lt;=FTo),tblShipments[[#This Row],[Ship date]],""))</f>
        <v>46218</v>
      </c>
      <c r="W1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9" s="28" t="s">
        <v>138</v>
      </c>
    </row>
    <row r="20" spans="2:24">
      <c r="B20" s="34">
        <v>46219</v>
      </c>
      <c r="C20" s="28" t="s">
        <v>154</v>
      </c>
      <c r="D20" s="28" t="s">
        <v>87</v>
      </c>
      <c r="E20" s="28" t="s">
        <v>99</v>
      </c>
      <c r="F20" s="28" t="s">
        <v>110</v>
      </c>
      <c r="G20" s="35">
        <v>1020</v>
      </c>
      <c r="H20" s="35">
        <v>3</v>
      </c>
      <c r="I20" s="35">
        <v>667</v>
      </c>
      <c r="J20" s="36">
        <v>5304</v>
      </c>
      <c r="K20" s="36">
        <v>213</v>
      </c>
      <c r="L20" s="36">
        <v>24.5</v>
      </c>
      <c r="M20" s="36">
        <v>0</v>
      </c>
      <c r="N20" s="37">
        <f>IF(tblShipments[[#This Row],[Ship date]]="","",tblShipments[[#This Row],[Base charge]]+tblShipments[[#This Row],[Fuel surcharge]]+tblShipments[[#This Row],[Accessorials]])</f>
        <v>237.5</v>
      </c>
      <c r="O20" s="37">
        <f>IF(tblShipments[[#This Row],[Ship date]]="","",tblShipments[[#This Row],[Fuel surcharge]]+tblShipments[[#This Row],[Accessorials]])</f>
        <v>24.5</v>
      </c>
      <c r="P20" s="38">
        <f>IF(tblShipments[[#This Row],[Ship date]]="","",IF(tblShipments[[#This Row],[Units shipped]]&gt;0,tblShipments[[#This Row],[Total freight]]/tblShipments[[#This Row],[Units shipped]],""))</f>
        <v>0.232843137254902</v>
      </c>
      <c r="Q20" s="38">
        <f>IF(tblShipments[[#This Row],[Ship date]]="","",IF(tblShipments[[#This Row],[Units shipped]]&gt;0,tblShipments[[#This Row],[Fuel and extras]]/tblShipments[[#This Row],[Units shipped]],""))</f>
        <v>0.0240196078431373</v>
      </c>
      <c r="R20" s="39">
        <f>IF(tblShipments[[#This Row],[Ship date]]="","",IF(tblShipments[[#This Row],[Gross weight]]&gt;0,tblShipments[[#This Row],[Total freight]]/tblShipments[[#This Row],[Gross weight]],""))</f>
        <v>0.356071964017991</v>
      </c>
      <c r="S20" s="37">
        <f>IF(tblShipments[[#This Row],[Ship date]]="","",IF(tblShipments[[#This Row],[Pallets]]&gt;0,tblShipments[[#This Row],[Total freight]]/tblShipments[[#This Row],[Pallets]],""))</f>
        <v>79.1666666666667</v>
      </c>
      <c r="T20" s="40">
        <f>IF(tblShipments[[#This Row],[Ship date]]="","",IF(tblShipments[[#This Row],[Product value]]&gt;0,tblShipments[[#This Row],[Total freight]]/tblShipments[[#This Row],[Product value]],""))</f>
        <v>0.0447775263951735</v>
      </c>
      <c r="U20" s="41" t="str">
        <f>IF(NOT(ISNUMBER(tblShipments[[#This Row],[Freight share of value]])),"",IF(tblShipments[[#This Row],[Freight share of value]]&lt;=TargetPct,"On target",IF(tblShipments[[#This Row],[Freight share of value]]&lt;=TargetPct*(1+0.05),"Near target","Above target")))</f>
        <v>Above target</v>
      </c>
      <c r="V20" s="42">
        <f>IF(tblShipments[[#This Row],[Ship date]]="","",IF(AND(tblShipments[[#This Row],[Ship date]]&gt;=FFrom,tblShipments[[#This Row],[Ship date]]&lt;=FTo),tblShipments[[#This Row],[Ship date]],""))</f>
        <v>46219</v>
      </c>
      <c r="W2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0" s="28" t="s">
        <v>138</v>
      </c>
    </row>
    <row r="21" spans="2:24">
      <c r="B21" s="34">
        <v>46219</v>
      </c>
      <c r="C21" s="28" t="s">
        <v>155</v>
      </c>
      <c r="D21" s="28" t="s">
        <v>92</v>
      </c>
      <c r="E21" s="28" t="s">
        <v>103</v>
      </c>
      <c r="F21" s="28" t="s">
        <v>113</v>
      </c>
      <c r="G21" s="35">
        <v>2100</v>
      </c>
      <c r="H21" s="35">
        <v>5</v>
      </c>
      <c r="I21" s="35">
        <v>1280</v>
      </c>
      <c r="J21" s="36">
        <v>13440</v>
      </c>
      <c r="K21" s="36">
        <v>590</v>
      </c>
      <c r="L21" s="36">
        <v>67.84999999999999</v>
      </c>
      <c r="M21" s="36">
        <v>175</v>
      </c>
      <c r="N21" s="37">
        <f>IF(tblShipments[[#This Row],[Ship date]]="","",tblShipments[[#This Row],[Base charge]]+tblShipments[[#This Row],[Fuel surcharge]]+tblShipments[[#This Row],[Accessorials]])</f>
        <v>832.85</v>
      </c>
      <c r="O21" s="37">
        <f>IF(tblShipments[[#This Row],[Ship date]]="","",tblShipments[[#This Row],[Fuel surcharge]]+tblShipments[[#This Row],[Accessorials]])</f>
        <v>242.85</v>
      </c>
      <c r="P21" s="38">
        <f>IF(tblShipments[[#This Row],[Ship date]]="","",IF(tblShipments[[#This Row],[Units shipped]]&gt;0,tblShipments[[#This Row],[Total freight]]/tblShipments[[#This Row],[Units shipped]],""))</f>
        <v>0.396595238095238</v>
      </c>
      <c r="Q21" s="38">
        <f>IF(tblShipments[[#This Row],[Ship date]]="","",IF(tblShipments[[#This Row],[Units shipped]]&gt;0,tblShipments[[#This Row],[Fuel and extras]]/tblShipments[[#This Row],[Units shipped]],""))</f>
        <v>0.115642857142857</v>
      </c>
      <c r="R21" s="39">
        <f>IF(tblShipments[[#This Row],[Ship date]]="","",IF(tblShipments[[#This Row],[Gross weight]]&gt;0,tblShipments[[#This Row],[Total freight]]/tblShipments[[#This Row],[Gross weight]],""))</f>
        <v>0.6506640625</v>
      </c>
      <c r="S21" s="37">
        <f>IF(tblShipments[[#This Row],[Ship date]]="","",IF(tblShipments[[#This Row],[Pallets]]&gt;0,tblShipments[[#This Row],[Total freight]]/tblShipments[[#This Row],[Pallets]],""))</f>
        <v>166.57</v>
      </c>
      <c r="T21" s="40">
        <f>IF(tblShipments[[#This Row],[Ship date]]="","",IF(tblShipments[[#This Row],[Product value]]&gt;0,tblShipments[[#This Row],[Total freight]]/tblShipments[[#This Row],[Product value]],""))</f>
        <v>0.061968005952381</v>
      </c>
      <c r="U21" s="41" t="str">
        <f>IF(NOT(ISNUMBER(tblShipments[[#This Row],[Freight share of value]])),"",IF(tblShipments[[#This Row],[Freight share of value]]&lt;=TargetPct,"On target",IF(tblShipments[[#This Row],[Freight share of value]]&lt;=TargetPct*(1+0.05),"Near target","Above target")))</f>
        <v>Above target</v>
      </c>
      <c r="V21" s="42">
        <f>IF(tblShipments[[#This Row],[Ship date]]="","",IF(AND(tblShipments[[#This Row],[Ship date]]&gt;=FFrom,tblShipments[[#This Row],[Ship date]]&lt;=FTo),tblShipments[[#This Row],[Ship date]],""))</f>
        <v>46219</v>
      </c>
      <c r="W2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1" s="28" t="s">
        <v>147</v>
      </c>
    </row>
    <row r="22" spans="2:24">
      <c r="B22" s="34">
        <v>46219</v>
      </c>
      <c r="C22" s="28" t="s">
        <v>156</v>
      </c>
      <c r="D22" s="28" t="s">
        <v>95</v>
      </c>
      <c r="E22" s="28" t="s">
        <v>105</v>
      </c>
      <c r="F22" s="28" t="s">
        <v>115</v>
      </c>
      <c r="G22" s="35">
        <v>80</v>
      </c>
      <c r="H22" s="35">
        <v>0</v>
      </c>
      <c r="I22" s="35">
        <v>32</v>
      </c>
      <c r="J22" s="36">
        <v>880</v>
      </c>
      <c r="K22" s="36">
        <v>43.4</v>
      </c>
      <c r="L22" s="36">
        <v>3.91</v>
      </c>
      <c r="M22" s="36">
        <v>0</v>
      </c>
      <c r="N22" s="37">
        <f>IF(tblShipments[[#This Row],[Ship date]]="","",tblShipments[[#This Row],[Base charge]]+tblShipments[[#This Row],[Fuel surcharge]]+tblShipments[[#This Row],[Accessorials]])</f>
        <v>47.31</v>
      </c>
      <c r="O22" s="37">
        <f>IF(tblShipments[[#This Row],[Ship date]]="","",tblShipments[[#This Row],[Fuel surcharge]]+tblShipments[[#This Row],[Accessorials]])</f>
        <v>3.91</v>
      </c>
      <c r="P22" s="38">
        <f>IF(tblShipments[[#This Row],[Ship date]]="","",IF(tblShipments[[#This Row],[Units shipped]]&gt;0,tblShipments[[#This Row],[Total freight]]/tblShipments[[#This Row],[Units shipped]],""))</f>
        <v>0.591375</v>
      </c>
      <c r="Q22" s="38">
        <f>IF(tblShipments[[#This Row],[Ship date]]="","",IF(tblShipments[[#This Row],[Units shipped]]&gt;0,tblShipments[[#This Row],[Fuel and extras]]/tblShipments[[#This Row],[Units shipped]],""))</f>
        <v>0.048875</v>
      </c>
      <c r="R22" s="39">
        <f>IF(tblShipments[[#This Row],[Ship date]]="","",IF(tblShipments[[#This Row],[Gross weight]]&gt;0,tblShipments[[#This Row],[Total freight]]/tblShipments[[#This Row],[Gross weight]],""))</f>
        <v>1.4784375</v>
      </c>
      <c r="S22" s="37">
        <f>IF(tblShipments[[#This Row],[Ship date]]="","",IF(tblShipments[[#This Row],[Pallets]]&gt;0,tblShipments[[#This Row],[Total freight]]/tblShipments[[#This Row],[Pallets]],""))</f>
        <v/>
      </c>
      <c r="T22" s="40">
        <f>IF(tblShipments[[#This Row],[Ship date]]="","",IF(tblShipments[[#This Row],[Product value]]&gt;0,tblShipments[[#This Row],[Total freight]]/tblShipments[[#This Row],[Product value]],""))</f>
        <v>0.0537613636363636</v>
      </c>
      <c r="U22" s="41" t="str">
        <f>IF(NOT(ISNUMBER(tblShipments[[#This Row],[Freight share of value]])),"",IF(tblShipments[[#This Row],[Freight share of value]]&lt;=TargetPct,"On target",IF(tblShipments[[#This Row],[Freight share of value]]&lt;=TargetPct*(1+0.05),"Near target","Above target")))</f>
        <v>Above target</v>
      </c>
      <c r="V22" s="42">
        <f>IF(tblShipments[[#This Row],[Ship date]]="","",IF(AND(tblShipments[[#This Row],[Ship date]]&gt;=FFrom,tblShipments[[#This Row],[Ship date]]&lt;=FTo),tblShipments[[#This Row],[Ship date]],""))</f>
        <v>46219</v>
      </c>
      <c r="W2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2" s="28" t="s">
        <v>138</v>
      </c>
    </row>
    <row r="23" spans="2:24">
      <c r="B23" s="34">
        <v>46223</v>
      </c>
      <c r="C23" s="28" t="s">
        <v>157</v>
      </c>
      <c r="D23" s="28" t="s">
        <v>84</v>
      </c>
      <c r="E23" s="28" t="s">
        <v>102</v>
      </c>
      <c r="F23" s="28" t="s">
        <v>86</v>
      </c>
      <c r="G23" s="35">
        <v>450</v>
      </c>
      <c r="H23" s="35">
        <v>1</v>
      </c>
      <c r="I23" s="35">
        <v>286</v>
      </c>
      <c r="J23" s="36">
        <v>2610</v>
      </c>
      <c r="K23" s="36">
        <v>52</v>
      </c>
      <c r="L23" s="36">
        <v>5.98</v>
      </c>
      <c r="M23" s="36">
        <v>0</v>
      </c>
      <c r="N23" s="37">
        <f>IF(tblShipments[[#This Row],[Ship date]]="","",tblShipments[[#This Row],[Base charge]]+tblShipments[[#This Row],[Fuel surcharge]]+tblShipments[[#This Row],[Accessorials]])</f>
        <v>57.98</v>
      </c>
      <c r="O23" s="37">
        <f>IF(tblShipments[[#This Row],[Ship date]]="","",tblShipments[[#This Row],[Fuel surcharge]]+tblShipments[[#This Row],[Accessorials]])</f>
        <v>5.98</v>
      </c>
      <c r="P23" s="38">
        <f>IF(tblShipments[[#This Row],[Ship date]]="","",IF(tblShipments[[#This Row],[Units shipped]]&gt;0,tblShipments[[#This Row],[Total freight]]/tblShipments[[#This Row],[Units shipped]],""))</f>
        <v>0.128844444444444</v>
      </c>
      <c r="Q23" s="38">
        <f>IF(tblShipments[[#This Row],[Ship date]]="","",IF(tblShipments[[#This Row],[Units shipped]]&gt;0,tblShipments[[#This Row],[Fuel and extras]]/tblShipments[[#This Row],[Units shipped]],""))</f>
        <v>0.0132888888888889</v>
      </c>
      <c r="R23" s="39">
        <f>IF(tblShipments[[#This Row],[Ship date]]="","",IF(tblShipments[[#This Row],[Gross weight]]&gt;0,tblShipments[[#This Row],[Total freight]]/tblShipments[[#This Row],[Gross weight]],""))</f>
        <v>0.202727272727273</v>
      </c>
      <c r="S23" s="37">
        <f>IF(tblShipments[[#This Row],[Ship date]]="","",IF(tblShipments[[#This Row],[Pallets]]&gt;0,tblShipments[[#This Row],[Total freight]]/tblShipments[[#This Row],[Pallets]],""))</f>
        <v>57.98</v>
      </c>
      <c r="T23" s="40">
        <f>IF(tblShipments[[#This Row],[Ship date]]="","",IF(tblShipments[[#This Row],[Product value]]&gt;0,tblShipments[[#This Row],[Total freight]]/tblShipments[[#This Row],[Product value]],""))</f>
        <v>0.0222145593869732</v>
      </c>
      <c r="U23" s="41" t="str">
        <f>IF(NOT(ISNUMBER(tblShipments[[#This Row],[Freight share of value]])),"",IF(tblShipments[[#This Row],[Freight share of value]]&lt;=TargetPct,"On target",IF(tblShipments[[#This Row],[Freight share of value]]&lt;=TargetPct*(1+0.05),"Near target","Above target")))</f>
        <v>On target</v>
      </c>
      <c r="V23" s="42">
        <f>IF(tblShipments[[#This Row],[Ship date]]="","",IF(AND(tblShipments[[#This Row],[Ship date]]&gt;=FFrom,tblShipments[[#This Row],[Ship date]]&lt;=FTo),tblShipments[[#This Row],[Ship date]],""))</f>
        <v>46223</v>
      </c>
      <c r="W2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3" s="28" t="s">
        <v>138</v>
      </c>
    </row>
    <row r="24" spans="2:24">
      <c r="B24" s="34">
        <v>46223</v>
      </c>
      <c r="C24" s="28" t="s">
        <v>158</v>
      </c>
      <c r="D24" s="28" t="s">
        <v>95</v>
      </c>
      <c r="E24" s="28" t="s">
        <v>105</v>
      </c>
      <c r="F24" s="28" t="s">
        <v>115</v>
      </c>
      <c r="G24" s="35">
        <v>220</v>
      </c>
      <c r="H24" s="35">
        <v>0</v>
      </c>
      <c r="I24" s="35">
        <v>88</v>
      </c>
      <c r="J24" s="36">
        <v>2420</v>
      </c>
      <c r="K24" s="36">
        <v>117.8</v>
      </c>
      <c r="L24" s="36">
        <v>10.6</v>
      </c>
      <c r="M24" s="36">
        <v>0</v>
      </c>
      <c r="N24" s="37">
        <f>IF(tblShipments[[#This Row],[Ship date]]="","",tblShipments[[#This Row],[Base charge]]+tblShipments[[#This Row],[Fuel surcharge]]+tblShipments[[#This Row],[Accessorials]])</f>
        <v>128.4</v>
      </c>
      <c r="O24" s="37">
        <f>IF(tblShipments[[#This Row],[Ship date]]="","",tblShipments[[#This Row],[Fuel surcharge]]+tblShipments[[#This Row],[Accessorials]])</f>
        <v>10.6</v>
      </c>
      <c r="P24" s="38">
        <f>IF(tblShipments[[#This Row],[Ship date]]="","",IF(tblShipments[[#This Row],[Units shipped]]&gt;0,tblShipments[[#This Row],[Total freight]]/tblShipments[[#This Row],[Units shipped]],""))</f>
        <v>0.583636363636364</v>
      </c>
      <c r="Q24" s="38">
        <f>IF(tblShipments[[#This Row],[Ship date]]="","",IF(tblShipments[[#This Row],[Units shipped]]&gt;0,tblShipments[[#This Row],[Fuel and extras]]/tblShipments[[#This Row],[Units shipped]],""))</f>
        <v>0.0481818181818182</v>
      </c>
      <c r="R24" s="39">
        <f>IF(tblShipments[[#This Row],[Ship date]]="","",IF(tblShipments[[#This Row],[Gross weight]]&gt;0,tblShipments[[#This Row],[Total freight]]/tblShipments[[#This Row],[Gross weight]],""))</f>
        <v>1.45909090909091</v>
      </c>
      <c r="S24" s="37">
        <f>IF(tblShipments[[#This Row],[Ship date]]="","",IF(tblShipments[[#This Row],[Pallets]]&gt;0,tblShipments[[#This Row],[Total freight]]/tblShipments[[#This Row],[Pallets]],""))</f>
        <v/>
      </c>
      <c r="T24" s="40">
        <f>IF(tblShipments[[#This Row],[Ship date]]="","",IF(tblShipments[[#This Row],[Product value]]&gt;0,tblShipments[[#This Row],[Total freight]]/tblShipments[[#This Row],[Product value]],""))</f>
        <v>0.0530578512396694</v>
      </c>
      <c r="U24" s="41" t="str">
        <f>IF(NOT(ISNUMBER(tblShipments[[#This Row],[Freight share of value]])),"",IF(tblShipments[[#This Row],[Freight share of value]]&lt;=TargetPct,"On target",IF(tblShipments[[#This Row],[Freight share of value]]&lt;=TargetPct*(1+0.05),"Near target","Above target")))</f>
        <v>Above target</v>
      </c>
      <c r="V24" s="42">
        <f>IF(tblShipments[[#This Row],[Ship date]]="","",IF(AND(tblShipments[[#This Row],[Ship date]]&gt;=FFrom,tblShipments[[#This Row],[Ship date]]&lt;=FTo),tblShipments[[#This Row],[Ship date]],""))</f>
        <v>46223</v>
      </c>
      <c r="W2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4" s="28" t="s">
        <v>138</v>
      </c>
    </row>
    <row r="25" spans="2:24">
      <c r="B25" s="34">
        <v>46224</v>
      </c>
      <c r="C25" s="28" t="s">
        <v>159</v>
      </c>
      <c r="D25" s="28" t="s">
        <v>87</v>
      </c>
      <c r="E25" s="28" t="s">
        <v>102</v>
      </c>
      <c r="F25" s="28" t="s">
        <v>86</v>
      </c>
      <c r="G25" s="35">
        <v>1600</v>
      </c>
      <c r="H25" s="35">
        <v>4</v>
      </c>
      <c r="I25" s="35">
        <v>1028</v>
      </c>
      <c r="J25" s="36">
        <v>8320</v>
      </c>
      <c r="K25" s="36">
        <v>336</v>
      </c>
      <c r="L25" s="36">
        <v>38.64</v>
      </c>
      <c r="M25" s="36">
        <v>0</v>
      </c>
      <c r="N25" s="37">
        <f>IF(tblShipments[[#This Row],[Ship date]]="","",tblShipments[[#This Row],[Base charge]]+tblShipments[[#This Row],[Fuel surcharge]]+tblShipments[[#This Row],[Accessorials]])</f>
        <v>374.64</v>
      </c>
      <c r="O25" s="37">
        <f>IF(tblShipments[[#This Row],[Ship date]]="","",tblShipments[[#This Row],[Fuel surcharge]]+tblShipments[[#This Row],[Accessorials]])</f>
        <v>38.64</v>
      </c>
      <c r="P25" s="38">
        <f>IF(tblShipments[[#This Row],[Ship date]]="","",IF(tblShipments[[#This Row],[Units shipped]]&gt;0,tblShipments[[#This Row],[Total freight]]/tblShipments[[#This Row],[Units shipped]],""))</f>
        <v>0.23415</v>
      </c>
      <c r="Q25" s="38">
        <f>IF(tblShipments[[#This Row],[Ship date]]="","",IF(tblShipments[[#This Row],[Units shipped]]&gt;0,tblShipments[[#This Row],[Fuel and extras]]/tblShipments[[#This Row],[Units shipped]],""))</f>
        <v>0.02415</v>
      </c>
      <c r="R25" s="39">
        <f>IF(tblShipments[[#This Row],[Ship date]]="","",IF(tblShipments[[#This Row],[Gross weight]]&gt;0,tblShipments[[#This Row],[Total freight]]/tblShipments[[#This Row],[Gross weight]],""))</f>
        <v>0.36443579766537</v>
      </c>
      <c r="S25" s="37">
        <f>IF(tblShipments[[#This Row],[Ship date]]="","",IF(tblShipments[[#This Row],[Pallets]]&gt;0,tblShipments[[#This Row],[Total freight]]/tblShipments[[#This Row],[Pallets]],""))</f>
        <v>93.66</v>
      </c>
      <c r="T25" s="40">
        <f>IF(tblShipments[[#This Row],[Ship date]]="","",IF(tblShipments[[#This Row],[Product value]]&gt;0,tblShipments[[#This Row],[Total freight]]/tblShipments[[#This Row],[Product value]],""))</f>
        <v>0.0450288461538462</v>
      </c>
      <c r="U25" s="41" t="str">
        <f>IF(NOT(ISNUMBER(tblShipments[[#This Row],[Freight share of value]])),"",IF(tblShipments[[#This Row],[Freight share of value]]&lt;=TargetPct,"On target",IF(tblShipments[[#This Row],[Freight share of value]]&lt;=TargetPct*(1+0.05),"Near target","Above target")))</f>
        <v>Above target</v>
      </c>
      <c r="V25" s="42">
        <f>IF(tblShipments[[#This Row],[Ship date]]="","",IF(AND(tblShipments[[#This Row],[Ship date]]&gt;=FFrom,tblShipments[[#This Row],[Ship date]]&lt;=FTo),tblShipments[[#This Row],[Ship date]],""))</f>
        <v>46224</v>
      </c>
      <c r="W2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5" s="28" t="s">
        <v>138</v>
      </c>
    </row>
    <row r="26" spans="2:24">
      <c r="B26" s="34">
        <v>46224</v>
      </c>
      <c r="C26" s="28" t="s">
        <v>160</v>
      </c>
      <c r="D26" s="28" t="s">
        <v>80</v>
      </c>
      <c r="E26" s="28" t="s">
        <v>99</v>
      </c>
      <c r="F26" s="28" t="s">
        <v>108</v>
      </c>
      <c r="G26" s="35">
        <v>10800</v>
      </c>
      <c r="H26" s="35">
        <v>24</v>
      </c>
      <c r="I26" s="35">
        <v>6216</v>
      </c>
      <c r="J26" s="36">
        <v>44280</v>
      </c>
      <c r="K26" s="36">
        <v>640</v>
      </c>
      <c r="L26" s="36">
        <v>73.59999999999999</v>
      </c>
      <c r="M26" s="36">
        <v>0</v>
      </c>
      <c r="N26" s="37">
        <f>IF(tblShipments[[#This Row],[Ship date]]="","",tblShipments[[#This Row],[Base charge]]+tblShipments[[#This Row],[Fuel surcharge]]+tblShipments[[#This Row],[Accessorials]])</f>
        <v>713.6</v>
      </c>
      <c r="O26" s="37">
        <f>IF(tblShipments[[#This Row],[Ship date]]="","",tblShipments[[#This Row],[Fuel surcharge]]+tblShipments[[#This Row],[Accessorials]])</f>
        <v>73.6</v>
      </c>
      <c r="P26" s="38">
        <f>IF(tblShipments[[#This Row],[Ship date]]="","",IF(tblShipments[[#This Row],[Units shipped]]&gt;0,tblShipments[[#This Row],[Total freight]]/tblShipments[[#This Row],[Units shipped]],""))</f>
        <v>0.0660740740740741</v>
      </c>
      <c r="Q26" s="38">
        <f>IF(tblShipments[[#This Row],[Ship date]]="","",IF(tblShipments[[#This Row],[Units shipped]]&gt;0,tblShipments[[#This Row],[Fuel and extras]]/tblShipments[[#This Row],[Units shipped]],""))</f>
        <v>0.00681481481481481</v>
      </c>
      <c r="R26" s="39">
        <f>IF(tblShipments[[#This Row],[Ship date]]="","",IF(tblShipments[[#This Row],[Gross weight]]&gt;0,tblShipments[[#This Row],[Total freight]]/tblShipments[[#This Row],[Gross weight]],""))</f>
        <v>0.114800514800515</v>
      </c>
      <c r="S26" s="37">
        <f>IF(tblShipments[[#This Row],[Ship date]]="","",IF(tblShipments[[#This Row],[Pallets]]&gt;0,tblShipments[[#This Row],[Total freight]]/tblShipments[[#This Row],[Pallets]],""))</f>
        <v>29.7333333333333</v>
      </c>
      <c r="T26" s="40">
        <f>IF(tblShipments[[#This Row],[Ship date]]="","",IF(tblShipments[[#This Row],[Product value]]&gt;0,tblShipments[[#This Row],[Total freight]]/tblShipments[[#This Row],[Product value]],""))</f>
        <v>0.0161156278229449</v>
      </c>
      <c r="U26" s="41" t="str">
        <f>IF(NOT(ISNUMBER(tblShipments[[#This Row],[Freight share of value]])),"",IF(tblShipments[[#This Row],[Freight share of value]]&lt;=TargetPct,"On target",IF(tblShipments[[#This Row],[Freight share of value]]&lt;=TargetPct*(1+0.05),"Near target","Above target")))</f>
        <v>On target</v>
      </c>
      <c r="V26" s="42">
        <f>IF(tblShipments[[#This Row],[Ship date]]="","",IF(AND(tblShipments[[#This Row],[Ship date]]&gt;=FFrom,tblShipments[[#This Row],[Ship date]]&lt;=FTo),tblShipments[[#This Row],[Ship date]],""))</f>
        <v>46224</v>
      </c>
      <c r="W2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6" s="28" t="s">
        <v>138</v>
      </c>
    </row>
    <row r="27" spans="2:24">
      <c r="B27" s="34">
        <v>46225</v>
      </c>
      <c r="C27" s="28" t="s">
        <v>161</v>
      </c>
      <c r="D27" s="28" t="s">
        <v>90</v>
      </c>
      <c r="E27" s="28" t="s">
        <v>102</v>
      </c>
      <c r="F27" s="28" t="s">
        <v>86</v>
      </c>
      <c r="G27" s="35">
        <v>660</v>
      </c>
      <c r="H27" s="35">
        <v>2</v>
      </c>
      <c r="I27" s="35">
        <v>433</v>
      </c>
      <c r="J27" s="36">
        <v>3696</v>
      </c>
      <c r="K27" s="36">
        <v>122</v>
      </c>
      <c r="L27" s="36">
        <v>14.03</v>
      </c>
      <c r="M27" s="36">
        <v>18</v>
      </c>
      <c r="N27" s="37">
        <f>IF(tblShipments[[#This Row],[Ship date]]="","",tblShipments[[#This Row],[Base charge]]+tblShipments[[#This Row],[Fuel surcharge]]+tblShipments[[#This Row],[Accessorials]])</f>
        <v>154.03</v>
      </c>
      <c r="O27" s="37">
        <f>IF(tblShipments[[#This Row],[Ship date]]="","",tblShipments[[#This Row],[Fuel surcharge]]+tblShipments[[#This Row],[Accessorials]])</f>
        <v>32.03</v>
      </c>
      <c r="P27" s="38">
        <f>IF(tblShipments[[#This Row],[Ship date]]="","",IF(tblShipments[[#This Row],[Units shipped]]&gt;0,tblShipments[[#This Row],[Total freight]]/tblShipments[[#This Row],[Units shipped]],""))</f>
        <v>0.233378787878788</v>
      </c>
      <c r="Q27" s="38">
        <f>IF(tblShipments[[#This Row],[Ship date]]="","",IF(tblShipments[[#This Row],[Units shipped]]&gt;0,tblShipments[[#This Row],[Fuel and extras]]/tblShipments[[#This Row],[Units shipped]],""))</f>
        <v>0.048530303030303</v>
      </c>
      <c r="R27" s="39">
        <f>IF(tblShipments[[#This Row],[Ship date]]="","",IF(tblShipments[[#This Row],[Gross weight]]&gt;0,tblShipments[[#This Row],[Total freight]]/tblShipments[[#This Row],[Gross weight]],""))</f>
        <v>0.355727482678984</v>
      </c>
      <c r="S27" s="37">
        <f>IF(tblShipments[[#This Row],[Ship date]]="","",IF(tblShipments[[#This Row],[Pallets]]&gt;0,tblShipments[[#This Row],[Total freight]]/tblShipments[[#This Row],[Pallets]],""))</f>
        <v>77.015</v>
      </c>
      <c r="T27" s="40">
        <f>IF(tblShipments[[#This Row],[Ship date]]="","",IF(tblShipments[[#This Row],[Product value]]&gt;0,tblShipments[[#This Row],[Total freight]]/tblShipments[[#This Row],[Product value]],""))</f>
        <v>0.0416747835497836</v>
      </c>
      <c r="U27" s="41" t="str">
        <f>IF(NOT(ISNUMBER(tblShipments[[#This Row],[Freight share of value]])),"",IF(tblShipments[[#This Row],[Freight share of value]]&lt;=TargetPct,"On target",IF(tblShipments[[#This Row],[Freight share of value]]&lt;=TargetPct*(1+0.05),"Near target","Above target")))</f>
        <v>Near target</v>
      </c>
      <c r="V27" s="42">
        <f>IF(tblShipments[[#This Row],[Ship date]]="","",IF(AND(tblShipments[[#This Row],[Ship date]]&gt;=FFrom,tblShipments[[#This Row],[Ship date]]&lt;=FTo),tblShipments[[#This Row],[Ship date]],""))</f>
        <v>46225</v>
      </c>
      <c r="W2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7" s="28" t="s">
        <v>144</v>
      </c>
    </row>
    <row r="28" spans="2:24">
      <c r="B28" s="34">
        <v>46226</v>
      </c>
      <c r="C28" s="28" t="s">
        <v>162</v>
      </c>
      <c r="D28" s="28" t="s">
        <v>87</v>
      </c>
      <c r="E28" s="28" t="s">
        <v>99</v>
      </c>
      <c r="F28" s="28" t="s">
        <v>110</v>
      </c>
      <c r="G28" s="35">
        <v>1760</v>
      </c>
      <c r="H28" s="35">
        <v>4</v>
      </c>
      <c r="I28" s="35">
        <v>1121</v>
      </c>
      <c r="J28" s="36">
        <v>9152</v>
      </c>
      <c r="K28" s="36">
        <v>284</v>
      </c>
      <c r="L28" s="36">
        <v>32.66</v>
      </c>
      <c r="M28" s="36">
        <v>0</v>
      </c>
      <c r="N28" s="37">
        <f>IF(tblShipments[[#This Row],[Ship date]]="","",tblShipments[[#This Row],[Base charge]]+tblShipments[[#This Row],[Fuel surcharge]]+tblShipments[[#This Row],[Accessorials]])</f>
        <v>316.66</v>
      </c>
      <c r="O28" s="37">
        <f>IF(tblShipments[[#This Row],[Ship date]]="","",tblShipments[[#This Row],[Fuel surcharge]]+tblShipments[[#This Row],[Accessorials]])</f>
        <v>32.66</v>
      </c>
      <c r="P28" s="38">
        <f>IF(tblShipments[[#This Row],[Ship date]]="","",IF(tblShipments[[#This Row],[Units shipped]]&gt;0,tblShipments[[#This Row],[Total freight]]/tblShipments[[#This Row],[Units shipped]],""))</f>
        <v>0.179920454545455</v>
      </c>
      <c r="Q28" s="38">
        <f>IF(tblShipments[[#This Row],[Ship date]]="","",IF(tblShipments[[#This Row],[Units shipped]]&gt;0,tblShipments[[#This Row],[Fuel and extras]]/tblShipments[[#This Row],[Units shipped]],""))</f>
        <v>0.0185568181818182</v>
      </c>
      <c r="R28" s="39">
        <f>IF(tblShipments[[#This Row],[Ship date]]="","",IF(tblShipments[[#This Row],[Gross weight]]&gt;0,tblShipments[[#This Row],[Total freight]]/tblShipments[[#This Row],[Gross weight]],""))</f>
        <v>0.282479928635147</v>
      </c>
      <c r="S28" s="37">
        <f>IF(tblShipments[[#This Row],[Ship date]]="","",IF(tblShipments[[#This Row],[Pallets]]&gt;0,tblShipments[[#This Row],[Total freight]]/tblShipments[[#This Row],[Pallets]],""))</f>
        <v>79.165</v>
      </c>
      <c r="T28" s="40">
        <f>IF(tblShipments[[#This Row],[Ship date]]="","",IF(tblShipments[[#This Row],[Product value]]&gt;0,tblShipments[[#This Row],[Total freight]]/tblShipments[[#This Row],[Product value]],""))</f>
        <v>0.0346000874125874</v>
      </c>
      <c r="U28" s="41" t="str">
        <f>IF(NOT(ISNUMBER(tblShipments[[#This Row],[Freight share of value]])),"",IF(tblShipments[[#This Row],[Freight share of value]]&lt;=TargetPct,"On target",IF(tblShipments[[#This Row],[Freight share of value]]&lt;=TargetPct*(1+0.05),"Near target","Above target")))</f>
        <v>On target</v>
      </c>
      <c r="V28" s="42">
        <f>IF(tblShipments[[#This Row],[Ship date]]="","",IF(AND(tblShipments[[#This Row],[Ship date]]&gt;=FFrom,tblShipments[[#This Row],[Ship date]]&lt;=FTo),tblShipments[[#This Row],[Ship date]],""))</f>
        <v>46226</v>
      </c>
      <c r="W2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8" s="28" t="s">
        <v>138</v>
      </c>
    </row>
    <row r="29" spans="2:24">
      <c r="B29" s="34">
        <v>46226</v>
      </c>
      <c r="C29" s="28" t="s">
        <v>163</v>
      </c>
      <c r="D29" s="28" t="s">
        <v>92</v>
      </c>
      <c r="E29" s="28" t="s">
        <v>103</v>
      </c>
      <c r="F29" s="28" t="s">
        <v>113</v>
      </c>
      <c r="G29" s="35">
        <v>1680</v>
      </c>
      <c r="H29" s="35">
        <v>4</v>
      </c>
      <c r="I29" s="35">
        <v>1024</v>
      </c>
      <c r="J29" s="36">
        <v>10752</v>
      </c>
      <c r="K29" s="36">
        <v>472</v>
      </c>
      <c r="L29" s="36">
        <v>54.28</v>
      </c>
      <c r="M29" s="36">
        <v>153</v>
      </c>
      <c r="N29" s="37">
        <f>IF(tblShipments[[#This Row],[Ship date]]="","",tblShipments[[#This Row],[Base charge]]+tblShipments[[#This Row],[Fuel surcharge]]+tblShipments[[#This Row],[Accessorials]])</f>
        <v>679.28</v>
      </c>
      <c r="O29" s="37">
        <f>IF(tblShipments[[#This Row],[Ship date]]="","",tblShipments[[#This Row],[Fuel surcharge]]+tblShipments[[#This Row],[Accessorials]])</f>
        <v>207.28</v>
      </c>
      <c r="P29" s="38">
        <f>IF(tblShipments[[#This Row],[Ship date]]="","",IF(tblShipments[[#This Row],[Units shipped]]&gt;0,tblShipments[[#This Row],[Total freight]]/tblShipments[[#This Row],[Units shipped]],""))</f>
        <v>0.404333333333333</v>
      </c>
      <c r="Q29" s="38">
        <f>IF(tblShipments[[#This Row],[Ship date]]="","",IF(tblShipments[[#This Row],[Units shipped]]&gt;0,tblShipments[[#This Row],[Fuel and extras]]/tblShipments[[#This Row],[Units shipped]],""))</f>
        <v>0.123380952380952</v>
      </c>
      <c r="R29" s="39">
        <f>IF(tblShipments[[#This Row],[Ship date]]="","",IF(tblShipments[[#This Row],[Gross weight]]&gt;0,tblShipments[[#This Row],[Total freight]]/tblShipments[[#This Row],[Gross weight]],""))</f>
        <v>0.663359375</v>
      </c>
      <c r="S29" s="37">
        <f>IF(tblShipments[[#This Row],[Ship date]]="","",IF(tblShipments[[#This Row],[Pallets]]&gt;0,tblShipments[[#This Row],[Total freight]]/tblShipments[[#This Row],[Pallets]],""))</f>
        <v>169.82</v>
      </c>
      <c r="T29" s="40">
        <f>IF(tblShipments[[#This Row],[Ship date]]="","",IF(tblShipments[[#This Row],[Product value]]&gt;0,tblShipments[[#This Row],[Total freight]]/tblShipments[[#This Row],[Product value]],""))</f>
        <v>0.0631770833333333</v>
      </c>
      <c r="U29" s="41" t="str">
        <f>IF(NOT(ISNUMBER(tblShipments[[#This Row],[Freight share of value]])),"",IF(tblShipments[[#This Row],[Freight share of value]]&lt;=TargetPct,"On target",IF(tblShipments[[#This Row],[Freight share of value]]&lt;=TargetPct*(1+0.05),"Near target","Above target")))</f>
        <v>Above target</v>
      </c>
      <c r="V29" s="42">
        <f>IF(tblShipments[[#This Row],[Ship date]]="","",IF(AND(tblShipments[[#This Row],[Ship date]]&gt;=FFrom,tblShipments[[#This Row],[Ship date]]&lt;=FTo),tblShipments[[#This Row],[Ship date]],""))</f>
        <v>46226</v>
      </c>
      <c r="W2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29" s="28" t="s">
        <v>147</v>
      </c>
    </row>
    <row r="30" spans="2:24">
      <c r="B30" s="34">
        <v>46226</v>
      </c>
      <c r="C30" s="28" t="s">
        <v>164</v>
      </c>
      <c r="D30" s="28" t="s">
        <v>95</v>
      </c>
      <c r="E30" s="28" t="s">
        <v>105</v>
      </c>
      <c r="F30" s="28" t="s">
        <v>115</v>
      </c>
      <c r="G30" s="35">
        <v>60</v>
      </c>
      <c r="H30" s="35">
        <v>0</v>
      </c>
      <c r="I30" s="35">
        <v>24</v>
      </c>
      <c r="J30" s="36">
        <v>660</v>
      </c>
      <c r="K30" s="36">
        <v>31</v>
      </c>
      <c r="L30" s="36">
        <v>2.79</v>
      </c>
      <c r="M30" s="36">
        <v>0</v>
      </c>
      <c r="N30" s="37">
        <f>IF(tblShipments[[#This Row],[Ship date]]="","",tblShipments[[#This Row],[Base charge]]+tblShipments[[#This Row],[Fuel surcharge]]+tblShipments[[#This Row],[Accessorials]])</f>
        <v>33.79</v>
      </c>
      <c r="O30" s="37">
        <f>IF(tblShipments[[#This Row],[Ship date]]="","",tblShipments[[#This Row],[Fuel surcharge]]+tblShipments[[#This Row],[Accessorials]])</f>
        <v>2.79</v>
      </c>
      <c r="P30" s="38">
        <f>IF(tblShipments[[#This Row],[Ship date]]="","",IF(tblShipments[[#This Row],[Units shipped]]&gt;0,tblShipments[[#This Row],[Total freight]]/tblShipments[[#This Row],[Units shipped]],""))</f>
        <v>0.563166666666667</v>
      </c>
      <c r="Q30" s="38">
        <f>IF(tblShipments[[#This Row],[Ship date]]="","",IF(tblShipments[[#This Row],[Units shipped]]&gt;0,tblShipments[[#This Row],[Fuel and extras]]/tblShipments[[#This Row],[Units shipped]],""))</f>
        <v>0.0465</v>
      </c>
      <c r="R30" s="39">
        <f>IF(tblShipments[[#This Row],[Ship date]]="","",IF(tblShipments[[#This Row],[Gross weight]]&gt;0,tblShipments[[#This Row],[Total freight]]/tblShipments[[#This Row],[Gross weight]],""))</f>
        <v>1.40791666666667</v>
      </c>
      <c r="S30" s="37">
        <f>IF(tblShipments[[#This Row],[Ship date]]="","",IF(tblShipments[[#This Row],[Pallets]]&gt;0,tblShipments[[#This Row],[Total freight]]/tblShipments[[#This Row],[Pallets]],""))</f>
        <v/>
      </c>
      <c r="T30" s="40">
        <f>IF(tblShipments[[#This Row],[Ship date]]="","",IF(tblShipments[[#This Row],[Product value]]&gt;0,tblShipments[[#This Row],[Total freight]]/tblShipments[[#This Row],[Product value]],""))</f>
        <v>0.0511969696969697</v>
      </c>
      <c r="U30" s="41" t="str">
        <f>IF(NOT(ISNUMBER(tblShipments[[#This Row],[Freight share of value]])),"",IF(tblShipments[[#This Row],[Freight share of value]]&lt;=TargetPct,"On target",IF(tblShipments[[#This Row],[Freight share of value]]&lt;=TargetPct*(1+0.05),"Near target","Above target")))</f>
        <v>Above target</v>
      </c>
      <c r="V30" s="42">
        <f>IF(tblShipments[[#This Row],[Ship date]]="","",IF(AND(tblShipments[[#This Row],[Ship date]]&gt;=FFrom,tblShipments[[#This Row],[Ship date]]&lt;=FTo),tblShipments[[#This Row],[Ship date]],""))</f>
        <v>46226</v>
      </c>
      <c r="W3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0" s="28" t="s">
        <v>138</v>
      </c>
    </row>
    <row r="31" spans="2:24">
      <c r="B31" s="34">
        <v>46230</v>
      </c>
      <c r="C31" s="28" t="s">
        <v>165</v>
      </c>
      <c r="D31" s="28" t="s">
        <v>84</v>
      </c>
      <c r="E31" s="28" t="s">
        <v>102</v>
      </c>
      <c r="F31" s="28" t="s">
        <v>86</v>
      </c>
      <c r="G31" s="35">
        <v>320</v>
      </c>
      <c r="H31" s="35">
        <v>1</v>
      </c>
      <c r="I31" s="35">
        <v>211</v>
      </c>
      <c r="J31" s="36">
        <v>1856</v>
      </c>
      <c r="K31" s="36">
        <v>52</v>
      </c>
      <c r="L31" s="36">
        <v>5.98</v>
      </c>
      <c r="M31" s="36">
        <v>0</v>
      </c>
      <c r="N31" s="37">
        <f>IF(tblShipments[[#This Row],[Ship date]]="","",tblShipments[[#This Row],[Base charge]]+tblShipments[[#This Row],[Fuel surcharge]]+tblShipments[[#This Row],[Accessorials]])</f>
        <v>57.98</v>
      </c>
      <c r="O31" s="37">
        <f>IF(tblShipments[[#This Row],[Ship date]]="","",tblShipments[[#This Row],[Fuel surcharge]]+tblShipments[[#This Row],[Accessorials]])</f>
        <v>5.98</v>
      </c>
      <c r="P31" s="38">
        <f>IF(tblShipments[[#This Row],[Ship date]]="","",IF(tblShipments[[#This Row],[Units shipped]]&gt;0,tblShipments[[#This Row],[Total freight]]/tblShipments[[#This Row],[Units shipped]],""))</f>
        <v>0.1811875</v>
      </c>
      <c r="Q31" s="38">
        <f>IF(tblShipments[[#This Row],[Ship date]]="","",IF(tblShipments[[#This Row],[Units shipped]]&gt;0,tblShipments[[#This Row],[Fuel and extras]]/tblShipments[[#This Row],[Units shipped]],""))</f>
        <v>0.0186875</v>
      </c>
      <c r="R31" s="39">
        <f>IF(tblShipments[[#This Row],[Ship date]]="","",IF(tblShipments[[#This Row],[Gross weight]]&gt;0,tblShipments[[#This Row],[Total freight]]/tblShipments[[#This Row],[Gross weight]],""))</f>
        <v>0.27478672985782</v>
      </c>
      <c r="S31" s="37">
        <f>IF(tblShipments[[#This Row],[Ship date]]="","",IF(tblShipments[[#This Row],[Pallets]]&gt;0,tblShipments[[#This Row],[Total freight]]/tblShipments[[#This Row],[Pallets]],""))</f>
        <v>57.98</v>
      </c>
      <c r="T31" s="40">
        <f>IF(tblShipments[[#This Row],[Ship date]]="","",IF(tblShipments[[#This Row],[Product value]]&gt;0,tblShipments[[#This Row],[Total freight]]/tblShipments[[#This Row],[Product value]],""))</f>
        <v>0.031239224137931</v>
      </c>
      <c r="U31" s="41" t="str">
        <f>IF(NOT(ISNUMBER(tblShipments[[#This Row],[Freight share of value]])),"",IF(tblShipments[[#This Row],[Freight share of value]]&lt;=TargetPct,"On target",IF(tblShipments[[#This Row],[Freight share of value]]&lt;=TargetPct*(1+0.05),"Near target","Above target")))</f>
        <v>On target</v>
      </c>
      <c r="V31" s="42">
        <f>IF(tblShipments[[#This Row],[Ship date]]="","",IF(AND(tblShipments[[#This Row],[Ship date]]&gt;=FFrom,tblShipments[[#This Row],[Ship date]]&lt;=FTo),tblShipments[[#This Row],[Ship date]],""))</f>
        <v>46230</v>
      </c>
      <c r="W3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1" s="28" t="s">
        <v>138</v>
      </c>
    </row>
    <row r="32" spans="2:24">
      <c r="B32" s="34">
        <v>46230</v>
      </c>
      <c r="C32" s="28" t="s">
        <v>166</v>
      </c>
      <c r="D32" s="28" t="s">
        <v>95</v>
      </c>
      <c r="E32" s="28" t="s">
        <v>105</v>
      </c>
      <c r="F32" s="28" t="s">
        <v>115</v>
      </c>
      <c r="G32" s="35">
        <v>90</v>
      </c>
      <c r="H32" s="35">
        <v>0</v>
      </c>
      <c r="I32" s="35">
        <v>36</v>
      </c>
      <c r="J32" s="36">
        <v>990</v>
      </c>
      <c r="K32" s="36">
        <v>49.6</v>
      </c>
      <c r="L32" s="36">
        <v>4.46</v>
      </c>
      <c r="M32" s="36">
        <v>0</v>
      </c>
      <c r="N32" s="37">
        <f>IF(tblShipments[[#This Row],[Ship date]]="","",tblShipments[[#This Row],[Base charge]]+tblShipments[[#This Row],[Fuel surcharge]]+tblShipments[[#This Row],[Accessorials]])</f>
        <v>54.06</v>
      </c>
      <c r="O32" s="37">
        <f>IF(tblShipments[[#This Row],[Ship date]]="","",tblShipments[[#This Row],[Fuel surcharge]]+tblShipments[[#This Row],[Accessorials]])</f>
        <v>4.46</v>
      </c>
      <c r="P32" s="38">
        <f>IF(tblShipments[[#This Row],[Ship date]]="","",IF(tblShipments[[#This Row],[Units shipped]]&gt;0,tblShipments[[#This Row],[Total freight]]/tblShipments[[#This Row],[Units shipped]],""))</f>
        <v>0.600666666666667</v>
      </c>
      <c r="Q32" s="38">
        <f>IF(tblShipments[[#This Row],[Ship date]]="","",IF(tblShipments[[#This Row],[Units shipped]]&gt;0,tblShipments[[#This Row],[Fuel and extras]]/tblShipments[[#This Row],[Units shipped]],""))</f>
        <v>0.0495555555555556</v>
      </c>
      <c r="R32" s="39">
        <f>IF(tblShipments[[#This Row],[Ship date]]="","",IF(tblShipments[[#This Row],[Gross weight]]&gt;0,tblShipments[[#This Row],[Total freight]]/tblShipments[[#This Row],[Gross weight]],""))</f>
        <v>1.50166666666667</v>
      </c>
      <c r="S32" s="37">
        <f>IF(tblShipments[[#This Row],[Ship date]]="","",IF(tblShipments[[#This Row],[Pallets]]&gt;0,tblShipments[[#This Row],[Total freight]]/tblShipments[[#This Row],[Pallets]],""))</f>
        <v/>
      </c>
      <c r="T32" s="40">
        <f>IF(tblShipments[[#This Row],[Ship date]]="","",IF(tblShipments[[#This Row],[Product value]]&gt;0,tblShipments[[#This Row],[Total freight]]/tblShipments[[#This Row],[Product value]],""))</f>
        <v>0.0546060606060606</v>
      </c>
      <c r="U32" s="41" t="str">
        <f>IF(NOT(ISNUMBER(tblShipments[[#This Row],[Freight share of value]])),"",IF(tblShipments[[#This Row],[Freight share of value]]&lt;=TargetPct,"On target",IF(tblShipments[[#This Row],[Freight share of value]]&lt;=TargetPct*(1+0.05),"Near target","Above target")))</f>
        <v>Above target</v>
      </c>
      <c r="V32" s="42">
        <f>IF(tblShipments[[#This Row],[Ship date]]="","",IF(AND(tblShipments[[#This Row],[Ship date]]&gt;=FFrom,tblShipments[[#This Row],[Ship date]]&lt;=FTo),tblShipments[[#This Row],[Ship date]],""))</f>
        <v>46230</v>
      </c>
      <c r="W3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2" s="28" t="s">
        <v>138</v>
      </c>
    </row>
    <row r="33" spans="2:24">
      <c r="B33" s="34">
        <v>46231</v>
      </c>
      <c r="C33" s="28" t="s">
        <v>167</v>
      </c>
      <c r="D33" s="28" t="s">
        <v>87</v>
      </c>
      <c r="E33" s="28" t="s">
        <v>102</v>
      </c>
      <c r="F33" s="28" t="s">
        <v>86</v>
      </c>
      <c r="G33" s="35">
        <v>1230</v>
      </c>
      <c r="H33" s="35">
        <v>3</v>
      </c>
      <c r="I33" s="35">
        <v>788</v>
      </c>
      <c r="J33" s="36">
        <v>6396</v>
      </c>
      <c r="K33" s="36">
        <v>252</v>
      </c>
      <c r="L33" s="36">
        <v>28.98</v>
      </c>
      <c r="M33" s="36">
        <v>0</v>
      </c>
      <c r="N33" s="37">
        <f>IF(tblShipments[[#This Row],[Ship date]]="","",tblShipments[[#This Row],[Base charge]]+tblShipments[[#This Row],[Fuel surcharge]]+tblShipments[[#This Row],[Accessorials]])</f>
        <v>280.98</v>
      </c>
      <c r="O33" s="37">
        <f>IF(tblShipments[[#This Row],[Ship date]]="","",tblShipments[[#This Row],[Fuel surcharge]]+tblShipments[[#This Row],[Accessorials]])</f>
        <v>28.98</v>
      </c>
      <c r="P33" s="38">
        <f>IF(tblShipments[[#This Row],[Ship date]]="","",IF(tblShipments[[#This Row],[Units shipped]]&gt;0,tblShipments[[#This Row],[Total freight]]/tblShipments[[#This Row],[Units shipped]],""))</f>
        <v>0.228439024390244</v>
      </c>
      <c r="Q33" s="38">
        <f>IF(tblShipments[[#This Row],[Ship date]]="","",IF(tblShipments[[#This Row],[Units shipped]]&gt;0,tblShipments[[#This Row],[Fuel and extras]]/tblShipments[[#This Row],[Units shipped]],""))</f>
        <v>0.0235609756097561</v>
      </c>
      <c r="R33" s="39">
        <f>IF(tblShipments[[#This Row],[Ship date]]="","",IF(tblShipments[[#This Row],[Gross weight]]&gt;0,tblShipments[[#This Row],[Total freight]]/tblShipments[[#This Row],[Gross weight]],""))</f>
        <v>0.356573604060914</v>
      </c>
      <c r="S33" s="37">
        <f>IF(tblShipments[[#This Row],[Ship date]]="","",IF(tblShipments[[#This Row],[Pallets]]&gt;0,tblShipments[[#This Row],[Total freight]]/tblShipments[[#This Row],[Pallets]],""))</f>
        <v>93.66</v>
      </c>
      <c r="T33" s="40">
        <f>IF(tblShipments[[#This Row],[Ship date]]="","",IF(tblShipments[[#This Row],[Product value]]&gt;0,tblShipments[[#This Row],[Total freight]]/tblShipments[[#This Row],[Product value]],""))</f>
        <v>0.0439305816135085</v>
      </c>
      <c r="U33" s="41" t="str">
        <f>IF(NOT(ISNUMBER(tblShipments[[#This Row],[Freight share of value]])),"",IF(tblShipments[[#This Row],[Freight share of value]]&lt;=TargetPct,"On target",IF(tblShipments[[#This Row],[Freight share of value]]&lt;=TargetPct*(1+0.05),"Near target","Above target")))</f>
        <v>Above target</v>
      </c>
      <c r="V33" s="42">
        <f>IF(tblShipments[[#This Row],[Ship date]]="","",IF(AND(tblShipments[[#This Row],[Ship date]]&gt;=FFrom,tblShipments[[#This Row],[Ship date]]&lt;=FTo),tblShipments[[#This Row],[Ship date]],""))</f>
        <v>46231</v>
      </c>
      <c r="W3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3" s="28" t="s">
        <v>138</v>
      </c>
    </row>
    <row r="34" spans="2:24">
      <c r="B34" s="34">
        <v>46231</v>
      </c>
      <c r="C34" s="28" t="s">
        <v>168</v>
      </c>
      <c r="D34" s="28" t="s">
        <v>80</v>
      </c>
      <c r="E34" s="28" t="s">
        <v>99</v>
      </c>
      <c r="F34" s="28" t="s">
        <v>108</v>
      </c>
      <c r="G34" s="35">
        <v>11180</v>
      </c>
      <c r="H34" s="35">
        <v>26</v>
      </c>
      <c r="I34" s="35">
        <v>6464</v>
      </c>
      <c r="J34" s="36">
        <v>45838</v>
      </c>
      <c r="K34" s="36">
        <v>640</v>
      </c>
      <c r="L34" s="36">
        <v>73.59999999999999</v>
      </c>
      <c r="M34" s="36">
        <v>0</v>
      </c>
      <c r="N34" s="37">
        <f>IF(tblShipments[[#This Row],[Ship date]]="","",tblShipments[[#This Row],[Base charge]]+tblShipments[[#This Row],[Fuel surcharge]]+tblShipments[[#This Row],[Accessorials]])</f>
        <v>713.6</v>
      </c>
      <c r="O34" s="37">
        <f>IF(tblShipments[[#This Row],[Ship date]]="","",tblShipments[[#This Row],[Fuel surcharge]]+tblShipments[[#This Row],[Accessorials]])</f>
        <v>73.6</v>
      </c>
      <c r="P34" s="38">
        <f>IF(tblShipments[[#This Row],[Ship date]]="","",IF(tblShipments[[#This Row],[Units shipped]]&gt;0,tblShipments[[#This Row],[Total freight]]/tblShipments[[#This Row],[Units shipped]],""))</f>
        <v>0.0638282647584973</v>
      </c>
      <c r="Q34" s="38">
        <f>IF(tblShipments[[#This Row],[Ship date]]="","",IF(tblShipments[[#This Row],[Units shipped]]&gt;0,tblShipments[[#This Row],[Fuel and extras]]/tblShipments[[#This Row],[Units shipped]],""))</f>
        <v>0.00658318425760286</v>
      </c>
      <c r="R34" s="39">
        <f>IF(tblShipments[[#This Row],[Ship date]]="","",IF(tblShipments[[#This Row],[Gross weight]]&gt;0,tblShipments[[#This Row],[Total freight]]/tblShipments[[#This Row],[Gross weight]],""))</f>
        <v>0.11039603960396</v>
      </c>
      <c r="S34" s="37">
        <f>IF(tblShipments[[#This Row],[Ship date]]="","",IF(tblShipments[[#This Row],[Pallets]]&gt;0,tblShipments[[#This Row],[Total freight]]/tblShipments[[#This Row],[Pallets]],""))</f>
        <v>27.4461538461538</v>
      </c>
      <c r="T34" s="40">
        <f>IF(tblShipments[[#This Row],[Ship date]]="","",IF(tblShipments[[#This Row],[Product value]]&gt;0,tblShipments[[#This Row],[Total freight]]/tblShipments[[#This Row],[Product value]],""))</f>
        <v>0.015567869453292</v>
      </c>
      <c r="U34" s="41" t="str">
        <f>IF(NOT(ISNUMBER(tblShipments[[#This Row],[Freight share of value]])),"",IF(tblShipments[[#This Row],[Freight share of value]]&lt;=TargetPct,"On target",IF(tblShipments[[#This Row],[Freight share of value]]&lt;=TargetPct*(1+0.05),"Near target","Above target")))</f>
        <v>On target</v>
      </c>
      <c r="V34" s="42">
        <f>IF(tblShipments[[#This Row],[Ship date]]="","",IF(AND(tblShipments[[#This Row],[Ship date]]&gt;=FFrom,tblShipments[[#This Row],[Ship date]]&lt;=FTo),tblShipments[[#This Row],[Ship date]],""))</f>
        <v>46231</v>
      </c>
      <c r="W3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4" s="28" t="s">
        <v>138</v>
      </c>
    </row>
    <row r="35" spans="2:24">
      <c r="B35" s="34">
        <v>46232</v>
      </c>
      <c r="C35" s="28" t="s">
        <v>169</v>
      </c>
      <c r="D35" s="28" t="s">
        <v>90</v>
      </c>
      <c r="E35" s="28" t="s">
        <v>102</v>
      </c>
      <c r="F35" s="28" t="s">
        <v>86</v>
      </c>
      <c r="G35" s="35">
        <v>700</v>
      </c>
      <c r="H35" s="35">
        <v>2</v>
      </c>
      <c r="I35" s="35">
        <v>456</v>
      </c>
      <c r="J35" s="36">
        <v>3920</v>
      </c>
      <c r="K35" s="36">
        <v>122</v>
      </c>
      <c r="L35" s="36">
        <v>14.03</v>
      </c>
      <c r="M35" s="36">
        <v>0</v>
      </c>
      <c r="N35" s="37">
        <f>IF(tblShipments[[#This Row],[Ship date]]="","",tblShipments[[#This Row],[Base charge]]+tblShipments[[#This Row],[Fuel surcharge]]+tblShipments[[#This Row],[Accessorials]])</f>
        <v>136.03</v>
      </c>
      <c r="O35" s="37">
        <f>IF(tblShipments[[#This Row],[Ship date]]="","",tblShipments[[#This Row],[Fuel surcharge]]+tblShipments[[#This Row],[Accessorials]])</f>
        <v>14.03</v>
      </c>
      <c r="P35" s="38">
        <f>IF(tblShipments[[#This Row],[Ship date]]="","",IF(tblShipments[[#This Row],[Units shipped]]&gt;0,tblShipments[[#This Row],[Total freight]]/tblShipments[[#This Row],[Units shipped]],""))</f>
        <v>0.194328571428571</v>
      </c>
      <c r="Q35" s="38">
        <f>IF(tblShipments[[#This Row],[Ship date]]="","",IF(tblShipments[[#This Row],[Units shipped]]&gt;0,tblShipments[[#This Row],[Fuel and extras]]/tblShipments[[#This Row],[Units shipped]],""))</f>
        <v>0.0200428571428571</v>
      </c>
      <c r="R35" s="39">
        <f>IF(tblShipments[[#This Row],[Ship date]]="","",IF(tblShipments[[#This Row],[Gross weight]]&gt;0,tblShipments[[#This Row],[Total freight]]/tblShipments[[#This Row],[Gross weight]],""))</f>
        <v>0.298311403508772</v>
      </c>
      <c r="S35" s="37">
        <f>IF(tblShipments[[#This Row],[Ship date]]="","",IF(tblShipments[[#This Row],[Pallets]]&gt;0,tblShipments[[#This Row],[Total freight]]/tblShipments[[#This Row],[Pallets]],""))</f>
        <v>68.015</v>
      </c>
      <c r="T35" s="40">
        <f>IF(tblShipments[[#This Row],[Ship date]]="","",IF(tblShipments[[#This Row],[Product value]]&gt;0,tblShipments[[#This Row],[Total freight]]/tblShipments[[#This Row],[Product value]],""))</f>
        <v>0.0347015306122449</v>
      </c>
      <c r="U35" s="41" t="str">
        <f>IF(NOT(ISNUMBER(tblShipments[[#This Row],[Freight share of value]])),"",IF(tblShipments[[#This Row],[Freight share of value]]&lt;=TargetPct,"On target",IF(tblShipments[[#This Row],[Freight share of value]]&lt;=TargetPct*(1+0.05),"Near target","Above target")))</f>
        <v>On target</v>
      </c>
      <c r="V35" s="42">
        <f>IF(tblShipments[[#This Row],[Ship date]]="","",IF(AND(tblShipments[[#This Row],[Ship date]]&gt;=FFrom,tblShipments[[#This Row],[Ship date]]&lt;=FTo),tblShipments[[#This Row],[Ship date]],""))</f>
        <v>46232</v>
      </c>
      <c r="W3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5" s="28" t="s">
        <v>138</v>
      </c>
    </row>
    <row r="36" spans="2:24">
      <c r="B36" s="34">
        <v>46233</v>
      </c>
      <c r="C36" s="28" t="s">
        <v>170</v>
      </c>
      <c r="D36" s="28" t="s">
        <v>87</v>
      </c>
      <c r="E36" s="28" t="s">
        <v>99</v>
      </c>
      <c r="F36" s="28" t="s">
        <v>110</v>
      </c>
      <c r="G36" s="35">
        <v>960</v>
      </c>
      <c r="H36" s="35">
        <v>3</v>
      </c>
      <c r="I36" s="35">
        <v>632</v>
      </c>
      <c r="J36" s="36">
        <v>4992</v>
      </c>
      <c r="K36" s="36">
        <v>213</v>
      </c>
      <c r="L36" s="36">
        <v>24.5</v>
      </c>
      <c r="M36" s="36">
        <v>18</v>
      </c>
      <c r="N36" s="37">
        <f>IF(tblShipments[[#This Row],[Ship date]]="","",tblShipments[[#This Row],[Base charge]]+tblShipments[[#This Row],[Fuel surcharge]]+tblShipments[[#This Row],[Accessorials]])</f>
        <v>255.5</v>
      </c>
      <c r="O36" s="37">
        <f>IF(tblShipments[[#This Row],[Ship date]]="","",tblShipments[[#This Row],[Fuel surcharge]]+tblShipments[[#This Row],[Accessorials]])</f>
        <v>42.5</v>
      </c>
      <c r="P36" s="38">
        <f>IF(tblShipments[[#This Row],[Ship date]]="","",IF(tblShipments[[#This Row],[Units shipped]]&gt;0,tblShipments[[#This Row],[Total freight]]/tblShipments[[#This Row],[Units shipped]],""))</f>
        <v>0.266145833333333</v>
      </c>
      <c r="Q36" s="38">
        <f>IF(tblShipments[[#This Row],[Ship date]]="","",IF(tblShipments[[#This Row],[Units shipped]]&gt;0,tblShipments[[#This Row],[Fuel and extras]]/tblShipments[[#This Row],[Units shipped]],""))</f>
        <v>0.0442708333333333</v>
      </c>
      <c r="R36" s="39">
        <f>IF(tblShipments[[#This Row],[Ship date]]="","",IF(tblShipments[[#This Row],[Gross weight]]&gt;0,tblShipments[[#This Row],[Total freight]]/tblShipments[[#This Row],[Gross weight]],""))</f>
        <v>0.404272151898734</v>
      </c>
      <c r="S36" s="37">
        <f>IF(tblShipments[[#This Row],[Ship date]]="","",IF(tblShipments[[#This Row],[Pallets]]&gt;0,tblShipments[[#This Row],[Total freight]]/tblShipments[[#This Row],[Pallets]],""))</f>
        <v>85.1666666666667</v>
      </c>
      <c r="T36" s="40">
        <f>IF(tblShipments[[#This Row],[Ship date]]="","",IF(tblShipments[[#This Row],[Product value]]&gt;0,tblShipments[[#This Row],[Total freight]]/tblShipments[[#This Row],[Product value]],""))</f>
        <v>0.051181891025641</v>
      </c>
      <c r="U36" s="41" t="str">
        <f>IF(NOT(ISNUMBER(tblShipments[[#This Row],[Freight share of value]])),"",IF(tblShipments[[#This Row],[Freight share of value]]&lt;=TargetPct,"On target",IF(tblShipments[[#This Row],[Freight share of value]]&lt;=TargetPct*(1+0.05),"Near target","Above target")))</f>
        <v>Above target</v>
      </c>
      <c r="V36" s="42">
        <f>IF(tblShipments[[#This Row],[Ship date]]="","",IF(AND(tblShipments[[#This Row],[Ship date]]&gt;=FFrom,tblShipments[[#This Row],[Ship date]]&lt;=FTo),tblShipments[[#This Row],[Ship date]],""))</f>
        <v>46233</v>
      </c>
      <c r="W3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6" s="28" t="s">
        <v>144</v>
      </c>
    </row>
    <row r="37" spans="2:24">
      <c r="B37" s="34">
        <v>46233</v>
      </c>
      <c r="C37" s="28" t="s">
        <v>171</v>
      </c>
      <c r="D37" s="28" t="s">
        <v>92</v>
      </c>
      <c r="E37" s="28" t="s">
        <v>103</v>
      </c>
      <c r="F37" s="28" t="s">
        <v>113</v>
      </c>
      <c r="G37" s="35">
        <v>1850</v>
      </c>
      <c r="H37" s="35">
        <v>5</v>
      </c>
      <c r="I37" s="35">
        <v>1142</v>
      </c>
      <c r="J37" s="36">
        <v>11840</v>
      </c>
      <c r="K37" s="36">
        <v>590</v>
      </c>
      <c r="L37" s="36">
        <v>67.84999999999999</v>
      </c>
      <c r="M37" s="36">
        <v>210</v>
      </c>
      <c r="N37" s="37">
        <f>IF(tblShipments[[#This Row],[Ship date]]="","",tblShipments[[#This Row],[Base charge]]+tblShipments[[#This Row],[Fuel surcharge]]+tblShipments[[#This Row],[Accessorials]])</f>
        <v>867.85</v>
      </c>
      <c r="O37" s="37">
        <f>IF(tblShipments[[#This Row],[Ship date]]="","",tblShipments[[#This Row],[Fuel surcharge]]+tblShipments[[#This Row],[Accessorials]])</f>
        <v>277.85</v>
      </c>
      <c r="P37" s="38">
        <f>IF(tblShipments[[#This Row],[Ship date]]="","",IF(tblShipments[[#This Row],[Units shipped]]&gt;0,tblShipments[[#This Row],[Total freight]]/tblShipments[[#This Row],[Units shipped]],""))</f>
        <v>0.469108108108108</v>
      </c>
      <c r="Q37" s="38">
        <f>IF(tblShipments[[#This Row],[Ship date]]="","",IF(tblShipments[[#This Row],[Units shipped]]&gt;0,tblShipments[[#This Row],[Fuel and extras]]/tblShipments[[#This Row],[Units shipped]],""))</f>
        <v>0.150189189189189</v>
      </c>
      <c r="R37" s="39">
        <f>IF(tblShipments[[#This Row],[Ship date]]="","",IF(tblShipments[[#This Row],[Gross weight]]&gt;0,tblShipments[[#This Row],[Total freight]]/tblShipments[[#This Row],[Gross weight]],""))</f>
        <v>0.759938704028021</v>
      </c>
      <c r="S37" s="37">
        <f>IF(tblShipments[[#This Row],[Ship date]]="","",IF(tblShipments[[#This Row],[Pallets]]&gt;0,tblShipments[[#This Row],[Total freight]]/tblShipments[[#This Row],[Pallets]],""))</f>
        <v>173.57</v>
      </c>
      <c r="T37" s="40">
        <f>IF(tblShipments[[#This Row],[Ship date]]="","",IF(tblShipments[[#This Row],[Product value]]&gt;0,tblShipments[[#This Row],[Total freight]]/tblShipments[[#This Row],[Product value]],""))</f>
        <v>0.0732981418918919</v>
      </c>
      <c r="U37" s="41" t="str">
        <f>IF(NOT(ISNUMBER(tblShipments[[#This Row],[Freight share of value]])),"",IF(tblShipments[[#This Row],[Freight share of value]]&lt;=TargetPct,"On target",IF(tblShipments[[#This Row],[Freight share of value]]&lt;=TargetPct*(1+0.05),"Near target","Above target")))</f>
        <v>Above target</v>
      </c>
      <c r="V37" s="42">
        <f>IF(tblShipments[[#This Row],[Ship date]]="","",IF(AND(tblShipments[[#This Row],[Ship date]]&gt;=FFrom,tblShipments[[#This Row],[Ship date]]&lt;=FTo),tblShipments[[#This Row],[Ship date]],""))</f>
        <v>46233</v>
      </c>
      <c r="W3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7" s="28" t="s">
        <v>147</v>
      </c>
    </row>
    <row r="38" spans="2:24">
      <c r="B38" s="34">
        <v>46233</v>
      </c>
      <c r="C38" s="28" t="s">
        <v>172</v>
      </c>
      <c r="D38" s="28" t="s">
        <v>95</v>
      </c>
      <c r="E38" s="28" t="s">
        <v>105</v>
      </c>
      <c r="F38" s="28" t="s">
        <v>115</v>
      </c>
      <c r="G38" s="35">
        <v>70</v>
      </c>
      <c r="H38" s="35">
        <v>0</v>
      </c>
      <c r="I38" s="35">
        <v>28</v>
      </c>
      <c r="J38" s="36">
        <v>770</v>
      </c>
      <c r="K38" s="36">
        <v>37.2</v>
      </c>
      <c r="L38" s="36">
        <v>3.35</v>
      </c>
      <c r="M38" s="36">
        <v>0</v>
      </c>
      <c r="N38" s="37">
        <f>IF(tblShipments[[#This Row],[Ship date]]="","",tblShipments[[#This Row],[Base charge]]+tblShipments[[#This Row],[Fuel surcharge]]+tblShipments[[#This Row],[Accessorials]])</f>
        <v>40.55</v>
      </c>
      <c r="O38" s="37">
        <f>IF(tblShipments[[#This Row],[Ship date]]="","",tblShipments[[#This Row],[Fuel surcharge]]+tblShipments[[#This Row],[Accessorials]])</f>
        <v>3.35</v>
      </c>
      <c r="P38" s="38">
        <f>IF(tblShipments[[#This Row],[Ship date]]="","",IF(tblShipments[[#This Row],[Units shipped]]&gt;0,tblShipments[[#This Row],[Total freight]]/tblShipments[[#This Row],[Units shipped]],""))</f>
        <v>0.579285714285714</v>
      </c>
      <c r="Q38" s="38">
        <f>IF(tblShipments[[#This Row],[Ship date]]="","",IF(tblShipments[[#This Row],[Units shipped]]&gt;0,tblShipments[[#This Row],[Fuel and extras]]/tblShipments[[#This Row],[Units shipped]],""))</f>
        <v>0.0478571428571429</v>
      </c>
      <c r="R38" s="39">
        <f>IF(tblShipments[[#This Row],[Ship date]]="","",IF(tblShipments[[#This Row],[Gross weight]]&gt;0,tblShipments[[#This Row],[Total freight]]/tblShipments[[#This Row],[Gross weight]],""))</f>
        <v>1.44821428571429</v>
      </c>
      <c r="S38" s="37">
        <f>IF(tblShipments[[#This Row],[Ship date]]="","",IF(tblShipments[[#This Row],[Pallets]]&gt;0,tblShipments[[#This Row],[Total freight]]/tblShipments[[#This Row],[Pallets]],""))</f>
        <v/>
      </c>
      <c r="T38" s="40">
        <f>IF(tblShipments[[#This Row],[Ship date]]="","",IF(tblShipments[[#This Row],[Product value]]&gt;0,tblShipments[[#This Row],[Total freight]]/tblShipments[[#This Row],[Product value]],""))</f>
        <v>0.0526623376623377</v>
      </c>
      <c r="U38" s="41" t="str">
        <f>IF(NOT(ISNUMBER(tblShipments[[#This Row],[Freight share of value]])),"",IF(tblShipments[[#This Row],[Freight share of value]]&lt;=TargetPct,"On target",IF(tblShipments[[#This Row],[Freight share of value]]&lt;=TargetPct*(1+0.05),"Near target","Above target")))</f>
        <v>Above target</v>
      </c>
      <c r="V38" s="42">
        <f>IF(tblShipments[[#This Row],[Ship date]]="","",IF(AND(tblShipments[[#This Row],[Ship date]]&gt;=FFrom,tblShipments[[#This Row],[Ship date]]&lt;=FTo),tblShipments[[#This Row],[Ship date]],""))</f>
        <v>46233</v>
      </c>
      <c r="W3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8" s="28" t="s">
        <v>138</v>
      </c>
    </row>
    <row r="39" spans="2:24">
      <c r="B39" s="34">
        <v>46237</v>
      </c>
      <c r="C39" s="28" t="s">
        <v>173</v>
      </c>
      <c r="D39" s="28" t="s">
        <v>84</v>
      </c>
      <c r="E39" s="28" t="s">
        <v>102</v>
      </c>
      <c r="F39" s="28" t="s">
        <v>86</v>
      </c>
      <c r="G39" s="35">
        <v>800</v>
      </c>
      <c r="H39" s="35">
        <v>2</v>
      </c>
      <c r="I39" s="35">
        <v>514</v>
      </c>
      <c r="J39" s="36">
        <v>4640</v>
      </c>
      <c r="K39" s="36">
        <v>104</v>
      </c>
      <c r="L39" s="36">
        <v>13.52</v>
      </c>
      <c r="M39" s="36">
        <v>0</v>
      </c>
      <c r="N39" s="37">
        <f>IF(tblShipments[[#This Row],[Ship date]]="","",tblShipments[[#This Row],[Base charge]]+tblShipments[[#This Row],[Fuel surcharge]]+tblShipments[[#This Row],[Accessorials]])</f>
        <v>117.52</v>
      </c>
      <c r="O39" s="37">
        <f>IF(tblShipments[[#This Row],[Ship date]]="","",tblShipments[[#This Row],[Fuel surcharge]]+tblShipments[[#This Row],[Accessorials]])</f>
        <v>13.52</v>
      </c>
      <c r="P39" s="38">
        <f>IF(tblShipments[[#This Row],[Ship date]]="","",IF(tblShipments[[#This Row],[Units shipped]]&gt;0,tblShipments[[#This Row],[Total freight]]/tblShipments[[#This Row],[Units shipped]],""))</f>
        <v>0.1469</v>
      </c>
      <c r="Q39" s="38">
        <f>IF(tblShipments[[#This Row],[Ship date]]="","",IF(tblShipments[[#This Row],[Units shipped]]&gt;0,tblShipments[[#This Row],[Fuel and extras]]/tblShipments[[#This Row],[Units shipped]],""))</f>
        <v>0.0169</v>
      </c>
      <c r="R39" s="39">
        <f>IF(tblShipments[[#This Row],[Ship date]]="","",IF(tblShipments[[#This Row],[Gross weight]]&gt;0,tblShipments[[#This Row],[Total freight]]/tblShipments[[#This Row],[Gross weight]],""))</f>
        <v>0.22863813229572</v>
      </c>
      <c r="S39" s="37">
        <f>IF(tblShipments[[#This Row],[Ship date]]="","",IF(tblShipments[[#This Row],[Pallets]]&gt;0,tblShipments[[#This Row],[Total freight]]/tblShipments[[#This Row],[Pallets]],""))</f>
        <v>58.76</v>
      </c>
      <c r="T39" s="40">
        <f>IF(tblShipments[[#This Row],[Ship date]]="","",IF(tblShipments[[#This Row],[Product value]]&gt;0,tblShipments[[#This Row],[Total freight]]/tblShipments[[#This Row],[Product value]],""))</f>
        <v>0.0253275862068966</v>
      </c>
      <c r="U39" s="41" t="str">
        <f>IF(NOT(ISNUMBER(tblShipments[[#This Row],[Freight share of value]])),"",IF(tblShipments[[#This Row],[Freight share of value]]&lt;=TargetPct,"On target",IF(tblShipments[[#This Row],[Freight share of value]]&lt;=TargetPct*(1+0.05),"Near target","Above target")))</f>
        <v>On target</v>
      </c>
      <c r="V39" s="42">
        <f>IF(tblShipments[[#This Row],[Ship date]]="","",IF(AND(tblShipments[[#This Row],[Ship date]]&gt;=FFrom,tblShipments[[#This Row],[Ship date]]&lt;=FTo),tblShipments[[#This Row],[Ship date]],""))</f>
        <v>46237</v>
      </c>
      <c r="W3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39" s="28" t="s">
        <v>138</v>
      </c>
    </row>
    <row r="40" spans="2:24">
      <c r="B40" s="34">
        <v>46237</v>
      </c>
      <c r="C40" s="28" t="s">
        <v>174</v>
      </c>
      <c r="D40" s="28" t="s">
        <v>95</v>
      </c>
      <c r="E40" s="28" t="s">
        <v>105</v>
      </c>
      <c r="F40" s="28" t="s">
        <v>115</v>
      </c>
      <c r="G40" s="35">
        <v>180</v>
      </c>
      <c r="H40" s="35">
        <v>0</v>
      </c>
      <c r="I40" s="35">
        <v>72</v>
      </c>
      <c r="J40" s="36">
        <v>1980</v>
      </c>
      <c r="K40" s="36">
        <v>93</v>
      </c>
      <c r="L40" s="36">
        <v>9.76</v>
      </c>
      <c r="M40" s="36">
        <v>0</v>
      </c>
      <c r="N40" s="37">
        <f>IF(tblShipments[[#This Row],[Ship date]]="","",tblShipments[[#This Row],[Base charge]]+tblShipments[[#This Row],[Fuel surcharge]]+tblShipments[[#This Row],[Accessorials]])</f>
        <v>102.76</v>
      </c>
      <c r="O40" s="37">
        <f>IF(tblShipments[[#This Row],[Ship date]]="","",tblShipments[[#This Row],[Fuel surcharge]]+tblShipments[[#This Row],[Accessorials]])</f>
        <v>9.76</v>
      </c>
      <c r="P40" s="38">
        <f>IF(tblShipments[[#This Row],[Ship date]]="","",IF(tblShipments[[#This Row],[Units shipped]]&gt;0,tblShipments[[#This Row],[Total freight]]/tblShipments[[#This Row],[Units shipped]],""))</f>
        <v>0.570888888888889</v>
      </c>
      <c r="Q40" s="38">
        <f>IF(tblShipments[[#This Row],[Ship date]]="","",IF(tblShipments[[#This Row],[Units shipped]]&gt;0,tblShipments[[#This Row],[Fuel and extras]]/tblShipments[[#This Row],[Units shipped]],""))</f>
        <v>0.0542222222222222</v>
      </c>
      <c r="R40" s="39">
        <f>IF(tblShipments[[#This Row],[Ship date]]="","",IF(tblShipments[[#This Row],[Gross weight]]&gt;0,tblShipments[[#This Row],[Total freight]]/tblShipments[[#This Row],[Gross weight]],""))</f>
        <v>1.42722222222222</v>
      </c>
      <c r="S40" s="37">
        <f>IF(tblShipments[[#This Row],[Ship date]]="","",IF(tblShipments[[#This Row],[Pallets]]&gt;0,tblShipments[[#This Row],[Total freight]]/tblShipments[[#This Row],[Pallets]],""))</f>
        <v/>
      </c>
      <c r="T40" s="40">
        <f>IF(tblShipments[[#This Row],[Ship date]]="","",IF(tblShipments[[#This Row],[Product value]]&gt;0,tblShipments[[#This Row],[Total freight]]/tblShipments[[#This Row],[Product value]],""))</f>
        <v>0.0518989898989899</v>
      </c>
      <c r="U40" s="41" t="str">
        <f>IF(NOT(ISNUMBER(tblShipments[[#This Row],[Freight share of value]])),"",IF(tblShipments[[#This Row],[Freight share of value]]&lt;=TargetPct,"On target",IF(tblShipments[[#This Row],[Freight share of value]]&lt;=TargetPct*(1+0.05),"Near target","Above target")))</f>
        <v>Above target</v>
      </c>
      <c r="V40" s="42">
        <f>IF(tblShipments[[#This Row],[Ship date]]="","",IF(AND(tblShipments[[#This Row],[Ship date]]&gt;=FFrom,tblShipments[[#This Row],[Ship date]]&lt;=FTo),tblShipments[[#This Row],[Ship date]],""))</f>
        <v>46237</v>
      </c>
      <c r="W4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0" s="28" t="s">
        <v>138</v>
      </c>
    </row>
    <row r="41" spans="2:24">
      <c r="B41" s="34">
        <v>46238</v>
      </c>
      <c r="C41" s="28" t="s">
        <v>175</v>
      </c>
      <c r="D41" s="28" t="s">
        <v>87</v>
      </c>
      <c r="E41" s="28" t="s">
        <v>102</v>
      </c>
      <c r="F41" s="28" t="s">
        <v>86</v>
      </c>
      <c r="G41" s="35">
        <v>1020</v>
      </c>
      <c r="H41" s="35">
        <v>3</v>
      </c>
      <c r="I41" s="35">
        <v>667</v>
      </c>
      <c r="J41" s="36">
        <v>5304</v>
      </c>
      <c r="K41" s="36">
        <v>252</v>
      </c>
      <c r="L41" s="36">
        <v>32.76</v>
      </c>
      <c r="M41" s="36">
        <v>0</v>
      </c>
      <c r="N41" s="37">
        <f>IF(tblShipments[[#This Row],[Ship date]]="","",tblShipments[[#This Row],[Base charge]]+tblShipments[[#This Row],[Fuel surcharge]]+tblShipments[[#This Row],[Accessorials]])</f>
        <v>284.76</v>
      </c>
      <c r="O41" s="37">
        <f>IF(tblShipments[[#This Row],[Ship date]]="","",tblShipments[[#This Row],[Fuel surcharge]]+tblShipments[[#This Row],[Accessorials]])</f>
        <v>32.76</v>
      </c>
      <c r="P41" s="38">
        <f>IF(tblShipments[[#This Row],[Ship date]]="","",IF(tblShipments[[#This Row],[Units shipped]]&gt;0,tblShipments[[#This Row],[Total freight]]/tblShipments[[#This Row],[Units shipped]],""))</f>
        <v>0.279176470588235</v>
      </c>
      <c r="Q41" s="38">
        <f>IF(tblShipments[[#This Row],[Ship date]]="","",IF(tblShipments[[#This Row],[Units shipped]]&gt;0,tblShipments[[#This Row],[Fuel and extras]]/tblShipments[[#This Row],[Units shipped]],""))</f>
        <v>0.0321176470588235</v>
      </c>
      <c r="R41" s="39">
        <f>IF(tblShipments[[#This Row],[Ship date]]="","",IF(tblShipments[[#This Row],[Gross weight]]&gt;0,tblShipments[[#This Row],[Total freight]]/tblShipments[[#This Row],[Gross weight]],""))</f>
        <v>0.426926536731634</v>
      </c>
      <c r="S41" s="37">
        <f>IF(tblShipments[[#This Row],[Ship date]]="","",IF(tblShipments[[#This Row],[Pallets]]&gt;0,tblShipments[[#This Row],[Total freight]]/tblShipments[[#This Row],[Pallets]],""))</f>
        <v>94.92</v>
      </c>
      <c r="T41" s="40">
        <f>IF(tblShipments[[#This Row],[Ship date]]="","",IF(tblShipments[[#This Row],[Product value]]&gt;0,tblShipments[[#This Row],[Total freight]]/tblShipments[[#This Row],[Product value]],""))</f>
        <v>0.0536877828054299</v>
      </c>
      <c r="U41" s="41" t="str">
        <f>IF(NOT(ISNUMBER(tblShipments[[#This Row],[Freight share of value]])),"",IF(tblShipments[[#This Row],[Freight share of value]]&lt;=TargetPct,"On target",IF(tblShipments[[#This Row],[Freight share of value]]&lt;=TargetPct*(1+0.05),"Near target","Above target")))</f>
        <v>Above target</v>
      </c>
      <c r="V41" s="42">
        <f>IF(tblShipments[[#This Row],[Ship date]]="","",IF(AND(tblShipments[[#This Row],[Ship date]]&gt;=FFrom,tblShipments[[#This Row],[Ship date]]&lt;=FTo),tblShipments[[#This Row],[Ship date]],""))</f>
        <v>46238</v>
      </c>
      <c r="W4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1" s="28" t="s">
        <v>138</v>
      </c>
    </row>
    <row r="42" spans="2:24">
      <c r="B42" s="34">
        <v>46238</v>
      </c>
      <c r="C42" s="28" t="s">
        <v>176</v>
      </c>
      <c r="D42" s="28" t="s">
        <v>80</v>
      </c>
      <c r="E42" s="28" t="s">
        <v>99</v>
      </c>
      <c r="F42" s="28" t="s">
        <v>108</v>
      </c>
      <c r="G42" s="35">
        <v>11500</v>
      </c>
      <c r="H42" s="35">
        <v>25</v>
      </c>
      <c r="I42" s="35">
        <v>6605</v>
      </c>
      <c r="J42" s="36">
        <v>47150</v>
      </c>
      <c r="K42" s="36">
        <v>640</v>
      </c>
      <c r="L42" s="36">
        <v>83.2</v>
      </c>
      <c r="M42" s="36">
        <v>60</v>
      </c>
      <c r="N42" s="37">
        <f>IF(tblShipments[[#This Row],[Ship date]]="","",tblShipments[[#This Row],[Base charge]]+tblShipments[[#This Row],[Fuel surcharge]]+tblShipments[[#This Row],[Accessorials]])</f>
        <v>783.2</v>
      </c>
      <c r="O42" s="37">
        <f>IF(tblShipments[[#This Row],[Ship date]]="","",tblShipments[[#This Row],[Fuel surcharge]]+tblShipments[[#This Row],[Accessorials]])</f>
        <v>143.2</v>
      </c>
      <c r="P42" s="38">
        <f>IF(tblShipments[[#This Row],[Ship date]]="","",IF(tblShipments[[#This Row],[Units shipped]]&gt;0,tblShipments[[#This Row],[Total freight]]/tblShipments[[#This Row],[Units shipped]],""))</f>
        <v>0.068104347826087</v>
      </c>
      <c r="Q42" s="38">
        <f>IF(tblShipments[[#This Row],[Ship date]]="","",IF(tblShipments[[#This Row],[Units shipped]]&gt;0,tblShipments[[#This Row],[Fuel and extras]]/tblShipments[[#This Row],[Units shipped]],""))</f>
        <v>0.0124521739130435</v>
      </c>
      <c r="R42" s="39">
        <f>IF(tblShipments[[#This Row],[Ship date]]="","",IF(tblShipments[[#This Row],[Gross weight]]&gt;0,tblShipments[[#This Row],[Total freight]]/tblShipments[[#This Row],[Gross weight]],""))</f>
        <v>0.118576835730507</v>
      </c>
      <c r="S42" s="37">
        <f>IF(tblShipments[[#This Row],[Ship date]]="","",IF(tblShipments[[#This Row],[Pallets]]&gt;0,tblShipments[[#This Row],[Total freight]]/tblShipments[[#This Row],[Pallets]],""))</f>
        <v>31.328</v>
      </c>
      <c r="T42" s="40">
        <f>IF(tblShipments[[#This Row],[Ship date]]="","",IF(tblShipments[[#This Row],[Product value]]&gt;0,tblShipments[[#This Row],[Total freight]]/tblShipments[[#This Row],[Product value]],""))</f>
        <v>0.016610816542948</v>
      </c>
      <c r="U42" s="41" t="str">
        <f>IF(NOT(ISNUMBER(tblShipments[[#This Row],[Freight share of value]])),"",IF(tblShipments[[#This Row],[Freight share of value]]&lt;=TargetPct,"On target",IF(tblShipments[[#This Row],[Freight share of value]]&lt;=TargetPct*(1+0.05),"Near target","Above target")))</f>
        <v>On target</v>
      </c>
      <c r="V42" s="42">
        <f>IF(tblShipments[[#This Row],[Ship date]]="","",IF(AND(tblShipments[[#This Row],[Ship date]]&gt;=FFrom,tblShipments[[#This Row],[Ship date]]&lt;=FTo),tblShipments[[#This Row],[Ship date]],""))</f>
        <v>46238</v>
      </c>
      <c r="W4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2" s="28" t="s">
        <v>142</v>
      </c>
    </row>
    <row r="43" spans="2:24">
      <c r="B43" s="34">
        <v>46239</v>
      </c>
      <c r="C43" s="28" t="s">
        <v>177</v>
      </c>
      <c r="D43" s="28" t="s">
        <v>90</v>
      </c>
      <c r="E43" s="28" t="s">
        <v>102</v>
      </c>
      <c r="F43" s="28" t="s">
        <v>86</v>
      </c>
      <c r="G43" s="35">
        <v>430</v>
      </c>
      <c r="H43" s="35">
        <v>1</v>
      </c>
      <c r="I43" s="35">
        <v>274</v>
      </c>
      <c r="J43" s="36">
        <v>2408</v>
      </c>
      <c r="K43" s="36">
        <v>61</v>
      </c>
      <c r="L43" s="36">
        <v>7.93</v>
      </c>
      <c r="M43" s="36">
        <v>18</v>
      </c>
      <c r="N43" s="37">
        <f>IF(tblShipments[[#This Row],[Ship date]]="","",tblShipments[[#This Row],[Base charge]]+tblShipments[[#This Row],[Fuel surcharge]]+tblShipments[[#This Row],[Accessorials]])</f>
        <v>86.93</v>
      </c>
      <c r="O43" s="37">
        <f>IF(tblShipments[[#This Row],[Ship date]]="","",tblShipments[[#This Row],[Fuel surcharge]]+tblShipments[[#This Row],[Accessorials]])</f>
        <v>25.93</v>
      </c>
      <c r="P43" s="38">
        <f>IF(tblShipments[[#This Row],[Ship date]]="","",IF(tblShipments[[#This Row],[Units shipped]]&gt;0,tblShipments[[#This Row],[Total freight]]/tblShipments[[#This Row],[Units shipped]],""))</f>
        <v>0.202162790697674</v>
      </c>
      <c r="Q43" s="38">
        <f>IF(tblShipments[[#This Row],[Ship date]]="","",IF(tblShipments[[#This Row],[Units shipped]]&gt;0,tblShipments[[#This Row],[Fuel and extras]]/tblShipments[[#This Row],[Units shipped]],""))</f>
        <v>0.0603023255813953</v>
      </c>
      <c r="R43" s="39">
        <f>IF(tblShipments[[#This Row],[Ship date]]="","",IF(tblShipments[[#This Row],[Gross weight]]&gt;0,tblShipments[[#This Row],[Total freight]]/tblShipments[[#This Row],[Gross weight]],""))</f>
        <v>0.317262773722628</v>
      </c>
      <c r="S43" s="37">
        <f>IF(tblShipments[[#This Row],[Ship date]]="","",IF(tblShipments[[#This Row],[Pallets]]&gt;0,tblShipments[[#This Row],[Total freight]]/tblShipments[[#This Row],[Pallets]],""))</f>
        <v>86.93</v>
      </c>
      <c r="T43" s="40">
        <f>IF(tblShipments[[#This Row],[Ship date]]="","",IF(tblShipments[[#This Row],[Product value]]&gt;0,tblShipments[[#This Row],[Total freight]]/tblShipments[[#This Row],[Product value]],""))</f>
        <v>0.0361004983388704</v>
      </c>
      <c r="U43" s="41" t="str">
        <f>IF(NOT(ISNUMBER(tblShipments[[#This Row],[Freight share of value]])),"",IF(tblShipments[[#This Row],[Freight share of value]]&lt;=TargetPct,"On target",IF(tblShipments[[#This Row],[Freight share of value]]&lt;=TargetPct*(1+0.05),"Near target","Above target")))</f>
        <v>On target</v>
      </c>
      <c r="V43" s="42">
        <f>IF(tblShipments[[#This Row],[Ship date]]="","",IF(AND(tblShipments[[#This Row],[Ship date]]&gt;=FFrom,tblShipments[[#This Row],[Ship date]]&lt;=FTo),tblShipments[[#This Row],[Ship date]],""))</f>
        <v>46239</v>
      </c>
      <c r="W4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3" s="28" t="s">
        <v>144</v>
      </c>
    </row>
    <row r="44" spans="2:24">
      <c r="B44" s="34">
        <v>46240</v>
      </c>
      <c r="C44" s="28" t="s">
        <v>178</v>
      </c>
      <c r="D44" s="28" t="s">
        <v>87</v>
      </c>
      <c r="E44" s="28" t="s">
        <v>99</v>
      </c>
      <c r="F44" s="28" t="s">
        <v>110</v>
      </c>
      <c r="G44" s="35">
        <v>680</v>
      </c>
      <c r="H44" s="35">
        <v>2</v>
      </c>
      <c r="I44" s="35">
        <v>444</v>
      </c>
      <c r="J44" s="36">
        <v>3536</v>
      </c>
      <c r="K44" s="36">
        <v>142</v>
      </c>
      <c r="L44" s="36">
        <v>18.46</v>
      </c>
      <c r="M44" s="36">
        <v>0</v>
      </c>
      <c r="N44" s="37">
        <f>IF(tblShipments[[#This Row],[Ship date]]="","",tblShipments[[#This Row],[Base charge]]+tblShipments[[#This Row],[Fuel surcharge]]+tblShipments[[#This Row],[Accessorials]])</f>
        <v>160.46</v>
      </c>
      <c r="O44" s="37">
        <f>IF(tblShipments[[#This Row],[Ship date]]="","",tblShipments[[#This Row],[Fuel surcharge]]+tblShipments[[#This Row],[Accessorials]])</f>
        <v>18.46</v>
      </c>
      <c r="P44" s="38">
        <f>IF(tblShipments[[#This Row],[Ship date]]="","",IF(tblShipments[[#This Row],[Units shipped]]&gt;0,tblShipments[[#This Row],[Total freight]]/tblShipments[[#This Row],[Units shipped]],""))</f>
        <v>0.235970588235294</v>
      </c>
      <c r="Q44" s="38">
        <f>IF(tblShipments[[#This Row],[Ship date]]="","",IF(tblShipments[[#This Row],[Units shipped]]&gt;0,tblShipments[[#This Row],[Fuel and extras]]/tblShipments[[#This Row],[Units shipped]],""))</f>
        <v>0.0271470588235294</v>
      </c>
      <c r="R44" s="39">
        <f>IF(tblShipments[[#This Row],[Ship date]]="","",IF(tblShipments[[#This Row],[Gross weight]]&gt;0,tblShipments[[#This Row],[Total freight]]/tblShipments[[#This Row],[Gross weight]],""))</f>
        <v>0.361396396396396</v>
      </c>
      <c r="S44" s="37">
        <f>IF(tblShipments[[#This Row],[Ship date]]="","",IF(tblShipments[[#This Row],[Pallets]]&gt;0,tblShipments[[#This Row],[Total freight]]/tblShipments[[#This Row],[Pallets]],""))</f>
        <v>80.23</v>
      </c>
      <c r="T44" s="40">
        <f>IF(tblShipments[[#This Row],[Ship date]]="","",IF(tblShipments[[#This Row],[Product value]]&gt;0,tblShipments[[#This Row],[Total freight]]/tblShipments[[#This Row],[Product value]],""))</f>
        <v>0.0453789592760181</v>
      </c>
      <c r="U44" s="41" t="str">
        <f>IF(NOT(ISNUMBER(tblShipments[[#This Row],[Freight share of value]])),"",IF(tblShipments[[#This Row],[Freight share of value]]&lt;=TargetPct,"On target",IF(tblShipments[[#This Row],[Freight share of value]]&lt;=TargetPct*(1+0.05),"Near target","Above target")))</f>
        <v>Above target</v>
      </c>
      <c r="V44" s="42">
        <f>IF(tblShipments[[#This Row],[Ship date]]="","",IF(AND(tblShipments[[#This Row],[Ship date]]&gt;=FFrom,tblShipments[[#This Row],[Ship date]]&lt;=FTo),tblShipments[[#This Row],[Ship date]],""))</f>
        <v>46240</v>
      </c>
      <c r="W4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4" s="28" t="s">
        <v>138</v>
      </c>
    </row>
    <row r="45" spans="2:24">
      <c r="B45" s="34">
        <v>46240</v>
      </c>
      <c r="C45" s="28" t="s">
        <v>179</v>
      </c>
      <c r="D45" s="28" t="s">
        <v>92</v>
      </c>
      <c r="E45" s="28" t="s">
        <v>103</v>
      </c>
      <c r="F45" s="28" t="s">
        <v>113</v>
      </c>
      <c r="G45" s="35">
        <v>1200</v>
      </c>
      <c r="H45" s="35">
        <v>3</v>
      </c>
      <c r="I45" s="35">
        <v>735</v>
      </c>
      <c r="J45" s="36">
        <v>7680</v>
      </c>
      <c r="K45" s="36">
        <v>354</v>
      </c>
      <c r="L45" s="36">
        <v>46.02</v>
      </c>
      <c r="M45" s="36">
        <v>131</v>
      </c>
      <c r="N45" s="37">
        <f>IF(tblShipments[[#This Row],[Ship date]]="","",tblShipments[[#This Row],[Base charge]]+tblShipments[[#This Row],[Fuel surcharge]]+tblShipments[[#This Row],[Accessorials]])</f>
        <v>531.02</v>
      </c>
      <c r="O45" s="37">
        <f>IF(tblShipments[[#This Row],[Ship date]]="","",tblShipments[[#This Row],[Fuel surcharge]]+tblShipments[[#This Row],[Accessorials]])</f>
        <v>177.02</v>
      </c>
      <c r="P45" s="38">
        <f>IF(tblShipments[[#This Row],[Ship date]]="","",IF(tblShipments[[#This Row],[Units shipped]]&gt;0,tblShipments[[#This Row],[Total freight]]/tblShipments[[#This Row],[Units shipped]],""))</f>
        <v>0.442516666666667</v>
      </c>
      <c r="Q45" s="38">
        <f>IF(tblShipments[[#This Row],[Ship date]]="","",IF(tblShipments[[#This Row],[Units shipped]]&gt;0,tblShipments[[#This Row],[Fuel and extras]]/tblShipments[[#This Row],[Units shipped]],""))</f>
        <v>0.147516666666667</v>
      </c>
      <c r="R45" s="39">
        <f>IF(tblShipments[[#This Row],[Ship date]]="","",IF(tblShipments[[#This Row],[Gross weight]]&gt;0,tblShipments[[#This Row],[Total freight]]/tblShipments[[#This Row],[Gross weight]],""))</f>
        <v>0.722476190476191</v>
      </c>
      <c r="S45" s="37">
        <f>IF(tblShipments[[#This Row],[Ship date]]="","",IF(tblShipments[[#This Row],[Pallets]]&gt;0,tblShipments[[#This Row],[Total freight]]/tblShipments[[#This Row],[Pallets]],""))</f>
        <v>177.006666666667</v>
      </c>
      <c r="T45" s="40">
        <f>IF(tblShipments[[#This Row],[Ship date]]="","",IF(tblShipments[[#This Row],[Product value]]&gt;0,tblShipments[[#This Row],[Total freight]]/tblShipments[[#This Row],[Product value]],""))</f>
        <v>0.0691432291666667</v>
      </c>
      <c r="U45" s="41" t="str">
        <f>IF(NOT(ISNUMBER(tblShipments[[#This Row],[Freight share of value]])),"",IF(tblShipments[[#This Row],[Freight share of value]]&lt;=TargetPct,"On target",IF(tblShipments[[#This Row],[Freight share of value]]&lt;=TargetPct*(1+0.05),"Near target","Above target")))</f>
        <v>Above target</v>
      </c>
      <c r="V45" s="42">
        <f>IF(tblShipments[[#This Row],[Ship date]]="","",IF(AND(tblShipments[[#This Row],[Ship date]]&gt;=FFrom,tblShipments[[#This Row],[Ship date]]&lt;=FTo),tblShipments[[#This Row],[Ship date]],""))</f>
        <v>46240</v>
      </c>
      <c r="W4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5" s="28" t="s">
        <v>147</v>
      </c>
    </row>
    <row r="46" spans="2:24">
      <c r="B46" s="34">
        <v>46240</v>
      </c>
      <c r="C46" s="28" t="s">
        <v>180</v>
      </c>
      <c r="D46" s="28" t="s">
        <v>95</v>
      </c>
      <c r="E46" s="28" t="s">
        <v>105</v>
      </c>
      <c r="F46" s="28" t="s">
        <v>115</v>
      </c>
      <c r="G46" s="35">
        <v>180</v>
      </c>
      <c r="H46" s="35">
        <v>0</v>
      </c>
      <c r="I46" s="35">
        <v>72</v>
      </c>
      <c r="J46" s="36">
        <v>1980</v>
      </c>
      <c r="K46" s="36">
        <v>93</v>
      </c>
      <c r="L46" s="36">
        <v>9.76</v>
      </c>
      <c r="M46" s="36">
        <v>0</v>
      </c>
      <c r="N46" s="37">
        <f>IF(tblShipments[[#This Row],[Ship date]]="","",tblShipments[[#This Row],[Base charge]]+tblShipments[[#This Row],[Fuel surcharge]]+tblShipments[[#This Row],[Accessorials]])</f>
        <v>102.76</v>
      </c>
      <c r="O46" s="37">
        <f>IF(tblShipments[[#This Row],[Ship date]]="","",tblShipments[[#This Row],[Fuel surcharge]]+tblShipments[[#This Row],[Accessorials]])</f>
        <v>9.76</v>
      </c>
      <c r="P46" s="38">
        <f>IF(tblShipments[[#This Row],[Ship date]]="","",IF(tblShipments[[#This Row],[Units shipped]]&gt;0,tblShipments[[#This Row],[Total freight]]/tblShipments[[#This Row],[Units shipped]],""))</f>
        <v>0.570888888888889</v>
      </c>
      <c r="Q46" s="38">
        <f>IF(tblShipments[[#This Row],[Ship date]]="","",IF(tblShipments[[#This Row],[Units shipped]]&gt;0,tblShipments[[#This Row],[Fuel and extras]]/tblShipments[[#This Row],[Units shipped]],""))</f>
        <v>0.0542222222222222</v>
      </c>
      <c r="R46" s="39">
        <f>IF(tblShipments[[#This Row],[Ship date]]="","",IF(tblShipments[[#This Row],[Gross weight]]&gt;0,tblShipments[[#This Row],[Total freight]]/tblShipments[[#This Row],[Gross weight]],""))</f>
        <v>1.42722222222222</v>
      </c>
      <c r="S46" s="37">
        <f>IF(tblShipments[[#This Row],[Ship date]]="","",IF(tblShipments[[#This Row],[Pallets]]&gt;0,tblShipments[[#This Row],[Total freight]]/tblShipments[[#This Row],[Pallets]],""))</f>
        <v/>
      </c>
      <c r="T46" s="40">
        <f>IF(tblShipments[[#This Row],[Ship date]]="","",IF(tblShipments[[#This Row],[Product value]]&gt;0,tblShipments[[#This Row],[Total freight]]/tblShipments[[#This Row],[Product value]],""))</f>
        <v>0.0518989898989899</v>
      </c>
      <c r="U46" s="41" t="str">
        <f>IF(NOT(ISNUMBER(tblShipments[[#This Row],[Freight share of value]])),"",IF(tblShipments[[#This Row],[Freight share of value]]&lt;=TargetPct,"On target",IF(tblShipments[[#This Row],[Freight share of value]]&lt;=TargetPct*(1+0.05),"Near target","Above target")))</f>
        <v>Above target</v>
      </c>
      <c r="V46" s="42">
        <f>IF(tblShipments[[#This Row],[Ship date]]="","",IF(AND(tblShipments[[#This Row],[Ship date]]&gt;=FFrom,tblShipments[[#This Row],[Ship date]]&lt;=FTo),tblShipments[[#This Row],[Ship date]],""))</f>
        <v>46240</v>
      </c>
      <c r="W4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6" s="28" t="s">
        <v>138</v>
      </c>
    </row>
    <row r="47" spans="2:24">
      <c r="B47" s="34">
        <v>46244</v>
      </c>
      <c r="C47" s="28" t="s">
        <v>181</v>
      </c>
      <c r="D47" s="28" t="s">
        <v>84</v>
      </c>
      <c r="E47" s="28" t="s">
        <v>102</v>
      </c>
      <c r="F47" s="28" t="s">
        <v>86</v>
      </c>
      <c r="G47" s="35">
        <v>340</v>
      </c>
      <c r="H47" s="35">
        <v>1</v>
      </c>
      <c r="I47" s="35">
        <v>222</v>
      </c>
      <c r="J47" s="36">
        <v>1972</v>
      </c>
      <c r="K47" s="36">
        <v>52</v>
      </c>
      <c r="L47" s="36">
        <v>6.76</v>
      </c>
      <c r="M47" s="36">
        <v>0</v>
      </c>
      <c r="N47" s="37">
        <f>IF(tblShipments[[#This Row],[Ship date]]="","",tblShipments[[#This Row],[Base charge]]+tblShipments[[#This Row],[Fuel surcharge]]+tblShipments[[#This Row],[Accessorials]])</f>
        <v>58.76</v>
      </c>
      <c r="O47" s="37">
        <f>IF(tblShipments[[#This Row],[Ship date]]="","",tblShipments[[#This Row],[Fuel surcharge]]+tblShipments[[#This Row],[Accessorials]])</f>
        <v>6.76</v>
      </c>
      <c r="P47" s="38">
        <f>IF(tblShipments[[#This Row],[Ship date]]="","",IF(tblShipments[[#This Row],[Units shipped]]&gt;0,tblShipments[[#This Row],[Total freight]]/tblShipments[[#This Row],[Units shipped]],""))</f>
        <v>0.172823529411765</v>
      </c>
      <c r="Q47" s="38">
        <f>IF(tblShipments[[#This Row],[Ship date]]="","",IF(tblShipments[[#This Row],[Units shipped]]&gt;0,tblShipments[[#This Row],[Fuel and extras]]/tblShipments[[#This Row],[Units shipped]],""))</f>
        <v>0.0198823529411765</v>
      </c>
      <c r="R47" s="39">
        <f>IF(tblShipments[[#This Row],[Ship date]]="","",IF(tblShipments[[#This Row],[Gross weight]]&gt;0,tblShipments[[#This Row],[Total freight]]/tblShipments[[#This Row],[Gross weight]],""))</f>
        <v>0.264684684684685</v>
      </c>
      <c r="S47" s="37">
        <f>IF(tblShipments[[#This Row],[Ship date]]="","",IF(tblShipments[[#This Row],[Pallets]]&gt;0,tblShipments[[#This Row],[Total freight]]/tblShipments[[#This Row],[Pallets]],""))</f>
        <v>58.76</v>
      </c>
      <c r="T47" s="40">
        <f>IF(tblShipments[[#This Row],[Ship date]]="","",IF(tblShipments[[#This Row],[Product value]]&gt;0,tblShipments[[#This Row],[Total freight]]/tblShipments[[#This Row],[Product value]],""))</f>
        <v>0.0297971602434077</v>
      </c>
      <c r="U47" s="41" t="str">
        <f>IF(NOT(ISNUMBER(tblShipments[[#This Row],[Freight share of value]])),"",IF(tblShipments[[#This Row],[Freight share of value]]&lt;=TargetPct,"On target",IF(tblShipments[[#This Row],[Freight share of value]]&lt;=TargetPct*(1+0.05),"Near target","Above target")))</f>
        <v>On target</v>
      </c>
      <c r="V47" s="42">
        <f>IF(tblShipments[[#This Row],[Ship date]]="","",IF(AND(tblShipments[[#This Row],[Ship date]]&gt;=FFrom,tblShipments[[#This Row],[Ship date]]&lt;=FTo),tblShipments[[#This Row],[Ship date]],""))</f>
        <v>46244</v>
      </c>
      <c r="W4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7" s="28" t="s">
        <v>138</v>
      </c>
    </row>
    <row r="48" spans="2:24">
      <c r="B48" s="34">
        <v>46244</v>
      </c>
      <c r="C48" s="28" t="s">
        <v>182</v>
      </c>
      <c r="D48" s="28" t="s">
        <v>95</v>
      </c>
      <c r="E48" s="28" t="s">
        <v>105</v>
      </c>
      <c r="F48" s="28" t="s">
        <v>115</v>
      </c>
      <c r="G48" s="35">
        <v>150</v>
      </c>
      <c r="H48" s="35">
        <v>0</v>
      </c>
      <c r="I48" s="35">
        <v>60</v>
      </c>
      <c r="J48" s="36">
        <v>1650</v>
      </c>
      <c r="K48" s="36">
        <v>80.59999999999999</v>
      </c>
      <c r="L48" s="36">
        <v>8.460000000000001</v>
      </c>
      <c r="M48" s="36">
        <v>0</v>
      </c>
      <c r="N48" s="37">
        <f>IF(tblShipments[[#This Row],[Ship date]]="","",tblShipments[[#This Row],[Base charge]]+tblShipments[[#This Row],[Fuel surcharge]]+tblShipments[[#This Row],[Accessorials]])</f>
        <v>89.06</v>
      </c>
      <c r="O48" s="37">
        <f>IF(tblShipments[[#This Row],[Ship date]]="","",tblShipments[[#This Row],[Fuel surcharge]]+tblShipments[[#This Row],[Accessorials]])</f>
        <v>8.46</v>
      </c>
      <c r="P48" s="38">
        <f>IF(tblShipments[[#This Row],[Ship date]]="","",IF(tblShipments[[#This Row],[Units shipped]]&gt;0,tblShipments[[#This Row],[Total freight]]/tblShipments[[#This Row],[Units shipped]],""))</f>
        <v>0.593733333333333</v>
      </c>
      <c r="Q48" s="38">
        <f>IF(tblShipments[[#This Row],[Ship date]]="","",IF(tblShipments[[#This Row],[Units shipped]]&gt;0,tblShipments[[#This Row],[Fuel and extras]]/tblShipments[[#This Row],[Units shipped]],""))</f>
        <v>0.0564</v>
      </c>
      <c r="R48" s="39">
        <f>IF(tblShipments[[#This Row],[Ship date]]="","",IF(tblShipments[[#This Row],[Gross weight]]&gt;0,tblShipments[[#This Row],[Total freight]]/tblShipments[[#This Row],[Gross weight]],""))</f>
        <v>1.48433333333333</v>
      </c>
      <c r="S48" s="37">
        <f>IF(tblShipments[[#This Row],[Ship date]]="","",IF(tblShipments[[#This Row],[Pallets]]&gt;0,tblShipments[[#This Row],[Total freight]]/tblShipments[[#This Row],[Pallets]],""))</f>
        <v/>
      </c>
      <c r="T48" s="40">
        <f>IF(tblShipments[[#This Row],[Ship date]]="","",IF(tblShipments[[#This Row],[Product value]]&gt;0,tblShipments[[#This Row],[Total freight]]/tblShipments[[#This Row],[Product value]],""))</f>
        <v>0.0539757575757576</v>
      </c>
      <c r="U48" s="41" t="str">
        <f>IF(NOT(ISNUMBER(tblShipments[[#This Row],[Freight share of value]])),"",IF(tblShipments[[#This Row],[Freight share of value]]&lt;=TargetPct,"On target",IF(tblShipments[[#This Row],[Freight share of value]]&lt;=TargetPct*(1+0.05),"Near target","Above target")))</f>
        <v>Above target</v>
      </c>
      <c r="V48" s="42">
        <f>IF(tblShipments[[#This Row],[Ship date]]="","",IF(AND(tblShipments[[#This Row],[Ship date]]&gt;=FFrom,tblShipments[[#This Row],[Ship date]]&lt;=FTo),tblShipments[[#This Row],[Ship date]],""))</f>
        <v>46244</v>
      </c>
      <c r="W4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8" s="28" t="s">
        <v>138</v>
      </c>
    </row>
    <row r="49" spans="2:24">
      <c r="B49" s="34">
        <v>46245</v>
      </c>
      <c r="C49" s="28" t="s">
        <v>183</v>
      </c>
      <c r="D49" s="28" t="s">
        <v>87</v>
      </c>
      <c r="E49" s="28" t="s">
        <v>102</v>
      </c>
      <c r="F49" s="28" t="s">
        <v>86</v>
      </c>
      <c r="G49" s="35">
        <v>660</v>
      </c>
      <c r="H49" s="35">
        <v>2</v>
      </c>
      <c r="I49" s="35">
        <v>433</v>
      </c>
      <c r="J49" s="36">
        <v>3432</v>
      </c>
      <c r="K49" s="36">
        <v>168</v>
      </c>
      <c r="L49" s="36">
        <v>21.84</v>
      </c>
      <c r="M49" s="36">
        <v>0</v>
      </c>
      <c r="N49" s="37">
        <f>IF(tblShipments[[#This Row],[Ship date]]="","",tblShipments[[#This Row],[Base charge]]+tblShipments[[#This Row],[Fuel surcharge]]+tblShipments[[#This Row],[Accessorials]])</f>
        <v>189.84</v>
      </c>
      <c r="O49" s="37">
        <f>IF(tblShipments[[#This Row],[Ship date]]="","",tblShipments[[#This Row],[Fuel surcharge]]+tblShipments[[#This Row],[Accessorials]])</f>
        <v>21.84</v>
      </c>
      <c r="P49" s="38">
        <f>IF(tblShipments[[#This Row],[Ship date]]="","",IF(tblShipments[[#This Row],[Units shipped]]&gt;0,tblShipments[[#This Row],[Total freight]]/tblShipments[[#This Row],[Units shipped]],""))</f>
        <v>0.287636363636364</v>
      </c>
      <c r="Q49" s="38">
        <f>IF(tblShipments[[#This Row],[Ship date]]="","",IF(tblShipments[[#This Row],[Units shipped]]&gt;0,tblShipments[[#This Row],[Fuel and extras]]/tblShipments[[#This Row],[Units shipped]],""))</f>
        <v>0.0330909090909091</v>
      </c>
      <c r="R49" s="39">
        <f>IF(tblShipments[[#This Row],[Ship date]]="","",IF(tblShipments[[#This Row],[Gross weight]]&gt;0,tblShipments[[#This Row],[Total freight]]/tblShipments[[#This Row],[Gross weight]],""))</f>
        <v>0.438429561200924</v>
      </c>
      <c r="S49" s="37">
        <f>IF(tblShipments[[#This Row],[Ship date]]="","",IF(tblShipments[[#This Row],[Pallets]]&gt;0,tblShipments[[#This Row],[Total freight]]/tblShipments[[#This Row],[Pallets]],""))</f>
        <v>94.92</v>
      </c>
      <c r="T49" s="40">
        <f>IF(tblShipments[[#This Row],[Ship date]]="","",IF(tblShipments[[#This Row],[Product value]]&gt;0,tblShipments[[#This Row],[Total freight]]/tblShipments[[#This Row],[Product value]],""))</f>
        <v>0.0553146853146853</v>
      </c>
      <c r="U49" s="41" t="str">
        <f>IF(NOT(ISNUMBER(tblShipments[[#This Row],[Freight share of value]])),"",IF(tblShipments[[#This Row],[Freight share of value]]&lt;=TargetPct,"On target",IF(tblShipments[[#This Row],[Freight share of value]]&lt;=TargetPct*(1+0.05),"Near target","Above target")))</f>
        <v>Above target</v>
      </c>
      <c r="V49" s="42">
        <f>IF(tblShipments[[#This Row],[Ship date]]="","",IF(AND(tblShipments[[#This Row],[Ship date]]&gt;=FFrom,tblShipments[[#This Row],[Ship date]]&lt;=FTo),tblShipments[[#This Row],[Ship date]],""))</f>
        <v>46245</v>
      </c>
      <c r="W4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49" s="28" t="s">
        <v>138</v>
      </c>
    </row>
    <row r="50" spans="2:24">
      <c r="B50" s="34">
        <v>46245</v>
      </c>
      <c r="C50" s="28" t="s">
        <v>184</v>
      </c>
      <c r="D50" s="28" t="s">
        <v>80</v>
      </c>
      <c r="E50" s="28" t="s">
        <v>99</v>
      </c>
      <c r="F50" s="28" t="s">
        <v>108</v>
      </c>
      <c r="G50" s="35">
        <v>9890</v>
      </c>
      <c r="H50" s="35">
        <v>23</v>
      </c>
      <c r="I50" s="35">
        <v>5718</v>
      </c>
      <c r="J50" s="36">
        <v>40549</v>
      </c>
      <c r="K50" s="36">
        <v>640</v>
      </c>
      <c r="L50" s="36">
        <v>83.2</v>
      </c>
      <c r="M50" s="36">
        <v>0</v>
      </c>
      <c r="N50" s="37">
        <f>IF(tblShipments[[#This Row],[Ship date]]="","",tblShipments[[#This Row],[Base charge]]+tblShipments[[#This Row],[Fuel surcharge]]+tblShipments[[#This Row],[Accessorials]])</f>
        <v>723.2</v>
      </c>
      <c r="O50" s="37">
        <f>IF(tblShipments[[#This Row],[Ship date]]="","",tblShipments[[#This Row],[Fuel surcharge]]+tblShipments[[#This Row],[Accessorials]])</f>
        <v>83.2</v>
      </c>
      <c r="P50" s="38">
        <f>IF(tblShipments[[#This Row],[Ship date]]="","",IF(tblShipments[[#This Row],[Units shipped]]&gt;0,tblShipments[[#This Row],[Total freight]]/tblShipments[[#This Row],[Units shipped]],""))</f>
        <v>0.0731243680485339</v>
      </c>
      <c r="Q50" s="38">
        <f>IF(tblShipments[[#This Row],[Ship date]]="","",IF(tblShipments[[#This Row],[Units shipped]]&gt;0,tblShipments[[#This Row],[Fuel and extras]]/tblShipments[[#This Row],[Units shipped]],""))</f>
        <v>0.00841253791708797</v>
      </c>
      <c r="R50" s="39">
        <f>IF(tblShipments[[#This Row],[Ship date]]="","",IF(tblShipments[[#This Row],[Gross weight]]&gt;0,tblShipments[[#This Row],[Total freight]]/tblShipments[[#This Row],[Gross weight]],""))</f>
        <v>0.126477789436866</v>
      </c>
      <c r="S50" s="37">
        <f>IF(tblShipments[[#This Row],[Ship date]]="","",IF(tblShipments[[#This Row],[Pallets]]&gt;0,tblShipments[[#This Row],[Total freight]]/tblShipments[[#This Row],[Pallets]],""))</f>
        <v>31.4434782608696</v>
      </c>
      <c r="T50" s="40">
        <f>IF(tblShipments[[#This Row],[Ship date]]="","",IF(tblShipments[[#This Row],[Product value]]&gt;0,tblShipments[[#This Row],[Total freight]]/tblShipments[[#This Row],[Product value]],""))</f>
        <v>0.0178352117191546</v>
      </c>
      <c r="U50" s="41" t="str">
        <f>IF(NOT(ISNUMBER(tblShipments[[#This Row],[Freight share of value]])),"",IF(tblShipments[[#This Row],[Freight share of value]]&lt;=TargetPct,"On target",IF(tblShipments[[#This Row],[Freight share of value]]&lt;=TargetPct*(1+0.05),"Near target","Above target")))</f>
        <v>On target</v>
      </c>
      <c r="V50" s="42">
        <f>IF(tblShipments[[#This Row],[Ship date]]="","",IF(AND(tblShipments[[#This Row],[Ship date]]&gt;=FFrom,tblShipments[[#This Row],[Ship date]]&lt;=FTo),tblShipments[[#This Row],[Ship date]],""))</f>
        <v>46245</v>
      </c>
      <c r="W5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0" s="28" t="s">
        <v>138</v>
      </c>
    </row>
    <row r="51" spans="2:24">
      <c r="B51" s="34">
        <v>46246</v>
      </c>
      <c r="C51" s="28" t="s">
        <v>185</v>
      </c>
      <c r="D51" s="28" t="s">
        <v>90</v>
      </c>
      <c r="E51" s="28" t="s">
        <v>102</v>
      </c>
      <c r="F51" s="28" t="s">
        <v>86</v>
      </c>
      <c r="G51" s="35">
        <v>680</v>
      </c>
      <c r="H51" s="35">
        <v>2</v>
      </c>
      <c r="I51" s="35">
        <v>444</v>
      </c>
      <c r="J51" s="36">
        <v>3808</v>
      </c>
      <c r="K51" s="36">
        <v>122</v>
      </c>
      <c r="L51" s="36">
        <v>15.86</v>
      </c>
      <c r="M51" s="36">
        <v>0</v>
      </c>
      <c r="N51" s="37">
        <f>IF(tblShipments[[#This Row],[Ship date]]="","",tblShipments[[#This Row],[Base charge]]+tblShipments[[#This Row],[Fuel surcharge]]+tblShipments[[#This Row],[Accessorials]])</f>
        <v>137.86</v>
      </c>
      <c r="O51" s="37">
        <f>IF(tblShipments[[#This Row],[Ship date]]="","",tblShipments[[#This Row],[Fuel surcharge]]+tblShipments[[#This Row],[Accessorials]])</f>
        <v>15.86</v>
      </c>
      <c r="P51" s="38">
        <f>IF(tblShipments[[#This Row],[Ship date]]="","",IF(tblShipments[[#This Row],[Units shipped]]&gt;0,tblShipments[[#This Row],[Total freight]]/tblShipments[[#This Row],[Units shipped]],""))</f>
        <v>0.202735294117647</v>
      </c>
      <c r="Q51" s="38">
        <f>IF(tblShipments[[#This Row],[Ship date]]="","",IF(tblShipments[[#This Row],[Units shipped]]&gt;0,tblShipments[[#This Row],[Fuel and extras]]/tblShipments[[#This Row],[Units shipped]],""))</f>
        <v>0.0233235294117647</v>
      </c>
      <c r="R51" s="39">
        <f>IF(tblShipments[[#This Row],[Ship date]]="","",IF(tblShipments[[#This Row],[Gross weight]]&gt;0,tblShipments[[#This Row],[Total freight]]/tblShipments[[#This Row],[Gross weight]],""))</f>
        <v>0.310495495495496</v>
      </c>
      <c r="S51" s="37">
        <f>IF(tblShipments[[#This Row],[Ship date]]="","",IF(tblShipments[[#This Row],[Pallets]]&gt;0,tblShipments[[#This Row],[Total freight]]/tblShipments[[#This Row],[Pallets]],""))</f>
        <v>68.93</v>
      </c>
      <c r="T51" s="40">
        <f>IF(tblShipments[[#This Row],[Ship date]]="","",IF(tblShipments[[#This Row],[Product value]]&gt;0,tblShipments[[#This Row],[Total freight]]/tblShipments[[#This Row],[Product value]],""))</f>
        <v>0.036202731092437</v>
      </c>
      <c r="U51" s="41" t="str">
        <f>IF(NOT(ISNUMBER(tblShipments[[#This Row],[Freight share of value]])),"",IF(tblShipments[[#This Row],[Freight share of value]]&lt;=TargetPct,"On target",IF(tblShipments[[#This Row],[Freight share of value]]&lt;=TargetPct*(1+0.05),"Near target","Above target")))</f>
        <v>On target</v>
      </c>
      <c r="V51" s="42">
        <f>IF(tblShipments[[#This Row],[Ship date]]="","",IF(AND(tblShipments[[#This Row],[Ship date]]&gt;=FFrom,tblShipments[[#This Row],[Ship date]]&lt;=FTo),tblShipments[[#This Row],[Ship date]],""))</f>
        <v>46246</v>
      </c>
      <c r="W5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1" s="28" t="s">
        <v>138</v>
      </c>
    </row>
    <row r="52" spans="2:24">
      <c r="B52" s="34">
        <v>46247</v>
      </c>
      <c r="C52" s="28" t="s">
        <v>186</v>
      </c>
      <c r="D52" s="28" t="s">
        <v>87</v>
      </c>
      <c r="E52" s="28" t="s">
        <v>99</v>
      </c>
      <c r="F52" s="28" t="s">
        <v>110</v>
      </c>
      <c r="G52" s="35">
        <v>1110</v>
      </c>
      <c r="H52" s="35">
        <v>3</v>
      </c>
      <c r="I52" s="35">
        <v>719</v>
      </c>
      <c r="J52" s="36">
        <v>5772</v>
      </c>
      <c r="K52" s="36">
        <v>213</v>
      </c>
      <c r="L52" s="36">
        <v>27.69</v>
      </c>
      <c r="M52" s="36">
        <v>0</v>
      </c>
      <c r="N52" s="37">
        <f>IF(tblShipments[[#This Row],[Ship date]]="","",tblShipments[[#This Row],[Base charge]]+tblShipments[[#This Row],[Fuel surcharge]]+tblShipments[[#This Row],[Accessorials]])</f>
        <v>240.69</v>
      </c>
      <c r="O52" s="37">
        <f>IF(tblShipments[[#This Row],[Ship date]]="","",tblShipments[[#This Row],[Fuel surcharge]]+tblShipments[[#This Row],[Accessorials]])</f>
        <v>27.69</v>
      </c>
      <c r="P52" s="38">
        <f>IF(tblShipments[[#This Row],[Ship date]]="","",IF(tblShipments[[#This Row],[Units shipped]]&gt;0,tblShipments[[#This Row],[Total freight]]/tblShipments[[#This Row],[Units shipped]],""))</f>
        <v>0.216837837837838</v>
      </c>
      <c r="Q52" s="38">
        <f>IF(tblShipments[[#This Row],[Ship date]]="","",IF(tblShipments[[#This Row],[Units shipped]]&gt;0,tblShipments[[#This Row],[Fuel and extras]]/tblShipments[[#This Row],[Units shipped]],""))</f>
        <v>0.0249459459459459</v>
      </c>
      <c r="R52" s="39">
        <f>IF(tblShipments[[#This Row],[Ship date]]="","",IF(tblShipments[[#This Row],[Gross weight]]&gt;0,tblShipments[[#This Row],[Total freight]]/tblShipments[[#This Row],[Gross weight]],""))</f>
        <v>0.334756606397775</v>
      </c>
      <c r="S52" s="37">
        <f>IF(tblShipments[[#This Row],[Ship date]]="","",IF(tblShipments[[#This Row],[Pallets]]&gt;0,tblShipments[[#This Row],[Total freight]]/tblShipments[[#This Row],[Pallets]],""))</f>
        <v>80.23</v>
      </c>
      <c r="T52" s="40">
        <f>IF(tblShipments[[#This Row],[Ship date]]="","",IF(tblShipments[[#This Row],[Product value]]&gt;0,tblShipments[[#This Row],[Total freight]]/tblShipments[[#This Row],[Product value]],""))</f>
        <v>0.0416995841995842</v>
      </c>
      <c r="U52" s="41" t="str">
        <f>IF(NOT(ISNUMBER(tblShipments[[#This Row],[Freight share of value]])),"",IF(tblShipments[[#This Row],[Freight share of value]]&lt;=TargetPct,"On target",IF(tblShipments[[#This Row],[Freight share of value]]&lt;=TargetPct*(1+0.05),"Near target","Above target")))</f>
        <v>Near target</v>
      </c>
      <c r="V52" s="42">
        <f>IF(tblShipments[[#This Row],[Ship date]]="","",IF(AND(tblShipments[[#This Row],[Ship date]]&gt;=FFrom,tblShipments[[#This Row],[Ship date]]&lt;=FTo),tblShipments[[#This Row],[Ship date]],""))</f>
        <v>46247</v>
      </c>
      <c r="W5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2" s="28" t="s">
        <v>138</v>
      </c>
    </row>
    <row r="53" spans="2:24">
      <c r="B53" s="34">
        <v>46247</v>
      </c>
      <c r="C53" s="28" t="s">
        <v>187</v>
      </c>
      <c r="D53" s="28" t="s">
        <v>92</v>
      </c>
      <c r="E53" s="28" t="s">
        <v>103</v>
      </c>
      <c r="F53" s="28" t="s">
        <v>113</v>
      </c>
      <c r="G53" s="35">
        <v>1750</v>
      </c>
      <c r="H53" s="35">
        <v>5</v>
      </c>
      <c r="I53" s="35">
        <v>1088</v>
      </c>
      <c r="J53" s="36">
        <v>11200</v>
      </c>
      <c r="K53" s="36">
        <v>590</v>
      </c>
      <c r="L53" s="36">
        <v>76.7</v>
      </c>
      <c r="M53" s="36">
        <v>175</v>
      </c>
      <c r="N53" s="37">
        <f>IF(tblShipments[[#This Row],[Ship date]]="","",tblShipments[[#This Row],[Base charge]]+tblShipments[[#This Row],[Fuel surcharge]]+tblShipments[[#This Row],[Accessorials]])</f>
        <v>841.7</v>
      </c>
      <c r="O53" s="37">
        <f>IF(tblShipments[[#This Row],[Ship date]]="","",tblShipments[[#This Row],[Fuel surcharge]]+tblShipments[[#This Row],[Accessorials]])</f>
        <v>251.7</v>
      </c>
      <c r="P53" s="38">
        <f>IF(tblShipments[[#This Row],[Ship date]]="","",IF(tblShipments[[#This Row],[Units shipped]]&gt;0,tblShipments[[#This Row],[Total freight]]/tblShipments[[#This Row],[Units shipped]],""))</f>
        <v>0.480971428571429</v>
      </c>
      <c r="Q53" s="38">
        <f>IF(tblShipments[[#This Row],[Ship date]]="","",IF(tblShipments[[#This Row],[Units shipped]]&gt;0,tblShipments[[#This Row],[Fuel and extras]]/tblShipments[[#This Row],[Units shipped]],""))</f>
        <v>0.143828571428571</v>
      </c>
      <c r="R53" s="39">
        <f>IF(tblShipments[[#This Row],[Ship date]]="","",IF(tblShipments[[#This Row],[Gross weight]]&gt;0,tblShipments[[#This Row],[Total freight]]/tblShipments[[#This Row],[Gross weight]],""))</f>
        <v>0.773621323529412</v>
      </c>
      <c r="S53" s="37">
        <f>IF(tblShipments[[#This Row],[Ship date]]="","",IF(tblShipments[[#This Row],[Pallets]]&gt;0,tblShipments[[#This Row],[Total freight]]/tblShipments[[#This Row],[Pallets]],""))</f>
        <v>168.34</v>
      </c>
      <c r="T53" s="40">
        <f>IF(tblShipments[[#This Row],[Ship date]]="","",IF(tblShipments[[#This Row],[Product value]]&gt;0,tblShipments[[#This Row],[Total freight]]/tblShipments[[#This Row],[Product value]],""))</f>
        <v>0.0751517857142857</v>
      </c>
      <c r="U53" s="41" t="str">
        <f>IF(NOT(ISNUMBER(tblShipments[[#This Row],[Freight share of value]])),"",IF(tblShipments[[#This Row],[Freight share of value]]&lt;=TargetPct,"On target",IF(tblShipments[[#This Row],[Freight share of value]]&lt;=TargetPct*(1+0.05),"Near target","Above target")))</f>
        <v>Above target</v>
      </c>
      <c r="V53" s="42">
        <f>IF(tblShipments[[#This Row],[Ship date]]="","",IF(AND(tblShipments[[#This Row],[Ship date]]&gt;=FFrom,tblShipments[[#This Row],[Ship date]]&lt;=FTo),tblShipments[[#This Row],[Ship date]],""))</f>
        <v>46247</v>
      </c>
      <c r="W5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3" s="28" t="s">
        <v>147</v>
      </c>
    </row>
    <row r="54" spans="2:24">
      <c r="B54" s="34">
        <v>46247</v>
      </c>
      <c r="C54" s="28" t="s">
        <v>188</v>
      </c>
      <c r="D54" s="28" t="s">
        <v>95</v>
      </c>
      <c r="E54" s="28" t="s">
        <v>105</v>
      </c>
      <c r="F54" s="28" t="s">
        <v>115</v>
      </c>
      <c r="G54" s="35">
        <v>160</v>
      </c>
      <c r="H54" s="35">
        <v>0</v>
      </c>
      <c r="I54" s="35">
        <v>64</v>
      </c>
      <c r="J54" s="36">
        <v>1760</v>
      </c>
      <c r="K54" s="36">
        <v>86.8</v>
      </c>
      <c r="L54" s="36">
        <v>9.109999999999999</v>
      </c>
      <c r="M54" s="36">
        <v>0</v>
      </c>
      <c r="N54" s="37">
        <f>IF(tblShipments[[#This Row],[Ship date]]="","",tblShipments[[#This Row],[Base charge]]+tblShipments[[#This Row],[Fuel surcharge]]+tblShipments[[#This Row],[Accessorials]])</f>
        <v>95.91</v>
      </c>
      <c r="O54" s="37">
        <f>IF(tblShipments[[#This Row],[Ship date]]="","",tblShipments[[#This Row],[Fuel surcharge]]+tblShipments[[#This Row],[Accessorials]])</f>
        <v>9.11</v>
      </c>
      <c r="P54" s="38">
        <f>IF(tblShipments[[#This Row],[Ship date]]="","",IF(tblShipments[[#This Row],[Units shipped]]&gt;0,tblShipments[[#This Row],[Total freight]]/tblShipments[[#This Row],[Units shipped]],""))</f>
        <v>0.5994375</v>
      </c>
      <c r="Q54" s="38">
        <f>IF(tblShipments[[#This Row],[Ship date]]="","",IF(tblShipments[[#This Row],[Units shipped]]&gt;0,tblShipments[[#This Row],[Fuel and extras]]/tblShipments[[#This Row],[Units shipped]],""))</f>
        <v>0.0569375</v>
      </c>
      <c r="R54" s="39">
        <f>IF(tblShipments[[#This Row],[Ship date]]="","",IF(tblShipments[[#This Row],[Gross weight]]&gt;0,tblShipments[[#This Row],[Total freight]]/tblShipments[[#This Row],[Gross weight]],""))</f>
        <v>1.49859375</v>
      </c>
      <c r="S54" s="37">
        <f>IF(tblShipments[[#This Row],[Ship date]]="","",IF(tblShipments[[#This Row],[Pallets]]&gt;0,tblShipments[[#This Row],[Total freight]]/tblShipments[[#This Row],[Pallets]],""))</f>
        <v/>
      </c>
      <c r="T54" s="40">
        <f>IF(tblShipments[[#This Row],[Ship date]]="","",IF(tblShipments[[#This Row],[Product value]]&gt;0,tblShipments[[#This Row],[Total freight]]/tblShipments[[#This Row],[Product value]],""))</f>
        <v>0.0544943181818182</v>
      </c>
      <c r="U54" s="41" t="str">
        <f>IF(NOT(ISNUMBER(tblShipments[[#This Row],[Freight share of value]])),"",IF(tblShipments[[#This Row],[Freight share of value]]&lt;=TargetPct,"On target",IF(tblShipments[[#This Row],[Freight share of value]]&lt;=TargetPct*(1+0.05),"Near target","Above target")))</f>
        <v>Above target</v>
      </c>
      <c r="V54" s="42">
        <f>IF(tblShipments[[#This Row],[Ship date]]="","",IF(AND(tblShipments[[#This Row],[Ship date]]&gt;=FFrom,tblShipments[[#This Row],[Ship date]]&lt;=FTo),tblShipments[[#This Row],[Ship date]],""))</f>
        <v>46247</v>
      </c>
      <c r="W5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4" s="28" t="s">
        <v>138</v>
      </c>
    </row>
    <row r="55" spans="2:24">
      <c r="B55" s="34">
        <v>46251</v>
      </c>
      <c r="C55" s="28" t="s">
        <v>189</v>
      </c>
      <c r="D55" s="28" t="s">
        <v>84</v>
      </c>
      <c r="E55" s="28" t="s">
        <v>102</v>
      </c>
      <c r="F55" s="28" t="s">
        <v>86</v>
      </c>
      <c r="G55" s="35">
        <v>990</v>
      </c>
      <c r="H55" s="35">
        <v>3</v>
      </c>
      <c r="I55" s="35">
        <v>649</v>
      </c>
      <c r="J55" s="36">
        <v>5742</v>
      </c>
      <c r="K55" s="36">
        <v>156</v>
      </c>
      <c r="L55" s="36">
        <v>20.28</v>
      </c>
      <c r="M55" s="36">
        <v>0</v>
      </c>
      <c r="N55" s="37">
        <f>IF(tblShipments[[#This Row],[Ship date]]="","",tblShipments[[#This Row],[Base charge]]+tblShipments[[#This Row],[Fuel surcharge]]+tblShipments[[#This Row],[Accessorials]])</f>
        <v>176.28</v>
      </c>
      <c r="O55" s="37">
        <f>IF(tblShipments[[#This Row],[Ship date]]="","",tblShipments[[#This Row],[Fuel surcharge]]+tblShipments[[#This Row],[Accessorials]])</f>
        <v>20.28</v>
      </c>
      <c r="P55" s="38">
        <f>IF(tblShipments[[#This Row],[Ship date]]="","",IF(tblShipments[[#This Row],[Units shipped]]&gt;0,tblShipments[[#This Row],[Total freight]]/tblShipments[[#This Row],[Units shipped]],""))</f>
        <v>0.178060606060606</v>
      </c>
      <c r="Q55" s="38">
        <f>IF(tblShipments[[#This Row],[Ship date]]="","",IF(tblShipments[[#This Row],[Units shipped]]&gt;0,tblShipments[[#This Row],[Fuel and extras]]/tblShipments[[#This Row],[Units shipped]],""))</f>
        <v>0.0204848484848485</v>
      </c>
      <c r="R55" s="39">
        <f>IF(tblShipments[[#This Row],[Ship date]]="","",IF(tblShipments[[#This Row],[Gross weight]]&gt;0,tblShipments[[#This Row],[Total freight]]/tblShipments[[#This Row],[Gross weight]],""))</f>
        <v>0.271617873651772</v>
      </c>
      <c r="S55" s="37">
        <f>IF(tblShipments[[#This Row],[Ship date]]="","",IF(tblShipments[[#This Row],[Pallets]]&gt;0,tblShipments[[#This Row],[Total freight]]/tblShipments[[#This Row],[Pallets]],""))</f>
        <v>58.76</v>
      </c>
      <c r="T55" s="40">
        <f>IF(tblShipments[[#This Row],[Ship date]]="","",IF(tblShipments[[#This Row],[Product value]]&gt;0,tblShipments[[#This Row],[Total freight]]/tblShipments[[#This Row],[Product value]],""))</f>
        <v>0.0307001044932079</v>
      </c>
      <c r="U55" s="41" t="str">
        <f>IF(NOT(ISNUMBER(tblShipments[[#This Row],[Freight share of value]])),"",IF(tblShipments[[#This Row],[Freight share of value]]&lt;=TargetPct,"On target",IF(tblShipments[[#This Row],[Freight share of value]]&lt;=TargetPct*(1+0.05),"Near target","Above target")))</f>
        <v>On target</v>
      </c>
      <c r="V55" s="42">
        <f>IF(tblShipments[[#This Row],[Ship date]]="","",IF(AND(tblShipments[[#This Row],[Ship date]]&gt;=FFrom,tblShipments[[#This Row],[Ship date]]&lt;=FTo),tblShipments[[#This Row],[Ship date]],""))</f>
        <v>46251</v>
      </c>
      <c r="W5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5" s="28" t="s">
        <v>138</v>
      </c>
    </row>
    <row r="56" spans="2:24">
      <c r="B56" s="34">
        <v>46251</v>
      </c>
      <c r="C56" s="28" t="s">
        <v>190</v>
      </c>
      <c r="D56" s="28" t="s">
        <v>95</v>
      </c>
      <c r="E56" s="28" t="s">
        <v>105</v>
      </c>
      <c r="F56" s="28" t="s">
        <v>115</v>
      </c>
      <c r="G56" s="35">
        <v>210</v>
      </c>
      <c r="H56" s="35">
        <v>0</v>
      </c>
      <c r="I56" s="35">
        <v>84</v>
      </c>
      <c r="J56" s="36">
        <v>2310</v>
      </c>
      <c r="K56" s="36">
        <v>111.6</v>
      </c>
      <c r="L56" s="36">
        <v>11.72</v>
      </c>
      <c r="M56" s="36">
        <v>0</v>
      </c>
      <c r="N56" s="37">
        <f>IF(tblShipments[[#This Row],[Ship date]]="","",tblShipments[[#This Row],[Base charge]]+tblShipments[[#This Row],[Fuel surcharge]]+tblShipments[[#This Row],[Accessorials]])</f>
        <v>123.32</v>
      </c>
      <c r="O56" s="37">
        <f>IF(tblShipments[[#This Row],[Ship date]]="","",tblShipments[[#This Row],[Fuel surcharge]]+tblShipments[[#This Row],[Accessorials]])</f>
        <v>11.72</v>
      </c>
      <c r="P56" s="38">
        <f>IF(tblShipments[[#This Row],[Ship date]]="","",IF(tblShipments[[#This Row],[Units shipped]]&gt;0,tblShipments[[#This Row],[Total freight]]/tblShipments[[#This Row],[Units shipped]],""))</f>
        <v>0.587238095238095</v>
      </c>
      <c r="Q56" s="38">
        <f>IF(tblShipments[[#This Row],[Ship date]]="","",IF(tblShipments[[#This Row],[Units shipped]]&gt;0,tblShipments[[#This Row],[Fuel and extras]]/tblShipments[[#This Row],[Units shipped]],""))</f>
        <v>0.0558095238095238</v>
      </c>
      <c r="R56" s="39">
        <f>IF(tblShipments[[#This Row],[Ship date]]="","",IF(tblShipments[[#This Row],[Gross weight]]&gt;0,tblShipments[[#This Row],[Total freight]]/tblShipments[[#This Row],[Gross weight]],""))</f>
        <v>1.46809523809524</v>
      </c>
      <c r="S56" s="37">
        <f>IF(tblShipments[[#This Row],[Ship date]]="","",IF(tblShipments[[#This Row],[Pallets]]&gt;0,tblShipments[[#This Row],[Total freight]]/tblShipments[[#This Row],[Pallets]],""))</f>
        <v/>
      </c>
      <c r="T56" s="40">
        <f>IF(tblShipments[[#This Row],[Ship date]]="","",IF(tblShipments[[#This Row],[Product value]]&gt;0,tblShipments[[#This Row],[Total freight]]/tblShipments[[#This Row],[Product value]],""))</f>
        <v>0.0533852813852814</v>
      </c>
      <c r="U56" s="41" t="str">
        <f>IF(NOT(ISNUMBER(tblShipments[[#This Row],[Freight share of value]])),"",IF(tblShipments[[#This Row],[Freight share of value]]&lt;=TargetPct,"On target",IF(tblShipments[[#This Row],[Freight share of value]]&lt;=TargetPct*(1+0.05),"Near target","Above target")))</f>
        <v>Above target</v>
      </c>
      <c r="V56" s="42">
        <f>IF(tblShipments[[#This Row],[Ship date]]="","",IF(AND(tblShipments[[#This Row],[Ship date]]&gt;=FFrom,tblShipments[[#This Row],[Ship date]]&lt;=FTo),tblShipments[[#This Row],[Ship date]],""))</f>
        <v>46251</v>
      </c>
      <c r="W5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6" s="28" t="s">
        <v>138</v>
      </c>
    </row>
    <row r="57" spans="2:24">
      <c r="B57" s="34">
        <v>46252</v>
      </c>
      <c r="C57" s="28" t="s">
        <v>191</v>
      </c>
      <c r="D57" s="28" t="s">
        <v>87</v>
      </c>
      <c r="E57" s="28" t="s">
        <v>102</v>
      </c>
      <c r="F57" s="28" t="s">
        <v>86</v>
      </c>
      <c r="G57" s="35">
        <v>1110</v>
      </c>
      <c r="H57" s="35">
        <v>3</v>
      </c>
      <c r="I57" s="35">
        <v>719</v>
      </c>
      <c r="J57" s="36">
        <v>5772</v>
      </c>
      <c r="K57" s="36">
        <v>252</v>
      </c>
      <c r="L57" s="36">
        <v>32.76</v>
      </c>
      <c r="M57" s="36">
        <v>18</v>
      </c>
      <c r="N57" s="37">
        <f>IF(tblShipments[[#This Row],[Ship date]]="","",tblShipments[[#This Row],[Base charge]]+tblShipments[[#This Row],[Fuel surcharge]]+tblShipments[[#This Row],[Accessorials]])</f>
        <v>302.76</v>
      </c>
      <c r="O57" s="37">
        <f>IF(tblShipments[[#This Row],[Ship date]]="","",tblShipments[[#This Row],[Fuel surcharge]]+tblShipments[[#This Row],[Accessorials]])</f>
        <v>50.76</v>
      </c>
      <c r="P57" s="38">
        <f>IF(tblShipments[[#This Row],[Ship date]]="","",IF(tblShipments[[#This Row],[Units shipped]]&gt;0,tblShipments[[#This Row],[Total freight]]/tblShipments[[#This Row],[Units shipped]],""))</f>
        <v>0.272756756756757</v>
      </c>
      <c r="Q57" s="38">
        <f>IF(tblShipments[[#This Row],[Ship date]]="","",IF(tblShipments[[#This Row],[Units shipped]]&gt;0,tblShipments[[#This Row],[Fuel and extras]]/tblShipments[[#This Row],[Units shipped]],""))</f>
        <v>0.0457297297297297</v>
      </c>
      <c r="R57" s="39">
        <f>IF(tblShipments[[#This Row],[Ship date]]="","",IF(tblShipments[[#This Row],[Gross weight]]&gt;0,tblShipments[[#This Row],[Total freight]]/tblShipments[[#This Row],[Gross weight]],""))</f>
        <v>0.421084840055633</v>
      </c>
      <c r="S57" s="37">
        <f>IF(tblShipments[[#This Row],[Ship date]]="","",IF(tblShipments[[#This Row],[Pallets]]&gt;0,tblShipments[[#This Row],[Total freight]]/tblShipments[[#This Row],[Pallets]],""))</f>
        <v>100.92</v>
      </c>
      <c r="T57" s="40">
        <f>IF(tblShipments[[#This Row],[Ship date]]="","",IF(tblShipments[[#This Row],[Product value]]&gt;0,tblShipments[[#This Row],[Total freight]]/tblShipments[[#This Row],[Product value]],""))</f>
        <v>0.0524532224532225</v>
      </c>
      <c r="U57" s="41" t="str">
        <f>IF(NOT(ISNUMBER(tblShipments[[#This Row],[Freight share of value]])),"",IF(tblShipments[[#This Row],[Freight share of value]]&lt;=TargetPct,"On target",IF(tblShipments[[#This Row],[Freight share of value]]&lt;=TargetPct*(1+0.05),"Near target","Above target")))</f>
        <v>Above target</v>
      </c>
      <c r="V57" s="42">
        <f>IF(tblShipments[[#This Row],[Ship date]]="","",IF(AND(tblShipments[[#This Row],[Ship date]]&gt;=FFrom,tblShipments[[#This Row],[Ship date]]&lt;=FTo),tblShipments[[#This Row],[Ship date]],""))</f>
        <v>46252</v>
      </c>
      <c r="W5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7" s="28" t="s">
        <v>144</v>
      </c>
    </row>
    <row r="58" spans="2:24">
      <c r="B58" s="34">
        <v>46252</v>
      </c>
      <c r="C58" s="28" t="s">
        <v>192</v>
      </c>
      <c r="D58" s="28" t="s">
        <v>80</v>
      </c>
      <c r="E58" s="28" t="s">
        <v>99</v>
      </c>
      <c r="F58" s="28" t="s">
        <v>108</v>
      </c>
      <c r="G58" s="35">
        <v>10800</v>
      </c>
      <c r="H58" s="35">
        <v>24</v>
      </c>
      <c r="I58" s="35">
        <v>6216</v>
      </c>
      <c r="J58" s="36">
        <v>44280</v>
      </c>
      <c r="K58" s="36">
        <v>640</v>
      </c>
      <c r="L58" s="36">
        <v>83.2</v>
      </c>
      <c r="M58" s="36">
        <v>0</v>
      </c>
      <c r="N58" s="37">
        <f>IF(tblShipments[[#This Row],[Ship date]]="","",tblShipments[[#This Row],[Base charge]]+tblShipments[[#This Row],[Fuel surcharge]]+tblShipments[[#This Row],[Accessorials]])</f>
        <v>723.2</v>
      </c>
      <c r="O58" s="37">
        <f>IF(tblShipments[[#This Row],[Ship date]]="","",tblShipments[[#This Row],[Fuel surcharge]]+tblShipments[[#This Row],[Accessorials]])</f>
        <v>83.2</v>
      </c>
      <c r="P58" s="38">
        <f>IF(tblShipments[[#This Row],[Ship date]]="","",IF(tblShipments[[#This Row],[Units shipped]]&gt;0,tblShipments[[#This Row],[Total freight]]/tblShipments[[#This Row],[Units shipped]],""))</f>
        <v>0.066962962962963</v>
      </c>
      <c r="Q58" s="38">
        <f>IF(tblShipments[[#This Row],[Ship date]]="","",IF(tblShipments[[#This Row],[Units shipped]]&gt;0,tblShipments[[#This Row],[Fuel and extras]]/tblShipments[[#This Row],[Units shipped]],""))</f>
        <v>0.0077037037037037</v>
      </c>
      <c r="R58" s="39">
        <f>IF(tblShipments[[#This Row],[Ship date]]="","",IF(tblShipments[[#This Row],[Gross weight]]&gt;0,tblShipments[[#This Row],[Total freight]]/tblShipments[[#This Row],[Gross weight]],""))</f>
        <v>0.116344916344916</v>
      </c>
      <c r="S58" s="37">
        <f>IF(tblShipments[[#This Row],[Ship date]]="","",IF(tblShipments[[#This Row],[Pallets]]&gt;0,tblShipments[[#This Row],[Total freight]]/tblShipments[[#This Row],[Pallets]],""))</f>
        <v>30.1333333333333</v>
      </c>
      <c r="T58" s="40">
        <f>IF(tblShipments[[#This Row],[Ship date]]="","",IF(tblShipments[[#This Row],[Product value]]&gt;0,tblShipments[[#This Row],[Total freight]]/tblShipments[[#This Row],[Product value]],""))</f>
        <v>0.0163324299909666</v>
      </c>
      <c r="U58" s="41" t="str">
        <f>IF(NOT(ISNUMBER(tblShipments[[#This Row],[Freight share of value]])),"",IF(tblShipments[[#This Row],[Freight share of value]]&lt;=TargetPct,"On target",IF(tblShipments[[#This Row],[Freight share of value]]&lt;=TargetPct*(1+0.05),"Near target","Above target")))</f>
        <v>On target</v>
      </c>
      <c r="V58" s="42">
        <f>IF(tblShipments[[#This Row],[Ship date]]="","",IF(AND(tblShipments[[#This Row],[Ship date]]&gt;=FFrom,tblShipments[[#This Row],[Ship date]]&lt;=FTo),tblShipments[[#This Row],[Ship date]],""))</f>
        <v>46252</v>
      </c>
      <c r="W5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8" s="28" t="s">
        <v>138</v>
      </c>
    </row>
    <row r="59" spans="2:24">
      <c r="B59" s="34">
        <v>46253</v>
      </c>
      <c r="C59" s="28" t="s">
        <v>193</v>
      </c>
      <c r="D59" s="28" t="s">
        <v>90</v>
      </c>
      <c r="E59" s="28" t="s">
        <v>102</v>
      </c>
      <c r="F59" s="28" t="s">
        <v>86</v>
      </c>
      <c r="G59" s="35">
        <v>860</v>
      </c>
      <c r="H59" s="35">
        <v>2</v>
      </c>
      <c r="I59" s="35">
        <v>549</v>
      </c>
      <c r="J59" s="36">
        <v>4816</v>
      </c>
      <c r="K59" s="36">
        <v>122</v>
      </c>
      <c r="L59" s="36">
        <v>15.86</v>
      </c>
      <c r="M59" s="36">
        <v>0</v>
      </c>
      <c r="N59" s="37">
        <f>IF(tblShipments[[#This Row],[Ship date]]="","",tblShipments[[#This Row],[Base charge]]+tblShipments[[#This Row],[Fuel surcharge]]+tblShipments[[#This Row],[Accessorials]])</f>
        <v>137.86</v>
      </c>
      <c r="O59" s="37">
        <f>IF(tblShipments[[#This Row],[Ship date]]="","",tblShipments[[#This Row],[Fuel surcharge]]+tblShipments[[#This Row],[Accessorials]])</f>
        <v>15.86</v>
      </c>
      <c r="P59" s="38">
        <f>IF(tblShipments[[#This Row],[Ship date]]="","",IF(tblShipments[[#This Row],[Units shipped]]&gt;0,tblShipments[[#This Row],[Total freight]]/tblShipments[[#This Row],[Units shipped]],""))</f>
        <v>0.160302325581395</v>
      </c>
      <c r="Q59" s="38">
        <f>IF(tblShipments[[#This Row],[Ship date]]="","",IF(tblShipments[[#This Row],[Units shipped]]&gt;0,tblShipments[[#This Row],[Fuel and extras]]/tblShipments[[#This Row],[Units shipped]],""))</f>
        <v>0.0184418604651163</v>
      </c>
      <c r="R59" s="39">
        <f>IF(tblShipments[[#This Row],[Ship date]]="","",IF(tblShipments[[#This Row],[Gross weight]]&gt;0,tblShipments[[#This Row],[Total freight]]/tblShipments[[#This Row],[Gross weight]],""))</f>
        <v>0.251111111111111</v>
      </c>
      <c r="S59" s="37">
        <f>IF(tblShipments[[#This Row],[Ship date]]="","",IF(tblShipments[[#This Row],[Pallets]]&gt;0,tblShipments[[#This Row],[Total freight]]/tblShipments[[#This Row],[Pallets]],""))</f>
        <v>68.93</v>
      </c>
      <c r="T59" s="40">
        <f>IF(tblShipments[[#This Row],[Ship date]]="","",IF(tblShipments[[#This Row],[Product value]]&gt;0,tblShipments[[#This Row],[Total freight]]/tblShipments[[#This Row],[Product value]],""))</f>
        <v>0.028625415282392</v>
      </c>
      <c r="U59" s="41" t="str">
        <f>IF(NOT(ISNUMBER(tblShipments[[#This Row],[Freight share of value]])),"",IF(tblShipments[[#This Row],[Freight share of value]]&lt;=TargetPct,"On target",IF(tblShipments[[#This Row],[Freight share of value]]&lt;=TargetPct*(1+0.05),"Near target","Above target")))</f>
        <v>On target</v>
      </c>
      <c r="V59" s="42">
        <f>IF(tblShipments[[#This Row],[Ship date]]="","",IF(AND(tblShipments[[#This Row],[Ship date]]&gt;=FFrom,tblShipments[[#This Row],[Ship date]]&lt;=FTo),tblShipments[[#This Row],[Ship date]],""))</f>
        <v>46253</v>
      </c>
      <c r="W5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59" s="28" t="s">
        <v>138</v>
      </c>
    </row>
    <row r="60" spans="2:24">
      <c r="B60" s="34">
        <v>46254</v>
      </c>
      <c r="C60" s="28" t="s">
        <v>194</v>
      </c>
      <c r="D60" s="28" t="s">
        <v>87</v>
      </c>
      <c r="E60" s="28" t="s">
        <v>99</v>
      </c>
      <c r="F60" s="28" t="s">
        <v>110</v>
      </c>
      <c r="G60" s="35">
        <v>600</v>
      </c>
      <c r="H60" s="35">
        <v>2</v>
      </c>
      <c r="I60" s="35">
        <v>398</v>
      </c>
      <c r="J60" s="36">
        <v>3120</v>
      </c>
      <c r="K60" s="36">
        <v>142</v>
      </c>
      <c r="L60" s="36">
        <v>18.46</v>
      </c>
      <c r="M60" s="36">
        <v>18</v>
      </c>
      <c r="N60" s="37">
        <f>IF(tblShipments[[#This Row],[Ship date]]="","",tblShipments[[#This Row],[Base charge]]+tblShipments[[#This Row],[Fuel surcharge]]+tblShipments[[#This Row],[Accessorials]])</f>
        <v>178.46</v>
      </c>
      <c r="O60" s="37">
        <f>IF(tblShipments[[#This Row],[Ship date]]="","",tblShipments[[#This Row],[Fuel surcharge]]+tblShipments[[#This Row],[Accessorials]])</f>
        <v>36.46</v>
      </c>
      <c r="P60" s="38">
        <f>IF(tblShipments[[#This Row],[Ship date]]="","",IF(tblShipments[[#This Row],[Units shipped]]&gt;0,tblShipments[[#This Row],[Total freight]]/tblShipments[[#This Row],[Units shipped]],""))</f>
        <v>0.297433333333333</v>
      </c>
      <c r="Q60" s="38">
        <f>IF(tblShipments[[#This Row],[Ship date]]="","",IF(tblShipments[[#This Row],[Units shipped]]&gt;0,tblShipments[[#This Row],[Fuel and extras]]/tblShipments[[#This Row],[Units shipped]],""))</f>
        <v>0.0607666666666667</v>
      </c>
      <c r="R60" s="39">
        <f>IF(tblShipments[[#This Row],[Ship date]]="","",IF(tblShipments[[#This Row],[Gross weight]]&gt;0,tblShipments[[#This Row],[Total freight]]/tblShipments[[#This Row],[Gross weight]],""))</f>
        <v>0.448391959798995</v>
      </c>
      <c r="S60" s="37">
        <f>IF(tblShipments[[#This Row],[Ship date]]="","",IF(tblShipments[[#This Row],[Pallets]]&gt;0,tblShipments[[#This Row],[Total freight]]/tblShipments[[#This Row],[Pallets]],""))</f>
        <v>89.23</v>
      </c>
      <c r="T60" s="40">
        <f>IF(tblShipments[[#This Row],[Ship date]]="","",IF(tblShipments[[#This Row],[Product value]]&gt;0,tblShipments[[#This Row],[Total freight]]/tblShipments[[#This Row],[Product value]],""))</f>
        <v>0.057198717948718</v>
      </c>
      <c r="U60" s="41" t="str">
        <f>IF(NOT(ISNUMBER(tblShipments[[#This Row],[Freight share of value]])),"",IF(tblShipments[[#This Row],[Freight share of value]]&lt;=TargetPct,"On target",IF(tblShipments[[#This Row],[Freight share of value]]&lt;=TargetPct*(1+0.05),"Near target","Above target")))</f>
        <v>Above target</v>
      </c>
      <c r="V60" s="42">
        <f>IF(tblShipments[[#This Row],[Ship date]]="","",IF(AND(tblShipments[[#This Row],[Ship date]]&gt;=FFrom,tblShipments[[#This Row],[Ship date]]&lt;=FTo),tblShipments[[#This Row],[Ship date]],""))</f>
        <v>46254</v>
      </c>
      <c r="W6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0" s="28" t="s">
        <v>144</v>
      </c>
    </row>
    <row r="61" spans="2:24">
      <c r="B61" s="34">
        <v>46254</v>
      </c>
      <c r="C61" s="28" t="s">
        <v>195</v>
      </c>
      <c r="D61" s="28" t="s">
        <v>92</v>
      </c>
      <c r="E61" s="28" t="s">
        <v>103</v>
      </c>
      <c r="F61" s="28" t="s">
        <v>113</v>
      </c>
      <c r="G61" s="35">
        <v>1850</v>
      </c>
      <c r="H61" s="35">
        <v>5</v>
      </c>
      <c r="I61" s="35">
        <v>1142</v>
      </c>
      <c r="J61" s="36">
        <v>11840</v>
      </c>
      <c r="K61" s="36">
        <v>590</v>
      </c>
      <c r="L61" s="36">
        <v>76.7</v>
      </c>
      <c r="M61" s="36">
        <v>210</v>
      </c>
      <c r="N61" s="37">
        <f>IF(tblShipments[[#This Row],[Ship date]]="","",tblShipments[[#This Row],[Base charge]]+tblShipments[[#This Row],[Fuel surcharge]]+tblShipments[[#This Row],[Accessorials]])</f>
        <v>876.7</v>
      </c>
      <c r="O61" s="37">
        <f>IF(tblShipments[[#This Row],[Ship date]]="","",tblShipments[[#This Row],[Fuel surcharge]]+tblShipments[[#This Row],[Accessorials]])</f>
        <v>286.7</v>
      </c>
      <c r="P61" s="38">
        <f>IF(tblShipments[[#This Row],[Ship date]]="","",IF(tblShipments[[#This Row],[Units shipped]]&gt;0,tblShipments[[#This Row],[Total freight]]/tblShipments[[#This Row],[Units shipped]],""))</f>
        <v>0.473891891891892</v>
      </c>
      <c r="Q61" s="38">
        <f>IF(tblShipments[[#This Row],[Ship date]]="","",IF(tblShipments[[#This Row],[Units shipped]]&gt;0,tblShipments[[#This Row],[Fuel and extras]]/tblShipments[[#This Row],[Units shipped]],""))</f>
        <v>0.154972972972973</v>
      </c>
      <c r="R61" s="39">
        <f>IF(tblShipments[[#This Row],[Ship date]]="","",IF(tblShipments[[#This Row],[Gross weight]]&gt;0,tblShipments[[#This Row],[Total freight]]/tblShipments[[#This Row],[Gross weight]],""))</f>
        <v>0.76768826619965</v>
      </c>
      <c r="S61" s="37">
        <f>IF(tblShipments[[#This Row],[Ship date]]="","",IF(tblShipments[[#This Row],[Pallets]]&gt;0,tblShipments[[#This Row],[Total freight]]/tblShipments[[#This Row],[Pallets]],""))</f>
        <v>175.34</v>
      </c>
      <c r="T61" s="40">
        <f>IF(tblShipments[[#This Row],[Ship date]]="","",IF(tblShipments[[#This Row],[Product value]]&gt;0,tblShipments[[#This Row],[Total freight]]/tblShipments[[#This Row],[Product value]],""))</f>
        <v>0.0740456081081081</v>
      </c>
      <c r="U61" s="41" t="str">
        <f>IF(NOT(ISNUMBER(tblShipments[[#This Row],[Freight share of value]])),"",IF(tblShipments[[#This Row],[Freight share of value]]&lt;=TargetPct,"On target",IF(tblShipments[[#This Row],[Freight share of value]]&lt;=TargetPct*(1+0.05),"Near target","Above target")))</f>
        <v>Above target</v>
      </c>
      <c r="V61" s="42">
        <f>IF(tblShipments[[#This Row],[Ship date]]="","",IF(AND(tblShipments[[#This Row],[Ship date]]&gt;=FFrom,tblShipments[[#This Row],[Ship date]]&lt;=FTo),tblShipments[[#This Row],[Ship date]],""))</f>
        <v>46254</v>
      </c>
      <c r="W6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1" s="28" t="s">
        <v>147</v>
      </c>
    </row>
    <row r="62" spans="2:24">
      <c r="B62" s="34">
        <v>46254</v>
      </c>
      <c r="C62" s="28" t="s">
        <v>196</v>
      </c>
      <c r="D62" s="28" t="s">
        <v>95</v>
      </c>
      <c r="E62" s="28" t="s">
        <v>105</v>
      </c>
      <c r="F62" s="28" t="s">
        <v>115</v>
      </c>
      <c r="G62" s="35">
        <v>100</v>
      </c>
      <c r="H62" s="35">
        <v>0</v>
      </c>
      <c r="I62" s="35">
        <v>40</v>
      </c>
      <c r="J62" s="36">
        <v>1100</v>
      </c>
      <c r="K62" s="36">
        <v>55.8</v>
      </c>
      <c r="L62" s="36">
        <v>5.86</v>
      </c>
      <c r="M62" s="36">
        <v>0</v>
      </c>
      <c r="N62" s="37">
        <f>IF(tblShipments[[#This Row],[Ship date]]="","",tblShipments[[#This Row],[Base charge]]+tblShipments[[#This Row],[Fuel surcharge]]+tblShipments[[#This Row],[Accessorials]])</f>
        <v>61.66</v>
      </c>
      <c r="O62" s="37">
        <f>IF(tblShipments[[#This Row],[Ship date]]="","",tblShipments[[#This Row],[Fuel surcharge]]+tblShipments[[#This Row],[Accessorials]])</f>
        <v>5.86</v>
      </c>
      <c r="P62" s="38">
        <f>IF(tblShipments[[#This Row],[Ship date]]="","",IF(tblShipments[[#This Row],[Units shipped]]&gt;0,tblShipments[[#This Row],[Total freight]]/tblShipments[[#This Row],[Units shipped]],""))</f>
        <v>0.6166</v>
      </c>
      <c r="Q62" s="38">
        <f>IF(tblShipments[[#This Row],[Ship date]]="","",IF(tblShipments[[#This Row],[Units shipped]]&gt;0,tblShipments[[#This Row],[Fuel and extras]]/tblShipments[[#This Row],[Units shipped]],""))</f>
        <v>0.0586</v>
      </c>
      <c r="R62" s="39">
        <f>IF(tblShipments[[#This Row],[Ship date]]="","",IF(tblShipments[[#This Row],[Gross weight]]&gt;0,tblShipments[[#This Row],[Total freight]]/tblShipments[[#This Row],[Gross weight]],""))</f>
        <v>1.5415</v>
      </c>
      <c r="S62" s="37">
        <f>IF(tblShipments[[#This Row],[Ship date]]="","",IF(tblShipments[[#This Row],[Pallets]]&gt;0,tblShipments[[#This Row],[Total freight]]/tblShipments[[#This Row],[Pallets]],""))</f>
        <v/>
      </c>
      <c r="T62" s="40">
        <f>IF(tblShipments[[#This Row],[Ship date]]="","",IF(tblShipments[[#This Row],[Product value]]&gt;0,tblShipments[[#This Row],[Total freight]]/tblShipments[[#This Row],[Product value]],""))</f>
        <v>0.0560545454545455</v>
      </c>
      <c r="U62" s="41" t="str">
        <f>IF(NOT(ISNUMBER(tblShipments[[#This Row],[Freight share of value]])),"",IF(tblShipments[[#This Row],[Freight share of value]]&lt;=TargetPct,"On target",IF(tblShipments[[#This Row],[Freight share of value]]&lt;=TargetPct*(1+0.05),"Near target","Above target")))</f>
        <v>Above target</v>
      </c>
      <c r="V62" s="42">
        <f>IF(tblShipments[[#This Row],[Ship date]]="","",IF(AND(tblShipments[[#This Row],[Ship date]]&gt;=FFrom,tblShipments[[#This Row],[Ship date]]&lt;=FTo),tblShipments[[#This Row],[Ship date]],""))</f>
        <v>46254</v>
      </c>
      <c r="W6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2" s="28" t="s">
        <v>138</v>
      </c>
    </row>
    <row r="63" spans="2:24">
      <c r="B63" s="34">
        <v>46258</v>
      </c>
      <c r="C63" s="28" t="s">
        <v>197</v>
      </c>
      <c r="D63" s="28" t="s">
        <v>84</v>
      </c>
      <c r="E63" s="28" t="s">
        <v>102</v>
      </c>
      <c r="F63" s="28" t="s">
        <v>86</v>
      </c>
      <c r="G63" s="35">
        <v>360</v>
      </c>
      <c r="H63" s="35">
        <v>1</v>
      </c>
      <c r="I63" s="35">
        <v>234</v>
      </c>
      <c r="J63" s="36">
        <v>2088</v>
      </c>
      <c r="K63" s="36">
        <v>52</v>
      </c>
      <c r="L63" s="36">
        <v>6.76</v>
      </c>
      <c r="M63" s="36">
        <v>0</v>
      </c>
      <c r="N63" s="37">
        <f>IF(tblShipments[[#This Row],[Ship date]]="","",tblShipments[[#This Row],[Base charge]]+tblShipments[[#This Row],[Fuel surcharge]]+tblShipments[[#This Row],[Accessorials]])</f>
        <v>58.76</v>
      </c>
      <c r="O63" s="37">
        <f>IF(tblShipments[[#This Row],[Ship date]]="","",tblShipments[[#This Row],[Fuel surcharge]]+tblShipments[[#This Row],[Accessorials]])</f>
        <v>6.76</v>
      </c>
      <c r="P63" s="38">
        <f>IF(tblShipments[[#This Row],[Ship date]]="","",IF(tblShipments[[#This Row],[Units shipped]]&gt;0,tblShipments[[#This Row],[Total freight]]/tblShipments[[#This Row],[Units shipped]],""))</f>
        <v>0.163222222222222</v>
      </c>
      <c r="Q63" s="38">
        <f>IF(tblShipments[[#This Row],[Ship date]]="","",IF(tblShipments[[#This Row],[Units shipped]]&gt;0,tblShipments[[#This Row],[Fuel and extras]]/tblShipments[[#This Row],[Units shipped]],""))</f>
        <v>0.0187777777777778</v>
      </c>
      <c r="R63" s="39">
        <f>IF(tblShipments[[#This Row],[Ship date]]="","",IF(tblShipments[[#This Row],[Gross weight]]&gt;0,tblShipments[[#This Row],[Total freight]]/tblShipments[[#This Row],[Gross weight]],""))</f>
        <v>0.251111111111111</v>
      </c>
      <c r="S63" s="37">
        <f>IF(tblShipments[[#This Row],[Ship date]]="","",IF(tblShipments[[#This Row],[Pallets]]&gt;0,tblShipments[[#This Row],[Total freight]]/tblShipments[[#This Row],[Pallets]],""))</f>
        <v>58.76</v>
      </c>
      <c r="T63" s="40">
        <f>IF(tblShipments[[#This Row],[Ship date]]="","",IF(tblShipments[[#This Row],[Product value]]&gt;0,tblShipments[[#This Row],[Total freight]]/tblShipments[[#This Row],[Product value]],""))</f>
        <v>0.0281417624521073</v>
      </c>
      <c r="U63" s="41" t="str">
        <f>IF(NOT(ISNUMBER(tblShipments[[#This Row],[Freight share of value]])),"",IF(tblShipments[[#This Row],[Freight share of value]]&lt;=TargetPct,"On target",IF(tblShipments[[#This Row],[Freight share of value]]&lt;=TargetPct*(1+0.05),"Near target","Above target")))</f>
        <v>On target</v>
      </c>
      <c r="V63" s="42">
        <f>IF(tblShipments[[#This Row],[Ship date]]="","",IF(AND(tblShipments[[#This Row],[Ship date]]&gt;=FFrom,tblShipments[[#This Row],[Ship date]]&lt;=FTo),tblShipments[[#This Row],[Ship date]],""))</f>
        <v>46258</v>
      </c>
      <c r="W6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3" s="28" t="s">
        <v>138</v>
      </c>
    </row>
    <row r="64" spans="2:24">
      <c r="B64" s="34">
        <v>46258</v>
      </c>
      <c r="C64" s="28" t="s">
        <v>198</v>
      </c>
      <c r="D64" s="28" t="s">
        <v>95</v>
      </c>
      <c r="E64" s="28" t="s">
        <v>105</v>
      </c>
      <c r="F64" s="28" t="s">
        <v>115</v>
      </c>
      <c r="G64" s="35">
        <v>180</v>
      </c>
      <c r="H64" s="35">
        <v>0</v>
      </c>
      <c r="I64" s="35">
        <v>72</v>
      </c>
      <c r="J64" s="36">
        <v>1980</v>
      </c>
      <c r="K64" s="36">
        <v>93</v>
      </c>
      <c r="L64" s="36">
        <v>9.76</v>
      </c>
      <c r="M64" s="36">
        <v>0</v>
      </c>
      <c r="N64" s="37">
        <f>IF(tblShipments[[#This Row],[Ship date]]="","",tblShipments[[#This Row],[Base charge]]+tblShipments[[#This Row],[Fuel surcharge]]+tblShipments[[#This Row],[Accessorials]])</f>
        <v>102.76</v>
      </c>
      <c r="O64" s="37">
        <f>IF(tblShipments[[#This Row],[Ship date]]="","",tblShipments[[#This Row],[Fuel surcharge]]+tblShipments[[#This Row],[Accessorials]])</f>
        <v>9.76</v>
      </c>
      <c r="P64" s="38">
        <f>IF(tblShipments[[#This Row],[Ship date]]="","",IF(tblShipments[[#This Row],[Units shipped]]&gt;0,tblShipments[[#This Row],[Total freight]]/tblShipments[[#This Row],[Units shipped]],""))</f>
        <v>0.570888888888889</v>
      </c>
      <c r="Q64" s="38">
        <f>IF(tblShipments[[#This Row],[Ship date]]="","",IF(tblShipments[[#This Row],[Units shipped]]&gt;0,tblShipments[[#This Row],[Fuel and extras]]/tblShipments[[#This Row],[Units shipped]],""))</f>
        <v>0.0542222222222222</v>
      </c>
      <c r="R64" s="39">
        <f>IF(tblShipments[[#This Row],[Ship date]]="","",IF(tblShipments[[#This Row],[Gross weight]]&gt;0,tblShipments[[#This Row],[Total freight]]/tblShipments[[#This Row],[Gross weight]],""))</f>
        <v>1.42722222222222</v>
      </c>
      <c r="S64" s="37">
        <f>IF(tblShipments[[#This Row],[Ship date]]="","",IF(tblShipments[[#This Row],[Pallets]]&gt;0,tblShipments[[#This Row],[Total freight]]/tblShipments[[#This Row],[Pallets]],""))</f>
        <v/>
      </c>
      <c r="T64" s="40">
        <f>IF(tblShipments[[#This Row],[Ship date]]="","",IF(tblShipments[[#This Row],[Product value]]&gt;0,tblShipments[[#This Row],[Total freight]]/tblShipments[[#This Row],[Product value]],""))</f>
        <v>0.0518989898989899</v>
      </c>
      <c r="U64" s="41" t="str">
        <f>IF(NOT(ISNUMBER(tblShipments[[#This Row],[Freight share of value]])),"",IF(tblShipments[[#This Row],[Freight share of value]]&lt;=TargetPct,"On target",IF(tblShipments[[#This Row],[Freight share of value]]&lt;=TargetPct*(1+0.05),"Near target","Above target")))</f>
        <v>Above target</v>
      </c>
      <c r="V64" s="42">
        <f>IF(tblShipments[[#This Row],[Ship date]]="","",IF(AND(tblShipments[[#This Row],[Ship date]]&gt;=FFrom,tblShipments[[#This Row],[Ship date]]&lt;=FTo),tblShipments[[#This Row],[Ship date]],""))</f>
        <v>46258</v>
      </c>
      <c r="W6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4" s="28" t="s">
        <v>138</v>
      </c>
    </row>
    <row r="65" spans="2:24">
      <c r="B65" s="34">
        <v>46259</v>
      </c>
      <c r="C65" s="28" t="s">
        <v>199</v>
      </c>
      <c r="D65" s="28" t="s">
        <v>87</v>
      </c>
      <c r="E65" s="28" t="s">
        <v>102</v>
      </c>
      <c r="F65" s="28" t="s">
        <v>86</v>
      </c>
      <c r="G65" s="35">
        <v>900</v>
      </c>
      <c r="H65" s="35">
        <v>2</v>
      </c>
      <c r="I65" s="35">
        <v>572</v>
      </c>
      <c r="J65" s="36">
        <v>4680</v>
      </c>
      <c r="K65" s="36">
        <v>168</v>
      </c>
      <c r="L65" s="36">
        <v>21.84</v>
      </c>
      <c r="M65" s="36">
        <v>0</v>
      </c>
      <c r="N65" s="37">
        <f>IF(tblShipments[[#This Row],[Ship date]]="","",tblShipments[[#This Row],[Base charge]]+tblShipments[[#This Row],[Fuel surcharge]]+tblShipments[[#This Row],[Accessorials]])</f>
        <v>189.84</v>
      </c>
      <c r="O65" s="37">
        <f>IF(tblShipments[[#This Row],[Ship date]]="","",tblShipments[[#This Row],[Fuel surcharge]]+tblShipments[[#This Row],[Accessorials]])</f>
        <v>21.84</v>
      </c>
      <c r="P65" s="38">
        <f>IF(tblShipments[[#This Row],[Ship date]]="","",IF(tblShipments[[#This Row],[Units shipped]]&gt;0,tblShipments[[#This Row],[Total freight]]/tblShipments[[#This Row],[Units shipped]],""))</f>
        <v>0.210933333333333</v>
      </c>
      <c r="Q65" s="38">
        <f>IF(tblShipments[[#This Row],[Ship date]]="","",IF(tblShipments[[#This Row],[Units shipped]]&gt;0,tblShipments[[#This Row],[Fuel and extras]]/tblShipments[[#This Row],[Units shipped]],""))</f>
        <v>0.0242666666666667</v>
      </c>
      <c r="R65" s="39">
        <f>IF(tblShipments[[#This Row],[Ship date]]="","",IF(tblShipments[[#This Row],[Gross weight]]&gt;0,tblShipments[[#This Row],[Total freight]]/tblShipments[[#This Row],[Gross weight]],""))</f>
        <v>0.331888111888112</v>
      </c>
      <c r="S65" s="37">
        <f>IF(tblShipments[[#This Row],[Ship date]]="","",IF(tblShipments[[#This Row],[Pallets]]&gt;0,tblShipments[[#This Row],[Total freight]]/tblShipments[[#This Row],[Pallets]],""))</f>
        <v>94.92</v>
      </c>
      <c r="T65" s="40">
        <f>IF(tblShipments[[#This Row],[Ship date]]="","",IF(tblShipments[[#This Row],[Product value]]&gt;0,tblShipments[[#This Row],[Total freight]]/tblShipments[[#This Row],[Product value]],""))</f>
        <v>0.0405641025641026</v>
      </c>
      <c r="U65" s="41" t="str">
        <f>IF(NOT(ISNUMBER(tblShipments[[#This Row],[Freight share of value]])),"",IF(tblShipments[[#This Row],[Freight share of value]]&lt;=TargetPct,"On target",IF(tblShipments[[#This Row],[Freight share of value]]&lt;=TargetPct*(1+0.05),"Near target","Above target")))</f>
        <v>Near target</v>
      </c>
      <c r="V65" s="42">
        <f>IF(tblShipments[[#This Row],[Ship date]]="","",IF(AND(tblShipments[[#This Row],[Ship date]]&gt;=FFrom,tblShipments[[#This Row],[Ship date]]&lt;=FTo),tblShipments[[#This Row],[Ship date]],""))</f>
        <v>46259</v>
      </c>
      <c r="W6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5" s="28" t="s">
        <v>138</v>
      </c>
    </row>
    <row r="66" spans="2:24">
      <c r="B66" s="34">
        <v>46259</v>
      </c>
      <c r="C66" s="28" t="s">
        <v>200</v>
      </c>
      <c r="D66" s="28" t="s">
        <v>80</v>
      </c>
      <c r="E66" s="28" t="s">
        <v>99</v>
      </c>
      <c r="F66" s="28" t="s">
        <v>108</v>
      </c>
      <c r="G66" s="35">
        <v>11250</v>
      </c>
      <c r="H66" s="35">
        <v>25</v>
      </c>
      <c r="I66" s="35">
        <v>6475</v>
      </c>
      <c r="J66" s="36">
        <v>46125</v>
      </c>
      <c r="K66" s="36">
        <v>640</v>
      </c>
      <c r="L66" s="36">
        <v>83.2</v>
      </c>
      <c r="M66" s="36">
        <v>0</v>
      </c>
      <c r="N66" s="37">
        <f>IF(tblShipments[[#This Row],[Ship date]]="","",tblShipments[[#This Row],[Base charge]]+tblShipments[[#This Row],[Fuel surcharge]]+tblShipments[[#This Row],[Accessorials]])</f>
        <v>723.2</v>
      </c>
      <c r="O66" s="37">
        <f>IF(tblShipments[[#This Row],[Ship date]]="","",tblShipments[[#This Row],[Fuel surcharge]]+tblShipments[[#This Row],[Accessorials]])</f>
        <v>83.2</v>
      </c>
      <c r="P66" s="38">
        <f>IF(tblShipments[[#This Row],[Ship date]]="","",IF(tblShipments[[#This Row],[Units shipped]]&gt;0,tblShipments[[#This Row],[Total freight]]/tblShipments[[#This Row],[Units shipped]],""))</f>
        <v>0.0642844444444445</v>
      </c>
      <c r="Q66" s="38">
        <f>IF(tblShipments[[#This Row],[Ship date]]="","",IF(tblShipments[[#This Row],[Units shipped]]&gt;0,tblShipments[[#This Row],[Fuel and extras]]/tblShipments[[#This Row],[Units shipped]],""))</f>
        <v>0.00739555555555556</v>
      </c>
      <c r="R66" s="39">
        <f>IF(tblShipments[[#This Row],[Ship date]]="","",IF(tblShipments[[#This Row],[Gross weight]]&gt;0,tblShipments[[#This Row],[Total freight]]/tblShipments[[#This Row],[Gross weight]],""))</f>
        <v>0.11169111969112</v>
      </c>
      <c r="S66" s="37">
        <f>IF(tblShipments[[#This Row],[Ship date]]="","",IF(tblShipments[[#This Row],[Pallets]]&gt;0,tblShipments[[#This Row],[Total freight]]/tblShipments[[#This Row],[Pallets]],""))</f>
        <v>28.928</v>
      </c>
      <c r="T66" s="40">
        <f>IF(tblShipments[[#This Row],[Ship date]]="","",IF(tblShipments[[#This Row],[Product value]]&gt;0,tblShipments[[#This Row],[Total freight]]/tblShipments[[#This Row],[Product value]],""))</f>
        <v>0.0156791327913279</v>
      </c>
      <c r="U66" s="41" t="str">
        <f>IF(NOT(ISNUMBER(tblShipments[[#This Row],[Freight share of value]])),"",IF(tblShipments[[#This Row],[Freight share of value]]&lt;=TargetPct,"On target",IF(tblShipments[[#This Row],[Freight share of value]]&lt;=TargetPct*(1+0.05),"Near target","Above target")))</f>
        <v>On target</v>
      </c>
      <c r="V66" s="42">
        <f>IF(tblShipments[[#This Row],[Ship date]]="","",IF(AND(tblShipments[[#This Row],[Ship date]]&gt;=FFrom,tblShipments[[#This Row],[Ship date]]&lt;=FTo),tblShipments[[#This Row],[Ship date]],""))</f>
        <v>46259</v>
      </c>
      <c r="W6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6" s="28" t="s">
        <v>138</v>
      </c>
    </row>
    <row r="67" spans="2:24">
      <c r="B67" s="34">
        <v>46260</v>
      </c>
      <c r="C67" s="28" t="s">
        <v>201</v>
      </c>
      <c r="D67" s="28" t="s">
        <v>90</v>
      </c>
      <c r="E67" s="28" t="s">
        <v>102</v>
      </c>
      <c r="F67" s="28" t="s">
        <v>86</v>
      </c>
      <c r="G67" s="35">
        <v>430</v>
      </c>
      <c r="H67" s="35">
        <v>1</v>
      </c>
      <c r="I67" s="35">
        <v>274</v>
      </c>
      <c r="J67" s="36">
        <v>2408</v>
      </c>
      <c r="K67" s="36">
        <v>61</v>
      </c>
      <c r="L67" s="36">
        <v>7.93</v>
      </c>
      <c r="M67" s="36">
        <v>0</v>
      </c>
      <c r="N67" s="37">
        <f>IF(tblShipments[[#This Row],[Ship date]]="","",tblShipments[[#This Row],[Base charge]]+tblShipments[[#This Row],[Fuel surcharge]]+tblShipments[[#This Row],[Accessorials]])</f>
        <v>68.93</v>
      </c>
      <c r="O67" s="37">
        <f>IF(tblShipments[[#This Row],[Ship date]]="","",tblShipments[[#This Row],[Fuel surcharge]]+tblShipments[[#This Row],[Accessorials]])</f>
        <v>7.93</v>
      </c>
      <c r="P67" s="38">
        <f>IF(tblShipments[[#This Row],[Ship date]]="","",IF(tblShipments[[#This Row],[Units shipped]]&gt;0,tblShipments[[#This Row],[Total freight]]/tblShipments[[#This Row],[Units shipped]],""))</f>
        <v>0.160302325581395</v>
      </c>
      <c r="Q67" s="38">
        <f>IF(tblShipments[[#This Row],[Ship date]]="","",IF(tblShipments[[#This Row],[Units shipped]]&gt;0,tblShipments[[#This Row],[Fuel and extras]]/tblShipments[[#This Row],[Units shipped]],""))</f>
        <v>0.0184418604651163</v>
      </c>
      <c r="R67" s="39">
        <f>IF(tblShipments[[#This Row],[Ship date]]="","",IF(tblShipments[[#This Row],[Gross weight]]&gt;0,tblShipments[[#This Row],[Total freight]]/tblShipments[[#This Row],[Gross weight]],""))</f>
        <v>0.251569343065693</v>
      </c>
      <c r="S67" s="37">
        <f>IF(tblShipments[[#This Row],[Ship date]]="","",IF(tblShipments[[#This Row],[Pallets]]&gt;0,tblShipments[[#This Row],[Total freight]]/tblShipments[[#This Row],[Pallets]],""))</f>
        <v>68.93</v>
      </c>
      <c r="T67" s="40">
        <f>IF(tblShipments[[#This Row],[Ship date]]="","",IF(tblShipments[[#This Row],[Product value]]&gt;0,tblShipments[[#This Row],[Total freight]]/tblShipments[[#This Row],[Product value]],""))</f>
        <v>0.028625415282392</v>
      </c>
      <c r="U67" s="41" t="str">
        <f>IF(NOT(ISNUMBER(tblShipments[[#This Row],[Freight share of value]])),"",IF(tblShipments[[#This Row],[Freight share of value]]&lt;=TargetPct,"On target",IF(tblShipments[[#This Row],[Freight share of value]]&lt;=TargetPct*(1+0.05),"Near target","Above target")))</f>
        <v>On target</v>
      </c>
      <c r="V67" s="42">
        <f>IF(tblShipments[[#This Row],[Ship date]]="","",IF(AND(tblShipments[[#This Row],[Ship date]]&gt;=FFrom,tblShipments[[#This Row],[Ship date]]&lt;=FTo),tblShipments[[#This Row],[Ship date]],""))</f>
        <v>46260</v>
      </c>
      <c r="W6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7" s="28" t="s">
        <v>138</v>
      </c>
    </row>
    <row r="68" spans="2:24">
      <c r="B68" s="34">
        <v>46261</v>
      </c>
      <c r="C68" s="28" t="s">
        <v>202</v>
      </c>
      <c r="D68" s="28" t="s">
        <v>87</v>
      </c>
      <c r="E68" s="28" t="s">
        <v>99</v>
      </c>
      <c r="F68" s="28" t="s">
        <v>110</v>
      </c>
      <c r="G68" s="35">
        <v>1200</v>
      </c>
      <c r="H68" s="35">
        <v>4</v>
      </c>
      <c r="I68" s="35">
        <v>796</v>
      </c>
      <c r="J68" s="36">
        <v>6240</v>
      </c>
      <c r="K68" s="36">
        <v>284</v>
      </c>
      <c r="L68" s="36">
        <v>36.92</v>
      </c>
      <c r="M68" s="36">
        <v>0</v>
      </c>
      <c r="N68" s="37">
        <f>IF(tblShipments[[#This Row],[Ship date]]="","",tblShipments[[#This Row],[Base charge]]+tblShipments[[#This Row],[Fuel surcharge]]+tblShipments[[#This Row],[Accessorials]])</f>
        <v>320.92</v>
      </c>
      <c r="O68" s="37">
        <f>IF(tblShipments[[#This Row],[Ship date]]="","",tblShipments[[#This Row],[Fuel surcharge]]+tblShipments[[#This Row],[Accessorials]])</f>
        <v>36.92</v>
      </c>
      <c r="P68" s="38">
        <f>IF(tblShipments[[#This Row],[Ship date]]="","",IF(tblShipments[[#This Row],[Units shipped]]&gt;0,tblShipments[[#This Row],[Total freight]]/tblShipments[[#This Row],[Units shipped]],""))</f>
        <v>0.267433333333333</v>
      </c>
      <c r="Q68" s="38">
        <f>IF(tblShipments[[#This Row],[Ship date]]="","",IF(tblShipments[[#This Row],[Units shipped]]&gt;0,tblShipments[[#This Row],[Fuel and extras]]/tblShipments[[#This Row],[Units shipped]],""))</f>
        <v>0.0307666666666667</v>
      </c>
      <c r="R68" s="39">
        <f>IF(tblShipments[[#This Row],[Ship date]]="","",IF(tblShipments[[#This Row],[Gross weight]]&gt;0,tblShipments[[#This Row],[Total freight]]/tblShipments[[#This Row],[Gross weight]],""))</f>
        <v>0.403165829145729</v>
      </c>
      <c r="S68" s="37">
        <f>IF(tblShipments[[#This Row],[Ship date]]="","",IF(tblShipments[[#This Row],[Pallets]]&gt;0,tblShipments[[#This Row],[Total freight]]/tblShipments[[#This Row],[Pallets]],""))</f>
        <v>80.23</v>
      </c>
      <c r="T68" s="40">
        <f>IF(tblShipments[[#This Row],[Ship date]]="","",IF(tblShipments[[#This Row],[Product value]]&gt;0,tblShipments[[#This Row],[Total freight]]/tblShipments[[#This Row],[Product value]],""))</f>
        <v>0.0514294871794872</v>
      </c>
      <c r="U68" s="41" t="str">
        <f>IF(NOT(ISNUMBER(tblShipments[[#This Row],[Freight share of value]])),"",IF(tblShipments[[#This Row],[Freight share of value]]&lt;=TargetPct,"On target",IF(tblShipments[[#This Row],[Freight share of value]]&lt;=TargetPct*(1+0.05),"Near target","Above target")))</f>
        <v>Above target</v>
      </c>
      <c r="V68" s="42">
        <f>IF(tblShipments[[#This Row],[Ship date]]="","",IF(AND(tblShipments[[#This Row],[Ship date]]&gt;=FFrom,tblShipments[[#This Row],[Ship date]]&lt;=FTo),tblShipments[[#This Row],[Ship date]],""))</f>
        <v>46261</v>
      </c>
      <c r="W6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8" s="28" t="s">
        <v>138</v>
      </c>
    </row>
    <row r="69" spans="2:24">
      <c r="B69" s="34">
        <v>46261</v>
      </c>
      <c r="C69" s="28" t="s">
        <v>203</v>
      </c>
      <c r="D69" s="28" t="s">
        <v>92</v>
      </c>
      <c r="E69" s="28" t="s">
        <v>103</v>
      </c>
      <c r="F69" s="28" t="s">
        <v>113</v>
      </c>
      <c r="G69" s="35">
        <v>1950</v>
      </c>
      <c r="H69" s="35">
        <v>5</v>
      </c>
      <c r="I69" s="35">
        <v>1198</v>
      </c>
      <c r="J69" s="36">
        <v>12480</v>
      </c>
      <c r="K69" s="36">
        <v>590</v>
      </c>
      <c r="L69" s="36">
        <v>76.7</v>
      </c>
      <c r="M69" s="36">
        <v>255</v>
      </c>
      <c r="N69" s="37">
        <f>IF(tblShipments[[#This Row],[Ship date]]="","",tblShipments[[#This Row],[Base charge]]+tblShipments[[#This Row],[Fuel surcharge]]+tblShipments[[#This Row],[Accessorials]])</f>
        <v>921.7</v>
      </c>
      <c r="O69" s="37">
        <f>IF(tblShipments[[#This Row],[Ship date]]="","",tblShipments[[#This Row],[Fuel surcharge]]+tblShipments[[#This Row],[Accessorials]])</f>
        <v>331.7</v>
      </c>
      <c r="P69" s="38">
        <f>IF(tblShipments[[#This Row],[Ship date]]="","",IF(tblShipments[[#This Row],[Units shipped]]&gt;0,tblShipments[[#This Row],[Total freight]]/tblShipments[[#This Row],[Units shipped]],""))</f>
        <v>0.472666666666667</v>
      </c>
      <c r="Q69" s="38">
        <f>IF(tblShipments[[#This Row],[Ship date]]="","",IF(tblShipments[[#This Row],[Units shipped]]&gt;0,tblShipments[[#This Row],[Fuel and extras]]/tblShipments[[#This Row],[Units shipped]],""))</f>
        <v>0.170102564102564</v>
      </c>
      <c r="R69" s="39">
        <f>IF(tblShipments[[#This Row],[Ship date]]="","",IF(tblShipments[[#This Row],[Gross weight]]&gt;0,tblShipments[[#This Row],[Total freight]]/tblShipments[[#This Row],[Gross weight]],""))</f>
        <v>0.769365609348915</v>
      </c>
      <c r="S69" s="37">
        <f>IF(tblShipments[[#This Row],[Ship date]]="","",IF(tblShipments[[#This Row],[Pallets]]&gt;0,tblShipments[[#This Row],[Total freight]]/tblShipments[[#This Row],[Pallets]],""))</f>
        <v>184.34</v>
      </c>
      <c r="T69" s="40">
        <f>IF(tblShipments[[#This Row],[Ship date]]="","",IF(tblShipments[[#This Row],[Product value]]&gt;0,tblShipments[[#This Row],[Total freight]]/tblShipments[[#This Row],[Product value]],""))</f>
        <v>0.0738541666666667</v>
      </c>
      <c r="U69" s="41" t="str">
        <f>IF(NOT(ISNUMBER(tblShipments[[#This Row],[Freight share of value]])),"",IF(tblShipments[[#This Row],[Freight share of value]]&lt;=TargetPct,"On target",IF(tblShipments[[#This Row],[Freight share of value]]&lt;=TargetPct*(1+0.05),"Near target","Above target")))</f>
        <v>Above target</v>
      </c>
      <c r="V69" s="42">
        <f>IF(tblShipments[[#This Row],[Ship date]]="","",IF(AND(tblShipments[[#This Row],[Ship date]]&gt;=FFrom,tblShipments[[#This Row],[Ship date]]&lt;=FTo),tblShipments[[#This Row],[Ship date]],""))</f>
        <v>46261</v>
      </c>
      <c r="W6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69" s="28" t="s">
        <v>147</v>
      </c>
    </row>
    <row r="70" spans="2:24">
      <c r="B70" s="34">
        <v>46261</v>
      </c>
      <c r="C70" s="28" t="s">
        <v>204</v>
      </c>
      <c r="D70" s="28" t="s">
        <v>95</v>
      </c>
      <c r="E70" s="28" t="s">
        <v>105</v>
      </c>
      <c r="F70" s="28" t="s">
        <v>115</v>
      </c>
      <c r="G70" s="35">
        <v>190</v>
      </c>
      <c r="H70" s="35">
        <v>0</v>
      </c>
      <c r="I70" s="35">
        <v>76</v>
      </c>
      <c r="J70" s="36">
        <v>2090</v>
      </c>
      <c r="K70" s="36">
        <v>99.2</v>
      </c>
      <c r="L70" s="36">
        <v>10.42</v>
      </c>
      <c r="M70" s="36">
        <v>0</v>
      </c>
      <c r="N70" s="37">
        <f>IF(tblShipments[[#This Row],[Ship date]]="","",tblShipments[[#This Row],[Base charge]]+tblShipments[[#This Row],[Fuel surcharge]]+tblShipments[[#This Row],[Accessorials]])</f>
        <v>109.62</v>
      </c>
      <c r="O70" s="37">
        <f>IF(tblShipments[[#This Row],[Ship date]]="","",tblShipments[[#This Row],[Fuel surcharge]]+tblShipments[[#This Row],[Accessorials]])</f>
        <v>10.42</v>
      </c>
      <c r="P70" s="38">
        <f>IF(tblShipments[[#This Row],[Ship date]]="","",IF(tblShipments[[#This Row],[Units shipped]]&gt;0,tblShipments[[#This Row],[Total freight]]/tblShipments[[#This Row],[Units shipped]],""))</f>
        <v>0.576947368421053</v>
      </c>
      <c r="Q70" s="38">
        <f>IF(tblShipments[[#This Row],[Ship date]]="","",IF(tblShipments[[#This Row],[Units shipped]]&gt;0,tblShipments[[#This Row],[Fuel and extras]]/tblShipments[[#This Row],[Units shipped]],""))</f>
        <v>0.0548421052631579</v>
      </c>
      <c r="R70" s="39">
        <f>IF(tblShipments[[#This Row],[Ship date]]="","",IF(tblShipments[[#This Row],[Gross weight]]&gt;0,tblShipments[[#This Row],[Total freight]]/tblShipments[[#This Row],[Gross weight]],""))</f>
        <v>1.44236842105263</v>
      </c>
      <c r="S70" s="37">
        <f>IF(tblShipments[[#This Row],[Ship date]]="","",IF(tblShipments[[#This Row],[Pallets]]&gt;0,tblShipments[[#This Row],[Total freight]]/tblShipments[[#This Row],[Pallets]],""))</f>
        <v/>
      </c>
      <c r="T70" s="40">
        <f>IF(tblShipments[[#This Row],[Ship date]]="","",IF(tblShipments[[#This Row],[Product value]]&gt;0,tblShipments[[#This Row],[Total freight]]/tblShipments[[#This Row],[Product value]],""))</f>
        <v>0.0524497607655502</v>
      </c>
      <c r="U70" s="41" t="str">
        <f>IF(NOT(ISNUMBER(tblShipments[[#This Row],[Freight share of value]])),"",IF(tblShipments[[#This Row],[Freight share of value]]&lt;=TargetPct,"On target",IF(tblShipments[[#This Row],[Freight share of value]]&lt;=TargetPct*(1+0.05),"Near target","Above target")))</f>
        <v>Above target</v>
      </c>
      <c r="V70" s="42">
        <f>IF(tblShipments[[#This Row],[Ship date]]="","",IF(AND(tblShipments[[#This Row],[Ship date]]&gt;=FFrom,tblShipments[[#This Row],[Ship date]]&lt;=FTo),tblShipments[[#This Row],[Ship date]],""))</f>
        <v>46261</v>
      </c>
      <c r="W7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0" s="28" t="s">
        <v>138</v>
      </c>
    </row>
    <row r="71" spans="2:24">
      <c r="B71" s="34">
        <v>46265</v>
      </c>
      <c r="C71" s="28" t="s">
        <v>205</v>
      </c>
      <c r="D71" s="28" t="s">
        <v>84</v>
      </c>
      <c r="E71" s="28" t="s">
        <v>102</v>
      </c>
      <c r="F71" s="28" t="s">
        <v>86</v>
      </c>
      <c r="G71" s="35">
        <v>640</v>
      </c>
      <c r="H71" s="35">
        <v>2</v>
      </c>
      <c r="I71" s="35">
        <v>421</v>
      </c>
      <c r="J71" s="36">
        <v>3712</v>
      </c>
      <c r="K71" s="36">
        <v>110.24</v>
      </c>
      <c r="L71" s="36">
        <v>15.98</v>
      </c>
      <c r="M71" s="36">
        <v>0</v>
      </c>
      <c r="N71" s="37">
        <f>IF(tblShipments[[#This Row],[Ship date]]="","",tblShipments[[#This Row],[Base charge]]+tblShipments[[#This Row],[Fuel surcharge]]+tblShipments[[#This Row],[Accessorials]])</f>
        <v>126.22</v>
      </c>
      <c r="O71" s="37">
        <f>IF(tblShipments[[#This Row],[Ship date]]="","",tblShipments[[#This Row],[Fuel surcharge]]+tblShipments[[#This Row],[Accessorials]])</f>
        <v>15.98</v>
      </c>
      <c r="P71" s="38">
        <f>IF(tblShipments[[#This Row],[Ship date]]="","",IF(tblShipments[[#This Row],[Units shipped]]&gt;0,tblShipments[[#This Row],[Total freight]]/tblShipments[[#This Row],[Units shipped]],""))</f>
        <v>0.19721875</v>
      </c>
      <c r="Q71" s="38">
        <f>IF(tblShipments[[#This Row],[Ship date]]="","",IF(tblShipments[[#This Row],[Units shipped]]&gt;0,tblShipments[[#This Row],[Fuel and extras]]/tblShipments[[#This Row],[Units shipped]],""))</f>
        <v>0.02496875</v>
      </c>
      <c r="R71" s="39">
        <f>IF(tblShipments[[#This Row],[Ship date]]="","",IF(tblShipments[[#This Row],[Gross weight]]&gt;0,tblShipments[[#This Row],[Total freight]]/tblShipments[[#This Row],[Gross weight]],""))</f>
        <v>0.299809976247031</v>
      </c>
      <c r="S71" s="37">
        <f>IF(tblShipments[[#This Row],[Ship date]]="","",IF(tblShipments[[#This Row],[Pallets]]&gt;0,tblShipments[[#This Row],[Total freight]]/tblShipments[[#This Row],[Pallets]],""))</f>
        <v>63.11</v>
      </c>
      <c r="T71" s="40">
        <f>IF(tblShipments[[#This Row],[Ship date]]="","",IF(tblShipments[[#This Row],[Product value]]&gt;0,tblShipments[[#This Row],[Total freight]]/tblShipments[[#This Row],[Product value]],""))</f>
        <v>0.0340032327586207</v>
      </c>
      <c r="U71" s="41" t="str">
        <f>IF(NOT(ISNUMBER(tblShipments[[#This Row],[Freight share of value]])),"",IF(tblShipments[[#This Row],[Freight share of value]]&lt;=TargetPct,"On target",IF(tblShipments[[#This Row],[Freight share of value]]&lt;=TargetPct*(1+0.05),"Near target","Above target")))</f>
        <v>On target</v>
      </c>
      <c r="V71" s="42">
        <f>IF(tblShipments[[#This Row],[Ship date]]="","",IF(AND(tblShipments[[#This Row],[Ship date]]&gt;=FFrom,tblShipments[[#This Row],[Ship date]]&lt;=FTo),tblShipments[[#This Row],[Ship date]],""))</f>
        <v>46265</v>
      </c>
      <c r="W7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1" s="28" t="s">
        <v>138</v>
      </c>
    </row>
    <row r="72" spans="2:24">
      <c r="B72" s="34">
        <v>46265</v>
      </c>
      <c r="C72" s="28" t="s">
        <v>206</v>
      </c>
      <c r="D72" s="28" t="s">
        <v>95</v>
      </c>
      <c r="E72" s="28" t="s">
        <v>105</v>
      </c>
      <c r="F72" s="28" t="s">
        <v>115</v>
      </c>
      <c r="G72" s="35">
        <v>70</v>
      </c>
      <c r="H72" s="35">
        <v>0</v>
      </c>
      <c r="I72" s="35">
        <v>28</v>
      </c>
      <c r="J72" s="36">
        <v>770</v>
      </c>
      <c r="K72" s="36">
        <v>37.2</v>
      </c>
      <c r="L72" s="36">
        <v>4.46</v>
      </c>
      <c r="M72" s="36">
        <v>0</v>
      </c>
      <c r="N72" s="37">
        <f>IF(tblShipments[[#This Row],[Ship date]]="","",tblShipments[[#This Row],[Base charge]]+tblShipments[[#This Row],[Fuel surcharge]]+tblShipments[[#This Row],[Accessorials]])</f>
        <v>41.66</v>
      </c>
      <c r="O72" s="37">
        <f>IF(tblShipments[[#This Row],[Ship date]]="","",tblShipments[[#This Row],[Fuel surcharge]]+tblShipments[[#This Row],[Accessorials]])</f>
        <v>4.46</v>
      </c>
      <c r="P72" s="38">
        <f>IF(tblShipments[[#This Row],[Ship date]]="","",IF(tblShipments[[#This Row],[Units shipped]]&gt;0,tblShipments[[#This Row],[Total freight]]/tblShipments[[#This Row],[Units shipped]],""))</f>
        <v>0.595142857142857</v>
      </c>
      <c r="Q72" s="38">
        <f>IF(tblShipments[[#This Row],[Ship date]]="","",IF(tblShipments[[#This Row],[Units shipped]]&gt;0,tblShipments[[#This Row],[Fuel and extras]]/tblShipments[[#This Row],[Units shipped]],""))</f>
        <v>0.0637142857142857</v>
      </c>
      <c r="R72" s="39">
        <f>IF(tblShipments[[#This Row],[Ship date]]="","",IF(tblShipments[[#This Row],[Gross weight]]&gt;0,tblShipments[[#This Row],[Total freight]]/tblShipments[[#This Row],[Gross weight]],""))</f>
        <v>1.48785714285714</v>
      </c>
      <c r="S72" s="37">
        <f>IF(tblShipments[[#This Row],[Ship date]]="","",IF(tblShipments[[#This Row],[Pallets]]&gt;0,tblShipments[[#This Row],[Total freight]]/tblShipments[[#This Row],[Pallets]],""))</f>
        <v/>
      </c>
      <c r="T72" s="40">
        <f>IF(tblShipments[[#This Row],[Ship date]]="","",IF(tblShipments[[#This Row],[Product value]]&gt;0,tblShipments[[#This Row],[Total freight]]/tblShipments[[#This Row],[Product value]],""))</f>
        <v>0.0541038961038961</v>
      </c>
      <c r="U72" s="41" t="str">
        <f>IF(NOT(ISNUMBER(tblShipments[[#This Row],[Freight share of value]])),"",IF(tblShipments[[#This Row],[Freight share of value]]&lt;=TargetPct,"On target",IF(tblShipments[[#This Row],[Freight share of value]]&lt;=TargetPct*(1+0.05),"Near target","Above target")))</f>
        <v>Above target</v>
      </c>
      <c r="V72" s="42">
        <f>IF(tblShipments[[#This Row],[Ship date]]="","",IF(AND(tblShipments[[#This Row],[Ship date]]&gt;=FFrom,tblShipments[[#This Row],[Ship date]]&lt;=FTo),tblShipments[[#This Row],[Ship date]],""))</f>
        <v>46265</v>
      </c>
      <c r="W7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2" s="28" t="s">
        <v>138</v>
      </c>
    </row>
    <row r="73" spans="2:24">
      <c r="B73" s="34">
        <v>46266</v>
      </c>
      <c r="C73" s="28" t="s">
        <v>207</v>
      </c>
      <c r="D73" s="28" t="s">
        <v>87</v>
      </c>
      <c r="E73" s="28" t="s">
        <v>102</v>
      </c>
      <c r="F73" s="28" t="s">
        <v>86</v>
      </c>
      <c r="G73" s="35">
        <v>1800</v>
      </c>
      <c r="H73" s="35">
        <v>4</v>
      </c>
      <c r="I73" s="35">
        <v>1144</v>
      </c>
      <c r="J73" s="36">
        <v>9360</v>
      </c>
      <c r="K73" s="36">
        <v>356.16</v>
      </c>
      <c r="L73" s="36">
        <v>51.64</v>
      </c>
      <c r="M73" s="36">
        <v>18</v>
      </c>
      <c r="N73" s="37">
        <f>IF(tblShipments[[#This Row],[Ship date]]="","",tblShipments[[#This Row],[Base charge]]+tblShipments[[#This Row],[Fuel surcharge]]+tblShipments[[#This Row],[Accessorials]])</f>
        <v>425.8</v>
      </c>
      <c r="O73" s="37">
        <f>IF(tblShipments[[#This Row],[Ship date]]="","",tblShipments[[#This Row],[Fuel surcharge]]+tblShipments[[#This Row],[Accessorials]])</f>
        <v>69.64</v>
      </c>
      <c r="P73" s="38">
        <f>IF(tblShipments[[#This Row],[Ship date]]="","",IF(tblShipments[[#This Row],[Units shipped]]&gt;0,tblShipments[[#This Row],[Total freight]]/tblShipments[[#This Row],[Units shipped]],""))</f>
        <v>0.236555555555556</v>
      </c>
      <c r="Q73" s="38">
        <f>IF(tblShipments[[#This Row],[Ship date]]="","",IF(tblShipments[[#This Row],[Units shipped]]&gt;0,tblShipments[[#This Row],[Fuel and extras]]/tblShipments[[#This Row],[Units shipped]],""))</f>
        <v>0.0386888888888889</v>
      </c>
      <c r="R73" s="39">
        <f>IF(tblShipments[[#This Row],[Ship date]]="","",IF(tblShipments[[#This Row],[Gross weight]]&gt;0,tblShipments[[#This Row],[Total freight]]/tblShipments[[#This Row],[Gross weight]],""))</f>
        <v>0.372202797202797</v>
      </c>
      <c r="S73" s="37">
        <f>IF(tblShipments[[#This Row],[Ship date]]="","",IF(tblShipments[[#This Row],[Pallets]]&gt;0,tblShipments[[#This Row],[Total freight]]/tblShipments[[#This Row],[Pallets]],""))</f>
        <v>106.45</v>
      </c>
      <c r="T73" s="40">
        <f>IF(tblShipments[[#This Row],[Ship date]]="","",IF(tblShipments[[#This Row],[Product value]]&gt;0,tblShipments[[#This Row],[Total freight]]/tblShipments[[#This Row],[Product value]],""))</f>
        <v>0.045491452991453</v>
      </c>
      <c r="U73" s="41" t="str">
        <f>IF(NOT(ISNUMBER(tblShipments[[#This Row],[Freight share of value]])),"",IF(tblShipments[[#This Row],[Freight share of value]]&lt;=TargetPct,"On target",IF(tblShipments[[#This Row],[Freight share of value]]&lt;=TargetPct*(1+0.05),"Near target","Above target")))</f>
        <v>Above target</v>
      </c>
      <c r="V73" s="42">
        <f>IF(tblShipments[[#This Row],[Ship date]]="","",IF(AND(tblShipments[[#This Row],[Ship date]]&gt;=FFrom,tblShipments[[#This Row],[Ship date]]&lt;=FTo),tblShipments[[#This Row],[Ship date]],""))</f>
        <v>46266</v>
      </c>
      <c r="W7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3" s="28" t="s">
        <v>144</v>
      </c>
    </row>
    <row r="74" spans="2:24">
      <c r="B74" s="34">
        <v>46266</v>
      </c>
      <c r="C74" s="28" t="s">
        <v>208</v>
      </c>
      <c r="D74" s="28" t="s">
        <v>80</v>
      </c>
      <c r="E74" s="28" t="s">
        <v>99</v>
      </c>
      <c r="F74" s="28" t="s">
        <v>108</v>
      </c>
      <c r="G74" s="35">
        <v>10080</v>
      </c>
      <c r="H74" s="35">
        <v>24</v>
      </c>
      <c r="I74" s="35">
        <v>5842</v>
      </c>
      <c r="J74" s="36">
        <v>41328</v>
      </c>
      <c r="K74" s="36">
        <v>640</v>
      </c>
      <c r="L74" s="36">
        <v>92.8</v>
      </c>
      <c r="M74" s="36">
        <v>0</v>
      </c>
      <c r="N74" s="37">
        <f>IF(tblShipments[[#This Row],[Ship date]]="","",tblShipments[[#This Row],[Base charge]]+tblShipments[[#This Row],[Fuel surcharge]]+tblShipments[[#This Row],[Accessorials]])</f>
        <v>732.8</v>
      </c>
      <c r="O74" s="37">
        <f>IF(tblShipments[[#This Row],[Ship date]]="","",tblShipments[[#This Row],[Fuel surcharge]]+tblShipments[[#This Row],[Accessorials]])</f>
        <v>92.8</v>
      </c>
      <c r="P74" s="38">
        <f>IF(tblShipments[[#This Row],[Ship date]]="","",IF(tblShipments[[#This Row],[Units shipped]]&gt;0,tblShipments[[#This Row],[Total freight]]/tblShipments[[#This Row],[Units shipped]],""))</f>
        <v>0.0726984126984127</v>
      </c>
      <c r="Q74" s="38">
        <f>IF(tblShipments[[#This Row],[Ship date]]="","",IF(tblShipments[[#This Row],[Units shipped]]&gt;0,tblShipments[[#This Row],[Fuel and extras]]/tblShipments[[#This Row],[Units shipped]],""))</f>
        <v>0.00920634920634921</v>
      </c>
      <c r="R74" s="39">
        <f>IF(tblShipments[[#This Row],[Ship date]]="","",IF(tblShipments[[#This Row],[Gross weight]]&gt;0,tblShipments[[#This Row],[Total freight]]/tblShipments[[#This Row],[Gross weight]],""))</f>
        <v>0.12543649435125</v>
      </c>
      <c r="S74" s="37">
        <f>IF(tblShipments[[#This Row],[Ship date]]="","",IF(tblShipments[[#This Row],[Pallets]]&gt;0,tblShipments[[#This Row],[Total freight]]/tblShipments[[#This Row],[Pallets]],""))</f>
        <v>30.5333333333333</v>
      </c>
      <c r="T74" s="40">
        <f>IF(tblShipments[[#This Row],[Ship date]]="","",IF(tblShipments[[#This Row],[Product value]]&gt;0,tblShipments[[#This Row],[Total freight]]/tblShipments[[#This Row],[Product value]],""))</f>
        <v>0.0177313201703446</v>
      </c>
      <c r="U74" s="41" t="str">
        <f>IF(NOT(ISNUMBER(tblShipments[[#This Row],[Freight share of value]])),"",IF(tblShipments[[#This Row],[Freight share of value]]&lt;=TargetPct,"On target",IF(tblShipments[[#This Row],[Freight share of value]]&lt;=TargetPct*(1+0.05),"Near target","Above target")))</f>
        <v>On target</v>
      </c>
      <c r="V74" s="42">
        <f>IF(tblShipments[[#This Row],[Ship date]]="","",IF(AND(tblShipments[[#This Row],[Ship date]]&gt;=FFrom,tblShipments[[#This Row],[Ship date]]&lt;=FTo),tblShipments[[#This Row],[Ship date]],""))</f>
        <v>46266</v>
      </c>
      <c r="W7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4" s="28" t="s">
        <v>138</v>
      </c>
    </row>
    <row r="75" spans="2:24">
      <c r="B75" s="34">
        <v>46267</v>
      </c>
      <c r="C75" s="28" t="s">
        <v>209</v>
      </c>
      <c r="D75" s="28" t="s">
        <v>90</v>
      </c>
      <c r="E75" s="28" t="s">
        <v>102</v>
      </c>
      <c r="F75" s="28" t="s">
        <v>86</v>
      </c>
      <c r="G75" s="35">
        <v>930</v>
      </c>
      <c r="H75" s="35">
        <v>3</v>
      </c>
      <c r="I75" s="35">
        <v>614</v>
      </c>
      <c r="J75" s="36">
        <v>5208</v>
      </c>
      <c r="K75" s="36">
        <v>193.98</v>
      </c>
      <c r="L75" s="36">
        <v>28.13</v>
      </c>
      <c r="M75" s="36">
        <v>0</v>
      </c>
      <c r="N75" s="37">
        <f>IF(tblShipments[[#This Row],[Ship date]]="","",tblShipments[[#This Row],[Base charge]]+tblShipments[[#This Row],[Fuel surcharge]]+tblShipments[[#This Row],[Accessorials]])</f>
        <v>222.11</v>
      </c>
      <c r="O75" s="37">
        <f>IF(tblShipments[[#This Row],[Ship date]]="","",tblShipments[[#This Row],[Fuel surcharge]]+tblShipments[[#This Row],[Accessorials]])</f>
        <v>28.13</v>
      </c>
      <c r="P75" s="38">
        <f>IF(tblShipments[[#This Row],[Ship date]]="","",IF(tblShipments[[#This Row],[Units shipped]]&gt;0,tblShipments[[#This Row],[Total freight]]/tblShipments[[#This Row],[Units shipped]],""))</f>
        <v>0.238827956989247</v>
      </c>
      <c r="Q75" s="38">
        <f>IF(tblShipments[[#This Row],[Ship date]]="","",IF(tblShipments[[#This Row],[Units shipped]]&gt;0,tblShipments[[#This Row],[Fuel and extras]]/tblShipments[[#This Row],[Units shipped]],""))</f>
        <v>0.030247311827957</v>
      </c>
      <c r="R75" s="39">
        <f>IF(tblShipments[[#This Row],[Ship date]]="","",IF(tblShipments[[#This Row],[Gross weight]]&gt;0,tblShipments[[#This Row],[Total freight]]/tblShipments[[#This Row],[Gross weight]],""))</f>
        <v>0.361742671009772</v>
      </c>
      <c r="S75" s="37">
        <f>IF(tblShipments[[#This Row],[Ship date]]="","",IF(tblShipments[[#This Row],[Pallets]]&gt;0,tblShipments[[#This Row],[Total freight]]/tblShipments[[#This Row],[Pallets]],""))</f>
        <v>74.0366666666667</v>
      </c>
      <c r="T75" s="40">
        <f>IF(tblShipments[[#This Row],[Ship date]]="","",IF(tblShipments[[#This Row],[Product value]]&gt;0,tblShipments[[#This Row],[Total freight]]/tblShipments[[#This Row],[Product value]],""))</f>
        <v>0.0426478494623656</v>
      </c>
      <c r="U75" s="41" t="str">
        <f>IF(NOT(ISNUMBER(tblShipments[[#This Row],[Freight share of value]])),"",IF(tblShipments[[#This Row],[Freight share of value]]&lt;=TargetPct,"On target",IF(tblShipments[[#This Row],[Freight share of value]]&lt;=TargetPct*(1+0.05),"Near target","Above target")))</f>
        <v>Above target</v>
      </c>
      <c r="V75" s="42">
        <f>IF(tblShipments[[#This Row],[Ship date]]="","",IF(AND(tblShipments[[#This Row],[Ship date]]&gt;=FFrom,tblShipments[[#This Row],[Ship date]]&lt;=FTo),tblShipments[[#This Row],[Ship date]],""))</f>
        <v>46267</v>
      </c>
      <c r="W7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5" s="28" t="s">
        <v>138</v>
      </c>
    </row>
    <row r="76" spans="2:24">
      <c r="B76" s="34">
        <v>46268</v>
      </c>
      <c r="C76" s="28" t="s">
        <v>210</v>
      </c>
      <c r="D76" s="28" t="s">
        <v>87</v>
      </c>
      <c r="E76" s="28" t="s">
        <v>99</v>
      </c>
      <c r="F76" s="28" t="s">
        <v>110</v>
      </c>
      <c r="G76" s="35">
        <v>1200</v>
      </c>
      <c r="H76" s="35">
        <v>4</v>
      </c>
      <c r="I76" s="35">
        <v>796</v>
      </c>
      <c r="J76" s="36">
        <v>6240</v>
      </c>
      <c r="K76" s="36">
        <v>284</v>
      </c>
      <c r="L76" s="36">
        <v>41.18</v>
      </c>
      <c r="M76" s="36">
        <v>0</v>
      </c>
      <c r="N76" s="37">
        <f>IF(tblShipments[[#This Row],[Ship date]]="","",tblShipments[[#This Row],[Base charge]]+tblShipments[[#This Row],[Fuel surcharge]]+tblShipments[[#This Row],[Accessorials]])</f>
        <v>325.18</v>
      </c>
      <c r="O76" s="37">
        <f>IF(tblShipments[[#This Row],[Ship date]]="","",tblShipments[[#This Row],[Fuel surcharge]]+tblShipments[[#This Row],[Accessorials]])</f>
        <v>41.18</v>
      </c>
      <c r="P76" s="38">
        <f>IF(tblShipments[[#This Row],[Ship date]]="","",IF(tblShipments[[#This Row],[Units shipped]]&gt;0,tblShipments[[#This Row],[Total freight]]/tblShipments[[#This Row],[Units shipped]],""))</f>
        <v>0.270983333333333</v>
      </c>
      <c r="Q76" s="38">
        <f>IF(tblShipments[[#This Row],[Ship date]]="","",IF(tblShipments[[#This Row],[Units shipped]]&gt;0,tblShipments[[#This Row],[Fuel and extras]]/tblShipments[[#This Row],[Units shipped]],""))</f>
        <v>0.0343166666666667</v>
      </c>
      <c r="R76" s="39">
        <f>IF(tblShipments[[#This Row],[Ship date]]="","",IF(tblShipments[[#This Row],[Gross weight]]&gt;0,tblShipments[[#This Row],[Total freight]]/tblShipments[[#This Row],[Gross weight]],""))</f>
        <v>0.408517587939699</v>
      </c>
      <c r="S76" s="37">
        <f>IF(tblShipments[[#This Row],[Ship date]]="","",IF(tblShipments[[#This Row],[Pallets]]&gt;0,tblShipments[[#This Row],[Total freight]]/tblShipments[[#This Row],[Pallets]],""))</f>
        <v>81.295</v>
      </c>
      <c r="T76" s="40">
        <f>IF(tblShipments[[#This Row],[Ship date]]="","",IF(tblShipments[[#This Row],[Product value]]&gt;0,tblShipments[[#This Row],[Total freight]]/tblShipments[[#This Row],[Product value]],""))</f>
        <v>0.0521121794871795</v>
      </c>
      <c r="U76" s="41" t="str">
        <f>IF(NOT(ISNUMBER(tblShipments[[#This Row],[Freight share of value]])),"",IF(tblShipments[[#This Row],[Freight share of value]]&lt;=TargetPct,"On target",IF(tblShipments[[#This Row],[Freight share of value]]&lt;=TargetPct*(1+0.05),"Near target","Above target")))</f>
        <v>Above target</v>
      </c>
      <c r="V76" s="42">
        <f>IF(tblShipments[[#This Row],[Ship date]]="","",IF(AND(tblShipments[[#This Row],[Ship date]]&gt;=FFrom,tblShipments[[#This Row],[Ship date]]&lt;=FTo),tblShipments[[#This Row],[Ship date]],""))</f>
        <v>46268</v>
      </c>
      <c r="W7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6" s="28" t="s">
        <v>138</v>
      </c>
    </row>
    <row r="77" spans="2:24">
      <c r="B77" s="34">
        <v>46268</v>
      </c>
      <c r="C77" s="28" t="s">
        <v>211</v>
      </c>
      <c r="D77" s="28" t="s">
        <v>92</v>
      </c>
      <c r="E77" s="28" t="s">
        <v>103</v>
      </c>
      <c r="F77" s="28" t="s">
        <v>113</v>
      </c>
      <c r="G77" s="35">
        <v>1640</v>
      </c>
      <c r="H77" s="35">
        <v>4</v>
      </c>
      <c r="I77" s="35">
        <v>1002</v>
      </c>
      <c r="J77" s="36">
        <v>10496</v>
      </c>
      <c r="K77" s="36">
        <v>472</v>
      </c>
      <c r="L77" s="36">
        <v>68.44</v>
      </c>
      <c r="M77" s="36">
        <v>188</v>
      </c>
      <c r="N77" s="37">
        <f>IF(tblShipments[[#This Row],[Ship date]]="","",tblShipments[[#This Row],[Base charge]]+tblShipments[[#This Row],[Fuel surcharge]]+tblShipments[[#This Row],[Accessorials]])</f>
        <v>728.44</v>
      </c>
      <c r="O77" s="37">
        <f>IF(tblShipments[[#This Row],[Ship date]]="","",tblShipments[[#This Row],[Fuel surcharge]]+tblShipments[[#This Row],[Accessorials]])</f>
        <v>256.44</v>
      </c>
      <c r="P77" s="38">
        <f>IF(tblShipments[[#This Row],[Ship date]]="","",IF(tblShipments[[#This Row],[Units shipped]]&gt;0,tblShipments[[#This Row],[Total freight]]/tblShipments[[#This Row],[Units shipped]],""))</f>
        <v>0.444170731707317</v>
      </c>
      <c r="Q77" s="38">
        <f>IF(tblShipments[[#This Row],[Ship date]]="","",IF(tblShipments[[#This Row],[Units shipped]]&gt;0,tblShipments[[#This Row],[Fuel and extras]]/tblShipments[[#This Row],[Units shipped]],""))</f>
        <v>0.156365853658537</v>
      </c>
      <c r="R77" s="39">
        <f>IF(tblShipments[[#This Row],[Ship date]]="","",IF(tblShipments[[#This Row],[Gross weight]]&gt;0,tblShipments[[#This Row],[Total freight]]/tblShipments[[#This Row],[Gross weight]],""))</f>
        <v>0.726986027944112</v>
      </c>
      <c r="S77" s="37">
        <f>IF(tblShipments[[#This Row],[Ship date]]="","",IF(tblShipments[[#This Row],[Pallets]]&gt;0,tblShipments[[#This Row],[Total freight]]/tblShipments[[#This Row],[Pallets]],""))</f>
        <v>182.11</v>
      </c>
      <c r="T77" s="40">
        <f>IF(tblShipments[[#This Row],[Ship date]]="","",IF(tblShipments[[#This Row],[Product value]]&gt;0,tblShipments[[#This Row],[Total freight]]/tblShipments[[#This Row],[Product value]],""))</f>
        <v>0.0694016768292683</v>
      </c>
      <c r="U77" s="41" t="str">
        <f>IF(NOT(ISNUMBER(tblShipments[[#This Row],[Freight share of value]])),"",IF(tblShipments[[#This Row],[Freight share of value]]&lt;=TargetPct,"On target",IF(tblShipments[[#This Row],[Freight share of value]]&lt;=TargetPct*(1+0.05),"Near target","Above target")))</f>
        <v>Above target</v>
      </c>
      <c r="V77" s="42">
        <f>IF(tblShipments[[#This Row],[Ship date]]="","",IF(AND(tblShipments[[#This Row],[Ship date]]&gt;=FFrom,tblShipments[[#This Row],[Ship date]]&lt;=FTo),tblShipments[[#This Row],[Ship date]],""))</f>
        <v>46268</v>
      </c>
      <c r="W7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7" s="28" t="s">
        <v>147</v>
      </c>
    </row>
    <row r="78" spans="2:24">
      <c r="B78" s="34">
        <v>46268</v>
      </c>
      <c r="C78" s="28" t="s">
        <v>212</v>
      </c>
      <c r="D78" s="28" t="s">
        <v>95</v>
      </c>
      <c r="E78" s="28" t="s">
        <v>105</v>
      </c>
      <c r="F78" s="28" t="s">
        <v>115</v>
      </c>
      <c r="G78" s="35">
        <v>210</v>
      </c>
      <c r="H78" s="35">
        <v>0</v>
      </c>
      <c r="I78" s="35">
        <v>84</v>
      </c>
      <c r="J78" s="36">
        <v>2310</v>
      </c>
      <c r="K78" s="36">
        <v>111.6</v>
      </c>
      <c r="L78" s="36">
        <v>13.39</v>
      </c>
      <c r="M78" s="36">
        <v>0</v>
      </c>
      <c r="N78" s="37">
        <f>IF(tblShipments[[#This Row],[Ship date]]="","",tblShipments[[#This Row],[Base charge]]+tblShipments[[#This Row],[Fuel surcharge]]+tblShipments[[#This Row],[Accessorials]])</f>
        <v>124.99</v>
      </c>
      <c r="O78" s="37">
        <f>IF(tblShipments[[#This Row],[Ship date]]="","",tblShipments[[#This Row],[Fuel surcharge]]+tblShipments[[#This Row],[Accessorials]])</f>
        <v>13.39</v>
      </c>
      <c r="P78" s="38">
        <f>IF(tblShipments[[#This Row],[Ship date]]="","",IF(tblShipments[[#This Row],[Units shipped]]&gt;0,tblShipments[[#This Row],[Total freight]]/tblShipments[[#This Row],[Units shipped]],""))</f>
        <v>0.595190476190476</v>
      </c>
      <c r="Q78" s="38">
        <f>IF(tblShipments[[#This Row],[Ship date]]="","",IF(tblShipments[[#This Row],[Units shipped]]&gt;0,tblShipments[[#This Row],[Fuel and extras]]/tblShipments[[#This Row],[Units shipped]],""))</f>
        <v>0.0637619047619048</v>
      </c>
      <c r="R78" s="39">
        <f>IF(tblShipments[[#This Row],[Ship date]]="","",IF(tblShipments[[#This Row],[Gross weight]]&gt;0,tblShipments[[#This Row],[Total freight]]/tblShipments[[#This Row],[Gross weight]],""))</f>
        <v>1.48797619047619</v>
      </c>
      <c r="S78" s="37">
        <f>IF(tblShipments[[#This Row],[Ship date]]="","",IF(tblShipments[[#This Row],[Pallets]]&gt;0,tblShipments[[#This Row],[Total freight]]/tblShipments[[#This Row],[Pallets]],""))</f>
        <v/>
      </c>
      <c r="T78" s="40">
        <f>IF(tblShipments[[#This Row],[Ship date]]="","",IF(tblShipments[[#This Row],[Product value]]&gt;0,tblShipments[[#This Row],[Total freight]]/tblShipments[[#This Row],[Product value]],""))</f>
        <v>0.0541082251082251</v>
      </c>
      <c r="U78" s="41" t="str">
        <f>IF(NOT(ISNUMBER(tblShipments[[#This Row],[Freight share of value]])),"",IF(tblShipments[[#This Row],[Freight share of value]]&lt;=TargetPct,"On target",IF(tblShipments[[#This Row],[Freight share of value]]&lt;=TargetPct*(1+0.05),"Near target","Above target")))</f>
        <v>Above target</v>
      </c>
      <c r="V78" s="42">
        <f>IF(tblShipments[[#This Row],[Ship date]]="","",IF(AND(tblShipments[[#This Row],[Ship date]]&gt;=FFrom,tblShipments[[#This Row],[Ship date]]&lt;=FTo),tblShipments[[#This Row],[Ship date]],""))</f>
        <v>46268</v>
      </c>
      <c r="W7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8" s="28" t="s">
        <v>138</v>
      </c>
    </row>
    <row r="79" spans="2:24">
      <c r="B79" s="34">
        <v>46272</v>
      </c>
      <c r="C79" s="28" t="s">
        <v>213</v>
      </c>
      <c r="D79" s="28" t="s">
        <v>84</v>
      </c>
      <c r="E79" s="28" t="s">
        <v>102</v>
      </c>
      <c r="F79" s="28" t="s">
        <v>86</v>
      </c>
      <c r="G79" s="35">
        <v>1170</v>
      </c>
      <c r="H79" s="35">
        <v>3</v>
      </c>
      <c r="I79" s="35">
        <v>754</v>
      </c>
      <c r="J79" s="36">
        <v>6786</v>
      </c>
      <c r="K79" s="36">
        <v>165.36</v>
      </c>
      <c r="L79" s="36">
        <v>23.98</v>
      </c>
      <c r="M79" s="36">
        <v>0</v>
      </c>
      <c r="N79" s="37">
        <f>IF(tblShipments[[#This Row],[Ship date]]="","",tblShipments[[#This Row],[Base charge]]+tblShipments[[#This Row],[Fuel surcharge]]+tblShipments[[#This Row],[Accessorials]])</f>
        <v>189.34</v>
      </c>
      <c r="O79" s="37">
        <f>IF(tblShipments[[#This Row],[Ship date]]="","",tblShipments[[#This Row],[Fuel surcharge]]+tblShipments[[#This Row],[Accessorials]])</f>
        <v>23.98</v>
      </c>
      <c r="P79" s="38">
        <f>IF(tblShipments[[#This Row],[Ship date]]="","",IF(tblShipments[[#This Row],[Units shipped]]&gt;0,tblShipments[[#This Row],[Total freight]]/tblShipments[[#This Row],[Units shipped]],""))</f>
        <v>0.16182905982906</v>
      </c>
      <c r="Q79" s="38">
        <f>IF(tblShipments[[#This Row],[Ship date]]="","",IF(tblShipments[[#This Row],[Units shipped]]&gt;0,tblShipments[[#This Row],[Fuel and extras]]/tblShipments[[#This Row],[Units shipped]],""))</f>
        <v>0.0204957264957265</v>
      </c>
      <c r="R79" s="39">
        <f>IF(tblShipments[[#This Row],[Ship date]]="","",IF(tblShipments[[#This Row],[Gross weight]]&gt;0,tblShipments[[#This Row],[Total freight]]/tblShipments[[#This Row],[Gross weight]],""))</f>
        <v>0.251114058355438</v>
      </c>
      <c r="S79" s="37">
        <f>IF(tblShipments[[#This Row],[Ship date]]="","",IF(tblShipments[[#This Row],[Pallets]]&gt;0,tblShipments[[#This Row],[Total freight]]/tblShipments[[#This Row],[Pallets]],""))</f>
        <v>63.1133333333333</v>
      </c>
      <c r="T79" s="40">
        <f>IF(tblShipments[[#This Row],[Ship date]]="","",IF(tblShipments[[#This Row],[Product value]]&gt;0,tblShipments[[#This Row],[Total freight]]/tblShipments[[#This Row],[Product value]],""))</f>
        <v>0.0279015620394931</v>
      </c>
      <c r="U79" s="41" t="str">
        <f>IF(NOT(ISNUMBER(tblShipments[[#This Row],[Freight share of value]])),"",IF(tblShipments[[#This Row],[Freight share of value]]&lt;=TargetPct,"On target",IF(tblShipments[[#This Row],[Freight share of value]]&lt;=TargetPct*(1+0.05),"Near target","Above target")))</f>
        <v>On target</v>
      </c>
      <c r="V79" s="42">
        <f>IF(tblShipments[[#This Row],[Ship date]]="","",IF(AND(tblShipments[[#This Row],[Ship date]]&gt;=FFrom,tblShipments[[#This Row],[Ship date]]&lt;=FTo),tblShipments[[#This Row],[Ship date]],""))</f>
        <v>46272</v>
      </c>
      <c r="W7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79" s="28" t="s">
        <v>138</v>
      </c>
    </row>
    <row r="80" spans="2:24">
      <c r="B80" s="34">
        <v>46272</v>
      </c>
      <c r="C80" s="28" t="s">
        <v>214</v>
      </c>
      <c r="D80" s="28" t="s">
        <v>95</v>
      </c>
      <c r="E80" s="28" t="s">
        <v>105</v>
      </c>
      <c r="F80" s="28" t="s">
        <v>115</v>
      </c>
      <c r="G80" s="35">
        <v>150</v>
      </c>
      <c r="H80" s="35">
        <v>0</v>
      </c>
      <c r="I80" s="35">
        <v>60</v>
      </c>
      <c r="J80" s="36">
        <v>1650</v>
      </c>
      <c r="K80" s="36">
        <v>80.59999999999999</v>
      </c>
      <c r="L80" s="36">
        <v>9.67</v>
      </c>
      <c r="M80" s="36">
        <v>0</v>
      </c>
      <c r="N80" s="37">
        <f>IF(tblShipments[[#This Row],[Ship date]]="","",tblShipments[[#This Row],[Base charge]]+tblShipments[[#This Row],[Fuel surcharge]]+tblShipments[[#This Row],[Accessorials]])</f>
        <v>90.27</v>
      </c>
      <c r="O80" s="37">
        <f>IF(tblShipments[[#This Row],[Ship date]]="","",tblShipments[[#This Row],[Fuel surcharge]]+tblShipments[[#This Row],[Accessorials]])</f>
        <v>9.67</v>
      </c>
      <c r="P80" s="38">
        <f>IF(tblShipments[[#This Row],[Ship date]]="","",IF(tblShipments[[#This Row],[Units shipped]]&gt;0,tblShipments[[#This Row],[Total freight]]/tblShipments[[#This Row],[Units shipped]],""))</f>
        <v>0.6018</v>
      </c>
      <c r="Q80" s="38">
        <f>IF(tblShipments[[#This Row],[Ship date]]="","",IF(tblShipments[[#This Row],[Units shipped]]&gt;0,tblShipments[[#This Row],[Fuel and extras]]/tblShipments[[#This Row],[Units shipped]],""))</f>
        <v>0.0644666666666667</v>
      </c>
      <c r="R80" s="39">
        <f>IF(tblShipments[[#This Row],[Ship date]]="","",IF(tblShipments[[#This Row],[Gross weight]]&gt;0,tblShipments[[#This Row],[Total freight]]/tblShipments[[#This Row],[Gross weight]],""))</f>
        <v>1.5045</v>
      </c>
      <c r="S80" s="37">
        <f>IF(tblShipments[[#This Row],[Ship date]]="","",IF(tblShipments[[#This Row],[Pallets]]&gt;0,tblShipments[[#This Row],[Total freight]]/tblShipments[[#This Row],[Pallets]],""))</f>
        <v/>
      </c>
      <c r="T80" s="40">
        <f>IF(tblShipments[[#This Row],[Ship date]]="","",IF(tblShipments[[#This Row],[Product value]]&gt;0,tblShipments[[#This Row],[Total freight]]/tblShipments[[#This Row],[Product value]],""))</f>
        <v>0.0547090909090909</v>
      </c>
      <c r="U80" s="41" t="str">
        <f>IF(NOT(ISNUMBER(tblShipments[[#This Row],[Freight share of value]])),"",IF(tblShipments[[#This Row],[Freight share of value]]&lt;=TargetPct,"On target",IF(tblShipments[[#This Row],[Freight share of value]]&lt;=TargetPct*(1+0.05),"Near target","Above target")))</f>
        <v>Above target</v>
      </c>
      <c r="V80" s="42">
        <f>IF(tblShipments[[#This Row],[Ship date]]="","",IF(AND(tblShipments[[#This Row],[Ship date]]&gt;=FFrom,tblShipments[[#This Row],[Ship date]]&lt;=FTo),tblShipments[[#This Row],[Ship date]],""))</f>
        <v>46272</v>
      </c>
      <c r="W8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0" s="28" t="s">
        <v>138</v>
      </c>
    </row>
    <row r="81" spans="2:24">
      <c r="B81" s="34">
        <v>46273</v>
      </c>
      <c r="C81" s="28" t="s">
        <v>215</v>
      </c>
      <c r="D81" s="28" t="s">
        <v>87</v>
      </c>
      <c r="E81" s="28" t="s">
        <v>102</v>
      </c>
      <c r="F81" s="28" t="s">
        <v>86</v>
      </c>
      <c r="G81" s="35">
        <v>1140</v>
      </c>
      <c r="H81" s="35">
        <v>3</v>
      </c>
      <c r="I81" s="35">
        <v>736</v>
      </c>
      <c r="J81" s="36">
        <v>5928</v>
      </c>
      <c r="K81" s="36">
        <v>267.12</v>
      </c>
      <c r="L81" s="36">
        <v>38.73</v>
      </c>
      <c r="M81" s="36">
        <v>18</v>
      </c>
      <c r="N81" s="37">
        <f>IF(tblShipments[[#This Row],[Ship date]]="","",tblShipments[[#This Row],[Base charge]]+tblShipments[[#This Row],[Fuel surcharge]]+tblShipments[[#This Row],[Accessorials]])</f>
        <v>323.85</v>
      </c>
      <c r="O81" s="37">
        <f>IF(tblShipments[[#This Row],[Ship date]]="","",tblShipments[[#This Row],[Fuel surcharge]]+tblShipments[[#This Row],[Accessorials]])</f>
        <v>56.73</v>
      </c>
      <c r="P81" s="38">
        <f>IF(tblShipments[[#This Row],[Ship date]]="","",IF(tblShipments[[#This Row],[Units shipped]]&gt;0,tblShipments[[#This Row],[Total freight]]/tblShipments[[#This Row],[Units shipped]],""))</f>
        <v>0.284078947368421</v>
      </c>
      <c r="Q81" s="38">
        <f>IF(tblShipments[[#This Row],[Ship date]]="","",IF(tblShipments[[#This Row],[Units shipped]]&gt;0,tblShipments[[#This Row],[Fuel and extras]]/tblShipments[[#This Row],[Units shipped]],""))</f>
        <v>0.0497631578947368</v>
      </c>
      <c r="R81" s="39">
        <f>IF(tblShipments[[#This Row],[Ship date]]="","",IF(tblShipments[[#This Row],[Gross weight]]&gt;0,tblShipments[[#This Row],[Total freight]]/tblShipments[[#This Row],[Gross weight]],""))</f>
        <v>0.440013586956522</v>
      </c>
      <c r="S81" s="37">
        <f>IF(tblShipments[[#This Row],[Ship date]]="","",IF(tblShipments[[#This Row],[Pallets]]&gt;0,tblShipments[[#This Row],[Total freight]]/tblShipments[[#This Row],[Pallets]],""))</f>
        <v>107.95</v>
      </c>
      <c r="T81" s="40">
        <f>IF(tblShipments[[#This Row],[Ship date]]="","",IF(tblShipments[[#This Row],[Product value]]&gt;0,tblShipments[[#This Row],[Total freight]]/tblShipments[[#This Row],[Product value]],""))</f>
        <v>0.0546305668016194</v>
      </c>
      <c r="U81" s="41" t="str">
        <f>IF(NOT(ISNUMBER(tblShipments[[#This Row],[Freight share of value]])),"",IF(tblShipments[[#This Row],[Freight share of value]]&lt;=TargetPct,"On target",IF(tblShipments[[#This Row],[Freight share of value]]&lt;=TargetPct*(1+0.05),"Near target","Above target")))</f>
        <v>Above target</v>
      </c>
      <c r="V81" s="42">
        <f>IF(tblShipments[[#This Row],[Ship date]]="","",IF(AND(tblShipments[[#This Row],[Ship date]]&gt;=FFrom,tblShipments[[#This Row],[Ship date]]&lt;=FTo),tblShipments[[#This Row],[Ship date]],""))</f>
        <v>46273</v>
      </c>
      <c r="W8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1" s="28" t="s">
        <v>144</v>
      </c>
    </row>
    <row r="82" spans="2:24">
      <c r="B82" s="34">
        <v>46273</v>
      </c>
      <c r="C82" s="28" t="s">
        <v>216</v>
      </c>
      <c r="D82" s="28" t="s">
        <v>80</v>
      </c>
      <c r="E82" s="28" t="s">
        <v>99</v>
      </c>
      <c r="F82" s="28" t="s">
        <v>108</v>
      </c>
      <c r="G82" s="35">
        <v>10800</v>
      </c>
      <c r="H82" s="35">
        <v>24</v>
      </c>
      <c r="I82" s="35">
        <v>6216</v>
      </c>
      <c r="J82" s="36">
        <v>44280</v>
      </c>
      <c r="K82" s="36">
        <v>640</v>
      </c>
      <c r="L82" s="36">
        <v>92.8</v>
      </c>
      <c r="M82" s="36">
        <v>0</v>
      </c>
      <c r="N82" s="37">
        <f>IF(tblShipments[[#This Row],[Ship date]]="","",tblShipments[[#This Row],[Base charge]]+tblShipments[[#This Row],[Fuel surcharge]]+tblShipments[[#This Row],[Accessorials]])</f>
        <v>732.8</v>
      </c>
      <c r="O82" s="37">
        <f>IF(tblShipments[[#This Row],[Ship date]]="","",tblShipments[[#This Row],[Fuel surcharge]]+tblShipments[[#This Row],[Accessorials]])</f>
        <v>92.8</v>
      </c>
      <c r="P82" s="38">
        <f>IF(tblShipments[[#This Row],[Ship date]]="","",IF(tblShipments[[#This Row],[Units shipped]]&gt;0,tblShipments[[#This Row],[Total freight]]/tblShipments[[#This Row],[Units shipped]],""))</f>
        <v>0.0678518518518518</v>
      </c>
      <c r="Q82" s="38">
        <f>IF(tblShipments[[#This Row],[Ship date]]="","",IF(tblShipments[[#This Row],[Units shipped]]&gt;0,tblShipments[[#This Row],[Fuel and extras]]/tblShipments[[#This Row],[Units shipped]],""))</f>
        <v>0.00859259259259259</v>
      </c>
      <c r="R82" s="39">
        <f>IF(tblShipments[[#This Row],[Ship date]]="","",IF(tblShipments[[#This Row],[Gross weight]]&gt;0,tblShipments[[#This Row],[Total freight]]/tblShipments[[#This Row],[Gross weight]],""))</f>
        <v>0.117889317889318</v>
      </c>
      <c r="S82" s="37">
        <f>IF(tblShipments[[#This Row],[Ship date]]="","",IF(tblShipments[[#This Row],[Pallets]]&gt;0,tblShipments[[#This Row],[Total freight]]/tblShipments[[#This Row],[Pallets]],""))</f>
        <v>30.5333333333333</v>
      </c>
      <c r="T82" s="40">
        <f>IF(tblShipments[[#This Row],[Ship date]]="","",IF(tblShipments[[#This Row],[Product value]]&gt;0,tblShipments[[#This Row],[Total freight]]/tblShipments[[#This Row],[Product value]],""))</f>
        <v>0.0165492321589883</v>
      </c>
      <c r="U82" s="41" t="str">
        <f>IF(NOT(ISNUMBER(tblShipments[[#This Row],[Freight share of value]])),"",IF(tblShipments[[#This Row],[Freight share of value]]&lt;=TargetPct,"On target",IF(tblShipments[[#This Row],[Freight share of value]]&lt;=TargetPct*(1+0.05),"Near target","Above target")))</f>
        <v>On target</v>
      </c>
      <c r="V82" s="42">
        <f>IF(tblShipments[[#This Row],[Ship date]]="","",IF(AND(tblShipments[[#This Row],[Ship date]]&gt;=FFrom,tblShipments[[#This Row],[Ship date]]&lt;=FTo),tblShipments[[#This Row],[Ship date]],""))</f>
        <v>46273</v>
      </c>
      <c r="W8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2" s="28" t="s">
        <v>138</v>
      </c>
    </row>
    <row r="83" spans="2:24">
      <c r="B83" s="34">
        <v>46274</v>
      </c>
      <c r="C83" s="28" t="s">
        <v>217</v>
      </c>
      <c r="D83" s="28" t="s">
        <v>90</v>
      </c>
      <c r="E83" s="28" t="s">
        <v>102</v>
      </c>
      <c r="F83" s="28" t="s">
        <v>86</v>
      </c>
      <c r="G83" s="35">
        <v>860</v>
      </c>
      <c r="H83" s="35">
        <v>2</v>
      </c>
      <c r="I83" s="35">
        <v>549</v>
      </c>
      <c r="J83" s="36">
        <v>4816</v>
      </c>
      <c r="K83" s="36">
        <v>129.32</v>
      </c>
      <c r="L83" s="36">
        <v>18.75</v>
      </c>
      <c r="M83" s="36">
        <v>0</v>
      </c>
      <c r="N83" s="37">
        <f>IF(tblShipments[[#This Row],[Ship date]]="","",tblShipments[[#This Row],[Base charge]]+tblShipments[[#This Row],[Fuel surcharge]]+tblShipments[[#This Row],[Accessorials]])</f>
        <v>148.07</v>
      </c>
      <c r="O83" s="37">
        <f>IF(tblShipments[[#This Row],[Ship date]]="","",tblShipments[[#This Row],[Fuel surcharge]]+tblShipments[[#This Row],[Accessorials]])</f>
        <v>18.75</v>
      </c>
      <c r="P83" s="38">
        <f>IF(tblShipments[[#This Row],[Ship date]]="","",IF(tblShipments[[#This Row],[Units shipped]]&gt;0,tblShipments[[#This Row],[Total freight]]/tblShipments[[#This Row],[Units shipped]],""))</f>
        <v>0.172174418604651</v>
      </c>
      <c r="Q83" s="38">
        <f>IF(tblShipments[[#This Row],[Ship date]]="","",IF(tblShipments[[#This Row],[Units shipped]]&gt;0,tblShipments[[#This Row],[Fuel and extras]]/tblShipments[[#This Row],[Units shipped]],""))</f>
        <v>0.0218023255813954</v>
      </c>
      <c r="R83" s="39">
        <f>IF(tblShipments[[#This Row],[Ship date]]="","",IF(tblShipments[[#This Row],[Gross weight]]&gt;0,tblShipments[[#This Row],[Total freight]]/tblShipments[[#This Row],[Gross weight]],""))</f>
        <v>0.269708561020036</v>
      </c>
      <c r="S83" s="37">
        <f>IF(tblShipments[[#This Row],[Ship date]]="","",IF(tblShipments[[#This Row],[Pallets]]&gt;0,tblShipments[[#This Row],[Total freight]]/tblShipments[[#This Row],[Pallets]],""))</f>
        <v>74.035</v>
      </c>
      <c r="T83" s="40">
        <f>IF(tblShipments[[#This Row],[Ship date]]="","",IF(tblShipments[[#This Row],[Product value]]&gt;0,tblShipments[[#This Row],[Total freight]]/tblShipments[[#This Row],[Product value]],""))</f>
        <v>0.0307454318936877</v>
      </c>
      <c r="U83" s="41" t="str">
        <f>IF(NOT(ISNUMBER(tblShipments[[#This Row],[Freight share of value]])),"",IF(tblShipments[[#This Row],[Freight share of value]]&lt;=TargetPct,"On target",IF(tblShipments[[#This Row],[Freight share of value]]&lt;=TargetPct*(1+0.05),"Near target","Above target")))</f>
        <v>On target</v>
      </c>
      <c r="V83" s="42">
        <f>IF(tblShipments[[#This Row],[Ship date]]="","",IF(AND(tblShipments[[#This Row],[Ship date]]&gt;=FFrom,tblShipments[[#This Row],[Ship date]]&lt;=FTo),tblShipments[[#This Row],[Ship date]],""))</f>
        <v>46274</v>
      </c>
      <c r="W8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3" s="28" t="s">
        <v>138</v>
      </c>
    </row>
    <row r="84" spans="2:24">
      <c r="B84" s="34">
        <v>46275</v>
      </c>
      <c r="C84" s="28" t="s">
        <v>218</v>
      </c>
      <c r="D84" s="28" t="s">
        <v>87</v>
      </c>
      <c r="E84" s="28" t="s">
        <v>99</v>
      </c>
      <c r="F84" s="28" t="s">
        <v>110</v>
      </c>
      <c r="G84" s="35">
        <v>1480</v>
      </c>
      <c r="H84" s="35">
        <v>4</v>
      </c>
      <c r="I84" s="35">
        <v>958</v>
      </c>
      <c r="J84" s="36">
        <v>7696</v>
      </c>
      <c r="K84" s="36">
        <v>284</v>
      </c>
      <c r="L84" s="36">
        <v>41.18</v>
      </c>
      <c r="M84" s="36">
        <v>18</v>
      </c>
      <c r="N84" s="37">
        <f>IF(tblShipments[[#This Row],[Ship date]]="","",tblShipments[[#This Row],[Base charge]]+tblShipments[[#This Row],[Fuel surcharge]]+tblShipments[[#This Row],[Accessorials]])</f>
        <v>343.18</v>
      </c>
      <c r="O84" s="37">
        <f>IF(tblShipments[[#This Row],[Ship date]]="","",tblShipments[[#This Row],[Fuel surcharge]]+tblShipments[[#This Row],[Accessorials]])</f>
        <v>59.18</v>
      </c>
      <c r="P84" s="38">
        <f>IF(tblShipments[[#This Row],[Ship date]]="","",IF(tblShipments[[#This Row],[Units shipped]]&gt;0,tblShipments[[#This Row],[Total freight]]/tblShipments[[#This Row],[Units shipped]],""))</f>
        <v>0.231878378378378</v>
      </c>
      <c r="Q84" s="38">
        <f>IF(tblShipments[[#This Row],[Ship date]]="","",IF(tblShipments[[#This Row],[Units shipped]]&gt;0,tblShipments[[#This Row],[Fuel and extras]]/tblShipments[[#This Row],[Units shipped]],""))</f>
        <v>0.0399864864864865</v>
      </c>
      <c r="R84" s="39">
        <f>IF(tblShipments[[#This Row],[Ship date]]="","",IF(tblShipments[[#This Row],[Gross weight]]&gt;0,tblShipments[[#This Row],[Total freight]]/tblShipments[[#This Row],[Gross weight]],""))</f>
        <v>0.358225469728601</v>
      </c>
      <c r="S84" s="37">
        <f>IF(tblShipments[[#This Row],[Ship date]]="","",IF(tblShipments[[#This Row],[Pallets]]&gt;0,tblShipments[[#This Row],[Total freight]]/tblShipments[[#This Row],[Pallets]],""))</f>
        <v>85.795</v>
      </c>
      <c r="T84" s="40">
        <f>IF(tblShipments[[#This Row],[Ship date]]="","",IF(tblShipments[[#This Row],[Product value]]&gt;0,tblShipments[[#This Row],[Total freight]]/tblShipments[[#This Row],[Product value]],""))</f>
        <v>0.0445919958419958</v>
      </c>
      <c r="U84" s="41" t="str">
        <f>IF(NOT(ISNUMBER(tblShipments[[#This Row],[Freight share of value]])),"",IF(tblShipments[[#This Row],[Freight share of value]]&lt;=TargetPct,"On target",IF(tblShipments[[#This Row],[Freight share of value]]&lt;=TargetPct*(1+0.05),"Near target","Above target")))</f>
        <v>Above target</v>
      </c>
      <c r="V84" s="42">
        <f>IF(tblShipments[[#This Row],[Ship date]]="","",IF(AND(tblShipments[[#This Row],[Ship date]]&gt;=FFrom,tblShipments[[#This Row],[Ship date]]&lt;=FTo),tblShipments[[#This Row],[Ship date]],""))</f>
        <v>46275</v>
      </c>
      <c r="W8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4" s="28" t="s">
        <v>144</v>
      </c>
    </row>
    <row r="85" spans="2:24">
      <c r="B85" s="34">
        <v>46275</v>
      </c>
      <c r="C85" s="28" t="s">
        <v>219</v>
      </c>
      <c r="D85" s="28" t="s">
        <v>92</v>
      </c>
      <c r="E85" s="28" t="s">
        <v>103</v>
      </c>
      <c r="F85" s="28" t="s">
        <v>113</v>
      </c>
      <c r="G85" s="35">
        <v>1050</v>
      </c>
      <c r="H85" s="35">
        <v>3</v>
      </c>
      <c r="I85" s="35">
        <v>652</v>
      </c>
      <c r="J85" s="36">
        <v>6720</v>
      </c>
      <c r="K85" s="36">
        <v>354</v>
      </c>
      <c r="L85" s="36">
        <v>51.33</v>
      </c>
      <c r="M85" s="36">
        <v>131</v>
      </c>
      <c r="N85" s="37">
        <f>IF(tblShipments[[#This Row],[Ship date]]="","",tblShipments[[#This Row],[Base charge]]+tblShipments[[#This Row],[Fuel surcharge]]+tblShipments[[#This Row],[Accessorials]])</f>
        <v>536.33</v>
      </c>
      <c r="O85" s="37">
        <f>IF(tblShipments[[#This Row],[Ship date]]="","",tblShipments[[#This Row],[Fuel surcharge]]+tblShipments[[#This Row],[Accessorials]])</f>
        <v>182.33</v>
      </c>
      <c r="P85" s="38">
        <f>IF(tblShipments[[#This Row],[Ship date]]="","",IF(tblShipments[[#This Row],[Units shipped]]&gt;0,tblShipments[[#This Row],[Total freight]]/tblShipments[[#This Row],[Units shipped]],""))</f>
        <v>0.510790476190476</v>
      </c>
      <c r="Q85" s="38">
        <f>IF(tblShipments[[#This Row],[Ship date]]="","",IF(tblShipments[[#This Row],[Units shipped]]&gt;0,tblShipments[[#This Row],[Fuel and extras]]/tblShipments[[#This Row],[Units shipped]],""))</f>
        <v>0.173647619047619</v>
      </c>
      <c r="R85" s="39">
        <f>IF(tblShipments[[#This Row],[Ship date]]="","",IF(tblShipments[[#This Row],[Gross weight]]&gt;0,tblShipments[[#This Row],[Total freight]]/tblShipments[[#This Row],[Gross weight]],""))</f>
        <v>0.822592024539877</v>
      </c>
      <c r="S85" s="37">
        <f>IF(tblShipments[[#This Row],[Ship date]]="","",IF(tblShipments[[#This Row],[Pallets]]&gt;0,tblShipments[[#This Row],[Total freight]]/tblShipments[[#This Row],[Pallets]],""))</f>
        <v>178.776666666667</v>
      </c>
      <c r="T85" s="40">
        <f>IF(tblShipments[[#This Row],[Ship date]]="","",IF(tblShipments[[#This Row],[Product value]]&gt;0,tblShipments[[#This Row],[Total freight]]/tblShipments[[#This Row],[Product value]],""))</f>
        <v>0.0798110119047619</v>
      </c>
      <c r="U85" s="41" t="str">
        <f>IF(NOT(ISNUMBER(tblShipments[[#This Row],[Freight share of value]])),"",IF(tblShipments[[#This Row],[Freight share of value]]&lt;=TargetPct,"On target",IF(tblShipments[[#This Row],[Freight share of value]]&lt;=TargetPct*(1+0.05),"Near target","Above target")))</f>
        <v>Above target</v>
      </c>
      <c r="V85" s="42">
        <f>IF(tblShipments[[#This Row],[Ship date]]="","",IF(AND(tblShipments[[#This Row],[Ship date]]&gt;=FFrom,tblShipments[[#This Row],[Ship date]]&lt;=FTo),tblShipments[[#This Row],[Ship date]],""))</f>
        <v>46275</v>
      </c>
      <c r="W8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5" s="28" t="s">
        <v>147</v>
      </c>
    </row>
    <row r="86" spans="2:24">
      <c r="B86" s="34">
        <v>46275</v>
      </c>
      <c r="C86" s="28" t="s">
        <v>220</v>
      </c>
      <c r="D86" s="28" t="s">
        <v>95</v>
      </c>
      <c r="E86" s="28" t="s">
        <v>105</v>
      </c>
      <c r="F86" s="28" t="s">
        <v>115</v>
      </c>
      <c r="G86" s="35">
        <v>110</v>
      </c>
      <c r="H86" s="35">
        <v>0</v>
      </c>
      <c r="I86" s="35">
        <v>44</v>
      </c>
      <c r="J86" s="36">
        <v>1210</v>
      </c>
      <c r="K86" s="36">
        <v>62</v>
      </c>
      <c r="L86" s="36">
        <v>7.44</v>
      </c>
      <c r="M86" s="36">
        <v>0</v>
      </c>
      <c r="N86" s="37">
        <f>IF(tblShipments[[#This Row],[Ship date]]="","",tblShipments[[#This Row],[Base charge]]+tblShipments[[#This Row],[Fuel surcharge]]+tblShipments[[#This Row],[Accessorials]])</f>
        <v>69.44</v>
      </c>
      <c r="O86" s="37">
        <f>IF(tblShipments[[#This Row],[Ship date]]="","",tblShipments[[#This Row],[Fuel surcharge]]+tblShipments[[#This Row],[Accessorials]])</f>
        <v>7.44</v>
      </c>
      <c r="P86" s="38">
        <f>IF(tblShipments[[#This Row],[Ship date]]="","",IF(tblShipments[[#This Row],[Units shipped]]&gt;0,tblShipments[[#This Row],[Total freight]]/tblShipments[[#This Row],[Units shipped]],""))</f>
        <v>0.631272727272727</v>
      </c>
      <c r="Q86" s="38">
        <f>IF(tblShipments[[#This Row],[Ship date]]="","",IF(tblShipments[[#This Row],[Units shipped]]&gt;0,tblShipments[[#This Row],[Fuel and extras]]/tblShipments[[#This Row],[Units shipped]],""))</f>
        <v>0.0676363636363636</v>
      </c>
      <c r="R86" s="39">
        <f>IF(tblShipments[[#This Row],[Ship date]]="","",IF(tblShipments[[#This Row],[Gross weight]]&gt;0,tblShipments[[#This Row],[Total freight]]/tblShipments[[#This Row],[Gross weight]],""))</f>
        <v>1.57818181818182</v>
      </c>
      <c r="S86" s="37">
        <f>IF(tblShipments[[#This Row],[Ship date]]="","",IF(tblShipments[[#This Row],[Pallets]]&gt;0,tblShipments[[#This Row],[Total freight]]/tblShipments[[#This Row],[Pallets]],""))</f>
        <v/>
      </c>
      <c r="T86" s="40">
        <f>IF(tblShipments[[#This Row],[Ship date]]="","",IF(tblShipments[[#This Row],[Product value]]&gt;0,tblShipments[[#This Row],[Total freight]]/tblShipments[[#This Row],[Product value]],""))</f>
        <v>0.0573884297520661</v>
      </c>
      <c r="U86" s="41" t="str">
        <f>IF(NOT(ISNUMBER(tblShipments[[#This Row],[Freight share of value]])),"",IF(tblShipments[[#This Row],[Freight share of value]]&lt;=TargetPct,"On target",IF(tblShipments[[#This Row],[Freight share of value]]&lt;=TargetPct*(1+0.05),"Near target","Above target")))</f>
        <v>Above target</v>
      </c>
      <c r="V86" s="42">
        <f>IF(tblShipments[[#This Row],[Ship date]]="","",IF(AND(tblShipments[[#This Row],[Ship date]]&gt;=FFrom,tblShipments[[#This Row],[Ship date]]&lt;=FTo),tblShipments[[#This Row],[Ship date]],""))</f>
        <v>46275</v>
      </c>
      <c r="W8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6" s="28" t="s">
        <v>138</v>
      </c>
    </row>
    <row r="87" spans="2:24">
      <c r="B87" s="34">
        <v>46279</v>
      </c>
      <c r="C87" s="28" t="s">
        <v>221</v>
      </c>
      <c r="D87" s="28" t="s">
        <v>84</v>
      </c>
      <c r="E87" s="28" t="s">
        <v>102</v>
      </c>
      <c r="F87" s="28" t="s">
        <v>86</v>
      </c>
      <c r="G87" s="35">
        <v>840</v>
      </c>
      <c r="H87" s="35">
        <v>2</v>
      </c>
      <c r="I87" s="35">
        <v>537</v>
      </c>
      <c r="J87" s="36">
        <v>4872</v>
      </c>
      <c r="K87" s="36">
        <v>110.24</v>
      </c>
      <c r="L87" s="36">
        <v>15.98</v>
      </c>
      <c r="M87" s="36">
        <v>0</v>
      </c>
      <c r="N87" s="37">
        <f>IF(tblShipments[[#This Row],[Ship date]]="","",tblShipments[[#This Row],[Base charge]]+tblShipments[[#This Row],[Fuel surcharge]]+tblShipments[[#This Row],[Accessorials]])</f>
        <v>126.22</v>
      </c>
      <c r="O87" s="37">
        <f>IF(tblShipments[[#This Row],[Ship date]]="","",tblShipments[[#This Row],[Fuel surcharge]]+tblShipments[[#This Row],[Accessorials]])</f>
        <v>15.98</v>
      </c>
      <c r="P87" s="38">
        <f>IF(tblShipments[[#This Row],[Ship date]]="","",IF(tblShipments[[#This Row],[Units shipped]]&gt;0,tblShipments[[#This Row],[Total freight]]/tblShipments[[#This Row],[Units shipped]],""))</f>
        <v>0.150261904761905</v>
      </c>
      <c r="Q87" s="38">
        <f>IF(tblShipments[[#This Row],[Ship date]]="","",IF(tblShipments[[#This Row],[Units shipped]]&gt;0,tblShipments[[#This Row],[Fuel and extras]]/tblShipments[[#This Row],[Units shipped]],""))</f>
        <v>0.0190238095238095</v>
      </c>
      <c r="R87" s="39">
        <f>IF(tblShipments[[#This Row],[Ship date]]="","",IF(tblShipments[[#This Row],[Gross weight]]&gt;0,tblShipments[[#This Row],[Total freight]]/tblShipments[[#This Row],[Gross weight]],""))</f>
        <v>0.235046554934823</v>
      </c>
      <c r="S87" s="37">
        <f>IF(tblShipments[[#This Row],[Ship date]]="","",IF(tblShipments[[#This Row],[Pallets]]&gt;0,tblShipments[[#This Row],[Total freight]]/tblShipments[[#This Row],[Pallets]],""))</f>
        <v>63.11</v>
      </c>
      <c r="T87" s="40">
        <f>IF(tblShipments[[#This Row],[Ship date]]="","",IF(tblShipments[[#This Row],[Product value]]&gt;0,tblShipments[[#This Row],[Total freight]]/tblShipments[[#This Row],[Product value]],""))</f>
        <v>0.0259072249589491</v>
      </c>
      <c r="U87" s="41" t="str">
        <f>IF(NOT(ISNUMBER(tblShipments[[#This Row],[Freight share of value]])),"",IF(tblShipments[[#This Row],[Freight share of value]]&lt;=TargetPct,"On target",IF(tblShipments[[#This Row],[Freight share of value]]&lt;=TargetPct*(1+0.05),"Near target","Above target")))</f>
        <v>On target</v>
      </c>
      <c r="V87" s="42">
        <f>IF(tblShipments[[#This Row],[Ship date]]="","",IF(AND(tblShipments[[#This Row],[Ship date]]&gt;=FFrom,tblShipments[[#This Row],[Ship date]]&lt;=FTo),tblShipments[[#This Row],[Ship date]],""))</f>
        <v>46279</v>
      </c>
      <c r="W8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7" s="28" t="s">
        <v>138</v>
      </c>
    </row>
    <row r="88" spans="2:24">
      <c r="B88" s="34">
        <v>46279</v>
      </c>
      <c r="C88" s="28" t="s">
        <v>222</v>
      </c>
      <c r="D88" s="28" t="s">
        <v>95</v>
      </c>
      <c r="E88" s="28" t="s">
        <v>105</v>
      </c>
      <c r="F88" s="28" t="s">
        <v>115</v>
      </c>
      <c r="G88" s="35">
        <v>130</v>
      </c>
      <c r="H88" s="35">
        <v>0</v>
      </c>
      <c r="I88" s="35">
        <v>52</v>
      </c>
      <c r="J88" s="36">
        <v>1430</v>
      </c>
      <c r="K88" s="36">
        <v>68.2</v>
      </c>
      <c r="L88" s="36">
        <v>8.18</v>
      </c>
      <c r="M88" s="36">
        <v>0</v>
      </c>
      <c r="N88" s="37">
        <f>IF(tblShipments[[#This Row],[Ship date]]="","",tblShipments[[#This Row],[Base charge]]+tblShipments[[#This Row],[Fuel surcharge]]+tblShipments[[#This Row],[Accessorials]])</f>
        <v>76.38</v>
      </c>
      <c r="O88" s="37">
        <f>IF(tblShipments[[#This Row],[Ship date]]="","",tblShipments[[#This Row],[Fuel surcharge]]+tblShipments[[#This Row],[Accessorials]])</f>
        <v>8.18</v>
      </c>
      <c r="P88" s="38">
        <f>IF(tblShipments[[#This Row],[Ship date]]="","",IF(tblShipments[[#This Row],[Units shipped]]&gt;0,tblShipments[[#This Row],[Total freight]]/tblShipments[[#This Row],[Units shipped]],""))</f>
        <v>0.587538461538462</v>
      </c>
      <c r="Q88" s="38">
        <f>IF(tblShipments[[#This Row],[Ship date]]="","",IF(tblShipments[[#This Row],[Units shipped]]&gt;0,tblShipments[[#This Row],[Fuel and extras]]/tblShipments[[#This Row],[Units shipped]],""))</f>
        <v>0.0629230769230769</v>
      </c>
      <c r="R88" s="39">
        <f>IF(tblShipments[[#This Row],[Ship date]]="","",IF(tblShipments[[#This Row],[Gross weight]]&gt;0,tblShipments[[#This Row],[Total freight]]/tblShipments[[#This Row],[Gross weight]],""))</f>
        <v>1.46884615384615</v>
      </c>
      <c r="S88" s="37">
        <f>IF(tblShipments[[#This Row],[Ship date]]="","",IF(tblShipments[[#This Row],[Pallets]]&gt;0,tblShipments[[#This Row],[Total freight]]/tblShipments[[#This Row],[Pallets]],""))</f>
        <v/>
      </c>
      <c r="T88" s="40">
        <f>IF(tblShipments[[#This Row],[Ship date]]="","",IF(tblShipments[[#This Row],[Product value]]&gt;0,tblShipments[[#This Row],[Total freight]]/tblShipments[[#This Row],[Product value]],""))</f>
        <v>0.0534125874125874</v>
      </c>
      <c r="U88" s="41" t="str">
        <f>IF(NOT(ISNUMBER(tblShipments[[#This Row],[Freight share of value]])),"",IF(tblShipments[[#This Row],[Freight share of value]]&lt;=TargetPct,"On target",IF(tblShipments[[#This Row],[Freight share of value]]&lt;=TargetPct*(1+0.05),"Near target","Above target")))</f>
        <v>Above target</v>
      </c>
      <c r="V88" s="42">
        <f>IF(tblShipments[[#This Row],[Ship date]]="","",IF(AND(tblShipments[[#This Row],[Ship date]]&gt;=FFrom,tblShipments[[#This Row],[Ship date]]&lt;=FTo),tblShipments[[#This Row],[Ship date]],""))</f>
        <v>46279</v>
      </c>
      <c r="W8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8" s="28" t="s">
        <v>138</v>
      </c>
    </row>
    <row r="89" spans="2:24">
      <c r="B89" s="34">
        <v>46280</v>
      </c>
      <c r="C89" s="28" t="s">
        <v>223</v>
      </c>
      <c r="D89" s="28" t="s">
        <v>87</v>
      </c>
      <c r="E89" s="28" t="s">
        <v>102</v>
      </c>
      <c r="F89" s="28" t="s">
        <v>86</v>
      </c>
      <c r="G89" s="35">
        <v>1080</v>
      </c>
      <c r="H89" s="35">
        <v>3</v>
      </c>
      <c r="I89" s="35">
        <v>701</v>
      </c>
      <c r="J89" s="36">
        <v>5616</v>
      </c>
      <c r="K89" s="36">
        <v>267.12</v>
      </c>
      <c r="L89" s="36">
        <v>38.73</v>
      </c>
      <c r="M89" s="36">
        <v>0</v>
      </c>
      <c r="N89" s="37">
        <f>IF(tblShipments[[#This Row],[Ship date]]="","",tblShipments[[#This Row],[Base charge]]+tblShipments[[#This Row],[Fuel surcharge]]+tblShipments[[#This Row],[Accessorials]])</f>
        <v>305.85</v>
      </c>
      <c r="O89" s="37">
        <f>IF(tblShipments[[#This Row],[Ship date]]="","",tblShipments[[#This Row],[Fuel surcharge]]+tblShipments[[#This Row],[Accessorials]])</f>
        <v>38.73</v>
      </c>
      <c r="P89" s="38">
        <f>IF(tblShipments[[#This Row],[Ship date]]="","",IF(tblShipments[[#This Row],[Units shipped]]&gt;0,tblShipments[[#This Row],[Total freight]]/tblShipments[[#This Row],[Units shipped]],""))</f>
        <v>0.283194444444444</v>
      </c>
      <c r="Q89" s="38">
        <f>IF(tblShipments[[#This Row],[Ship date]]="","",IF(tblShipments[[#This Row],[Units shipped]]&gt;0,tblShipments[[#This Row],[Fuel and extras]]/tblShipments[[#This Row],[Units shipped]],""))</f>
        <v>0.0358611111111111</v>
      </c>
      <c r="R89" s="39">
        <f>IF(tblShipments[[#This Row],[Ship date]]="","",IF(tblShipments[[#This Row],[Gross weight]]&gt;0,tblShipments[[#This Row],[Total freight]]/tblShipments[[#This Row],[Gross weight]],""))</f>
        <v>0.436305278174037</v>
      </c>
      <c r="S89" s="37">
        <f>IF(tblShipments[[#This Row],[Ship date]]="","",IF(tblShipments[[#This Row],[Pallets]]&gt;0,tblShipments[[#This Row],[Total freight]]/tblShipments[[#This Row],[Pallets]],""))</f>
        <v>101.95</v>
      </c>
      <c r="T89" s="40">
        <f>IF(tblShipments[[#This Row],[Ship date]]="","",IF(tblShipments[[#This Row],[Product value]]&gt;0,tblShipments[[#This Row],[Total freight]]/tblShipments[[#This Row],[Product value]],""))</f>
        <v>0.0544604700854701</v>
      </c>
      <c r="U89" s="41" t="str">
        <f>IF(NOT(ISNUMBER(tblShipments[[#This Row],[Freight share of value]])),"",IF(tblShipments[[#This Row],[Freight share of value]]&lt;=TargetPct,"On target",IF(tblShipments[[#This Row],[Freight share of value]]&lt;=TargetPct*(1+0.05),"Near target","Above target")))</f>
        <v>Above target</v>
      </c>
      <c r="V89" s="42">
        <f>IF(tblShipments[[#This Row],[Ship date]]="","",IF(AND(tblShipments[[#This Row],[Ship date]]&gt;=FFrom,tblShipments[[#This Row],[Ship date]]&lt;=FTo),tblShipments[[#This Row],[Ship date]],""))</f>
        <v>46280</v>
      </c>
      <c r="W8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89" s="28" t="s">
        <v>138</v>
      </c>
    </row>
    <row r="90" spans="2:24">
      <c r="B90" s="34">
        <v>46280</v>
      </c>
      <c r="C90" s="28" t="s">
        <v>224</v>
      </c>
      <c r="D90" s="28" t="s">
        <v>80</v>
      </c>
      <c r="E90" s="28" t="s">
        <v>99</v>
      </c>
      <c r="F90" s="28" t="s">
        <v>108</v>
      </c>
      <c r="G90" s="35">
        <v>9460</v>
      </c>
      <c r="H90" s="35">
        <v>22</v>
      </c>
      <c r="I90" s="35">
        <v>5469</v>
      </c>
      <c r="J90" s="36">
        <v>38786</v>
      </c>
      <c r="K90" s="36">
        <v>640</v>
      </c>
      <c r="L90" s="36">
        <v>92.8</v>
      </c>
      <c r="M90" s="36">
        <v>0</v>
      </c>
      <c r="N90" s="37">
        <f>IF(tblShipments[[#This Row],[Ship date]]="","",tblShipments[[#This Row],[Base charge]]+tblShipments[[#This Row],[Fuel surcharge]]+tblShipments[[#This Row],[Accessorials]])</f>
        <v>732.8</v>
      </c>
      <c r="O90" s="37">
        <f>IF(tblShipments[[#This Row],[Ship date]]="","",tblShipments[[#This Row],[Fuel surcharge]]+tblShipments[[#This Row],[Accessorials]])</f>
        <v>92.8</v>
      </c>
      <c r="P90" s="38">
        <f>IF(tblShipments[[#This Row],[Ship date]]="","",IF(tblShipments[[#This Row],[Units shipped]]&gt;0,tblShipments[[#This Row],[Total freight]]/tblShipments[[#This Row],[Units shipped]],""))</f>
        <v>0.0774630021141649</v>
      </c>
      <c r="Q90" s="38">
        <f>IF(tblShipments[[#This Row],[Ship date]]="","",IF(tblShipments[[#This Row],[Units shipped]]&gt;0,tblShipments[[#This Row],[Fuel and extras]]/tblShipments[[#This Row],[Units shipped]],""))</f>
        <v>0.00980972515856237</v>
      </c>
      <c r="R90" s="39">
        <f>IF(tblShipments[[#This Row],[Ship date]]="","",IF(tblShipments[[#This Row],[Gross weight]]&gt;0,tblShipments[[#This Row],[Total freight]]/tblShipments[[#This Row],[Gross weight]],""))</f>
        <v>0.133991588955933</v>
      </c>
      <c r="S90" s="37">
        <f>IF(tblShipments[[#This Row],[Ship date]]="","",IF(tblShipments[[#This Row],[Pallets]]&gt;0,tblShipments[[#This Row],[Total freight]]/tblShipments[[#This Row],[Pallets]],""))</f>
        <v>33.3090909090909</v>
      </c>
      <c r="T90" s="40">
        <f>IF(tblShipments[[#This Row],[Ship date]]="","",IF(tblShipments[[#This Row],[Product value]]&gt;0,tblShipments[[#This Row],[Total freight]]/tblShipments[[#This Row],[Product value]],""))</f>
        <v>0.0188934151497963</v>
      </c>
      <c r="U90" s="41" t="str">
        <f>IF(NOT(ISNUMBER(tblShipments[[#This Row],[Freight share of value]])),"",IF(tblShipments[[#This Row],[Freight share of value]]&lt;=TargetPct,"On target",IF(tblShipments[[#This Row],[Freight share of value]]&lt;=TargetPct*(1+0.05),"Near target","Above target")))</f>
        <v>On target</v>
      </c>
      <c r="V90" s="42">
        <f>IF(tblShipments[[#This Row],[Ship date]]="","",IF(AND(tblShipments[[#This Row],[Ship date]]&gt;=FFrom,tblShipments[[#This Row],[Ship date]]&lt;=FTo),tblShipments[[#This Row],[Ship date]],""))</f>
        <v>46280</v>
      </c>
      <c r="W9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0" s="28" t="s">
        <v>138</v>
      </c>
    </row>
    <row r="91" spans="2:24">
      <c r="B91" s="34">
        <v>46281</v>
      </c>
      <c r="C91" s="28" t="s">
        <v>225</v>
      </c>
      <c r="D91" s="28" t="s">
        <v>90</v>
      </c>
      <c r="E91" s="28" t="s">
        <v>102</v>
      </c>
      <c r="F91" s="28" t="s">
        <v>86</v>
      </c>
      <c r="G91" s="35">
        <v>930</v>
      </c>
      <c r="H91" s="35">
        <v>3</v>
      </c>
      <c r="I91" s="35">
        <v>614</v>
      </c>
      <c r="J91" s="36">
        <v>5208</v>
      </c>
      <c r="K91" s="36">
        <v>193.98</v>
      </c>
      <c r="L91" s="36">
        <v>28.13</v>
      </c>
      <c r="M91" s="36">
        <v>0</v>
      </c>
      <c r="N91" s="37">
        <f>IF(tblShipments[[#This Row],[Ship date]]="","",tblShipments[[#This Row],[Base charge]]+tblShipments[[#This Row],[Fuel surcharge]]+tblShipments[[#This Row],[Accessorials]])</f>
        <v>222.11</v>
      </c>
      <c r="O91" s="37">
        <f>IF(tblShipments[[#This Row],[Ship date]]="","",tblShipments[[#This Row],[Fuel surcharge]]+tblShipments[[#This Row],[Accessorials]])</f>
        <v>28.13</v>
      </c>
      <c r="P91" s="38">
        <f>IF(tblShipments[[#This Row],[Ship date]]="","",IF(tblShipments[[#This Row],[Units shipped]]&gt;0,tblShipments[[#This Row],[Total freight]]/tblShipments[[#This Row],[Units shipped]],""))</f>
        <v>0.238827956989247</v>
      </c>
      <c r="Q91" s="38">
        <f>IF(tblShipments[[#This Row],[Ship date]]="","",IF(tblShipments[[#This Row],[Units shipped]]&gt;0,tblShipments[[#This Row],[Fuel and extras]]/tblShipments[[#This Row],[Units shipped]],""))</f>
        <v>0.030247311827957</v>
      </c>
      <c r="R91" s="39">
        <f>IF(tblShipments[[#This Row],[Ship date]]="","",IF(tblShipments[[#This Row],[Gross weight]]&gt;0,tblShipments[[#This Row],[Total freight]]/tblShipments[[#This Row],[Gross weight]],""))</f>
        <v>0.361742671009772</v>
      </c>
      <c r="S91" s="37">
        <f>IF(tblShipments[[#This Row],[Ship date]]="","",IF(tblShipments[[#This Row],[Pallets]]&gt;0,tblShipments[[#This Row],[Total freight]]/tblShipments[[#This Row],[Pallets]],""))</f>
        <v>74.0366666666667</v>
      </c>
      <c r="T91" s="40">
        <f>IF(tblShipments[[#This Row],[Ship date]]="","",IF(tblShipments[[#This Row],[Product value]]&gt;0,tblShipments[[#This Row],[Total freight]]/tblShipments[[#This Row],[Product value]],""))</f>
        <v>0.0426478494623656</v>
      </c>
      <c r="U91" s="41" t="str">
        <f>IF(NOT(ISNUMBER(tblShipments[[#This Row],[Freight share of value]])),"",IF(tblShipments[[#This Row],[Freight share of value]]&lt;=TargetPct,"On target",IF(tblShipments[[#This Row],[Freight share of value]]&lt;=TargetPct*(1+0.05),"Near target","Above target")))</f>
        <v>Above target</v>
      </c>
      <c r="V91" s="42">
        <f>IF(tblShipments[[#This Row],[Ship date]]="","",IF(AND(tblShipments[[#This Row],[Ship date]]&gt;=FFrom,tblShipments[[#This Row],[Ship date]]&lt;=FTo),tblShipments[[#This Row],[Ship date]],""))</f>
        <v>46281</v>
      </c>
      <c r="W9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1" s="28" t="s">
        <v>138</v>
      </c>
    </row>
    <row r="92" spans="2:24">
      <c r="B92" s="34">
        <v>46282</v>
      </c>
      <c r="C92" s="28" t="s">
        <v>226</v>
      </c>
      <c r="D92" s="28" t="s">
        <v>87</v>
      </c>
      <c r="E92" s="28" t="s">
        <v>99</v>
      </c>
      <c r="F92" s="28" t="s">
        <v>110</v>
      </c>
      <c r="G92" s="35">
        <v>1350</v>
      </c>
      <c r="H92" s="35">
        <v>3</v>
      </c>
      <c r="I92" s="35">
        <v>858</v>
      </c>
      <c r="J92" s="36">
        <v>7020</v>
      </c>
      <c r="K92" s="36">
        <v>213</v>
      </c>
      <c r="L92" s="36">
        <v>30.88</v>
      </c>
      <c r="M92" s="36">
        <v>0</v>
      </c>
      <c r="N92" s="37">
        <f>IF(tblShipments[[#This Row],[Ship date]]="","",tblShipments[[#This Row],[Base charge]]+tblShipments[[#This Row],[Fuel surcharge]]+tblShipments[[#This Row],[Accessorials]])</f>
        <v>243.88</v>
      </c>
      <c r="O92" s="37">
        <f>IF(tblShipments[[#This Row],[Ship date]]="","",tblShipments[[#This Row],[Fuel surcharge]]+tblShipments[[#This Row],[Accessorials]])</f>
        <v>30.88</v>
      </c>
      <c r="P92" s="38">
        <f>IF(tblShipments[[#This Row],[Ship date]]="","",IF(tblShipments[[#This Row],[Units shipped]]&gt;0,tblShipments[[#This Row],[Total freight]]/tblShipments[[#This Row],[Units shipped]],""))</f>
        <v>0.180651851851852</v>
      </c>
      <c r="Q92" s="38">
        <f>IF(tblShipments[[#This Row],[Ship date]]="","",IF(tblShipments[[#This Row],[Units shipped]]&gt;0,tblShipments[[#This Row],[Fuel and extras]]/tblShipments[[#This Row],[Units shipped]],""))</f>
        <v>0.0228740740740741</v>
      </c>
      <c r="R92" s="39">
        <f>IF(tblShipments[[#This Row],[Ship date]]="","",IF(tblShipments[[#This Row],[Gross weight]]&gt;0,tblShipments[[#This Row],[Total freight]]/tblShipments[[#This Row],[Gross weight]],""))</f>
        <v>0.284242424242424</v>
      </c>
      <c r="S92" s="37">
        <f>IF(tblShipments[[#This Row],[Ship date]]="","",IF(tblShipments[[#This Row],[Pallets]]&gt;0,tblShipments[[#This Row],[Total freight]]/tblShipments[[#This Row],[Pallets]],""))</f>
        <v>81.2933333333333</v>
      </c>
      <c r="T92" s="40">
        <f>IF(tblShipments[[#This Row],[Ship date]]="","",IF(tblShipments[[#This Row],[Product value]]&gt;0,tblShipments[[#This Row],[Total freight]]/tblShipments[[#This Row],[Product value]],""))</f>
        <v>0.0347407407407407</v>
      </c>
      <c r="U92" s="41" t="str">
        <f>IF(NOT(ISNUMBER(tblShipments[[#This Row],[Freight share of value]])),"",IF(tblShipments[[#This Row],[Freight share of value]]&lt;=TargetPct,"On target",IF(tblShipments[[#This Row],[Freight share of value]]&lt;=TargetPct*(1+0.05),"Near target","Above target")))</f>
        <v>On target</v>
      </c>
      <c r="V92" s="42">
        <f>IF(tblShipments[[#This Row],[Ship date]]="","",IF(AND(tblShipments[[#This Row],[Ship date]]&gt;=FFrom,tblShipments[[#This Row],[Ship date]]&lt;=FTo),tblShipments[[#This Row],[Ship date]],""))</f>
        <v>46282</v>
      </c>
      <c r="W9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2" s="28" t="s">
        <v>138</v>
      </c>
    </row>
    <row r="93" spans="2:24">
      <c r="B93" s="34">
        <v>46282</v>
      </c>
      <c r="C93" s="28" t="s">
        <v>227</v>
      </c>
      <c r="D93" s="28" t="s">
        <v>92</v>
      </c>
      <c r="E93" s="28" t="s">
        <v>103</v>
      </c>
      <c r="F93" s="28" t="s">
        <v>113</v>
      </c>
      <c r="G93" s="35">
        <v>1170</v>
      </c>
      <c r="H93" s="35">
        <v>3</v>
      </c>
      <c r="I93" s="35">
        <v>718</v>
      </c>
      <c r="J93" s="36">
        <v>7488</v>
      </c>
      <c r="K93" s="36">
        <v>354</v>
      </c>
      <c r="L93" s="36">
        <v>51.33</v>
      </c>
      <c r="M93" s="36">
        <v>131</v>
      </c>
      <c r="N93" s="37">
        <f>IF(tblShipments[[#This Row],[Ship date]]="","",tblShipments[[#This Row],[Base charge]]+tblShipments[[#This Row],[Fuel surcharge]]+tblShipments[[#This Row],[Accessorials]])</f>
        <v>536.33</v>
      </c>
      <c r="O93" s="37">
        <f>IF(tblShipments[[#This Row],[Ship date]]="","",tblShipments[[#This Row],[Fuel surcharge]]+tblShipments[[#This Row],[Accessorials]])</f>
        <v>182.33</v>
      </c>
      <c r="P93" s="38">
        <f>IF(tblShipments[[#This Row],[Ship date]]="","",IF(tblShipments[[#This Row],[Units shipped]]&gt;0,tblShipments[[#This Row],[Total freight]]/tblShipments[[#This Row],[Units shipped]],""))</f>
        <v>0.458401709401709</v>
      </c>
      <c r="Q93" s="38">
        <f>IF(tblShipments[[#This Row],[Ship date]]="","",IF(tblShipments[[#This Row],[Units shipped]]&gt;0,tblShipments[[#This Row],[Fuel and extras]]/tblShipments[[#This Row],[Units shipped]],""))</f>
        <v>0.155837606837607</v>
      </c>
      <c r="R93" s="39">
        <f>IF(tblShipments[[#This Row],[Ship date]]="","",IF(tblShipments[[#This Row],[Gross weight]]&gt;0,tblShipments[[#This Row],[Total freight]]/tblShipments[[#This Row],[Gross weight]],""))</f>
        <v>0.746977715877437</v>
      </c>
      <c r="S93" s="37">
        <f>IF(tblShipments[[#This Row],[Ship date]]="","",IF(tblShipments[[#This Row],[Pallets]]&gt;0,tblShipments[[#This Row],[Total freight]]/tblShipments[[#This Row],[Pallets]],""))</f>
        <v>178.776666666667</v>
      </c>
      <c r="T93" s="40">
        <f>IF(tblShipments[[#This Row],[Ship date]]="","",IF(tblShipments[[#This Row],[Product value]]&gt;0,tblShipments[[#This Row],[Total freight]]/tblShipments[[#This Row],[Product value]],""))</f>
        <v>0.0716252670940171</v>
      </c>
      <c r="U93" s="41" t="str">
        <f>IF(NOT(ISNUMBER(tblShipments[[#This Row],[Freight share of value]])),"",IF(tblShipments[[#This Row],[Freight share of value]]&lt;=TargetPct,"On target",IF(tblShipments[[#This Row],[Freight share of value]]&lt;=TargetPct*(1+0.05),"Near target","Above target")))</f>
        <v>Above target</v>
      </c>
      <c r="V93" s="42">
        <f>IF(tblShipments[[#This Row],[Ship date]]="","",IF(AND(tblShipments[[#This Row],[Ship date]]&gt;=FFrom,tblShipments[[#This Row],[Ship date]]&lt;=FTo),tblShipments[[#This Row],[Ship date]],""))</f>
        <v>46282</v>
      </c>
      <c r="W93"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3" s="28" t="s">
        <v>147</v>
      </c>
    </row>
    <row r="94" spans="2:24">
      <c r="B94" s="34">
        <v>46282</v>
      </c>
      <c r="C94" s="28" t="s">
        <v>228</v>
      </c>
      <c r="D94" s="28" t="s">
        <v>95</v>
      </c>
      <c r="E94" s="28" t="s">
        <v>105</v>
      </c>
      <c r="F94" s="28" t="s">
        <v>115</v>
      </c>
      <c r="G94" s="35">
        <v>130</v>
      </c>
      <c r="H94" s="35">
        <v>0</v>
      </c>
      <c r="I94" s="35">
        <v>52</v>
      </c>
      <c r="J94" s="36">
        <v>1430</v>
      </c>
      <c r="K94" s="36">
        <v>68.2</v>
      </c>
      <c r="L94" s="36">
        <v>8.18</v>
      </c>
      <c r="M94" s="36">
        <v>0</v>
      </c>
      <c r="N94" s="37">
        <f>IF(tblShipments[[#This Row],[Ship date]]="","",tblShipments[[#This Row],[Base charge]]+tblShipments[[#This Row],[Fuel surcharge]]+tblShipments[[#This Row],[Accessorials]])</f>
        <v>76.38</v>
      </c>
      <c r="O94" s="37">
        <f>IF(tblShipments[[#This Row],[Ship date]]="","",tblShipments[[#This Row],[Fuel surcharge]]+tblShipments[[#This Row],[Accessorials]])</f>
        <v>8.18</v>
      </c>
      <c r="P94" s="38">
        <f>IF(tblShipments[[#This Row],[Ship date]]="","",IF(tblShipments[[#This Row],[Units shipped]]&gt;0,tblShipments[[#This Row],[Total freight]]/tblShipments[[#This Row],[Units shipped]],""))</f>
        <v>0.587538461538462</v>
      </c>
      <c r="Q94" s="38">
        <f>IF(tblShipments[[#This Row],[Ship date]]="","",IF(tblShipments[[#This Row],[Units shipped]]&gt;0,tblShipments[[#This Row],[Fuel and extras]]/tblShipments[[#This Row],[Units shipped]],""))</f>
        <v>0.0629230769230769</v>
      </c>
      <c r="R94" s="39">
        <f>IF(tblShipments[[#This Row],[Ship date]]="","",IF(tblShipments[[#This Row],[Gross weight]]&gt;0,tblShipments[[#This Row],[Total freight]]/tblShipments[[#This Row],[Gross weight]],""))</f>
        <v>1.46884615384615</v>
      </c>
      <c r="S94" s="37">
        <f>IF(tblShipments[[#This Row],[Ship date]]="","",IF(tblShipments[[#This Row],[Pallets]]&gt;0,tblShipments[[#This Row],[Total freight]]/tblShipments[[#This Row],[Pallets]],""))</f>
        <v/>
      </c>
      <c r="T94" s="40">
        <f>IF(tblShipments[[#This Row],[Ship date]]="","",IF(tblShipments[[#This Row],[Product value]]&gt;0,tblShipments[[#This Row],[Total freight]]/tblShipments[[#This Row],[Product value]],""))</f>
        <v>0.0534125874125874</v>
      </c>
      <c r="U94" s="41" t="str">
        <f>IF(NOT(ISNUMBER(tblShipments[[#This Row],[Freight share of value]])),"",IF(tblShipments[[#This Row],[Freight share of value]]&lt;=TargetPct,"On target",IF(tblShipments[[#This Row],[Freight share of value]]&lt;=TargetPct*(1+0.05),"Near target","Above target")))</f>
        <v>Above target</v>
      </c>
      <c r="V94" s="42">
        <f>IF(tblShipments[[#This Row],[Ship date]]="","",IF(AND(tblShipments[[#This Row],[Ship date]]&gt;=FFrom,tblShipments[[#This Row],[Ship date]]&lt;=FTo),tblShipments[[#This Row],[Ship date]],""))</f>
        <v>46282</v>
      </c>
      <c r="W94"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4" s="28" t="s">
        <v>138</v>
      </c>
    </row>
    <row r="95" spans="2:24">
      <c r="B95" s="34">
        <v>46286</v>
      </c>
      <c r="C95" s="28" t="s">
        <v>229</v>
      </c>
      <c r="D95" s="28" t="s">
        <v>84</v>
      </c>
      <c r="E95" s="28" t="s">
        <v>102</v>
      </c>
      <c r="F95" s="28" t="s">
        <v>86</v>
      </c>
      <c r="G95" s="35">
        <v>1230</v>
      </c>
      <c r="H95" s="35">
        <v>3</v>
      </c>
      <c r="I95" s="35">
        <v>788</v>
      </c>
      <c r="J95" s="36">
        <v>7134</v>
      </c>
      <c r="K95" s="36">
        <v>165.36</v>
      </c>
      <c r="L95" s="36">
        <v>23.98</v>
      </c>
      <c r="M95" s="36">
        <v>0</v>
      </c>
      <c r="N95" s="37">
        <f>IF(tblShipments[[#This Row],[Ship date]]="","",tblShipments[[#This Row],[Base charge]]+tblShipments[[#This Row],[Fuel surcharge]]+tblShipments[[#This Row],[Accessorials]])</f>
        <v>189.34</v>
      </c>
      <c r="O95" s="37">
        <f>IF(tblShipments[[#This Row],[Ship date]]="","",tblShipments[[#This Row],[Fuel surcharge]]+tblShipments[[#This Row],[Accessorials]])</f>
        <v>23.98</v>
      </c>
      <c r="P95" s="38">
        <f>IF(tblShipments[[#This Row],[Ship date]]="","",IF(tblShipments[[#This Row],[Units shipped]]&gt;0,tblShipments[[#This Row],[Total freight]]/tblShipments[[#This Row],[Units shipped]],""))</f>
        <v>0.153934959349594</v>
      </c>
      <c r="Q95" s="38">
        <f>IF(tblShipments[[#This Row],[Ship date]]="","",IF(tblShipments[[#This Row],[Units shipped]]&gt;0,tblShipments[[#This Row],[Fuel and extras]]/tblShipments[[#This Row],[Units shipped]],""))</f>
        <v>0.0194959349593496</v>
      </c>
      <c r="R95" s="39">
        <f>IF(tblShipments[[#This Row],[Ship date]]="","",IF(tblShipments[[#This Row],[Gross weight]]&gt;0,tblShipments[[#This Row],[Total freight]]/tblShipments[[#This Row],[Gross weight]],""))</f>
        <v>0.240279187817259</v>
      </c>
      <c r="S95" s="37">
        <f>IF(tblShipments[[#This Row],[Ship date]]="","",IF(tblShipments[[#This Row],[Pallets]]&gt;0,tblShipments[[#This Row],[Total freight]]/tblShipments[[#This Row],[Pallets]],""))</f>
        <v>63.1133333333333</v>
      </c>
      <c r="T95" s="40">
        <f>IF(tblShipments[[#This Row],[Ship date]]="","",IF(tblShipments[[#This Row],[Product value]]&gt;0,tblShipments[[#This Row],[Total freight]]/tblShipments[[#This Row],[Product value]],""))</f>
        <v>0.0265405102326885</v>
      </c>
      <c r="U95" s="41" t="str">
        <f>IF(NOT(ISNUMBER(tblShipments[[#This Row],[Freight share of value]])),"",IF(tblShipments[[#This Row],[Freight share of value]]&lt;=TargetPct,"On target",IF(tblShipments[[#This Row],[Freight share of value]]&lt;=TargetPct*(1+0.05),"Near target","Above target")))</f>
        <v>On target</v>
      </c>
      <c r="V95" s="42">
        <f>IF(tblShipments[[#This Row],[Ship date]]="","",IF(AND(tblShipments[[#This Row],[Ship date]]&gt;=FFrom,tblShipments[[#This Row],[Ship date]]&lt;=FTo),tblShipments[[#This Row],[Ship date]],""))</f>
        <v>46286</v>
      </c>
      <c r="W95"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5" s="28" t="s">
        <v>138</v>
      </c>
    </row>
    <row r="96" spans="2:24">
      <c r="B96" s="34">
        <v>46286</v>
      </c>
      <c r="C96" s="28" t="s">
        <v>230</v>
      </c>
      <c r="D96" s="28" t="s">
        <v>95</v>
      </c>
      <c r="E96" s="28" t="s">
        <v>105</v>
      </c>
      <c r="F96" s="28" t="s">
        <v>115</v>
      </c>
      <c r="G96" s="35">
        <v>160</v>
      </c>
      <c r="H96" s="35">
        <v>0</v>
      </c>
      <c r="I96" s="35">
        <v>64</v>
      </c>
      <c r="J96" s="36">
        <v>1760</v>
      </c>
      <c r="K96" s="36">
        <v>86.8</v>
      </c>
      <c r="L96" s="36">
        <v>10.42</v>
      </c>
      <c r="M96" s="36">
        <v>0</v>
      </c>
      <c r="N96" s="37">
        <f>IF(tblShipments[[#This Row],[Ship date]]="","",tblShipments[[#This Row],[Base charge]]+tblShipments[[#This Row],[Fuel surcharge]]+tblShipments[[#This Row],[Accessorials]])</f>
        <v>97.22</v>
      </c>
      <c r="O96" s="37">
        <f>IF(tblShipments[[#This Row],[Ship date]]="","",tblShipments[[#This Row],[Fuel surcharge]]+tblShipments[[#This Row],[Accessorials]])</f>
        <v>10.42</v>
      </c>
      <c r="P96" s="38">
        <f>IF(tblShipments[[#This Row],[Ship date]]="","",IF(tblShipments[[#This Row],[Units shipped]]&gt;0,tblShipments[[#This Row],[Total freight]]/tblShipments[[#This Row],[Units shipped]],""))</f>
        <v>0.607625</v>
      </c>
      <c r="Q96" s="38">
        <f>IF(tblShipments[[#This Row],[Ship date]]="","",IF(tblShipments[[#This Row],[Units shipped]]&gt;0,tblShipments[[#This Row],[Fuel and extras]]/tblShipments[[#This Row],[Units shipped]],""))</f>
        <v>0.065125</v>
      </c>
      <c r="R96" s="39">
        <f>IF(tblShipments[[#This Row],[Ship date]]="","",IF(tblShipments[[#This Row],[Gross weight]]&gt;0,tblShipments[[#This Row],[Total freight]]/tblShipments[[#This Row],[Gross weight]],""))</f>
        <v>1.5190625</v>
      </c>
      <c r="S96" s="37">
        <f>IF(tblShipments[[#This Row],[Ship date]]="","",IF(tblShipments[[#This Row],[Pallets]]&gt;0,tblShipments[[#This Row],[Total freight]]/tblShipments[[#This Row],[Pallets]],""))</f>
        <v/>
      </c>
      <c r="T96" s="40">
        <f>IF(tblShipments[[#This Row],[Ship date]]="","",IF(tblShipments[[#This Row],[Product value]]&gt;0,tblShipments[[#This Row],[Total freight]]/tblShipments[[#This Row],[Product value]],""))</f>
        <v>0.0552386363636364</v>
      </c>
      <c r="U96" s="41" t="str">
        <f>IF(NOT(ISNUMBER(tblShipments[[#This Row],[Freight share of value]])),"",IF(tblShipments[[#This Row],[Freight share of value]]&lt;=TargetPct,"On target",IF(tblShipments[[#This Row],[Freight share of value]]&lt;=TargetPct*(1+0.05),"Near target","Above target")))</f>
        <v>Above target</v>
      </c>
      <c r="V96" s="42">
        <f>IF(tblShipments[[#This Row],[Ship date]]="","",IF(AND(tblShipments[[#This Row],[Ship date]]&gt;=FFrom,tblShipments[[#This Row],[Ship date]]&lt;=FTo),tblShipments[[#This Row],[Ship date]],""))</f>
        <v>46286</v>
      </c>
      <c r="W96"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6" s="28" t="s">
        <v>138</v>
      </c>
    </row>
    <row r="97" spans="2:24">
      <c r="B97" s="34">
        <v>46287</v>
      </c>
      <c r="C97" s="28" t="s">
        <v>231</v>
      </c>
      <c r="D97" s="28" t="s">
        <v>87</v>
      </c>
      <c r="E97" s="28" t="s">
        <v>102</v>
      </c>
      <c r="F97" s="28" t="s">
        <v>86</v>
      </c>
      <c r="G97" s="35">
        <v>1520</v>
      </c>
      <c r="H97" s="35">
        <v>4</v>
      </c>
      <c r="I97" s="35">
        <v>982</v>
      </c>
      <c r="J97" s="36">
        <v>7904</v>
      </c>
      <c r="K97" s="36">
        <v>356.16</v>
      </c>
      <c r="L97" s="36">
        <v>51.64</v>
      </c>
      <c r="M97" s="36">
        <v>0</v>
      </c>
      <c r="N97" s="37">
        <f>IF(tblShipments[[#This Row],[Ship date]]="","",tblShipments[[#This Row],[Base charge]]+tblShipments[[#This Row],[Fuel surcharge]]+tblShipments[[#This Row],[Accessorials]])</f>
        <v>407.8</v>
      </c>
      <c r="O97" s="37">
        <f>IF(tblShipments[[#This Row],[Ship date]]="","",tblShipments[[#This Row],[Fuel surcharge]]+tblShipments[[#This Row],[Accessorials]])</f>
        <v>51.64</v>
      </c>
      <c r="P97" s="38">
        <f>IF(tblShipments[[#This Row],[Ship date]]="","",IF(tblShipments[[#This Row],[Units shipped]]&gt;0,tblShipments[[#This Row],[Total freight]]/tblShipments[[#This Row],[Units shipped]],""))</f>
        <v>0.268289473684211</v>
      </c>
      <c r="Q97" s="38">
        <f>IF(tblShipments[[#This Row],[Ship date]]="","",IF(tblShipments[[#This Row],[Units shipped]]&gt;0,tblShipments[[#This Row],[Fuel and extras]]/tblShipments[[#This Row],[Units shipped]],""))</f>
        <v>0.0339736842105263</v>
      </c>
      <c r="R97" s="39">
        <f>IF(tblShipments[[#This Row],[Ship date]]="","",IF(tblShipments[[#This Row],[Gross weight]]&gt;0,tblShipments[[#This Row],[Total freight]]/tblShipments[[#This Row],[Gross weight]],""))</f>
        <v>0.415274949083503</v>
      </c>
      <c r="S97" s="37">
        <f>IF(tblShipments[[#This Row],[Ship date]]="","",IF(tblShipments[[#This Row],[Pallets]]&gt;0,tblShipments[[#This Row],[Total freight]]/tblShipments[[#This Row],[Pallets]],""))</f>
        <v>101.95</v>
      </c>
      <c r="T97" s="40">
        <f>IF(tblShipments[[#This Row],[Ship date]]="","",IF(tblShipments[[#This Row],[Product value]]&gt;0,tblShipments[[#This Row],[Total freight]]/tblShipments[[#This Row],[Product value]],""))</f>
        <v>0.0515941295546559</v>
      </c>
      <c r="U97" s="41" t="str">
        <f>IF(NOT(ISNUMBER(tblShipments[[#This Row],[Freight share of value]])),"",IF(tblShipments[[#This Row],[Freight share of value]]&lt;=TargetPct,"On target",IF(tblShipments[[#This Row],[Freight share of value]]&lt;=TargetPct*(1+0.05),"Near target","Above target")))</f>
        <v>Above target</v>
      </c>
      <c r="V97" s="42">
        <f>IF(tblShipments[[#This Row],[Ship date]]="","",IF(AND(tblShipments[[#This Row],[Ship date]]&gt;=FFrom,tblShipments[[#This Row],[Ship date]]&lt;=FTo),tblShipments[[#This Row],[Ship date]],""))</f>
        <v>46287</v>
      </c>
      <c r="W97"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7" s="28" t="s">
        <v>138</v>
      </c>
    </row>
    <row r="98" spans="2:24">
      <c r="B98" s="34">
        <v>46287</v>
      </c>
      <c r="C98" s="28" t="s">
        <v>232</v>
      </c>
      <c r="D98" s="28" t="s">
        <v>80</v>
      </c>
      <c r="E98" s="28" t="s">
        <v>99</v>
      </c>
      <c r="F98" s="28" t="s">
        <v>108</v>
      </c>
      <c r="G98" s="35">
        <v>10500</v>
      </c>
      <c r="H98" s="35">
        <v>25</v>
      </c>
      <c r="I98" s="35">
        <v>6085</v>
      </c>
      <c r="J98" s="36">
        <v>43050</v>
      </c>
      <c r="K98" s="36">
        <v>640</v>
      </c>
      <c r="L98" s="36">
        <v>92.8</v>
      </c>
      <c r="M98" s="36">
        <v>60</v>
      </c>
      <c r="N98" s="37">
        <f>IF(tblShipments[[#This Row],[Ship date]]="","",tblShipments[[#This Row],[Base charge]]+tblShipments[[#This Row],[Fuel surcharge]]+tblShipments[[#This Row],[Accessorials]])</f>
        <v>792.8</v>
      </c>
      <c r="O98" s="37">
        <f>IF(tblShipments[[#This Row],[Ship date]]="","",tblShipments[[#This Row],[Fuel surcharge]]+tblShipments[[#This Row],[Accessorials]])</f>
        <v>152.8</v>
      </c>
      <c r="P98" s="38">
        <f>IF(tblShipments[[#This Row],[Ship date]]="","",IF(tblShipments[[#This Row],[Units shipped]]&gt;0,tblShipments[[#This Row],[Total freight]]/tblShipments[[#This Row],[Units shipped]],""))</f>
        <v>0.0755047619047619</v>
      </c>
      <c r="Q98" s="38">
        <f>IF(tblShipments[[#This Row],[Ship date]]="","",IF(tblShipments[[#This Row],[Units shipped]]&gt;0,tblShipments[[#This Row],[Fuel and extras]]/tblShipments[[#This Row],[Units shipped]],""))</f>
        <v>0.014552380952381</v>
      </c>
      <c r="R98" s="39">
        <f>IF(tblShipments[[#This Row],[Ship date]]="","",IF(tblShipments[[#This Row],[Gross weight]]&gt;0,tblShipments[[#This Row],[Total freight]]/tblShipments[[#This Row],[Gross weight]],""))</f>
        <v>0.130287592440427</v>
      </c>
      <c r="S98" s="37">
        <f>IF(tblShipments[[#This Row],[Ship date]]="","",IF(tblShipments[[#This Row],[Pallets]]&gt;0,tblShipments[[#This Row],[Total freight]]/tblShipments[[#This Row],[Pallets]],""))</f>
        <v>31.712</v>
      </c>
      <c r="T98" s="40">
        <f>IF(tblShipments[[#This Row],[Ship date]]="","",IF(tblShipments[[#This Row],[Product value]]&gt;0,tblShipments[[#This Row],[Total freight]]/tblShipments[[#This Row],[Product value]],""))</f>
        <v>0.0184157955865273</v>
      </c>
      <c r="U98" s="41" t="str">
        <f>IF(NOT(ISNUMBER(tblShipments[[#This Row],[Freight share of value]])),"",IF(tblShipments[[#This Row],[Freight share of value]]&lt;=TargetPct,"On target",IF(tblShipments[[#This Row],[Freight share of value]]&lt;=TargetPct*(1+0.05),"Near target","Above target")))</f>
        <v>On target</v>
      </c>
      <c r="V98" s="42">
        <f>IF(tblShipments[[#This Row],[Ship date]]="","",IF(AND(tblShipments[[#This Row],[Ship date]]&gt;=FFrom,tblShipments[[#This Row],[Ship date]]&lt;=FTo),tblShipments[[#This Row],[Ship date]],""))</f>
        <v>46287</v>
      </c>
      <c r="W98"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8" s="28" t="s">
        <v>142</v>
      </c>
    </row>
    <row r="99" spans="2:24">
      <c r="B99" s="34">
        <v>46288</v>
      </c>
      <c r="C99" s="28" t="s">
        <v>233</v>
      </c>
      <c r="D99" s="28" t="s">
        <v>90</v>
      </c>
      <c r="E99" s="28" t="s">
        <v>102</v>
      </c>
      <c r="F99" s="28" t="s">
        <v>86</v>
      </c>
      <c r="G99" s="35">
        <v>1350</v>
      </c>
      <c r="H99" s="35">
        <v>3</v>
      </c>
      <c r="I99" s="35">
        <v>858</v>
      </c>
      <c r="J99" s="36">
        <v>7560</v>
      </c>
      <c r="K99" s="36">
        <v>193.98</v>
      </c>
      <c r="L99" s="36">
        <v>28.13</v>
      </c>
      <c r="M99" s="36">
        <v>18</v>
      </c>
      <c r="N99" s="37">
        <f>IF(tblShipments[[#This Row],[Ship date]]="","",tblShipments[[#This Row],[Base charge]]+tblShipments[[#This Row],[Fuel surcharge]]+tblShipments[[#This Row],[Accessorials]])</f>
        <v>240.11</v>
      </c>
      <c r="O99" s="37">
        <f>IF(tblShipments[[#This Row],[Ship date]]="","",tblShipments[[#This Row],[Fuel surcharge]]+tblShipments[[#This Row],[Accessorials]])</f>
        <v>46.13</v>
      </c>
      <c r="P99" s="38">
        <f>IF(tblShipments[[#This Row],[Ship date]]="","",IF(tblShipments[[#This Row],[Units shipped]]&gt;0,tblShipments[[#This Row],[Total freight]]/tblShipments[[#This Row],[Units shipped]],""))</f>
        <v>0.177859259259259</v>
      </c>
      <c r="Q99" s="38">
        <f>IF(tblShipments[[#This Row],[Ship date]]="","",IF(tblShipments[[#This Row],[Units shipped]]&gt;0,tblShipments[[#This Row],[Fuel and extras]]/tblShipments[[#This Row],[Units shipped]],""))</f>
        <v>0.0341703703703704</v>
      </c>
      <c r="R99" s="39">
        <f>IF(tblShipments[[#This Row],[Ship date]]="","",IF(tblShipments[[#This Row],[Gross weight]]&gt;0,tblShipments[[#This Row],[Total freight]]/tblShipments[[#This Row],[Gross weight]],""))</f>
        <v>0.279848484848485</v>
      </c>
      <c r="S99" s="37">
        <f>IF(tblShipments[[#This Row],[Ship date]]="","",IF(tblShipments[[#This Row],[Pallets]]&gt;0,tblShipments[[#This Row],[Total freight]]/tblShipments[[#This Row],[Pallets]],""))</f>
        <v>80.0366666666667</v>
      </c>
      <c r="T99" s="40">
        <f>IF(tblShipments[[#This Row],[Ship date]]="","",IF(tblShipments[[#This Row],[Product value]]&gt;0,tblShipments[[#This Row],[Total freight]]/tblShipments[[#This Row],[Product value]],""))</f>
        <v>0.031760582010582</v>
      </c>
      <c r="U99" s="41" t="str">
        <f>IF(NOT(ISNUMBER(tblShipments[[#This Row],[Freight share of value]])),"",IF(tblShipments[[#This Row],[Freight share of value]]&lt;=TargetPct,"On target",IF(tblShipments[[#This Row],[Freight share of value]]&lt;=TargetPct*(1+0.05),"Near target","Above target")))</f>
        <v>On target</v>
      </c>
      <c r="V99" s="42">
        <f>IF(tblShipments[[#This Row],[Ship date]]="","",IF(AND(tblShipments[[#This Row],[Ship date]]&gt;=FFrom,tblShipments[[#This Row],[Ship date]]&lt;=FTo),tblShipments[[#This Row],[Ship date]],""))</f>
        <v>46288</v>
      </c>
      <c r="W99"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99" s="28" t="s">
        <v>144</v>
      </c>
    </row>
    <row r="100" spans="2:24">
      <c r="B100" s="34">
        <v>46289</v>
      </c>
      <c r="C100" s="28" t="s">
        <v>234</v>
      </c>
      <c r="D100" s="28" t="s">
        <v>87</v>
      </c>
      <c r="E100" s="28" t="s">
        <v>99</v>
      </c>
      <c r="F100" s="28" t="s">
        <v>110</v>
      </c>
      <c r="G100" s="35">
        <v>900</v>
      </c>
      <c r="H100" s="35">
        <v>2</v>
      </c>
      <c r="I100" s="35">
        <v>572</v>
      </c>
      <c r="J100" s="36">
        <v>4680</v>
      </c>
      <c r="K100" s="36">
        <v>142</v>
      </c>
      <c r="L100" s="36">
        <v>20.59</v>
      </c>
      <c r="M100" s="36">
        <v>0</v>
      </c>
      <c r="N100" s="37">
        <f>IF(tblShipments[[#This Row],[Ship date]]="","",tblShipments[[#This Row],[Base charge]]+tblShipments[[#This Row],[Fuel surcharge]]+tblShipments[[#This Row],[Accessorials]])</f>
        <v>162.59</v>
      </c>
      <c r="O100" s="37">
        <f>IF(tblShipments[[#This Row],[Ship date]]="","",tblShipments[[#This Row],[Fuel surcharge]]+tblShipments[[#This Row],[Accessorials]])</f>
        <v>20.59</v>
      </c>
      <c r="P100" s="38">
        <f>IF(tblShipments[[#This Row],[Ship date]]="","",IF(tblShipments[[#This Row],[Units shipped]]&gt;0,tblShipments[[#This Row],[Total freight]]/tblShipments[[#This Row],[Units shipped]],""))</f>
        <v>0.180655555555556</v>
      </c>
      <c r="Q100" s="38">
        <f>IF(tblShipments[[#This Row],[Ship date]]="","",IF(tblShipments[[#This Row],[Units shipped]]&gt;0,tblShipments[[#This Row],[Fuel and extras]]/tblShipments[[#This Row],[Units shipped]],""))</f>
        <v>0.0228777777777778</v>
      </c>
      <c r="R100" s="39">
        <f>IF(tblShipments[[#This Row],[Ship date]]="","",IF(tblShipments[[#This Row],[Gross weight]]&gt;0,tblShipments[[#This Row],[Total freight]]/tblShipments[[#This Row],[Gross weight]],""))</f>
        <v>0.284248251748252</v>
      </c>
      <c r="S100" s="37">
        <f>IF(tblShipments[[#This Row],[Ship date]]="","",IF(tblShipments[[#This Row],[Pallets]]&gt;0,tblShipments[[#This Row],[Total freight]]/tblShipments[[#This Row],[Pallets]],""))</f>
        <v>81.295</v>
      </c>
      <c r="T100" s="40">
        <f>IF(tblShipments[[#This Row],[Ship date]]="","",IF(tblShipments[[#This Row],[Product value]]&gt;0,tblShipments[[#This Row],[Total freight]]/tblShipments[[#This Row],[Product value]],""))</f>
        <v>0.034741452991453</v>
      </c>
      <c r="U100" s="41" t="str">
        <f>IF(NOT(ISNUMBER(tblShipments[[#This Row],[Freight share of value]])),"",IF(tblShipments[[#This Row],[Freight share of value]]&lt;=TargetPct,"On target",IF(tblShipments[[#This Row],[Freight share of value]]&lt;=TargetPct*(1+0.05),"Near target","Above target")))</f>
        <v>On target</v>
      </c>
      <c r="V100" s="42">
        <f>IF(tblShipments[[#This Row],[Ship date]]="","",IF(AND(tblShipments[[#This Row],[Ship date]]&gt;=FFrom,tblShipments[[#This Row],[Ship date]]&lt;=FTo),tblShipments[[#This Row],[Ship date]],""))</f>
        <v>46289</v>
      </c>
      <c r="W100"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00" s="28" t="s">
        <v>138</v>
      </c>
    </row>
    <row r="101" spans="2:24">
      <c r="B101" s="34">
        <v>46289</v>
      </c>
      <c r="C101" s="28" t="s">
        <v>235</v>
      </c>
      <c r="D101" s="28" t="s">
        <v>92</v>
      </c>
      <c r="E101" s="28" t="s">
        <v>103</v>
      </c>
      <c r="F101" s="28" t="s">
        <v>113</v>
      </c>
      <c r="G101" s="35">
        <v>1640</v>
      </c>
      <c r="H101" s="35">
        <v>4</v>
      </c>
      <c r="I101" s="35">
        <v>1002</v>
      </c>
      <c r="J101" s="36">
        <v>10496</v>
      </c>
      <c r="K101" s="36">
        <v>472</v>
      </c>
      <c r="L101" s="36">
        <v>68.44</v>
      </c>
      <c r="M101" s="36">
        <v>233</v>
      </c>
      <c r="N101" s="37">
        <f>IF(tblShipments[[#This Row],[Ship date]]="","",tblShipments[[#This Row],[Base charge]]+tblShipments[[#This Row],[Fuel surcharge]]+tblShipments[[#This Row],[Accessorials]])</f>
        <v>773.44</v>
      </c>
      <c r="O101" s="37">
        <f>IF(tblShipments[[#This Row],[Ship date]]="","",tblShipments[[#This Row],[Fuel surcharge]]+tblShipments[[#This Row],[Accessorials]])</f>
        <v>301.44</v>
      </c>
      <c r="P101" s="38">
        <f>IF(tblShipments[[#This Row],[Ship date]]="","",IF(tblShipments[[#This Row],[Units shipped]]&gt;0,tblShipments[[#This Row],[Total freight]]/tblShipments[[#This Row],[Units shipped]],""))</f>
        <v>0.471609756097561</v>
      </c>
      <c r="Q101" s="38">
        <f>IF(tblShipments[[#This Row],[Ship date]]="","",IF(tblShipments[[#This Row],[Units shipped]]&gt;0,tblShipments[[#This Row],[Fuel and extras]]/tblShipments[[#This Row],[Units shipped]],""))</f>
        <v>0.18380487804878</v>
      </c>
      <c r="R101" s="39">
        <f>IF(tblShipments[[#This Row],[Ship date]]="","",IF(tblShipments[[#This Row],[Gross weight]]&gt;0,tblShipments[[#This Row],[Total freight]]/tblShipments[[#This Row],[Gross weight]],""))</f>
        <v>0.77189620758483</v>
      </c>
      <c r="S101" s="37">
        <f>IF(tblShipments[[#This Row],[Ship date]]="","",IF(tblShipments[[#This Row],[Pallets]]&gt;0,tblShipments[[#This Row],[Total freight]]/tblShipments[[#This Row],[Pallets]],""))</f>
        <v>193.36</v>
      </c>
      <c r="T101" s="40">
        <f>IF(tblShipments[[#This Row],[Ship date]]="","",IF(tblShipments[[#This Row],[Product value]]&gt;0,tblShipments[[#This Row],[Total freight]]/tblShipments[[#This Row],[Product value]],""))</f>
        <v>0.0736890243902439</v>
      </c>
      <c r="U101" s="41" t="str">
        <f>IF(NOT(ISNUMBER(tblShipments[[#This Row],[Freight share of value]])),"",IF(tblShipments[[#This Row],[Freight share of value]]&lt;=TargetPct,"On target",IF(tblShipments[[#This Row],[Freight share of value]]&lt;=TargetPct*(1+0.05),"Near target","Above target")))</f>
        <v>Above target</v>
      </c>
      <c r="V101" s="42">
        <f>IF(tblShipments[[#This Row],[Ship date]]="","",IF(AND(tblShipments[[#This Row],[Ship date]]&gt;=FFrom,tblShipments[[#This Row],[Ship date]]&lt;=FTo),tblShipments[[#This Row],[Ship date]],""))</f>
        <v>46289</v>
      </c>
      <c r="W101"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01" s="28" t="s">
        <v>147</v>
      </c>
    </row>
    <row r="102" spans="2:24">
      <c r="B102" s="34">
        <v>46289</v>
      </c>
      <c r="C102" s="28" t="s">
        <v>236</v>
      </c>
      <c r="D102" s="28" t="s">
        <v>95</v>
      </c>
      <c r="E102" s="28" t="s">
        <v>105</v>
      </c>
      <c r="F102" s="28" t="s">
        <v>115</v>
      </c>
      <c r="G102" s="35">
        <v>190</v>
      </c>
      <c r="H102" s="35">
        <v>0</v>
      </c>
      <c r="I102" s="35">
        <v>76</v>
      </c>
      <c r="J102" s="36">
        <v>2090</v>
      </c>
      <c r="K102" s="36">
        <v>99.2</v>
      </c>
      <c r="L102" s="36">
        <v>11.9</v>
      </c>
      <c r="M102" s="36">
        <v>0</v>
      </c>
      <c r="N102" s="37">
        <f>IF(tblShipments[[#This Row],[Ship date]]="","",tblShipments[[#This Row],[Base charge]]+tblShipments[[#This Row],[Fuel surcharge]]+tblShipments[[#This Row],[Accessorials]])</f>
        <v>111.1</v>
      </c>
      <c r="O102" s="37">
        <f>IF(tblShipments[[#This Row],[Ship date]]="","",tblShipments[[#This Row],[Fuel surcharge]]+tblShipments[[#This Row],[Accessorials]])</f>
        <v>11.9</v>
      </c>
      <c r="P102" s="38">
        <f>IF(tblShipments[[#This Row],[Ship date]]="","",IF(tblShipments[[#This Row],[Units shipped]]&gt;0,tblShipments[[#This Row],[Total freight]]/tblShipments[[#This Row],[Units shipped]],""))</f>
        <v>0.584736842105263</v>
      </c>
      <c r="Q102" s="38">
        <f>IF(tblShipments[[#This Row],[Ship date]]="","",IF(tblShipments[[#This Row],[Units shipped]]&gt;0,tblShipments[[#This Row],[Fuel and extras]]/tblShipments[[#This Row],[Units shipped]],""))</f>
        <v>0.0626315789473684</v>
      </c>
      <c r="R102" s="39">
        <f>IF(tblShipments[[#This Row],[Ship date]]="","",IF(tblShipments[[#This Row],[Gross weight]]&gt;0,tblShipments[[#This Row],[Total freight]]/tblShipments[[#This Row],[Gross weight]],""))</f>
        <v>1.46184210526316</v>
      </c>
      <c r="S102" s="37">
        <f>IF(tblShipments[[#This Row],[Ship date]]="","",IF(tblShipments[[#This Row],[Pallets]]&gt;0,tblShipments[[#This Row],[Total freight]]/tblShipments[[#This Row],[Pallets]],""))</f>
        <v/>
      </c>
      <c r="T102" s="40">
        <f>IF(tblShipments[[#This Row],[Ship date]]="","",IF(tblShipments[[#This Row],[Product value]]&gt;0,tblShipments[[#This Row],[Total freight]]/tblShipments[[#This Row],[Product value]],""))</f>
        <v>0.0531578947368421</v>
      </c>
      <c r="U102" s="41" t="str">
        <f>IF(NOT(ISNUMBER(tblShipments[[#This Row],[Freight share of value]])),"",IF(tblShipments[[#This Row],[Freight share of value]]&lt;=TargetPct,"On target",IF(tblShipments[[#This Row],[Freight share of value]]&lt;=TargetPct*(1+0.05),"Near target","Above target")))</f>
        <v>Above target</v>
      </c>
      <c r="V102" s="42">
        <f>IF(tblShipments[[#This Row],[Ship date]]="","",IF(AND(tblShipments[[#This Row],[Ship date]]&gt;=FFrom,tblShipments[[#This Row],[Ship date]]&lt;=FTo),tblShipments[[#This Row],[Ship date]],""))</f>
        <v>46289</v>
      </c>
      <c r="W102" s="43" t="str">
        <f>IF(tblShipments[[#This Row],[Ship date]]="","",IF(tblShipments[[#This Row],[Lane]]="","Missing lane",IF(tblShipments[[#This Row],[Carrier]]="","Missing carrier",IF(tblShipments[[#This Row],[Units shipped]]="","Missing units shipped",IF(tblShipments[[#This Row],[Gross weight]]="","Missing gross weight",IF(tblShipments[[#This Row],[Product value]]="","Missing product value",IF(tblShipments[[#This Row],[Base charge]]="","Missing base charge",IF(COUNTIF(tblLanes[Lane],tblShipments[[#This Row],[Lane]])=0,"Lane not on Setup list",IF(COUNTIF(tblCarriers[Carrier],tblShipments[[#This Row],[Carrier]])=0,"Carrier not on Setup list",IF(tblShipments[[#This Row],[Units shipped]]=0,"Units shipped is 0",IF(AND(tblShipments[[#This Row],[Reference]]&lt;&gt;"",COUNTIF(tblShipments[Reference],tblShipments[[#This Row],[Reference]])&gt;1),"Duplicate reference","OK")))))))))))</f>
        <v>OK</v>
      </c>
      <c r="X102" s="28" t="s">
        <v>138</v>
      </c>
    </row>
  </sheetData>
  <mergeCells count="3">
    <mergeCell ref="A1:X1"/>
    <mergeCell ref="B2:W2"/>
    <mergeCell ref="B4:X4"/>
  </mergeCells>
  <conditionalFormatting sqref="T7:T602">
    <cfRule type="expression" dxfId="3" priority="1" stopIfTrue="1">
      <formula>AND(ISNUMBER(T7),T7&lt;=(TargetPct))</formula>
    </cfRule>
    <cfRule type="expression" dxfId="4" priority="2" stopIfTrue="1">
      <formula>AND(ISNUMBER(T7),T7&lt;=(TargetPct)*(1+0.05))</formula>
    </cfRule>
    <cfRule type="expression" dxfId="5" priority="3">
      <formula>ISNUMBER(T7)</formula>
    </cfRule>
  </conditionalFormatting>
  <conditionalFormatting sqref="U7:U602">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W7:W602">
    <cfRule type="expression" dxfId="3" priority="24">
      <formula>$W7="OK"</formula>
    </cfRule>
    <cfRule type="expression" dxfId="1" priority="25">
      <formula>AND($W7&lt;&gt;"",$W7&lt;&gt;"OK")</formula>
    </cfRule>
  </conditionalFormatting>
  <dataValidations count="13">
    <dataValidation type="date" allowBlank="1" showInputMessage="1" showErrorMessage="1" errorTitle="Check this entry" error="Enter a date between 01 Jan 2000 and 31 Dec 2100." promptTitle="Ship date" prompt="Enter a date between 01 Jan 2000 and 31 Dec 2100." sqref="B7:B602">
      <formula1>36526</formula1>
      <formula2>73415</formula2>
    </dataValidation>
    <dataValidation type="textLength" allowBlank="1" showInputMessage="1" showErrorMessage="1" errorTitle="Check this entry" error="Text up to 40 characters." promptTitle="Reference" prompt="Invoice, consignment or bill of lading number. Used to catch an invoice entered twice. Text up to 40 characters." sqref="C7:C602">
      <formula1>0</formula1>
      <formula2>40</formula2>
    </dataValidation>
    <dataValidation type="list" allowBlank="1" showInputMessage="1" showErrorMessage="1" errorTitle="Check this entry" error="Pick from the list (edit the list on Setup: Lanes)." promptTitle="Lane" prompt="Pick from the list (edit the list on Setup: Lanes)." sqref="D7:D602">
      <formula1>Lanes</formula1>
    </dataValidation>
    <dataValidation type="list" allowBlank="1" showInputMessage="1" showErrorMessage="1" errorTitle="Check this entry" error="Pick from the list (edit the list on Setup: Carriers)." promptTitle="Carrier" prompt="Pick from the list (edit the list on Setup: Carriers)." sqref="E7:E602">
      <formula1>Carriers</formula1>
    </dataValidation>
    <dataValidation type="list" allowBlank="1" showInputMessage="1" showErrorMessage="1" errorTitle="Check this entry" error="Pick from the list (edit the list on Setup: Modes)." promptTitle="Mode" prompt="Pick from the list (edit the list on Setup: Modes)." sqref="F7:F602">
      <formula1>Modes</formula1>
    </dataValidation>
    <dataValidation type="whole" allowBlank="1" showInputMessage="1" showErrorMessage="1" errorTitle="Check this entry" error="Enter a whole number from 0 to 100,000,000." promptTitle="Units shipped" prompt="Product units in the shipment, in your selling unit (each, pack, case). Use the same unit on every row. Enter a whole number from 0 to 100,000,000." sqref="G7:G602">
      <formula1>0</formula1>
      <formula2>100000000</formula2>
    </dataValidation>
    <dataValidation type="whole" allowBlank="1" showInputMessage="1" showErrorMessage="1" errorTitle="Check this entry" error="Enter a whole number from 0 to 10,000." promptTitle="Pallets" prompt="Pallets or handling units billed. Type 0 for parcels. Enter a whole number from 0 to 10,000." sqref="H7:H602">
      <formula1>0</formula1>
      <formula2>10000</formula2>
    </dataValidation>
    <dataValidation type="decimal" allowBlank="1" showInputMessage="1" showErrorMessage="1" errorTitle="Check this entry" error="Enter a number from 0 to 100,000,000." promptTitle="Gross weight" prompt="Gross shipped weight from the invoice or delivery note, packaging and pallets included. Enter a number from 0 to 100,000,000." sqref="I7:I602">
      <formula1>0</formula1>
      <formula2>100000000</formula2>
    </dataValidation>
    <dataValidation type="decimal" allowBlank="1" showInputMessage="1" showErrorMessage="1" errorTitle="Check this entry" error="Enter a number of at least 0." promptTitle="Product value" prompt="Invoice value of the goods in the shipment (your selling price or cost: use one basis on every row). Enter a number of at least 0." sqref="J7:J602">
      <formula1>0</formula1>
      <formula2>10000000000.0</formula2>
    </dataValidation>
    <dataValidation type="decimal" allowBlank="1" showInputMessage="1" showErrorMessage="1" errorTitle="Check this entry" error="Enter a number from 0 to 100,000,000." promptTitle="Base charge" prompt="Linehaul or base carriage. For an all-in price, type the whole amount here and 0 in fuel and accessorials. Enter a number from 0 to 100,000,000." sqref="K7:K602">
      <formula1>0</formula1>
      <formula2>100000000.0</formula2>
    </dataValidation>
    <dataValidation type="decimal" allowBlank="1" showInputMessage="1" showErrorMessage="1" errorTitle="Check this entry" error="Enter a number from 0 to 100,000,000." promptTitle="Fuel surcharge" prompt="Fuel surcharge on the invoice. Enter a number from 0 to 100,000,000." sqref="L7:L602">
      <formula1>0</formula1>
      <formula2>100000000.0</formula2>
    </dataValidation>
    <dataValidation type="decimal" allowBlank="1" showInputMessage="1" showErrorMessage="1" errorTitle="Check this entry" error="Enter a number from 0 to 100,000,000." promptTitle="Accessorials" prompt="Every other charge: tail lift, waiting time, customs entry, terminal handling, residential or timed delivery. Enter a number from 0 to 100,000,000." sqref="M7:M602">
      <formula1>0</formula1>
      <formula2>100000000.0</formula2>
    </dataValidation>
    <dataValidation type="textLength" allowBlank="1" showInputMessage="1" showErrorMessage="1" errorTitle="Check this entry" error="Text up to 255 characters." promptTitle="Notes" prompt="Text up to 255 characters." sqref="X7:X602">
      <formula1>0</formula1>
      <formula2>255</formula2>
    </dataValidation>
  </dataValidations>
  <hyperlinks>
    <hyperlink ref="X2" r:id="rId1" tooltip="Free manufacturing calculators and templates"/>
  </hyperlinks>
  <pageMargins left="0.4" right="0.4" top="0.7" bottom="0.65" header="0.3" footer="0.3"/>
  <pageSetup fitToHeight="0" orientation="landscape"/>
  <headerFooter>
    <oddHeader>&amp;L&amp;8MFG Calcs - Freight Cost Per Unit&amp;R&amp;8&amp;A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74"/>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27" t="s">
        <v>237</v>
      </c>
      <c r="C4" s="44"/>
      <c r="D4" s="44"/>
      <c r="F4" s="27" t="s">
        <v>238</v>
      </c>
      <c r="G4" s="44"/>
      <c r="H4" s="44"/>
    </row>
    <row r="5" spans="1:12">
      <c r="B5" s="45" t="str">
        <f>"Showing "&amp;COUNTIFS(tblShipments[View date],"&gt;0")&amp;" shipments for "&amp;CompanyName&amp;". Leave the dates blank to include everything; dates are inclusive."</f>
        <v>Showing 96 shipments for Carrick Fittings (example). Leave the dates blank to include everything; dates are inclusive.</v>
      </c>
      <c r="C5" s="45"/>
      <c r="D5" s="45"/>
      <c r="E5" s="45"/>
      <c r="F5" s="45"/>
      <c r="G5" s="45"/>
      <c r="H5" s="45"/>
      <c r="I5" s="45"/>
      <c r="J5" s="45"/>
      <c r="K5" s="45"/>
      <c r="L5" s="45"/>
    </row>
    <row r="7" spans="1:12" ht="18" customHeight="1">
      <c r="B7" s="46" t="str">
        <f>"FREIGHT SPEND ("&amp;Currency&amp;")"</f>
        <v>FREIGHT SPEND (GBP)</v>
      </c>
      <c r="C7" s="46"/>
      <c r="D7" s="46" t="str">
        <f>"FREIGHT PER UNIT ("&amp;Currency&amp;")"</f>
        <v>FREIGHT PER UNIT (GBP)</v>
      </c>
      <c r="E7" s="46"/>
      <c r="F7" s="46"/>
      <c r="G7" s="46" t="s">
        <v>239</v>
      </c>
      <c r="H7" s="46"/>
      <c r="I7" s="46"/>
      <c r="J7" s="46" t="s">
        <v>240</v>
      </c>
      <c r="K7" s="46"/>
      <c r="L7" s="46"/>
    </row>
    <row r="8" spans="1:12" ht="21" customHeight="1">
      <c r="B8" s="47">
        <f>SUMIFS(tblShipments[Total freight],tblShipments[View date],"&gt;0")</f>
        <v>29578.25</v>
      </c>
      <c r="C8" s="47"/>
      <c r="D8" s="48">
        <f>IF((SUMIFS(tblShipments[Units shipped],tblShipments[View date],"&gt;0"))=0,"",(SUMIFS(tblShipments[Total freight],tblShipments[View date],"&gt;0"))/(SUMIFS(tblShipments[Units shipped],tblShipments[View date],"&gt;0")))</f>
        <v>0.151800102643059</v>
      </c>
      <c r="E8" s="48"/>
      <c r="F8" s="48"/>
      <c r="G8" s="49">
        <f>IF((SUMIFS(tblShipments[Product value],tblShipments[View date],"&gt;0"))=0,"",(SUMIFS(tblShipments[Total freight],tblShipments[View date],"&gt;0"))/(SUMIFS(tblShipments[Product value],tblShipments[View date],"&gt;0")))</f>
        <v>0.0319818801873613</v>
      </c>
      <c r="H8" s="49"/>
      <c r="I8" s="49"/>
      <c r="J8" s="50">
        <f>IF((SUMIFS(tblShipments[Total freight],tblShipments[View date],"&gt;0"))=0,"",(SUMIFS(tblShipments[Fuel and extras],tblShipments[View date],"&gt;0"))/(SUMIFS(tblShipments[Total freight],tblShipments[View date],"&gt;0")))</f>
        <v>0.189870259396685</v>
      </c>
      <c r="K8" s="50"/>
      <c r="L8" s="50"/>
    </row>
    <row r="9" spans="1:12" ht="21" customHeight="1">
      <c r="B9" s="47"/>
      <c r="C9" s="47"/>
      <c r="D9" s="48"/>
      <c r="E9" s="48"/>
      <c r="F9" s="48"/>
      <c r="G9" s="49"/>
      <c r="H9" s="49"/>
      <c r="I9" s="49"/>
      <c r="J9" s="50"/>
      <c r="K9" s="50"/>
      <c r="L9" s="50"/>
    </row>
    <row r="10" spans="1:12">
      <c r="B10" s="51" t="s">
        <v>241</v>
      </c>
      <c r="C10" s="51"/>
      <c r="D10" s="51" t="s">
        <v>242</v>
      </c>
      <c r="E10" s="51"/>
      <c r="F10" s="51"/>
      <c r="G10" s="52">
        <f>TargetPct</f>
        <v>0.04</v>
      </c>
      <c r="H10" s="52"/>
      <c r="I10" s="52"/>
      <c r="J10" s="51" t="s">
        <v>243</v>
      </c>
      <c r="K10" s="51"/>
      <c r="L10" s="51"/>
    </row>
    <row r="11" spans="1:12" ht="18" customHeight="1">
      <c r="B11" s="53"/>
      <c r="C11" s="53"/>
      <c r="D11" s="53"/>
      <c r="E11" s="53"/>
      <c r="F11" s="53"/>
      <c r="G11" s="53" t="str">
        <f>IF(NOT(ISNUMBER(KpiShare)),"No data",IF(KpiShare&lt;=(TargetPct),"On target",IF(KpiShare&lt;=(TargetPct)*(1+0.05),"Near target","Above target")))</f>
        <v>On target</v>
      </c>
      <c r="H11" s="53"/>
      <c r="I11" s="53"/>
      <c r="J11" s="53"/>
      <c r="K11" s="53"/>
      <c r="L11" s="53"/>
    </row>
    <row r="30" spans="2:12">
      <c r="B30" s="30" t="s">
        <v>244</v>
      </c>
      <c r="C30" s="30"/>
      <c r="D30" s="30"/>
      <c r="E30" s="30"/>
      <c r="F30" s="30"/>
      <c r="G30" s="30"/>
      <c r="H30" s="30"/>
      <c r="I30" s="30"/>
      <c r="J30" s="30"/>
      <c r="K30" s="30"/>
      <c r="L30" s="30"/>
    </row>
    <row r="31" spans="2:12" ht="45.5" customHeight="1">
      <c r="B31" s="54" t="s">
        <v>60</v>
      </c>
      <c r="C31" s="31" t="s">
        <v>245</v>
      </c>
      <c r="D31" s="31" t="s">
        <v>119</v>
      </c>
      <c r="E31" s="31" t="s">
        <v>246</v>
      </c>
      <c r="F31" s="31" t="s">
        <v>247</v>
      </c>
      <c r="G31" s="31" t="s">
        <v>248</v>
      </c>
      <c r="H31" s="31" t="s">
        <v>128</v>
      </c>
      <c r="I31" s="31" t="s">
        <v>130</v>
      </c>
      <c r="J31" s="31" t="s">
        <v>132</v>
      </c>
      <c r="K31" s="31" t="s">
        <v>133</v>
      </c>
      <c r="L31" s="31"/>
    </row>
    <row r="32" spans="2:12" ht="14" customHeight="1">
      <c r="B32" s="33"/>
      <c r="C32" s="33"/>
      <c r="D32" s="33"/>
      <c r="E32" s="33" t="str">
        <f>Currency</f>
        <v>GBP</v>
      </c>
      <c r="F32" s="33" t="str">
        <f>Currency&amp;"/unit"</f>
        <v>GBP/unit</v>
      </c>
      <c r="G32" s="33" t="str">
        <f>Currency&amp;"/unit"</f>
        <v>GBP/unit</v>
      </c>
      <c r="H32" s="33" t="str">
        <f>Currency&amp;"/unit"</f>
        <v>GBP/unit</v>
      </c>
      <c r="I32" s="33" t="str">
        <f>Currency&amp;"/"&amp;WeightUnit</f>
        <v>GBP/kg</v>
      </c>
      <c r="J32" s="33"/>
      <c r="K32" s="33"/>
      <c r="L32" s="33"/>
    </row>
    <row r="33" spans="2:12">
      <c r="B33" s="55" t="str">
        <f>IFERROR(INDEX(tblLanes[Lane],1)&amp;"","")</f>
        <v>Leeds - London DC</v>
      </c>
      <c r="C33" s="56">
        <f>IF($B$33="","",COUNTIFS(tblShipments[Lane],$B$33,tblShipments[View date],"&gt;0"))</f>
        <v>12</v>
      </c>
      <c r="D33" s="56">
        <f>IF($B$33="","",SUMIFS(tblShipments[Units shipped],tblShipments[Lane],$B$33,tblShipments[View date],"&gt;0"))</f>
        <v>126640</v>
      </c>
      <c r="E33" s="56">
        <f>IF($B$33="","",SUMIFS(tblShipments[Total freight],tblShipments[Lane],$B$33,tblShipments[View date],"&gt;0"))</f>
        <v>8858.4</v>
      </c>
      <c r="F33" s="38">
        <f>IF($B$33="","",IF((SUMIFS(tblShipments[Units shipped],tblShipments[Lane],$B$33,tblShipments[View date],"&gt;0"))=0,"",(SUMIFS(tblShipments[Base charge],tblShipments[Lane],$B$33,tblShipments[View date],"&gt;0"))/(SUMIFS(tblShipments[Units shipped],tblShipments[Lane],$B$33,tblShipments[View date],"&gt;0"))))</f>
        <v>0.0606443461781428</v>
      </c>
      <c r="G33" s="38">
        <f>IF($B$33="","",IF((SUMIFS(tblShipments[Units shipped],tblShipments[Lane],$B$33,tblShipments[View date],"&gt;0"))=0,"",(SUMIFS(tblShipments[Fuel and extras],tblShipments[Lane],$B$33,tblShipments[View date],"&gt;0"))/(SUMIFS(tblShipments[Units shipped],tblShipments[Lane],$B$33,tblShipments[View date],"&gt;0"))))</f>
        <v>0.00930511686670878</v>
      </c>
      <c r="H33" s="38">
        <f>IF($B$33="","",IF((SUMIFS(tblShipments[Units shipped],tblShipments[Lane],$B$33,tblShipments[View date],"&gt;0"))=0,"",(SUMIFS(tblShipments[Total freight],tblShipments[Lane],$B$33,tblShipments[View date],"&gt;0"))/(SUMIFS(tblShipments[Units shipped],tblShipments[Lane],$B$33,tblShipments[View date],"&gt;0"))))</f>
        <v>0.0699494630448515</v>
      </c>
      <c r="I33" s="39">
        <f>IF($B$33="","",IF((SUMIFS(tblShipments[Gross weight],tblShipments[Lane],$B$33,tblShipments[View date],"&gt;0"))=0,"",(SUMIFS(tblShipments[Total freight],tblShipments[Lane],$B$33,tblShipments[View date],"&gt;0"))/(SUMIFS(tblShipments[Gross weight],tblShipments[Lane],$B$33,tblShipments[View date],"&gt;0"))))</f>
        <v>0.121176969481417</v>
      </c>
      <c r="J33" s="40">
        <f>IF($B$33="","",IF((SUMIFS(tblShipments[Product value],tblShipments[Lane],$B$33,tblShipments[View date],"&gt;0"))=0,"",(SUMIFS(tblShipments[Total freight],tblShipments[Lane],$B$33,tblShipments[View date],"&gt;0"))/(SUMIFS(tblShipments[Product value],tblShipments[Lane],$B$33,tblShipments[View date],"&gt;0"))))</f>
        <v>0.0170608446450857</v>
      </c>
      <c r="K33" s="41" t="str">
        <f>IF($B$33="","",IF($J$33="","",IF($J$33&lt;=TargetPct,"On target",IF($J$33&lt;=TargetPct*1.05,"Near target","Above target"))))</f>
        <v>On target</v>
      </c>
      <c r="L33" s="41"/>
    </row>
    <row r="34" spans="2:12">
      <c r="B34" s="55" t="str">
        <f>IFERROR(INDEX(tblLanes[Lane],2)&amp;"","")</f>
        <v>Leeds - Birmingham</v>
      </c>
      <c r="C34" s="56">
        <f>IF($B$34="","",COUNTIFS(tblShipments[Lane],$B$34,tblShipments[View date],"&gt;0"))</f>
        <v>12</v>
      </c>
      <c r="D34" s="56">
        <f>IF($B$34="","",SUMIFS(tblShipments[Units shipped],tblShipments[Lane],$B$34,tblShipments[View date],"&gt;0"))</f>
        <v>8240</v>
      </c>
      <c r="E34" s="56">
        <f>IF($B$34="","",SUMIFS(tblShipments[Total freight],tblShipments[Lane],$B$34,tblShipments[View date],"&gt;0"))</f>
        <v>1332.34</v>
      </c>
      <c r="F34" s="38">
        <f>IF($B$34="","",IF((SUMIFS(tblShipments[Units shipped],tblShipments[Lane],$B$34,tblShipments[View date],"&gt;0"))=0,"",(SUMIFS(tblShipments[Base charge],tblShipments[Lane],$B$34,tblShipments[View date],"&gt;0"))/(SUMIFS(tblShipments[Units shipped],tblShipments[Lane],$B$34,tblShipments[View date],"&gt;0"))))</f>
        <v>0.142621359223301</v>
      </c>
      <c r="G34" s="38">
        <f>IF($B$34="","",IF((SUMIFS(tblShipments[Units shipped],tblShipments[Lane],$B$34,tblShipments[View date],"&gt;0"))=0,"",(SUMIFS(tblShipments[Fuel and extras],tblShipments[Lane],$B$34,tblShipments[View date],"&gt;0"))/(SUMIFS(tblShipments[Units shipped],tblShipments[Lane],$B$34,tblShipments[View date],"&gt;0"))))</f>
        <v>0.0190703883495146</v>
      </c>
      <c r="H34" s="38">
        <f>IF($B$34="","",IF((SUMIFS(tblShipments[Units shipped],tblShipments[Lane],$B$34,tblShipments[View date],"&gt;0"))=0,"",(SUMIFS(tblShipments[Total freight],tblShipments[Lane],$B$34,tblShipments[View date],"&gt;0"))/(SUMIFS(tblShipments[Units shipped],tblShipments[Lane],$B$34,tblShipments[View date],"&gt;0"))))</f>
        <v>0.161691747572816</v>
      </c>
      <c r="I34" s="39">
        <f>IF($B$34="","",IF((SUMIFS(tblShipments[Gross weight],tblShipments[Lane],$B$34,tblShipments[View date],"&gt;0"))=0,"",(SUMIFS(tblShipments[Total freight],tblShipments[Lane],$B$34,tblShipments[View date],"&gt;0"))/(SUMIFS(tblShipments[Gross weight],tblShipments[Lane],$B$34,tblShipments[View date],"&gt;0"))))</f>
        <v>0.250016888722087</v>
      </c>
      <c r="J34" s="40">
        <f>IF($B$34="","",IF((SUMIFS(tblShipments[Product value],tblShipments[Lane],$B$34,tblShipments[View date],"&gt;0"))=0,"",(SUMIFS(tblShipments[Total freight],tblShipments[Lane],$B$34,tblShipments[View date],"&gt;0"))/(SUMIFS(tblShipments[Product value],tblShipments[Lane],$B$34,tblShipments[View date],"&gt;0"))))</f>
        <v>0.0278778875125544</v>
      </c>
      <c r="K34" s="41" t="str">
        <f>IF($B$34="","",IF($J$34="","",IF($J$34&lt;=TargetPct,"On target",IF($J$34&lt;=TargetPct*1.05,"Near target","Above target"))))</f>
        <v>On target</v>
      </c>
      <c r="L34" s="41"/>
    </row>
    <row r="35" spans="2:12">
      <c r="B35" s="55" t="str">
        <f>IFERROR(INDEX(tblLanes[Lane],3)&amp;"","")</f>
        <v>Leeds - Glasgow</v>
      </c>
      <c r="C35" s="56">
        <f>IF($B$35="","",COUNTIFS(tblShipments[Lane],$B$35,tblShipments[View date],"&gt;0"))</f>
        <v>24</v>
      </c>
      <c r="D35" s="56">
        <f>IF($B$35="","",SUMIFS(tblShipments[Units shipped],tblShipments[Lane],$B$35,tblShipments[View date],"&gt;0"))</f>
        <v>28330</v>
      </c>
      <c r="E35" s="56">
        <f>IF($B$35="","",SUMIFS(tblShipments[Total freight],tblShipments[Lane],$B$35,tblShipments[View date],"&gt;0"))</f>
        <v>6843.42</v>
      </c>
      <c r="F35" s="38">
        <f>IF($B$35="","",IF((SUMIFS(tblShipments[Units shipped],tblShipments[Lane],$B$35,tblShipments[View date],"&gt;0"))=0,"",(SUMIFS(tblShipments[Base charge],tblShipments[Lane],$B$35,tblShipments[View date],"&gt;0"))/(SUMIFS(tblShipments[Units shipped],tblShipments[Lane],$B$35,tblShipments[View date],"&gt;0"))))</f>
        <v>0.210397458524532</v>
      </c>
      <c r="G35" s="38">
        <f>IF($B$35="","",IF((SUMIFS(tblShipments[Units shipped],tblShipments[Lane],$B$35,tblShipments[View date],"&gt;0"))=0,"",(SUMIFS(tblShipments[Fuel and extras],tblShipments[Lane],$B$35,tblShipments[View date],"&gt;0"))/(SUMIFS(tblShipments[Units shipped],tblShipments[Lane],$B$35,tblShipments[View date],"&gt;0"))))</f>
        <v>0.0311634309918814</v>
      </c>
      <c r="H35" s="38">
        <f>IF($B$35="","",IF((SUMIFS(tblShipments[Units shipped],tblShipments[Lane],$B$35,tblShipments[View date],"&gt;0"))=0,"",(SUMIFS(tblShipments[Total freight],tblShipments[Lane],$B$35,tblShipments[View date],"&gt;0"))/(SUMIFS(tblShipments[Units shipped],tblShipments[Lane],$B$35,tblShipments[View date],"&gt;0"))))</f>
        <v>0.241560889516414</v>
      </c>
      <c r="I35" s="39">
        <f>IF($B$35="","",IF((SUMIFS(tblShipments[Gross weight],tblShipments[Lane],$B$35,tblShipments[View date],"&gt;0"))=0,"",(SUMIFS(tblShipments[Total freight],tblShipments[Lane],$B$35,tblShipments[View date],"&gt;0"))/(SUMIFS(tblShipments[Gross weight],tblShipments[Lane],$B$35,tblShipments[View date],"&gt;0"))))</f>
        <v>0.373324968632371</v>
      </c>
      <c r="J35" s="40">
        <f>IF($B$35="","",IF((SUMIFS(tblShipments[Product value],tblShipments[Lane],$B$35,tblShipments[View date],"&gt;0"))=0,"",(SUMIFS(tblShipments[Total freight],tblShipments[Lane],$B$35,tblShipments[View date],"&gt;0"))/(SUMIFS(tblShipments[Product value],tblShipments[Lane],$B$35,tblShipments[View date],"&gt;0"))))</f>
        <v>0.0464540172146949</v>
      </c>
      <c r="K35" s="41" t="str">
        <f>IF($B$35="","",IF($J$35="","",IF($J$35&lt;=TargetPct,"On target",IF($J$35&lt;=TargetPct*1.05,"Near target","Above target"))))</f>
        <v>Above target</v>
      </c>
      <c r="L35" s="41"/>
    </row>
    <row r="36" spans="2:12">
      <c r="B36" s="55" t="str">
        <f>IFERROR(INDEX(tblLanes[Lane],4)&amp;"","")</f>
        <v>Leeds - Bristol</v>
      </c>
      <c r="C36" s="56">
        <f>IF($B$36="","",COUNTIFS(tblShipments[Lane],$B$36,tblShipments[View date],"&gt;0"))</f>
        <v>12</v>
      </c>
      <c r="D36" s="56">
        <f>IF($B$36="","",SUMIFS(tblShipments[Units shipped],tblShipments[Lane],$B$36,tblShipments[View date],"&gt;0"))</f>
        <v>8840</v>
      </c>
      <c r="E36" s="56">
        <f>IF($B$36="","",SUMIFS(tblShipments[Total freight],tblShipments[Lane],$B$36,tblShipments[View date],"&gt;0"))</f>
        <v>1776.09</v>
      </c>
      <c r="F36" s="38">
        <f>IF($B$36="","",IF((SUMIFS(tblShipments[Units shipped],tblShipments[Lane],$B$36,tblShipments[View date],"&gt;0"))=0,"",(SUMIFS(tblShipments[Base charge],tblShipments[Lane],$B$36,tblShipments[View date],"&gt;0"))/(SUMIFS(tblShipments[Units shipped],tblShipments[Lane],$B$36,tblShipments[View date],"&gt;0"))))</f>
        <v>0.170165158371041</v>
      </c>
      <c r="G36" s="38">
        <f>IF($B$36="","",IF((SUMIFS(tblShipments[Units shipped],tblShipments[Lane],$B$36,tblShipments[View date],"&gt;0"))=0,"",(SUMIFS(tblShipments[Fuel and extras],tblShipments[Lane],$B$36,tblShipments[View date],"&gt;0"))/(SUMIFS(tblShipments[Units shipped],tblShipments[Lane],$B$36,tblShipments[View date],"&gt;0"))))</f>
        <v>0.03075</v>
      </c>
      <c r="H36" s="38">
        <f>IF($B$36="","",IF((SUMIFS(tblShipments[Units shipped],tblShipments[Lane],$B$36,tblShipments[View date],"&gt;0"))=0,"",(SUMIFS(tblShipments[Total freight],tblShipments[Lane],$B$36,tblShipments[View date],"&gt;0"))/(SUMIFS(tblShipments[Units shipped],tblShipments[Lane],$B$36,tblShipments[View date],"&gt;0"))))</f>
        <v>0.200915158371041</v>
      </c>
      <c r="I36" s="39">
        <f>IF($B$36="","",IF((SUMIFS(tblShipments[Gross weight],tblShipments[Lane],$B$36,tblShipments[View date],"&gt;0"))=0,"",(SUMIFS(tblShipments[Total freight],tblShipments[Lane],$B$36,tblShipments[View date],"&gt;0"))/(SUMIFS(tblShipments[Gross weight],tblShipments[Lane],$B$36,tblShipments[View date],"&gt;0"))))</f>
        <v>0.310179881243451</v>
      </c>
      <c r="J36" s="40">
        <f>IF($B$36="","",IF((SUMIFS(tblShipments[Product value],tblShipments[Lane],$B$36,tblShipments[View date],"&gt;0"))=0,"",(SUMIFS(tblShipments[Total freight],tblShipments[Lane],$B$36,tblShipments[View date],"&gt;0"))/(SUMIFS(tblShipments[Product value],tblShipments[Lane],$B$36,tblShipments[View date],"&gt;0"))))</f>
        <v>0.0358777068519716</v>
      </c>
      <c r="K36" s="41" t="str">
        <f>IF($B$36="","",IF($J$36="","",IF($J$36&lt;=TargetPct,"On target",IF($J$36&lt;=TargetPct*1.05,"Near target","Above target"))))</f>
        <v>On target</v>
      </c>
      <c r="L36" s="41"/>
    </row>
    <row r="37" spans="2:12">
      <c r="B37" s="55" t="str">
        <f>IFERROR(INDEX(tblLanes[Lane],5)&amp;"","")</f>
        <v>Leeds - Rotterdam</v>
      </c>
      <c r="C37" s="56">
        <f>IF($B$37="","",COUNTIFS(tblShipments[Lane],$B$37,tblShipments[View date],"&gt;0"))</f>
        <v>12</v>
      </c>
      <c r="D37" s="56">
        <f>IF($B$37="","",SUMIFS(tblShipments[Units shipped],tblShipments[Lane],$B$37,tblShipments[View date],"&gt;0"))</f>
        <v>19520</v>
      </c>
      <c r="E37" s="56">
        <f>IF($B$37="","",SUMIFS(tblShipments[Total freight],tblShipments[Lane],$B$37,tblShipments[View date],"&gt;0"))</f>
        <v>8839.92</v>
      </c>
      <c r="F37" s="38">
        <f>IF($B$37="","",IF((SUMIFS(tblShipments[Units shipped],tblShipments[Lane],$B$37,tblShipments[View date],"&gt;0"))=0,"",(SUMIFS(tblShipments[Base charge],tblShipments[Lane],$B$37,tblShipments[View date],"&gt;0"))/(SUMIFS(tblShipments[Units shipped],tblShipments[Lane],$B$37,tblShipments[View date],"&gt;0"))))</f>
        <v>0.302254098360656</v>
      </c>
      <c r="G37" s="38">
        <f>IF($B$37="","",IF((SUMIFS(tblShipments[Units shipped],tblShipments[Lane],$B$37,tblShipments[View date],"&gt;0"))=0,"",(SUMIFS(tblShipments[Fuel and extras],tblShipments[Lane],$B$37,tblShipments[View date],"&gt;0"))/(SUMIFS(tblShipments[Units shipped],tblShipments[Lane],$B$37,tblShipments[View date],"&gt;0"))))</f>
        <v>0.150610655737705</v>
      </c>
      <c r="H37" s="38">
        <f>IF($B$37="","",IF((SUMIFS(tblShipments[Units shipped],tblShipments[Lane],$B$37,tblShipments[View date],"&gt;0"))=0,"",(SUMIFS(tblShipments[Total freight],tblShipments[Lane],$B$37,tblShipments[View date],"&gt;0"))/(SUMIFS(tblShipments[Units shipped],tblShipments[Lane],$B$37,tblShipments[View date],"&gt;0"))))</f>
        <v>0.452864754098361</v>
      </c>
      <c r="I37" s="39">
        <f>IF($B$37="","",IF((SUMIFS(tblShipments[Gross weight],tblShipments[Lane],$B$37,tblShipments[View date],"&gt;0"))=0,"",(SUMIFS(tblShipments[Total freight],tblShipments[Lane],$B$37,tblShipments[View date],"&gt;0"))/(SUMIFS(tblShipments[Gross weight],tblShipments[Lane],$B$37,tblShipments[View date],"&gt;0"))))</f>
        <v>0.73758197747184</v>
      </c>
      <c r="J37" s="40">
        <f>IF($B$37="","",IF((SUMIFS(tblShipments[Product value],tblShipments[Lane],$B$37,tblShipments[View date],"&gt;0"))=0,"",(SUMIFS(tblShipments[Total freight],tblShipments[Lane],$B$37,tblShipments[View date],"&gt;0"))/(SUMIFS(tblShipments[Product value],tblShipments[Lane],$B$37,tblShipments[View date],"&gt;0"))))</f>
        <v>0.0707601178278689</v>
      </c>
      <c r="K37" s="41" t="str">
        <f>IF($B$37="","",IF($J$37="","",IF($J$37&lt;=TargetPct,"On target",IF($J$37&lt;=TargetPct*1.05,"Near target","Above target"))))</f>
        <v>Above target</v>
      </c>
      <c r="L37" s="41"/>
    </row>
    <row r="38" spans="2:12">
      <c r="B38" s="55" t="str">
        <f>IFERROR(INDEX(tblLanes[Lane],6)&amp;"","")</f>
        <v>Leeds - UK parcels</v>
      </c>
      <c r="C38" s="56">
        <f>IF($B$38="","",COUNTIFS(tblShipments[Lane],$B$38,tblShipments[View date],"&gt;0"))</f>
        <v>24</v>
      </c>
      <c r="D38" s="56">
        <f>IF($B$38="","",SUMIFS(tblShipments[Units shipped],tblShipments[Lane],$B$38,tblShipments[View date],"&gt;0"))</f>
        <v>3280</v>
      </c>
      <c r="E38" s="56">
        <f>IF($B$38="","",SUMIFS(tblShipments[Total freight],tblShipments[Lane],$B$38,tblShipments[View date],"&gt;0"))</f>
        <v>1928.08</v>
      </c>
      <c r="F38" s="38">
        <f>IF($B$38="","",IF((SUMIFS(tblShipments[Units shipped],tblShipments[Lane],$B$38,tblShipments[View date],"&gt;0"))=0,"",(SUMIFS(tblShipments[Base charge],tblShipments[Lane],$B$38,tblShipments[View date],"&gt;0"))/(SUMIFS(tblShipments[Units shipped],tblShipments[Lane],$B$38,tblShipments[View date],"&gt;0"))))</f>
        <v>0.531158536585366</v>
      </c>
      <c r="G38" s="38">
        <f>IF($B$38="","",IF((SUMIFS(tblShipments[Units shipped],tblShipments[Lane],$B$38,tblShipments[View date],"&gt;0"))=0,"",(SUMIFS(tblShipments[Fuel and extras],tblShipments[Lane],$B$38,tblShipments[View date],"&gt;0"))/(SUMIFS(tblShipments[Units shipped],tblShipments[Lane],$B$38,tblShipments[View date],"&gt;0"))))</f>
        <v>0.0566707317073171</v>
      </c>
      <c r="H38" s="38">
        <f>IF($B$38="","",IF((SUMIFS(tblShipments[Units shipped],tblShipments[Lane],$B$38,tblShipments[View date],"&gt;0"))=0,"",(SUMIFS(tblShipments[Total freight],tblShipments[Lane],$B$38,tblShipments[View date],"&gt;0"))/(SUMIFS(tblShipments[Units shipped],tblShipments[Lane],$B$38,tblShipments[View date],"&gt;0"))))</f>
        <v>0.587829268292683</v>
      </c>
      <c r="I38" s="39">
        <f>IF($B$38="","",IF((SUMIFS(tblShipments[Gross weight],tblShipments[Lane],$B$38,tblShipments[View date],"&gt;0"))=0,"",(SUMIFS(tblShipments[Total freight],tblShipments[Lane],$B$38,tblShipments[View date],"&gt;0"))/(SUMIFS(tblShipments[Gross weight],tblShipments[Lane],$B$38,tblShipments[View date],"&gt;0"))))</f>
        <v>1.46957317073171</v>
      </c>
      <c r="J38" s="40">
        <f>IF($B$38="","",IF((SUMIFS(tblShipments[Product value],tblShipments[Lane],$B$38,tblShipments[View date],"&gt;0"))=0,"",(SUMIFS(tblShipments[Total freight],tblShipments[Lane],$B$38,tblShipments[View date],"&gt;0"))/(SUMIFS(tblShipments[Product value],tblShipments[Lane],$B$38,tblShipments[View date],"&gt;0"))))</f>
        <v>0.0534390243902439</v>
      </c>
      <c r="K38" s="41" t="str">
        <f>IF($B$38="","",IF($J$38="","",IF($J$38&lt;=TargetPct,"On target",IF($J$38&lt;=TargetPct*1.05,"Near target","Above target"))))</f>
        <v>Above target</v>
      </c>
      <c r="L38" s="41"/>
    </row>
    <row r="40" spans="2:12">
      <c r="B40" s="30" t="s">
        <v>249</v>
      </c>
      <c r="C40" s="30"/>
      <c r="D40" s="30"/>
      <c r="E40" s="30"/>
      <c r="F40" s="30"/>
      <c r="G40" s="30"/>
      <c r="H40" s="30"/>
      <c r="I40" s="30"/>
    </row>
    <row r="41" spans="2:12" ht="32" customHeight="1">
      <c r="B41" s="54" t="s">
        <v>64</v>
      </c>
      <c r="C41" s="31" t="s">
        <v>245</v>
      </c>
      <c r="D41" s="31" t="s">
        <v>246</v>
      </c>
      <c r="E41" s="31" t="s">
        <v>250</v>
      </c>
      <c r="F41" s="31" t="s">
        <v>128</v>
      </c>
      <c r="G41" s="31" t="s">
        <v>130</v>
      </c>
      <c r="H41" s="31" t="s">
        <v>251</v>
      </c>
      <c r="I41" s="31" t="s">
        <v>132</v>
      </c>
    </row>
    <row r="42" spans="2:12" ht="14" customHeight="1">
      <c r="B42" s="33"/>
      <c r="C42" s="33"/>
      <c r="D42" s="33" t="str">
        <f>Currency</f>
        <v>GBP</v>
      </c>
      <c r="E42" s="33"/>
      <c r="F42" s="33" t="str">
        <f>Currency&amp;"/unit"</f>
        <v>GBP/unit</v>
      </c>
      <c r="G42" s="33" t="str">
        <f>Currency&amp;"/"&amp;WeightUnit</f>
        <v>GBP/kg</v>
      </c>
      <c r="H42" s="33"/>
      <c r="I42" s="33"/>
    </row>
    <row r="43" spans="2:12">
      <c r="B43" s="55" t="str">
        <f>IFERROR(INDEX(tblCarriers[Carrier],1)&amp;"","")</f>
        <v>Example Haulage</v>
      </c>
      <c r="C43" s="56">
        <f>IF($B$43="","",COUNTIFS(tblShipments[Carrier],$B$43,tblShipments[View date],"&gt;0"))</f>
        <v>24</v>
      </c>
      <c r="D43" s="56">
        <f>IF($B$43="","",SUMIFS(tblShipments[Total freight],tblShipments[Carrier],$B$43,tblShipments[View date],"&gt;0"))</f>
        <v>11960.08</v>
      </c>
      <c r="E43" s="57">
        <f>IF($B$43="","",IF((SUMIFS(tblShipments[Total freight],tblShipments[View date],"&gt;0"))=0,"",(SUMIFS(tblShipments[Total freight],tblShipments[Carrier],$B$43,tblShipments[View date],"&gt;0"))/(SUMIFS(tblShipments[Total freight],tblShipments[View date],"&gt;0"))))</f>
        <v>0.404353874891178</v>
      </c>
      <c r="F43" s="38">
        <f>IF($B$43="","",IF((SUMIFS(tblShipments[Units shipped],tblShipments[Carrier],$B$43,tblShipments[View date],"&gt;0"))=0,"",(SUMIFS(tblShipments[Total freight],tblShipments[Carrier],$B$43,tblShipments[View date],"&gt;0"))/(SUMIFS(tblShipments[Units shipped],tblShipments[Carrier],$B$43,tblShipments[View date],"&gt;0"))))</f>
        <v>0.0851978914375267</v>
      </c>
      <c r="G43" s="39">
        <f>IF($B$43="","",IF((SUMIFS(tblShipments[Gross weight],tblShipments[Carrier],$B$43,tblShipments[View date],"&gt;0"))=0,"",(SUMIFS(tblShipments[Total freight],tblShipments[Carrier],$B$43,tblShipments[View date],"&gt;0"))/(SUMIFS(tblShipments[Gross weight],tblShipments[Carrier],$B$43,tblShipments[View date],"&gt;0"))))</f>
        <v>0.14581551291117</v>
      </c>
      <c r="H43" s="57">
        <f>IF($B$43="","",IF((SUMIFS(tblShipments[Total freight],tblShipments[Carrier],$B$43,tblShipments[View date],"&gt;0"))=0,"",(SUMIFS(tblShipments[Fuel and extras],tblShipments[Carrier],$B$43,tblShipments[View date],"&gt;0"))/(SUMIFS(tblShipments[Total freight],tblShipments[Carrier],$B$43,tblShipments[View date],"&gt;0"))))</f>
        <v>0.132280051638451</v>
      </c>
      <c r="I43" s="40">
        <f>IF($B$43="","",IF((SUMIFS(tblShipments[Product value],tblShipments[Carrier],$B$43,tblShipments[View date],"&gt;0"))=0,"",(SUMIFS(tblShipments[Total freight],tblShipments[Carrier],$B$43,tblShipments[View date],"&gt;0"))/(SUMIFS(tblShipments[Product value],tblShipments[Carrier],$B$43,tblShipments[View date],"&gt;0"))))</f>
        <v>0.020248259609394</v>
      </c>
    </row>
    <row r="44" spans="2:12">
      <c r="B44" s="55" t="str">
        <f>IFERROR(INDEX(tblCarriers[Carrier],2)&amp;"","")</f>
        <v>Example Pallets</v>
      </c>
      <c r="C44" s="56">
        <f>IF($B$44="","",COUNTIFS(tblShipments[Carrier],$B$44,tblShipments[View date],"&gt;0"))</f>
        <v>36</v>
      </c>
      <c r="D44" s="56">
        <f>IF($B$44="","",SUMIFS(tblShipments[Total freight],tblShipments[Carrier],$B$44,tblShipments[View date],"&gt;0"))</f>
        <v>6850.17</v>
      </c>
      <c r="E44" s="57">
        <f>IF($B$44="","",IF((SUMIFS(tblShipments[Total freight],tblShipments[View date],"&gt;0"))=0,"",(SUMIFS(tblShipments[Total freight],tblShipments[Carrier],$B$44,tblShipments[View date],"&gt;0"))/(SUMIFS(tblShipments[Total freight],tblShipments[View date],"&gt;0"))))</f>
        <v>0.231594837422768</v>
      </c>
      <c r="F44" s="38">
        <f>IF($B$44="","",IF((SUMIFS(tblShipments[Units shipped],tblShipments[Carrier],$B$44,tblShipments[View date],"&gt;0"))=0,"",(SUMIFS(tblShipments[Total freight],tblShipments[Carrier],$B$44,tblShipments[View date],"&gt;0"))/(SUMIFS(tblShipments[Units shipped],tblShipments[Carrier],$B$44,tblShipments[View date],"&gt;0"))))</f>
        <v>0.216298389643195</v>
      </c>
      <c r="G44" s="39">
        <f>IF($B$44="","",IF((SUMIFS(tblShipments[Gross weight],tblShipments[Carrier],$B$44,tblShipments[View date],"&gt;0"))=0,"",(SUMIFS(tblShipments[Total freight],tblShipments[Carrier],$B$44,tblShipments[View date],"&gt;0"))/(SUMIFS(tblShipments[Gross weight],tblShipments[Carrier],$B$44,tblShipments[View date],"&gt;0"))))</f>
        <v>0.334693408902135</v>
      </c>
      <c r="H44" s="57">
        <f>IF($B$44="","",IF((SUMIFS(tblShipments[Total freight],tblShipments[Carrier],$B$44,tblShipments[View date],"&gt;0"))=0,"",(SUMIFS(tblShipments[Fuel and extras],tblShipments[Carrier],$B$44,tblShipments[View date],"&gt;0"))/(SUMIFS(tblShipments[Total freight],tblShipments[Carrier],$B$44,tblShipments[View date],"&gt;0"))))</f>
        <v>0.132573352194179</v>
      </c>
      <c r="I44" s="40">
        <f>IF($B$44="","",IF((SUMIFS(tblShipments[Product value],tblShipments[Carrier],$B$44,tblShipments[View date],"&gt;0"))=0,"",(SUMIFS(tblShipments[Total freight],tblShipments[Carrier],$B$44,tblShipments[View date],"&gt;0"))/(SUMIFS(tblShipments[Product value],tblShipments[Carrier],$B$44,tblShipments[View date],"&gt;0"))))</f>
        <v>0.0395588574992493</v>
      </c>
    </row>
    <row r="45" spans="2:12">
      <c r="B45" s="55" t="str">
        <f>IFERROR(INDEX(tblCarriers[Carrier],3)&amp;"","")</f>
        <v>Example Forwarder</v>
      </c>
      <c r="C45" s="56">
        <f>IF($B$45="","",COUNTIFS(tblShipments[Carrier],$B$45,tblShipments[View date],"&gt;0"))</f>
        <v>12</v>
      </c>
      <c r="D45" s="56">
        <f>IF($B$45="","",SUMIFS(tblShipments[Total freight],tblShipments[Carrier],$B$45,tblShipments[View date],"&gt;0"))</f>
        <v>8839.92</v>
      </c>
      <c r="E45" s="57">
        <f>IF($B$45="","",IF((SUMIFS(tblShipments[Total freight],tblShipments[View date],"&gt;0"))=0,"",(SUMIFS(tblShipments[Total freight],tblShipments[Carrier],$B$45,tblShipments[View date],"&gt;0"))/(SUMIFS(tblShipments[Total freight],tblShipments[View date],"&gt;0"))))</f>
        <v>0.298865551545477</v>
      </c>
      <c r="F45" s="38">
        <f>IF($B$45="","",IF((SUMIFS(tblShipments[Units shipped],tblShipments[Carrier],$B$45,tblShipments[View date],"&gt;0"))=0,"",(SUMIFS(tblShipments[Total freight],tblShipments[Carrier],$B$45,tblShipments[View date],"&gt;0"))/(SUMIFS(tblShipments[Units shipped],tblShipments[Carrier],$B$45,tblShipments[View date],"&gt;0"))))</f>
        <v>0.452864754098361</v>
      </c>
      <c r="G45" s="39">
        <f>IF($B$45="","",IF((SUMIFS(tblShipments[Gross weight],tblShipments[Carrier],$B$45,tblShipments[View date],"&gt;0"))=0,"",(SUMIFS(tblShipments[Total freight],tblShipments[Carrier],$B$45,tblShipments[View date],"&gt;0"))/(SUMIFS(tblShipments[Gross weight],tblShipments[Carrier],$B$45,tblShipments[View date],"&gt;0"))))</f>
        <v>0.73758197747184</v>
      </c>
      <c r="H45" s="57">
        <f>IF($B$45="","",IF((SUMIFS(tblShipments[Total freight],tblShipments[Carrier],$B$45,tblShipments[View date],"&gt;0"))=0,"",(SUMIFS(tblShipments[Fuel and extras],tblShipments[Carrier],$B$45,tblShipments[View date],"&gt;0"))/(SUMIFS(tblShipments[Total freight],tblShipments[Carrier],$B$45,tblShipments[View date],"&gt;0"))))</f>
        <v>0.33257314545833</v>
      </c>
      <c r="I45" s="40">
        <f>IF($B$45="","",IF((SUMIFS(tblShipments[Product value],tblShipments[Carrier],$B$45,tblShipments[View date],"&gt;0"))=0,"",(SUMIFS(tblShipments[Total freight],tblShipments[Carrier],$B$45,tblShipments[View date],"&gt;0"))/(SUMIFS(tblShipments[Product value],tblShipments[Carrier],$B$45,tblShipments[View date],"&gt;0"))))</f>
        <v>0.0707601178278689</v>
      </c>
    </row>
    <row r="46" spans="2:12">
      <c r="B46" s="55" t="str">
        <f>IFERROR(INDEX(tblCarriers[Carrier],4)&amp;"","")</f>
        <v>Example Parcels</v>
      </c>
      <c r="C46" s="56">
        <f>IF($B$46="","",COUNTIFS(tblShipments[Carrier],$B$46,tblShipments[View date],"&gt;0"))</f>
        <v>24</v>
      </c>
      <c r="D46" s="56">
        <f>IF($B$46="","",SUMIFS(tblShipments[Total freight],tblShipments[Carrier],$B$46,tblShipments[View date],"&gt;0"))</f>
        <v>1928.08</v>
      </c>
      <c r="E46" s="57">
        <f>IF($B$46="","",IF((SUMIFS(tblShipments[Total freight],tblShipments[View date],"&gt;0"))=0,"",(SUMIFS(tblShipments[Total freight],tblShipments[Carrier],$B$46,tblShipments[View date],"&gt;0"))/(SUMIFS(tblShipments[Total freight],tblShipments[View date],"&gt;0"))))</f>
        <v>0.0651857361405763</v>
      </c>
      <c r="F46" s="38">
        <f>IF($B$46="","",IF((SUMIFS(tblShipments[Units shipped],tblShipments[Carrier],$B$46,tblShipments[View date],"&gt;0"))=0,"",(SUMIFS(tblShipments[Total freight],tblShipments[Carrier],$B$46,tblShipments[View date],"&gt;0"))/(SUMIFS(tblShipments[Units shipped],tblShipments[Carrier],$B$46,tblShipments[View date],"&gt;0"))))</f>
        <v>0.587829268292683</v>
      </c>
      <c r="G46" s="39">
        <f>IF($B$46="","",IF((SUMIFS(tblShipments[Gross weight],tblShipments[Carrier],$B$46,tblShipments[View date],"&gt;0"))=0,"",(SUMIFS(tblShipments[Total freight],tblShipments[Carrier],$B$46,tblShipments[View date],"&gt;0"))/(SUMIFS(tblShipments[Gross weight],tblShipments[Carrier],$B$46,tblShipments[View date],"&gt;0"))))</f>
        <v>1.46957317073171</v>
      </c>
      <c r="H46" s="57">
        <f>IF($B$46="","",IF((SUMIFS(tblShipments[Total freight],tblShipments[Carrier],$B$46,tblShipments[View date],"&gt;0"))=0,"",(SUMIFS(tblShipments[Fuel and extras],tblShipments[Carrier],$B$46,tblShipments[View date],"&gt;0"))/(SUMIFS(tblShipments[Total freight],tblShipments[Carrier],$B$46,tblShipments[View date],"&gt;0"))))</f>
        <v>0.0964067881000788</v>
      </c>
      <c r="I46" s="40">
        <f>IF($B$46="","",IF((SUMIFS(tblShipments[Product value],tblShipments[Carrier],$B$46,tblShipments[View date],"&gt;0"))=0,"",(SUMIFS(tblShipments[Total freight],tblShipments[Carrier],$B$46,tblShipments[View date],"&gt;0"))/(SUMIFS(tblShipments[Product value],tblShipments[Carrier],$B$46,tblShipments[View date],"&gt;0"))))</f>
        <v>0.0534390243902439</v>
      </c>
    </row>
    <row r="48" spans="2:12">
      <c r="B48" s="30" t="s">
        <v>252</v>
      </c>
      <c r="C48" s="30"/>
      <c r="D48" s="30"/>
      <c r="E48" s="30"/>
      <c r="F48" s="30"/>
    </row>
    <row r="49" spans="2:11" ht="30" customHeight="1">
      <c r="B49" s="54" t="s">
        <v>128</v>
      </c>
      <c r="C49" s="31" t="str">
        <f>IFERROR(INDEX(tblCarriers[Carrier],1)&amp;"","")</f>
        <v>Example Haulage</v>
      </c>
      <c r="D49" s="31" t="str">
        <f>IFERROR(INDEX(tblCarriers[Carrier],2)&amp;"","")</f>
        <v>Example Pallets</v>
      </c>
      <c r="E49" s="31" t="str">
        <f>IFERROR(INDEX(tblCarriers[Carrier],3)&amp;"","")</f>
        <v>Example Forwarder</v>
      </c>
      <c r="F49" s="31" t="str">
        <f>IFERROR(INDEX(tblCarriers[Carrier],4)&amp;"","")</f>
        <v>Example Parcels</v>
      </c>
    </row>
    <row r="50" spans="2:11">
      <c r="B50" s="55" t="str">
        <f>IFERROR(INDEX(tblLanes[Lane],1)&amp;"","")</f>
        <v>Leeds - London DC</v>
      </c>
      <c r="C50" s="58">
        <f>IF(OR($B$50="",$C$49=""),"",IF((SUMIFS(tblShipments[Units shipped],tblShipments[Lane],$B$50,tblShipments[Carrier],$C$49,tblShipments[View date],"&gt;0"))=0,"",(SUMIFS(tblShipments[Total freight],tblShipments[Lane],$B$50,tblShipments[Carrier],$C$49,tblShipments[View date],"&gt;0"))/(SUMIFS(tblShipments[Units shipped],tblShipments[Lane],$B$50,tblShipments[Carrier],$C$49,tblShipments[View date],"&gt;0"))))</f>
        <v>0.0699494630448515</v>
      </c>
      <c r="D50" s="58">
        <f>IF(OR($B$50="",$D$49=""),"",IF((SUMIFS(tblShipments[Units shipped],tblShipments[Lane],$B$50,tblShipments[Carrier],$D$49,tblShipments[View date],"&gt;0"))=0,"",(SUMIFS(tblShipments[Total freight],tblShipments[Lane],$B$50,tblShipments[Carrier],$D$49,tblShipments[View date],"&gt;0"))/(SUMIFS(tblShipments[Units shipped],tblShipments[Lane],$B$50,tblShipments[Carrier],$D$49,tblShipments[View date],"&gt;0"))))</f>
        <v/>
      </c>
      <c r="E50" s="58">
        <f>IF(OR($B$50="",$E$49=""),"",IF((SUMIFS(tblShipments[Units shipped],tblShipments[Lane],$B$50,tblShipments[Carrier],$E$49,tblShipments[View date],"&gt;0"))=0,"",(SUMIFS(tblShipments[Total freight],tblShipments[Lane],$B$50,tblShipments[Carrier],$E$49,tblShipments[View date],"&gt;0"))/(SUMIFS(tblShipments[Units shipped],tblShipments[Lane],$B$50,tblShipments[Carrier],$E$49,tblShipments[View date],"&gt;0"))))</f>
        <v/>
      </c>
      <c r="F50" s="58">
        <f>IF(OR($B$50="",$F$49=""),"",IF((SUMIFS(tblShipments[Units shipped],tblShipments[Lane],$B$50,tblShipments[Carrier],$F$49,tblShipments[View date],"&gt;0"))=0,"",(SUMIFS(tblShipments[Total freight],tblShipments[Lane],$B$50,tblShipments[Carrier],$F$49,tblShipments[View date],"&gt;0"))/(SUMIFS(tblShipments[Units shipped],tblShipments[Lane],$B$50,tblShipments[Carrier],$F$49,tblShipments[View date],"&gt;0"))))</f>
        <v/>
      </c>
    </row>
    <row r="51" spans="2:11">
      <c r="B51" s="55" t="str">
        <f>IFERROR(INDEX(tblLanes[Lane],2)&amp;"","")</f>
        <v>Leeds - Birmingham</v>
      </c>
      <c r="C51" s="58">
        <f>IF(OR($B$51="",$C$49=""),"",IF((SUMIFS(tblShipments[Units shipped],tblShipments[Lane],$B$51,tblShipments[Carrier],$C$49,tblShipments[View date],"&gt;0"))=0,"",(SUMIFS(tblShipments[Total freight],tblShipments[Lane],$B$51,tblShipments[Carrier],$C$49,tblShipments[View date],"&gt;0"))/(SUMIFS(tblShipments[Units shipped],tblShipments[Lane],$B$51,tblShipments[Carrier],$C$49,tblShipments[View date],"&gt;0"))))</f>
        <v/>
      </c>
      <c r="D51" s="58">
        <f>IF(OR($B$51="",$D$49=""),"",IF((SUMIFS(tblShipments[Units shipped],tblShipments[Lane],$B$51,tblShipments[Carrier],$D$49,tblShipments[View date],"&gt;0"))=0,"",(SUMIFS(tblShipments[Total freight],tblShipments[Lane],$B$51,tblShipments[Carrier],$D$49,tblShipments[View date],"&gt;0"))/(SUMIFS(tblShipments[Units shipped],tblShipments[Lane],$B$51,tblShipments[Carrier],$D$49,tblShipments[View date],"&gt;0"))))</f>
        <v>0.161691747572816</v>
      </c>
      <c r="E51" s="58">
        <f>IF(OR($B$51="",$E$49=""),"",IF((SUMIFS(tblShipments[Units shipped],tblShipments[Lane],$B$51,tblShipments[Carrier],$E$49,tblShipments[View date],"&gt;0"))=0,"",(SUMIFS(tblShipments[Total freight],tblShipments[Lane],$B$51,tblShipments[Carrier],$E$49,tblShipments[View date],"&gt;0"))/(SUMIFS(tblShipments[Units shipped],tblShipments[Lane],$B$51,tblShipments[Carrier],$E$49,tblShipments[View date],"&gt;0"))))</f>
        <v/>
      </c>
      <c r="F51" s="58">
        <f>IF(OR($B$51="",$F$49=""),"",IF((SUMIFS(tblShipments[Units shipped],tblShipments[Lane],$B$51,tblShipments[Carrier],$F$49,tblShipments[View date],"&gt;0"))=0,"",(SUMIFS(tblShipments[Total freight],tblShipments[Lane],$B$51,tblShipments[Carrier],$F$49,tblShipments[View date],"&gt;0"))/(SUMIFS(tblShipments[Units shipped],tblShipments[Lane],$B$51,tblShipments[Carrier],$F$49,tblShipments[View date],"&gt;0"))))</f>
        <v/>
      </c>
    </row>
    <row r="52" spans="2:11">
      <c r="B52" s="55" t="str">
        <f>IFERROR(INDEX(tblLanes[Lane],3)&amp;"","")</f>
        <v>Leeds - Glasgow</v>
      </c>
      <c r="C52" s="58">
        <f>IF(OR($B$52="",$C$49=""),"",IF((SUMIFS(tblShipments[Units shipped],tblShipments[Lane],$B$52,tblShipments[Carrier],$C$49,tblShipments[View date],"&gt;0"))=0,"",(SUMIFS(tblShipments[Total freight],tblShipments[Lane],$B$52,tblShipments[Carrier],$C$49,tblShipments[View date],"&gt;0"))/(SUMIFS(tblShipments[Units shipped],tblShipments[Lane],$B$52,tblShipments[Carrier],$C$49,tblShipments[View date],"&gt;0"))))</f>
        <v>0.225740902474527</v>
      </c>
      <c r="D52" s="58">
        <f>IF(OR($B$52="",$D$49=""),"",IF((SUMIFS(tblShipments[Units shipped],tblShipments[Lane],$B$52,tblShipments[Carrier],$D$49,tblShipments[View date],"&gt;0"))=0,"",(SUMIFS(tblShipments[Total freight],tblShipments[Lane],$B$52,tblShipments[Carrier],$D$49,tblShipments[View date],"&gt;0"))/(SUMIFS(tblShipments[Units shipped],tblShipments[Lane],$B$52,tblShipments[Carrier],$D$49,tblShipments[View date],"&gt;0"))))</f>
        <v>0.256459218642906</v>
      </c>
      <c r="E52" s="58">
        <f>IF(OR($B$52="",$E$49=""),"",IF((SUMIFS(tblShipments[Units shipped],tblShipments[Lane],$B$52,tblShipments[Carrier],$E$49,tblShipments[View date],"&gt;0"))=0,"",(SUMIFS(tblShipments[Total freight],tblShipments[Lane],$B$52,tblShipments[Carrier],$E$49,tblShipments[View date],"&gt;0"))/(SUMIFS(tblShipments[Units shipped],tblShipments[Lane],$B$52,tblShipments[Carrier],$E$49,tblShipments[View date],"&gt;0"))))</f>
        <v/>
      </c>
      <c r="F52" s="58">
        <f>IF(OR($B$52="",$F$49=""),"",IF((SUMIFS(tblShipments[Units shipped],tblShipments[Lane],$B$52,tblShipments[Carrier],$F$49,tblShipments[View date],"&gt;0"))=0,"",(SUMIFS(tblShipments[Total freight],tblShipments[Lane],$B$52,tblShipments[Carrier],$F$49,tblShipments[View date],"&gt;0"))/(SUMIFS(tblShipments[Units shipped],tblShipments[Lane],$B$52,tblShipments[Carrier],$F$49,tblShipments[View date],"&gt;0"))))</f>
        <v/>
      </c>
    </row>
    <row r="53" spans="2:11">
      <c r="B53" s="55" t="str">
        <f>IFERROR(INDEX(tblLanes[Lane],4)&amp;"","")</f>
        <v>Leeds - Bristol</v>
      </c>
      <c r="C53" s="58">
        <f>IF(OR($B$53="",$C$49=""),"",IF((SUMIFS(tblShipments[Units shipped],tblShipments[Lane],$B$53,tblShipments[Carrier],$C$49,tblShipments[View date],"&gt;0"))=0,"",(SUMIFS(tblShipments[Total freight],tblShipments[Lane],$B$53,tblShipments[Carrier],$C$49,tblShipments[View date],"&gt;0"))/(SUMIFS(tblShipments[Units shipped],tblShipments[Lane],$B$53,tblShipments[Carrier],$C$49,tblShipments[View date],"&gt;0"))))</f>
        <v/>
      </c>
      <c r="D53" s="58">
        <f>IF(OR($B$53="",$D$49=""),"",IF((SUMIFS(tblShipments[Units shipped],tblShipments[Lane],$B$53,tblShipments[Carrier],$D$49,tblShipments[View date],"&gt;0"))=0,"",(SUMIFS(tblShipments[Total freight],tblShipments[Lane],$B$53,tblShipments[Carrier],$D$49,tblShipments[View date],"&gt;0"))/(SUMIFS(tblShipments[Units shipped],tblShipments[Lane],$B$53,tblShipments[Carrier],$D$49,tblShipments[View date],"&gt;0"))))</f>
        <v>0.200915158371041</v>
      </c>
      <c r="E53" s="58">
        <f>IF(OR($B$53="",$E$49=""),"",IF((SUMIFS(tblShipments[Units shipped],tblShipments[Lane],$B$53,tblShipments[Carrier],$E$49,tblShipments[View date],"&gt;0"))=0,"",(SUMIFS(tblShipments[Total freight],tblShipments[Lane],$B$53,tblShipments[Carrier],$E$49,tblShipments[View date],"&gt;0"))/(SUMIFS(tblShipments[Units shipped],tblShipments[Lane],$B$53,tblShipments[Carrier],$E$49,tblShipments[View date],"&gt;0"))))</f>
        <v/>
      </c>
      <c r="F53" s="58">
        <f>IF(OR($B$53="",$F$49=""),"",IF((SUMIFS(tblShipments[Units shipped],tblShipments[Lane],$B$53,tblShipments[Carrier],$F$49,tblShipments[View date],"&gt;0"))=0,"",(SUMIFS(tblShipments[Total freight],tblShipments[Lane],$B$53,tblShipments[Carrier],$F$49,tblShipments[View date],"&gt;0"))/(SUMIFS(tblShipments[Units shipped],tblShipments[Lane],$B$53,tblShipments[Carrier],$F$49,tblShipments[View date],"&gt;0"))))</f>
        <v/>
      </c>
    </row>
    <row r="54" spans="2:11">
      <c r="B54" s="55" t="str">
        <f>IFERROR(INDEX(tblLanes[Lane],5)&amp;"","")</f>
        <v>Leeds - Rotterdam</v>
      </c>
      <c r="C54" s="58">
        <f>IF(OR($B$54="",$C$49=""),"",IF((SUMIFS(tblShipments[Units shipped],tblShipments[Lane],$B$54,tblShipments[Carrier],$C$49,tblShipments[View date],"&gt;0"))=0,"",(SUMIFS(tblShipments[Total freight],tblShipments[Lane],$B$54,tblShipments[Carrier],$C$49,tblShipments[View date],"&gt;0"))/(SUMIFS(tblShipments[Units shipped],tblShipments[Lane],$B$54,tblShipments[Carrier],$C$49,tblShipments[View date],"&gt;0"))))</f>
        <v/>
      </c>
      <c r="D54" s="58">
        <f>IF(OR($B$54="",$D$49=""),"",IF((SUMIFS(tblShipments[Units shipped],tblShipments[Lane],$B$54,tblShipments[Carrier],$D$49,tblShipments[View date],"&gt;0"))=0,"",(SUMIFS(tblShipments[Total freight],tblShipments[Lane],$B$54,tblShipments[Carrier],$D$49,tblShipments[View date],"&gt;0"))/(SUMIFS(tblShipments[Units shipped],tblShipments[Lane],$B$54,tblShipments[Carrier],$D$49,tblShipments[View date],"&gt;0"))))</f>
        <v/>
      </c>
      <c r="E54" s="58">
        <f>IF(OR($B$54="",$E$49=""),"",IF((SUMIFS(tblShipments[Units shipped],tblShipments[Lane],$B$54,tblShipments[Carrier],$E$49,tblShipments[View date],"&gt;0"))=0,"",(SUMIFS(tblShipments[Total freight],tblShipments[Lane],$B$54,tblShipments[Carrier],$E$49,tblShipments[View date],"&gt;0"))/(SUMIFS(tblShipments[Units shipped],tblShipments[Lane],$B$54,tblShipments[Carrier],$E$49,tblShipments[View date],"&gt;0"))))</f>
        <v>0.452864754098361</v>
      </c>
      <c r="F54" s="58">
        <f>IF(OR($B$54="",$F$49=""),"",IF((SUMIFS(tblShipments[Units shipped],tblShipments[Lane],$B$54,tblShipments[Carrier],$F$49,tblShipments[View date],"&gt;0"))=0,"",(SUMIFS(tblShipments[Total freight],tblShipments[Lane],$B$54,tblShipments[Carrier],$F$49,tblShipments[View date],"&gt;0"))/(SUMIFS(tblShipments[Units shipped],tblShipments[Lane],$B$54,tblShipments[Carrier],$F$49,tblShipments[View date],"&gt;0"))))</f>
        <v/>
      </c>
    </row>
    <row r="55" spans="2:11">
      <c r="B55" s="55" t="str">
        <f>IFERROR(INDEX(tblLanes[Lane],6)&amp;"","")</f>
        <v>Leeds - UK parcels</v>
      </c>
      <c r="C55" s="58">
        <f>IF(OR($B$55="",$C$49=""),"",IF((SUMIFS(tblShipments[Units shipped],tblShipments[Lane],$B$55,tblShipments[Carrier],$C$49,tblShipments[View date],"&gt;0"))=0,"",(SUMIFS(tblShipments[Total freight],tblShipments[Lane],$B$55,tblShipments[Carrier],$C$49,tblShipments[View date],"&gt;0"))/(SUMIFS(tblShipments[Units shipped],tblShipments[Lane],$B$55,tblShipments[Carrier],$C$49,tblShipments[View date],"&gt;0"))))</f>
        <v/>
      </c>
      <c r="D55" s="58">
        <f>IF(OR($B$55="",$D$49=""),"",IF((SUMIFS(tblShipments[Units shipped],tblShipments[Lane],$B$55,tblShipments[Carrier],$D$49,tblShipments[View date],"&gt;0"))=0,"",(SUMIFS(tblShipments[Total freight],tblShipments[Lane],$B$55,tblShipments[Carrier],$D$49,tblShipments[View date],"&gt;0"))/(SUMIFS(tblShipments[Units shipped],tblShipments[Lane],$B$55,tblShipments[Carrier],$D$49,tblShipments[View date],"&gt;0"))))</f>
        <v/>
      </c>
      <c r="E55" s="58">
        <f>IF(OR($B$55="",$E$49=""),"",IF((SUMIFS(tblShipments[Units shipped],tblShipments[Lane],$B$55,tblShipments[Carrier],$E$49,tblShipments[View date],"&gt;0"))=0,"",(SUMIFS(tblShipments[Total freight],tblShipments[Lane],$B$55,tblShipments[Carrier],$E$49,tblShipments[View date],"&gt;0"))/(SUMIFS(tblShipments[Units shipped],tblShipments[Lane],$B$55,tblShipments[Carrier],$E$49,tblShipments[View date],"&gt;0"))))</f>
        <v/>
      </c>
      <c r="F55" s="58">
        <f>IF(OR($B$55="",$F$49=""),"",IF((SUMIFS(tblShipments[Units shipped],tblShipments[Lane],$B$55,tblShipments[Carrier],$F$49,tblShipments[View date],"&gt;0"))=0,"",(SUMIFS(tblShipments[Total freight],tblShipments[Lane],$B$55,tblShipments[Carrier],$F$49,tblShipments[View date],"&gt;0"))/(SUMIFS(tblShipments[Units shipped],tblShipments[Lane],$B$55,tblShipments[Carrier],$F$49,tblShipments[View date],"&gt;0"))))</f>
        <v>0.587829268292683</v>
      </c>
    </row>
    <row r="57" spans="2:11">
      <c r="B57" s="30" t="s">
        <v>253</v>
      </c>
      <c r="C57" s="30"/>
      <c r="D57" s="30"/>
      <c r="E57" s="30"/>
      <c r="F57" s="30"/>
      <c r="G57" s="30"/>
      <c r="H57" s="30"/>
      <c r="I57" s="30"/>
      <c r="J57" s="30"/>
      <c r="K57" s="30"/>
    </row>
    <row r="58" spans="2:11" ht="32" customHeight="1">
      <c r="B58" s="54" t="s">
        <v>254</v>
      </c>
      <c r="C58" s="31" t="s">
        <v>245</v>
      </c>
      <c r="D58" s="31" t="s">
        <v>119</v>
      </c>
      <c r="E58" s="31" t="s">
        <v>246</v>
      </c>
      <c r="F58" s="31" t="s">
        <v>128</v>
      </c>
      <c r="G58" s="31" t="s">
        <v>251</v>
      </c>
      <c r="H58" s="31" t="s">
        <v>132</v>
      </c>
      <c r="I58" s="31" t="s">
        <v>255</v>
      </c>
      <c r="J58" s="31" t="s">
        <v>133</v>
      </c>
      <c r="K58" s="31"/>
    </row>
    <row r="59" spans="2:11" ht="14" customHeight="1">
      <c r="B59" s="33"/>
      <c r="C59" s="33"/>
      <c r="D59" s="33"/>
      <c r="E59" s="33" t="str">
        <f>Currency</f>
        <v>GBP</v>
      </c>
      <c r="F59" s="33" t="str">
        <f>Currency&amp;"/unit"</f>
        <v>GBP/unit</v>
      </c>
      <c r="G59" s="33"/>
      <c r="H59" s="33"/>
      <c r="I59" s="33"/>
      <c r="J59" s="33"/>
      <c r="K59" s="33"/>
    </row>
    <row r="60" spans="2:11">
      <c r="B60" s="59">
        <f>IF($B$61="","",IF($B$61-1&lt;MIN(tblShipments[View date]),"",$B$61-7))</f>
        <v>46209</v>
      </c>
      <c r="C60" s="56">
        <f>IF($B$60="","",COUNTIFS(tblShipments[View date],"&gt;="&amp;$B$60,tblShipments[View date],"&lt;"&amp;$B$60+7))</f>
        <v>8</v>
      </c>
      <c r="D60" s="56">
        <f>IF($B$60="","",SUMIFS(tblShipments[Units shipped],tblShipments[View date],"&gt;="&amp;$B$60,tblShipments[View date],"&lt;"&amp;$B$60+7))</f>
        <v>14610</v>
      </c>
      <c r="E60" s="56">
        <f>IF($B$60="","",SUMIFS(tblShipments[Total freight],tblShipments[View date],"&gt;="&amp;$B$60,tblShipments[View date],"&lt;"&amp;$B$60+7))</f>
        <v>2404.28</v>
      </c>
      <c r="F60" s="38">
        <f>IF($B$60="","",IF((SUMIFS(tblShipments[Units shipped],tblShipments[View date],"&gt;="&amp;$B$60,tblShipments[View date],"&lt;"&amp;$B$60+7))=0,"",(SUMIFS(tblShipments[Total freight],tblShipments[View date],"&gt;="&amp;$B$60,tblShipments[View date],"&lt;"&amp;$B$60+7))/(SUMIFS(tblShipments[Units shipped],tblShipments[View date],"&gt;="&amp;$B$60,tblShipments[View date],"&lt;"&amp;$B$60+7))))</f>
        <v>0.164563997262149</v>
      </c>
      <c r="G60" s="57">
        <f>IF($B$60="","",IF((SUMIFS(tblShipments[Total freight],tblShipments[View date],"&gt;="&amp;$B$60,tblShipments[View date],"&lt;"&amp;$B$60+7))=0,"",(SUMIFS(tblShipments[Fuel and extras],tblShipments[View date],"&gt;="&amp;$B$60,tblShipments[View date],"&lt;"&amp;$B$60+7))/(SUMIFS(tblShipments[Total freight],tblShipments[View date],"&gt;="&amp;$B$60,tblShipments[View date],"&lt;"&amp;$B$60+7))))</f>
        <v>0.201673681933885</v>
      </c>
      <c r="H60" s="40">
        <f>IF($B$60="","",IF((SUMIFS(tblShipments[Product value],tblShipments[View date],"&gt;="&amp;$B$60,tblShipments[View date],"&lt;"&amp;$B$60+7))=0,"",(SUMIFS(tblShipments[Total freight],tblShipments[View date],"&gt;="&amp;$B$60,tblShipments[View date],"&lt;"&amp;$B$60+7))/(SUMIFS(tblShipments[Product value],tblShipments[View date],"&gt;="&amp;$B$60,tblShipments[View date],"&lt;"&amp;$B$60+7))))</f>
        <v>0.0350100474706585</v>
      </c>
      <c r="I60" s="60">
        <f>TargetPct</f>
        <v>0.04</v>
      </c>
      <c r="J60" s="41" t="str">
        <f>IF($B$60="","",IF($H$60="","",IF($H$60&lt;=TargetPct,"On target",IF($H$60&lt;=TargetPct*1.05,"Near target","Above target"))))</f>
        <v>On target</v>
      </c>
      <c r="K60" s="41"/>
    </row>
    <row r="61" spans="2:11">
      <c r="B61" s="59">
        <f>IF($B$62="","",IF($B$62-1&lt;MIN(tblShipments[View date]),"",$B$62-7))</f>
        <v>46216</v>
      </c>
      <c r="C61" s="56">
        <f>IF($B$61="","",COUNTIFS(tblShipments[View date],"&gt;="&amp;$B$61,tblShipments[View date],"&lt;"&amp;$B$61+7))</f>
        <v>8</v>
      </c>
      <c r="D61" s="56">
        <f>IF($B$61="","",SUMIFS(tblShipments[Units shipped],tblShipments[View date],"&gt;="&amp;$B$61,tblShipments[View date],"&lt;"&amp;$B$61+7))</f>
        <v>16990</v>
      </c>
      <c r="E61" s="56">
        <f>IF($B$61="","",SUMIFS(tblShipments[Total freight],tblShipments[View date],"&gt;="&amp;$B$61,tblShipments[View date],"&lt;"&amp;$B$61+7))</f>
        <v>2431.81</v>
      </c>
      <c r="F61" s="38">
        <f>IF($B$61="","",IF((SUMIFS(tblShipments[Units shipped],tblShipments[View date],"&gt;="&amp;$B$61,tblShipments[View date],"&lt;"&amp;$B$61+7))=0,"",(SUMIFS(tblShipments[Total freight],tblShipments[View date],"&gt;="&amp;$B$61,tblShipments[View date],"&lt;"&amp;$B$61+7))/(SUMIFS(tblShipments[Units shipped],tblShipments[View date],"&gt;="&amp;$B$61,tblShipments[View date],"&lt;"&amp;$B$61+7))))</f>
        <v>0.143131842260153</v>
      </c>
      <c r="G61" s="57">
        <f>IF($B$61="","",IF((SUMIFS(tblShipments[Total freight],tblShipments[View date],"&gt;="&amp;$B$61,tblShipments[View date],"&lt;"&amp;$B$61+7))=0,"",(SUMIFS(tblShipments[Fuel and extras],tblShipments[View date],"&gt;="&amp;$B$61,tblShipments[View date],"&lt;"&amp;$B$61+7))/(SUMIFS(tblShipments[Total freight],tblShipments[View date],"&gt;="&amp;$B$61,tblShipments[View date],"&lt;"&amp;$B$61+7))))</f>
        <v>0.166711215103154</v>
      </c>
      <c r="H61" s="40">
        <f>IF($B$61="","",IF((SUMIFS(tblShipments[Product value],tblShipments[View date],"&gt;="&amp;$B$61,tblShipments[View date],"&lt;"&amp;$B$61+7))=0,"",(SUMIFS(tblShipments[Total freight],tblShipments[View date],"&gt;="&amp;$B$61,tblShipments[View date],"&lt;"&amp;$B$61+7))/(SUMIFS(tblShipments[Product value],tblShipments[View date],"&gt;="&amp;$B$61,tblShipments[View date],"&lt;"&amp;$B$61+7))))</f>
        <v>0.0301145482464831</v>
      </c>
      <c r="I61" s="60">
        <f>TargetPct</f>
        <v>0.04</v>
      </c>
      <c r="J61" s="41" t="str">
        <f>IF($B$61="","",IF($H$61="","",IF($H$61&lt;=TargetPct,"On target",IF($H$61&lt;=TargetPct*1.05,"Near target","Above target"))))</f>
        <v>On target</v>
      </c>
      <c r="K61" s="41"/>
    </row>
    <row r="62" spans="2:11">
      <c r="B62" s="59">
        <f>IF($B$63="","",IF($B$63-1&lt;MIN(tblShipments[View date]),"",$B$63-7))</f>
        <v>46223</v>
      </c>
      <c r="C62" s="56">
        <f>IF($B$62="","",COUNTIFS(tblShipments[View date],"&gt;="&amp;$B$62,tblShipments[View date],"&lt;"&amp;$B$62+7))</f>
        <v>8</v>
      </c>
      <c r="D62" s="56">
        <f>IF($B$62="","",SUMIFS(tblShipments[Units shipped],tblShipments[View date],"&gt;="&amp;$B$62,tblShipments[View date],"&lt;"&amp;$B$62+7))</f>
        <v>17230</v>
      </c>
      <c r="E62" s="56">
        <f>IF($B$62="","",SUMIFS(tblShipments[Total freight],tblShipments[View date],"&gt;="&amp;$B$62,tblShipments[View date],"&lt;"&amp;$B$62+7))</f>
        <v>2458.38</v>
      </c>
      <c r="F62" s="38">
        <f>IF($B$62="","",IF((SUMIFS(tblShipments[Units shipped],tblShipments[View date],"&gt;="&amp;$B$62,tblShipments[View date],"&lt;"&amp;$B$62+7))=0,"",(SUMIFS(tblShipments[Total freight],tblShipments[View date],"&gt;="&amp;$B$62,tblShipments[View date],"&lt;"&amp;$B$62+7))/(SUMIFS(tblShipments[Units shipped],tblShipments[View date],"&gt;="&amp;$B$62,tblShipments[View date],"&lt;"&amp;$B$62+7))))</f>
        <v>0.142680208937899</v>
      </c>
      <c r="G62" s="57">
        <f>IF($B$62="","",IF((SUMIFS(tblShipments[Total freight],tblShipments[View date],"&gt;="&amp;$B$62,tblShipments[View date],"&lt;"&amp;$B$62+7))=0,"",(SUMIFS(tblShipments[Fuel and extras],tblShipments[View date],"&gt;="&amp;$B$62,tblShipments[View date],"&lt;"&amp;$B$62+7))/(SUMIFS(tblShipments[Total freight],tblShipments[View date],"&gt;="&amp;$B$62,tblShipments[View date],"&lt;"&amp;$B$62+7))))</f>
        <v>0.164165019240313</v>
      </c>
      <c r="H62" s="40">
        <f>IF($B$62="","",IF((SUMIFS(tblShipments[Product value],tblShipments[View date],"&gt;="&amp;$B$62,tblShipments[View date],"&lt;"&amp;$B$62+7))=0,"",(SUMIFS(tblShipments[Total freight],tblShipments[View date],"&gt;="&amp;$B$62,tblShipments[View date],"&lt;"&amp;$B$62+7))/(SUMIFS(tblShipments[Product value],tblShipments[View date],"&gt;="&amp;$B$62,tblShipments[View date],"&lt;"&amp;$B$62+7))))</f>
        <v>0.0300205153254366</v>
      </c>
      <c r="I62" s="60">
        <f>TargetPct</f>
        <v>0.04</v>
      </c>
      <c r="J62" s="41" t="str">
        <f>IF($B$62="","",IF($H$62="","",IF($H$62&lt;=TargetPct,"On target",IF($H$62&lt;=TargetPct*1.05,"Near target","Above target"))))</f>
        <v>On target</v>
      </c>
      <c r="K62" s="41"/>
    </row>
    <row r="63" spans="2:11">
      <c r="B63" s="59">
        <f>IF($B$64="","",IF($B$64-1&lt;MIN(tblShipments[View date]),"",$B$64-7))</f>
        <v>46230</v>
      </c>
      <c r="C63" s="56">
        <f>IF($B$63="","",COUNTIFS(tblShipments[View date],"&gt;="&amp;$B$63,tblShipments[View date],"&lt;"&amp;$B$63+7))</f>
        <v>8</v>
      </c>
      <c r="D63" s="56">
        <f>IF($B$63="","",SUMIFS(tblShipments[Units shipped],tblShipments[View date],"&gt;="&amp;$B$63,tblShipments[View date],"&lt;"&amp;$B$63+7))</f>
        <v>16400</v>
      </c>
      <c r="E63" s="56">
        <f>IF($B$63="","",SUMIFS(tblShipments[Total freight],tblShipments[View date],"&gt;="&amp;$B$63,tblShipments[View date],"&lt;"&amp;$B$63+7))</f>
        <v>2406.55</v>
      </c>
      <c r="F63" s="38">
        <f>IF($B$63="","",IF((SUMIFS(tblShipments[Units shipped],tblShipments[View date],"&gt;="&amp;$B$63,tblShipments[View date],"&lt;"&amp;$B$63+7))=0,"",(SUMIFS(tblShipments[Total freight],tblShipments[View date],"&gt;="&amp;$B$63,tblShipments[View date],"&lt;"&amp;$B$63+7))/(SUMIFS(tblShipments[Units shipped],tblShipments[View date],"&gt;="&amp;$B$63,tblShipments[View date],"&lt;"&amp;$B$63+7))))</f>
        <v>0.146740853658537</v>
      </c>
      <c r="G63" s="57">
        <f>IF($B$63="","",IF((SUMIFS(tblShipments[Total freight],tblShipments[View date],"&gt;="&amp;$B$63,tblShipments[View date],"&lt;"&amp;$B$63+7))=0,"",(SUMIFS(tblShipments[Fuel and extras],tblShipments[View date],"&gt;="&amp;$B$63,tblShipments[View date],"&lt;"&amp;$B$63+7))/(SUMIFS(tblShipments[Total freight],tblShipments[View date],"&gt;="&amp;$B$63,tblShipments[View date],"&lt;"&amp;$B$63+7))))</f>
        <v>0.187301323471359</v>
      </c>
      <c r="H63" s="40">
        <f>IF($B$63="","",IF((SUMIFS(tblShipments[Product value],tblShipments[View date],"&gt;="&amp;$B$63,tblShipments[View date],"&lt;"&amp;$B$63+7))=0,"",(SUMIFS(tblShipments[Total freight],tblShipments[View date],"&gt;="&amp;$B$63,tblShipments[View date],"&lt;"&amp;$B$63+7))/(SUMIFS(tblShipments[Product value],tblShipments[View date],"&gt;="&amp;$B$63,tblShipments[View date],"&lt;"&amp;$B$63+7))))</f>
        <v>0.0314162815592282</v>
      </c>
      <c r="I63" s="60">
        <f>TargetPct</f>
        <v>0.04</v>
      </c>
      <c r="J63" s="41" t="str">
        <f>IF($B$63="","",IF($H$63="","",IF($H$63&lt;=TargetPct,"On target",IF($H$63&lt;=TargetPct*1.05,"Near target","Above target"))))</f>
        <v>On target</v>
      </c>
      <c r="K63" s="41"/>
    </row>
    <row r="64" spans="2:11">
      <c r="B64" s="59">
        <f>IF($B$65="","",IF($B$65-1&lt;MIN(tblShipments[View date]),"",$B$65-7))</f>
        <v>46237</v>
      </c>
      <c r="C64" s="56">
        <f>IF($B$64="","",COUNTIFS(tblShipments[View date],"&gt;="&amp;$B$64,tblShipments[View date],"&lt;"&amp;$B$64+7))</f>
        <v>8</v>
      </c>
      <c r="D64" s="56">
        <f>IF($B$64="","",SUMIFS(tblShipments[Units shipped],tblShipments[View date],"&gt;="&amp;$B$64,tblShipments[View date],"&lt;"&amp;$B$64+7))</f>
        <v>15990</v>
      </c>
      <c r="E64" s="56">
        <f>IF($B$64="","",SUMIFS(tblShipments[Total freight],tblShipments[View date],"&gt;="&amp;$B$64,tblShipments[View date],"&lt;"&amp;$B$64+7))</f>
        <v>2169.41</v>
      </c>
      <c r="F64" s="38">
        <f>IF($B$64="","",IF((SUMIFS(tblShipments[Units shipped],tblShipments[View date],"&gt;="&amp;$B$64,tblShipments[View date],"&lt;"&amp;$B$64+7))=0,"",(SUMIFS(tblShipments[Total freight],tblShipments[View date],"&gt;="&amp;$B$64,tblShipments[View date],"&lt;"&amp;$B$64+7))/(SUMIFS(tblShipments[Units shipped],tblShipments[View date],"&gt;="&amp;$B$64,tblShipments[View date],"&lt;"&amp;$B$64+7))))</f>
        <v>0.13567292057536</v>
      </c>
      <c r="G64" s="57">
        <f>IF($B$64="","",IF((SUMIFS(tblShipments[Total freight],tblShipments[View date],"&gt;="&amp;$B$64,tblShipments[View date],"&lt;"&amp;$B$64+7))=0,"",(SUMIFS(tblShipments[Fuel and extras],tblShipments[View date],"&gt;="&amp;$B$64,tblShipments[View date],"&lt;"&amp;$B$64+7))/(SUMIFS(tblShipments[Total freight],tblShipments[View date],"&gt;="&amp;$B$64,tblShipments[View date],"&lt;"&amp;$B$64+7))))</f>
        <v>0.198399564858648</v>
      </c>
      <c r="H64" s="40">
        <f>IF($B$64="","",IF((SUMIFS(tblShipments[Product value],tblShipments[View date],"&gt;="&amp;$B$64,tblShipments[View date],"&lt;"&amp;$B$64+7))=0,"",(SUMIFS(tblShipments[Total freight],tblShipments[View date],"&gt;="&amp;$B$64,tblShipments[View date],"&lt;"&amp;$B$64+7))/(SUMIFS(tblShipments[Product value],tblShipments[View date],"&gt;="&amp;$B$64,tblShipments[View date],"&lt;"&amp;$B$64+7))))</f>
        <v>0.029050188810627</v>
      </c>
      <c r="I64" s="60">
        <f>TargetPct</f>
        <v>0.04</v>
      </c>
      <c r="J64" s="41" t="str">
        <f>IF($B$64="","",IF($H$64="","",IF($H$64&lt;=TargetPct,"On target",IF($H$64&lt;=TargetPct*1.05,"Near target","Above target"))))</f>
        <v>On target</v>
      </c>
      <c r="K64" s="41"/>
    </row>
    <row r="65" spans="2:12">
      <c r="B65" s="59">
        <f>IF($B$66="","",IF($B$66-1&lt;MIN(tblShipments[View date]),"",$B$66-7))</f>
        <v>46244</v>
      </c>
      <c r="C65" s="56">
        <f>IF($B$65="","",COUNTIFS(tblShipments[View date],"&gt;="&amp;$B$65,tblShipments[View date],"&lt;"&amp;$B$65+7))</f>
        <v>8</v>
      </c>
      <c r="D65" s="56">
        <f>IF($B$65="","",SUMIFS(tblShipments[Units shipped],tblShipments[View date],"&gt;="&amp;$B$65,tblShipments[View date],"&lt;"&amp;$B$65+7))</f>
        <v>14740</v>
      </c>
      <c r="E65" s="56">
        <f>IF($B$65="","",SUMIFS(tblShipments[Total freight],tblShipments[View date],"&gt;="&amp;$B$65,tblShipments[View date],"&lt;"&amp;$B$65+7))</f>
        <v>2377.02</v>
      </c>
      <c r="F65" s="38">
        <f>IF($B$65="","",IF((SUMIFS(tblShipments[Units shipped],tblShipments[View date],"&gt;="&amp;$B$65,tblShipments[View date],"&lt;"&amp;$B$65+7))=0,"",(SUMIFS(tblShipments[Total freight],tblShipments[View date],"&gt;="&amp;$B$65,tblShipments[View date],"&lt;"&amp;$B$65+7))/(SUMIFS(tblShipments[Units shipped],tblShipments[View date],"&gt;="&amp;$B$65,tblShipments[View date],"&lt;"&amp;$B$65+7))))</f>
        <v>0.161263229308005</v>
      </c>
      <c r="G65" s="57">
        <f>IF($B$65="","",IF((SUMIFS(tblShipments[Total freight],tblShipments[View date],"&gt;="&amp;$B$65,tblShipments[View date],"&lt;"&amp;$B$65+7))=0,"",(SUMIFS(tblShipments[Fuel and extras],tblShipments[View date],"&gt;="&amp;$B$65,tblShipments[View date],"&lt;"&amp;$B$65+7))/(SUMIFS(tblShipments[Total freight],tblShipments[View date],"&gt;="&amp;$B$65,tblShipments[View date],"&lt;"&amp;$B$65+7))))</f>
        <v>0.178635434283262</v>
      </c>
      <c r="H65" s="40">
        <f>IF($B$65="","",IF((SUMIFS(tblShipments[Product value],tblShipments[View date],"&gt;="&amp;$B$65,tblShipments[View date],"&lt;"&amp;$B$65+7))=0,"",(SUMIFS(tblShipments[Total freight],tblShipments[View date],"&gt;="&amp;$B$65,tblShipments[View date],"&lt;"&amp;$B$65+7))/(SUMIFS(tblShipments[Product value],tblShipments[View date],"&gt;="&amp;$B$65,tblShipments[View date],"&lt;"&amp;$B$65+7))))</f>
        <v>0.033888199820367</v>
      </c>
      <c r="I65" s="60">
        <f>TargetPct</f>
        <v>0.04</v>
      </c>
      <c r="J65" s="41" t="str">
        <f>IF($B$65="","",IF($H$65="","",IF($H$65&lt;=TargetPct,"On target",IF($H$65&lt;=TargetPct*1.05,"Near target","Above target"))))</f>
        <v>On target</v>
      </c>
      <c r="K65" s="41"/>
    </row>
    <row r="66" spans="2:12">
      <c r="B66" s="59">
        <f>IF($B$67="","",IF($B$67-1&lt;MIN(tblShipments[View date]),"",$B$67-7))</f>
        <v>46251</v>
      </c>
      <c r="C66" s="56">
        <f>IF($B$66="","",COUNTIFS(tblShipments[View date],"&gt;="&amp;$B$66,tblShipments[View date],"&lt;"&amp;$B$66+7))</f>
        <v>8</v>
      </c>
      <c r="D66" s="56">
        <f>IF($B$66="","",SUMIFS(tblShipments[Units shipped],tblShipments[View date],"&gt;="&amp;$B$66,tblShipments[View date],"&lt;"&amp;$B$66+7))</f>
        <v>16520</v>
      </c>
      <c r="E66" s="56">
        <f>IF($B$66="","",SUMIFS(tblShipments[Total freight],tblShipments[View date],"&gt;="&amp;$B$66,tblShipments[View date],"&lt;"&amp;$B$66+7))</f>
        <v>2580.24</v>
      </c>
      <c r="F66" s="38">
        <f>IF($B$66="","",IF((SUMIFS(tblShipments[Units shipped],tblShipments[View date],"&gt;="&amp;$B$66,tblShipments[View date],"&lt;"&amp;$B$66+7))=0,"",(SUMIFS(tblShipments[Total freight],tblShipments[View date],"&gt;="&amp;$B$66,tblShipments[View date],"&lt;"&amp;$B$66+7))/(SUMIFS(tblShipments[Units shipped],tblShipments[View date],"&gt;="&amp;$B$66,tblShipments[View date],"&lt;"&amp;$B$66+7))))</f>
        <v>0.156188861985472</v>
      </c>
      <c r="G66" s="57">
        <f>IF($B$66="","",IF((SUMIFS(tblShipments[Total freight],tblShipments[View date],"&gt;="&amp;$B$66,tblShipments[View date],"&lt;"&amp;$B$66+7))=0,"",(SUMIFS(tblShipments[Fuel and extras],tblShipments[View date],"&gt;="&amp;$B$66,tblShipments[View date],"&lt;"&amp;$B$66+7))/(SUMIFS(tblShipments[Total freight],tblShipments[View date],"&gt;="&amp;$B$66,tblShipments[View date],"&lt;"&amp;$B$66+7))))</f>
        <v>0.197981583108548</v>
      </c>
      <c r="H66" s="40">
        <f>IF($B$66="","",IF((SUMIFS(tblShipments[Product value],tblShipments[View date],"&gt;="&amp;$B$66,tblShipments[View date],"&lt;"&amp;$B$66+7))=0,"",(SUMIFS(tblShipments[Total freight],tblShipments[View date],"&gt;="&amp;$B$66,tblShipments[View date],"&lt;"&amp;$B$66+7))/(SUMIFS(tblShipments[Product value],tblShipments[View date],"&gt;="&amp;$B$66,tblShipments[View date],"&lt;"&amp;$B$66+7))))</f>
        <v>0.0326695365915422</v>
      </c>
      <c r="I66" s="60">
        <f>TargetPct</f>
        <v>0.04</v>
      </c>
      <c r="J66" s="41" t="str">
        <f>IF($B$66="","",IF($H$66="","",IF($H$66&lt;=TargetPct,"On target",IF($H$66&lt;=TargetPct*1.05,"Near target","Above target"))))</f>
        <v>On target</v>
      </c>
      <c r="K66" s="41"/>
    </row>
    <row r="67" spans="2:12">
      <c r="B67" s="59">
        <f>IF($B$68="","",IF($B$68-1&lt;MIN(tblShipments[View date]),"",$B$68-7))</f>
        <v>46258</v>
      </c>
      <c r="C67" s="56">
        <f>IF($B$67="","",COUNTIFS(tblShipments[View date],"&gt;="&amp;$B$67,tblShipments[View date],"&lt;"&amp;$B$67+7))</f>
        <v>8</v>
      </c>
      <c r="D67" s="56">
        <f>IF($B$67="","",SUMIFS(tblShipments[Units shipped],tblShipments[View date],"&gt;="&amp;$B$67,tblShipments[View date],"&lt;"&amp;$B$67+7))</f>
        <v>16460</v>
      </c>
      <c r="E67" s="56">
        <f>IF($B$67="","",SUMIFS(tblShipments[Total freight],tblShipments[View date],"&gt;="&amp;$B$67,tblShipments[View date],"&lt;"&amp;$B$67+7))</f>
        <v>2495.73</v>
      </c>
      <c r="F67" s="38">
        <f>IF($B$67="","",IF((SUMIFS(tblShipments[Units shipped],tblShipments[View date],"&gt;="&amp;$B$67,tblShipments[View date],"&lt;"&amp;$B$67+7))=0,"",(SUMIFS(tblShipments[Total freight],tblShipments[View date],"&gt;="&amp;$B$67,tblShipments[View date],"&lt;"&amp;$B$67+7))/(SUMIFS(tblShipments[Units shipped],tblShipments[View date],"&gt;="&amp;$B$67,tblShipments[View date],"&lt;"&amp;$B$67+7))))</f>
        <v>0.151623936816525</v>
      </c>
      <c r="G67" s="57">
        <f>IF($B$67="","",IF((SUMIFS(tblShipments[Total freight],tblShipments[View date],"&gt;="&amp;$B$67,tblShipments[View date],"&lt;"&amp;$B$67+7))=0,"",(SUMIFS(tblShipments[Fuel and extras],tblShipments[View date],"&gt;="&amp;$B$67,tblShipments[View date],"&lt;"&amp;$B$67+7))/(SUMIFS(tblShipments[Total freight],tblShipments[View date],"&gt;="&amp;$B$67,tblShipments[View date],"&lt;"&amp;$B$67+7))))</f>
        <v>0.203760022117777</v>
      </c>
      <c r="H67" s="40">
        <f>IF($B$67="","",IF((SUMIFS(tblShipments[Product value],tblShipments[View date],"&gt;="&amp;$B$67,tblShipments[View date],"&lt;"&amp;$B$67+7))=0,"",(SUMIFS(tblShipments[Total freight],tblShipments[View date],"&gt;="&amp;$B$67,tblShipments[View date],"&lt;"&amp;$B$67+7))/(SUMIFS(tblShipments[Product value],tblShipments[View date],"&gt;="&amp;$B$67,tblShipments[View date],"&lt;"&amp;$B$67+7))))</f>
        <v>0.0319592526667606</v>
      </c>
      <c r="I67" s="60">
        <f>TargetPct</f>
        <v>0.04</v>
      </c>
      <c r="J67" s="41" t="str">
        <f>IF($B$67="","",IF($H$67="","",IF($H$67&lt;=TargetPct,"On target",IF($H$67&lt;=TargetPct*1.05,"Near target","Above target"))))</f>
        <v>On target</v>
      </c>
      <c r="K67" s="41"/>
    </row>
    <row r="68" spans="2:12">
      <c r="B68" s="59">
        <f>IF($B$69="","",IF($B$69-1&lt;MIN(tblShipments[View date]),"",$B$69-7))</f>
        <v>46265</v>
      </c>
      <c r="C68" s="56">
        <f>IF($B$68="","",COUNTIFS(tblShipments[View date],"&gt;="&amp;$B$68,tblShipments[View date],"&lt;"&amp;$B$68+7))</f>
        <v>8</v>
      </c>
      <c r="D68" s="56">
        <f>IF($B$68="","",SUMIFS(tblShipments[Units shipped],tblShipments[View date],"&gt;="&amp;$B$68,tblShipments[View date],"&lt;"&amp;$B$68+7))</f>
        <v>16570</v>
      </c>
      <c r="E68" s="56">
        <f>IF($B$68="","",SUMIFS(tblShipments[Total freight],tblShipments[View date],"&gt;="&amp;$B$68,tblShipments[View date],"&lt;"&amp;$B$68+7))</f>
        <v>2727.2</v>
      </c>
      <c r="F68" s="38">
        <f>IF($B$68="","",IF((SUMIFS(tblShipments[Units shipped],tblShipments[View date],"&gt;="&amp;$B$68,tblShipments[View date],"&lt;"&amp;$B$68+7))=0,"",(SUMIFS(tblShipments[Total freight],tblShipments[View date],"&gt;="&amp;$B$68,tblShipments[View date],"&lt;"&amp;$B$68+7))/(SUMIFS(tblShipments[Units shipped],tblShipments[View date],"&gt;="&amp;$B$68,tblShipments[View date],"&lt;"&amp;$B$68+7))))</f>
        <v>0.164586602293301</v>
      </c>
      <c r="G68" s="57">
        <f>IF($B$68="","",IF((SUMIFS(tblShipments[Total freight],tblShipments[View date],"&gt;="&amp;$B$68,tblShipments[View date],"&lt;"&amp;$B$68+7))=0,"",(SUMIFS(tblShipments[Fuel and extras],tblShipments[View date],"&gt;="&amp;$B$68,tblShipments[View date],"&lt;"&amp;$B$68+7))/(SUMIFS(tblShipments[Total freight],tblShipments[View date],"&gt;="&amp;$B$68,tblShipments[View date],"&lt;"&amp;$B$68+7))))</f>
        <v>0.191412437665004</v>
      </c>
      <c r="H68" s="40">
        <f>IF($B$68="","",IF((SUMIFS(tblShipments[Product value],tblShipments[View date],"&gt;="&amp;$B$68,tblShipments[View date],"&lt;"&amp;$B$68+7))=0,"",(SUMIFS(tblShipments[Total freight],tblShipments[View date],"&gt;="&amp;$B$68,tblShipments[View date],"&lt;"&amp;$B$68+7))/(SUMIFS(tblShipments[Product value],tblShipments[View date],"&gt;="&amp;$B$68,tblShipments[View date],"&lt;"&amp;$B$68+7))))</f>
        <v>0.0343372280419017</v>
      </c>
      <c r="I68" s="60">
        <f>TargetPct</f>
        <v>0.04</v>
      </c>
      <c r="J68" s="41" t="str">
        <f>IF($B$68="","",IF($H$68="","",IF($H$68&lt;=TargetPct,"On target",IF($H$68&lt;=TargetPct*1.05,"Near target","Above target"))))</f>
        <v>On target</v>
      </c>
      <c r="K68" s="41"/>
    </row>
    <row r="69" spans="2:12">
      <c r="B69" s="59">
        <f>IF($B$70="","",IF($B$70-1&lt;MIN(tblShipments[View date]),"",$B$70-7))</f>
        <v>46272</v>
      </c>
      <c r="C69" s="56">
        <f>IF($B$69="","",COUNTIFS(tblShipments[View date],"&gt;="&amp;$B$69,tblShipments[View date],"&lt;"&amp;$B$69+7))</f>
        <v>8</v>
      </c>
      <c r="D69" s="56">
        <f>IF($B$69="","",SUMIFS(tblShipments[Units shipped],tblShipments[View date],"&gt;="&amp;$B$69,tblShipments[View date],"&lt;"&amp;$B$69+7))</f>
        <v>16760</v>
      </c>
      <c r="E69" s="56">
        <f>IF($B$69="","",SUMIFS(tblShipments[Total freight],tblShipments[View date],"&gt;="&amp;$B$69,tblShipments[View date],"&lt;"&amp;$B$69+7))</f>
        <v>2433.28</v>
      </c>
      <c r="F69" s="38">
        <f>IF($B$69="","",IF((SUMIFS(tblShipments[Units shipped],tblShipments[View date],"&gt;="&amp;$B$69,tblShipments[View date],"&lt;"&amp;$B$69+7))=0,"",(SUMIFS(tblShipments[Total freight],tblShipments[View date],"&gt;="&amp;$B$69,tblShipments[View date],"&lt;"&amp;$B$69+7))/(SUMIFS(tblShipments[Units shipped],tblShipments[View date],"&gt;="&amp;$B$69,tblShipments[View date],"&lt;"&amp;$B$69+7))))</f>
        <v>0.145183770883055</v>
      </c>
      <c r="G69" s="57">
        <f>IF($B$69="","",IF((SUMIFS(tblShipments[Total freight],tblShipments[View date],"&gt;="&amp;$B$69,tblShipments[View date],"&lt;"&amp;$B$69+7))=0,"",(SUMIFS(tblShipments[Fuel and extras],tblShipments[View date],"&gt;="&amp;$B$69,tblShipments[View date],"&lt;"&amp;$B$69+7))/(SUMIFS(tblShipments[Total freight],tblShipments[View date],"&gt;="&amp;$B$69,tblShipments[View date],"&lt;"&amp;$B$69+7))))</f>
        <v>0.185297211993688</v>
      </c>
      <c r="H69" s="40">
        <f>IF($B$69="","",IF((SUMIFS(tblShipments[Product value],tblShipments[View date],"&gt;="&amp;$B$69,tblShipments[View date],"&lt;"&amp;$B$69+7))=0,"",(SUMIFS(tblShipments[Total freight],tblShipments[View date],"&gt;="&amp;$B$69,tblShipments[View date],"&lt;"&amp;$B$69+7))/(SUMIFS(tblShipments[Product value],tblShipments[View date],"&gt;="&amp;$B$69,tblShipments[View date],"&lt;"&amp;$B$69+7))))</f>
        <v>0.0307675189034722</v>
      </c>
      <c r="I69" s="60">
        <f>TargetPct</f>
        <v>0.04</v>
      </c>
      <c r="J69" s="41" t="str">
        <f>IF($B$69="","",IF($H$69="","",IF($H$69&lt;=TargetPct,"On target",IF($H$69&lt;=TargetPct*1.05,"Near target","Above target"))))</f>
        <v>On target</v>
      </c>
      <c r="K69" s="41"/>
    </row>
    <row r="70" spans="2:12">
      <c r="B70" s="59">
        <f>IF($B$71="","",IF($B$71-1&lt;MIN(tblShipments[View date]),"",$B$71-7))</f>
        <v>46279</v>
      </c>
      <c r="C70" s="56">
        <f>IF($B$70="","",COUNTIFS(tblShipments[View date],"&gt;="&amp;$B$70,tblShipments[View date],"&lt;"&amp;$B$70+7))</f>
        <v>8</v>
      </c>
      <c r="D70" s="56">
        <f>IF($B$70="","",SUMIFS(tblShipments[Units shipped],tblShipments[View date],"&gt;="&amp;$B$70,tblShipments[View date],"&lt;"&amp;$B$70+7))</f>
        <v>15090</v>
      </c>
      <c r="E70" s="56">
        <f>IF($B$70="","",SUMIFS(tblShipments[Total freight],tblShipments[View date],"&gt;="&amp;$B$70,tblShipments[View date],"&lt;"&amp;$B$70+7))</f>
        <v>2319.95</v>
      </c>
      <c r="F70" s="38">
        <f>IF($B$70="","",IF((SUMIFS(tblShipments[Units shipped],tblShipments[View date],"&gt;="&amp;$B$70,tblShipments[View date],"&lt;"&amp;$B$70+7))=0,"",(SUMIFS(tblShipments[Total freight],tblShipments[View date],"&gt;="&amp;$B$70,tblShipments[View date],"&lt;"&amp;$B$70+7))/(SUMIFS(tblShipments[Units shipped],tblShipments[View date],"&gt;="&amp;$B$70,tblShipments[View date],"&lt;"&amp;$B$70+7))))</f>
        <v>0.153740888005302</v>
      </c>
      <c r="G70" s="57">
        <f>IF($B$70="","",IF((SUMIFS(tblShipments[Total freight],tblShipments[View date],"&gt;="&amp;$B$70,tblShipments[View date],"&lt;"&amp;$B$70+7))=0,"",(SUMIFS(tblShipments[Fuel and extras],tblShipments[View date],"&gt;="&amp;$B$70,tblShipments[View date],"&lt;"&amp;$B$70+7))/(SUMIFS(tblShipments[Total freight],tblShipments[View date],"&gt;="&amp;$B$70,tblShipments[View date],"&lt;"&amp;$B$70+7))))</f>
        <v>0.174663247052738</v>
      </c>
      <c r="H70" s="40">
        <f>IF($B$70="","",IF((SUMIFS(tblShipments[Product value],tblShipments[View date],"&gt;="&amp;$B$70,tblShipments[View date],"&lt;"&amp;$B$70+7))=0,"",(SUMIFS(tblShipments[Total freight],tblShipments[View date],"&gt;="&amp;$B$70,tblShipments[View date],"&lt;"&amp;$B$70+7))/(SUMIFS(tblShipments[Product value],tblShipments[View date],"&gt;="&amp;$B$70,tblShipments[View date],"&lt;"&amp;$B$70+7))))</f>
        <v>0.0322887961029923</v>
      </c>
      <c r="I70" s="60">
        <f>TargetPct</f>
        <v>0.04</v>
      </c>
      <c r="J70" s="41" t="str">
        <f>IF($B$70="","",IF($H$70="","",IF($H$70&lt;=TargetPct,"On target",IF($H$70&lt;=TargetPct*1.05,"Near target","Above target"))))</f>
        <v>On target</v>
      </c>
      <c r="K70" s="41"/>
    </row>
    <row r="71" spans="2:12">
      <c r="B71" s="59">
        <f>IF(COUNT(tblShipments[View date])=0,"",MAX(tblShipments[View date])-WEEKDAY(MAX(tblShipments[View date]),2)+1)</f>
        <v>46286</v>
      </c>
      <c r="C71" s="56">
        <f>IF($B$71="","",COUNTIFS(tblShipments[View date],"&gt;="&amp;$B$71,tblShipments[View date],"&lt;"&amp;$B$71+7))</f>
        <v>8</v>
      </c>
      <c r="D71" s="56">
        <f>IF($B$71="","",SUMIFS(tblShipments[Units shipped],tblShipments[View date],"&gt;="&amp;$B$71,tblShipments[View date],"&lt;"&amp;$B$71+7))</f>
        <v>17490</v>
      </c>
      <c r="E71" s="56">
        <f>IF($B$71="","",SUMIFS(tblShipments[Total freight],tblShipments[View date],"&gt;="&amp;$B$71,tblShipments[View date],"&lt;"&amp;$B$71+7))</f>
        <v>2774.4</v>
      </c>
      <c r="F71" s="38">
        <f>IF($B$71="","",IF((SUMIFS(tblShipments[Units shipped],tblShipments[View date],"&gt;="&amp;$B$71,tblShipments[View date],"&lt;"&amp;$B$71+7))=0,"",(SUMIFS(tblShipments[Total freight],tblShipments[View date],"&gt;="&amp;$B$71,tblShipments[View date],"&lt;"&amp;$B$71+7))/(SUMIFS(tblShipments[Units shipped],tblShipments[View date],"&gt;="&amp;$B$71,tblShipments[View date],"&lt;"&amp;$B$71+7))))</f>
        <v>0.158627787307033</v>
      </c>
      <c r="G71" s="57">
        <f>IF($B$71="","",IF((SUMIFS(tblShipments[Total freight],tblShipments[View date],"&gt;="&amp;$B$71,tblShipments[View date],"&lt;"&amp;$B$71+7))=0,"",(SUMIFS(tblShipments[Fuel and extras],tblShipments[View date],"&gt;="&amp;$B$71,tblShipments[View date],"&lt;"&amp;$B$71+7))/(SUMIFS(tblShipments[Total freight],tblShipments[View date],"&gt;="&amp;$B$71,tblShipments[View date],"&lt;"&amp;$B$71+7))))</f>
        <v>0.223075259515571</v>
      </c>
      <c r="H71" s="40">
        <f>IF($B$71="","",IF((SUMIFS(tblShipments[Product value],tblShipments[View date],"&gt;="&amp;$B$71,tblShipments[View date],"&lt;"&amp;$B$71+7))=0,"",(SUMIFS(tblShipments[Total freight],tblShipments[View date],"&gt;="&amp;$B$71,tblShipments[View date],"&lt;"&amp;$B$71+7))/(SUMIFS(tblShipments[Product value],tblShipments[View date],"&gt;="&amp;$B$71,tblShipments[View date],"&lt;"&amp;$B$71+7))))</f>
        <v>0.03276566596594</v>
      </c>
      <c r="I71" s="60">
        <f>TargetPct</f>
        <v>0.04</v>
      </c>
      <c r="J71" s="41" t="str">
        <f>IF($B$71="","",IF($H$71="","",IF($H$71&lt;=TargetPct,"On target",IF($H$71&lt;=TargetPct*1.05,"Near target","Above target"))))</f>
        <v>On target</v>
      </c>
      <c r="K71" s="41"/>
    </row>
    <row r="72" spans="2:12" ht="8" customHeight="1"/>
    <row r="73" spans="2:12" ht="26.76" customHeight="1">
      <c r="B73" s="21" t="s">
        <v>256</v>
      </c>
      <c r="C73" s="21"/>
      <c r="D73" s="21"/>
      <c r="E73" s="21"/>
      <c r="F73" s="21"/>
      <c r="G73" s="21"/>
      <c r="H73" s="21"/>
      <c r="I73" s="21"/>
      <c r="J73" s="21"/>
      <c r="K73" s="21"/>
      <c r="L73" s="21"/>
    </row>
    <row r="74" spans="2:12">
      <c r="B74" s="61">
        <f>IF(OR(COUNTA(tblLanes[Lane])&gt;6,COUNTA(tblCarriers[Carrier])&gt;4),"Setup lists are longer than the Dashboard blocks: some lanes or carriers are not shown.","")</f>
        <v/>
      </c>
      <c r="C74" s="61"/>
      <c r="D74" s="61"/>
      <c r="E74" s="61"/>
      <c r="F74" s="61"/>
      <c r="G74" s="61"/>
      <c r="H74" s="61"/>
      <c r="I74" s="61"/>
      <c r="J74" s="61"/>
      <c r="K74" s="61"/>
      <c r="L74" s="61"/>
    </row>
  </sheetData>
  <sheetProtection sheet="1" formatColumns="0" formatRows="0"/>
  <mergeCells count="50">
    <mergeCell ref="A1:L1"/>
    <mergeCell ref="B2:J2"/>
    <mergeCell ref="K2:L2"/>
    <mergeCell ref="C4:D4"/>
    <mergeCell ref="G4:H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30:L30"/>
    <mergeCell ref="K31:L31"/>
    <mergeCell ref="K32:L32"/>
    <mergeCell ref="K33:L33"/>
    <mergeCell ref="K34:L34"/>
    <mergeCell ref="K35:L35"/>
    <mergeCell ref="K36:L36"/>
    <mergeCell ref="K37:L37"/>
    <mergeCell ref="K38:L38"/>
    <mergeCell ref="B40:I40"/>
    <mergeCell ref="B48:F48"/>
    <mergeCell ref="B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B73:L73"/>
    <mergeCell ref="B74:L74"/>
  </mergeCells>
  <conditionalFormatting sqref="G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H60:H71">
    <cfRule type="expression" dxfId="3" priority="47" stopIfTrue="1">
      <formula>AND(ISNUMBER(H60),H60&lt;=(TargetPct))</formula>
    </cfRule>
    <cfRule type="expression" dxfId="4" priority="48" stopIfTrue="1">
      <formula>AND(ISNUMBER(H60),H60&lt;=(TargetPct)*(1+0.05))</formula>
    </cfRule>
    <cfRule type="expression" dxfId="5" priority="49">
      <formula>ISNUMBER(H60)</formula>
    </cfRule>
  </conditionalFormatting>
  <conditionalFormatting sqref="I43:I46">
    <cfRule type="expression" dxfId="3" priority="44" stopIfTrue="1">
      <formula>AND(ISNUMBER(I43),I43&lt;=(TargetPct))</formula>
    </cfRule>
    <cfRule type="expression" dxfId="4" priority="45" stopIfTrue="1">
      <formula>AND(ISNUMBER(I43),I43&lt;=(TargetPct)*(1+0.05))</formula>
    </cfRule>
    <cfRule type="expression" dxfId="5" priority="46">
      <formula>ISNUMBER(I43)</formula>
    </cfRule>
  </conditionalFormatting>
  <conditionalFormatting sqref="J33:J38">
    <cfRule type="expression" dxfId="3" priority="21" stopIfTrue="1">
      <formula>AND(ISNUMBER(J33),J33&lt;=(TargetPct))</formula>
    </cfRule>
    <cfRule type="expression" dxfId="4" priority="22" stopIfTrue="1">
      <formula>AND(ISNUMBER(J33),J33&lt;=(TargetPct)*(1+0.05))</formula>
    </cfRule>
    <cfRule type="expression" dxfId="5" priority="23">
      <formula>ISNUMBER(J33)</formula>
    </cfRule>
  </conditionalFormatting>
  <conditionalFormatting sqref="J60:J71">
    <cfRule type="cellIs" dxfId="0" priority="50" operator="equal">
      <formula>"On target"</formula>
    </cfRule>
    <cfRule type="cellIs" dxfId="0" priority="51" operator="equal">
      <formula>"PASS"</formula>
    </cfRule>
    <cfRule type="cellIs" dxfId="0" priority="52" operator="equal">
      <formula>"OK"</formula>
    </cfRule>
    <cfRule type="cellIs" dxfId="0" priority="53" operator="equal">
      <formula>"Within limits"</formula>
    </cfRule>
    <cfRule type="cellIs" dxfId="0" priority="54" operator="equal">
      <formula>"Under capacity"</formula>
    </cfRule>
    <cfRule type="cellIs" dxfId="0" priority="55" operator="equal">
      <formula>"Complete"</formula>
    </cfRule>
    <cfRule type="cellIs" dxfId="0" priority="56" operator="equal">
      <formula>"Yes"</formula>
    </cfRule>
    <cfRule type="cellIs" dxfId="1" priority="57" operator="equal">
      <formula>"Near target"</formula>
    </cfRule>
    <cfRule type="cellIs" dxfId="1" priority="58" operator="equal">
      <formula>"Check"</formula>
    </cfRule>
    <cfRule type="cellIs" dxfId="1" priority="59" operator="equal">
      <formula>"Due soon"</formula>
    </cfRule>
    <cfRule type="cellIs" dxfId="1" priority="60" operator="equal">
      <formula>"Near capacity"</formula>
    </cfRule>
    <cfRule type="cellIs" dxfId="1" priority="61" operator="equal">
      <formula>"In progress"</formula>
    </cfRule>
    <cfRule type="cellIs" dxfId="1" priority="62" operator="equal">
      <formula>"Partial"</formula>
    </cfRule>
    <cfRule type="cellIs" dxfId="2" priority="63" operator="equal">
      <formula>"Below target"</formula>
    </cfRule>
    <cfRule type="cellIs" dxfId="2" priority="64" operator="equal">
      <formula>"Above target"</formula>
    </cfRule>
    <cfRule type="cellIs" dxfId="2" priority="65" operator="equal">
      <formula>"FAIL"</formula>
    </cfRule>
    <cfRule type="cellIs" dxfId="2" priority="66" operator="equal">
      <formula>"Over capacity"</formula>
    </cfRule>
    <cfRule type="cellIs" dxfId="2" priority="67" operator="equal">
      <formula>"Overdue"</formula>
    </cfRule>
    <cfRule type="cellIs" dxfId="2" priority="68" operator="equal">
      <formula>"Out of limits"</formula>
    </cfRule>
    <cfRule type="cellIs" dxfId="2" priority="69" operator="equal">
      <formula>"No"</formula>
    </cfRule>
  </conditionalFormatting>
  <conditionalFormatting sqref="K33:K38">
    <cfRule type="cellIs" dxfId="0" priority="24" operator="equal">
      <formula>"On target"</formula>
    </cfRule>
    <cfRule type="cellIs" dxfId="0" priority="25" operator="equal">
      <formula>"PASS"</formula>
    </cfRule>
    <cfRule type="cellIs" dxfId="0" priority="26" operator="equal">
      <formula>"OK"</formula>
    </cfRule>
    <cfRule type="cellIs" dxfId="0" priority="27" operator="equal">
      <formula>"Within limits"</formula>
    </cfRule>
    <cfRule type="cellIs" dxfId="0" priority="28" operator="equal">
      <formula>"Under capacity"</formula>
    </cfRule>
    <cfRule type="cellIs" dxfId="0" priority="29" operator="equal">
      <formula>"Complete"</formula>
    </cfRule>
    <cfRule type="cellIs" dxfId="0" priority="30" operator="equal">
      <formula>"Yes"</formula>
    </cfRule>
    <cfRule type="cellIs" dxfId="1" priority="31" operator="equal">
      <formula>"Near target"</formula>
    </cfRule>
    <cfRule type="cellIs" dxfId="1" priority="32" operator="equal">
      <formula>"Check"</formula>
    </cfRule>
    <cfRule type="cellIs" dxfId="1" priority="33" operator="equal">
      <formula>"Due soon"</formula>
    </cfRule>
    <cfRule type="cellIs" dxfId="1" priority="34" operator="equal">
      <formula>"Near capacity"</formula>
    </cfRule>
    <cfRule type="cellIs" dxfId="1" priority="35" operator="equal">
      <formula>"In progress"</formula>
    </cfRule>
    <cfRule type="cellIs" dxfId="1" priority="36" operator="equal">
      <formula>"Partial"</formula>
    </cfRule>
    <cfRule type="cellIs" dxfId="2" priority="37" operator="equal">
      <formula>"Below target"</formula>
    </cfRule>
    <cfRule type="cellIs" dxfId="2" priority="38" operator="equal">
      <formula>"Above target"</formula>
    </cfRule>
    <cfRule type="cellIs" dxfId="2" priority="39" operator="equal">
      <formula>"FAIL"</formula>
    </cfRule>
    <cfRule type="cellIs" dxfId="2" priority="40" operator="equal">
      <formula>"Over capacity"</formula>
    </cfRule>
    <cfRule type="cellIs" dxfId="2" priority="41" operator="equal">
      <formula>"Overdue"</formula>
    </cfRule>
    <cfRule type="cellIs" dxfId="2" priority="42" operator="equal">
      <formula>"Out of limits"</formula>
    </cfRule>
    <cfRule type="cellIs" dxfId="2" priority="43" operator="equal">
      <formula>"No"</formula>
    </cfRule>
  </conditionalFormatting>
  <dataValidations count="2">
    <dataValidation type="date" allowBlank="1" showInputMessage="1" showErrorMessage="1" errorTitle="Check this entry" error="Enter a date between 01 Jan 2000 and 31 Dec 2100." promptTitle="From" prompt="First ship date to include. Leave blank to start at the first record. Enter a date between 01 Jan 2000 and 31 Dec 2100." sqref="C4">
      <formula1>36526</formula1>
      <formula2>73415</formula2>
    </dataValidation>
    <dataValidation type="date" allowBlank="1" showInputMessage="1" showErrorMessage="1" errorTitle="Check this entry" error="Enter a date between 01 Jan 2000 and 31 Dec 2100." promptTitle="To" prompt="Last ship date to include. Leave blank to end at the latest record. Enter a date between 01 Jan 2000 and 31 Dec 2100." sqref="G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Freight Cost Per Unit&amp;R&amp;8&amp;A</oddHeader>
    <oddFooter>&amp;L&amp;8mfgcalcs.com - free manufacturing templates&amp;R&amp;8Page &amp;P of &amp;N</oddFooter>
  </headerFooter>
  <rowBreaks count="2" manualBreakCount="2">
    <brk id="29" max="16383" man="1"/>
    <brk id="56"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257</v>
      </c>
      <c r="C4" s="8"/>
      <c r="D4" s="8"/>
    </row>
    <row r="5" spans="1:4" ht="5" customHeight="1"/>
    <row r="6" spans="1:4" ht="69" customHeight="1">
      <c r="B6" s="10" t="s">
        <v>258</v>
      </c>
      <c r="C6" s="10"/>
      <c r="D6" s="10"/>
    </row>
    <row r="8" spans="1:4" ht="21" customHeight="1">
      <c r="B8" s="8" t="s">
        <v>259</v>
      </c>
      <c r="C8" s="8"/>
      <c r="D8" s="8"/>
    </row>
    <row r="9" spans="1:4" ht="5" customHeight="1"/>
    <row r="10" spans="1:4" ht="20" customHeight="1">
      <c r="B10" s="54" t="s">
        <v>260</v>
      </c>
      <c r="C10" s="54" t="s">
        <v>261</v>
      </c>
      <c r="D10" s="31" t="s">
        <v>262</v>
      </c>
    </row>
    <row r="11" spans="1:4" ht="17.2" customHeight="1">
      <c r="B11" s="62" t="s">
        <v>126</v>
      </c>
      <c r="C11" s="63" t="s">
        <v>263</v>
      </c>
      <c r="D11" s="64" t="s">
        <v>264</v>
      </c>
    </row>
    <row r="12" spans="1:4" ht="17.2" customHeight="1">
      <c r="B12" s="62" t="s">
        <v>127</v>
      </c>
      <c r="C12" s="63" t="s">
        <v>265</v>
      </c>
      <c r="D12" s="64" t="s">
        <v>264</v>
      </c>
    </row>
    <row r="13" spans="1:4" ht="30.4" customHeight="1">
      <c r="B13" s="62" t="s">
        <v>128</v>
      </c>
      <c r="C13" s="63" t="s">
        <v>266</v>
      </c>
      <c r="D13" s="64" t="s">
        <v>267</v>
      </c>
    </row>
    <row r="14" spans="1:4" ht="17.2" customHeight="1">
      <c r="B14" s="62" t="s">
        <v>129</v>
      </c>
      <c r="C14" s="63" t="s">
        <v>268</v>
      </c>
      <c r="D14" s="64" t="s">
        <v>267</v>
      </c>
    </row>
    <row r="15" spans="1:4" ht="30.4" customHeight="1">
      <c r="B15" s="62" t="s">
        <v>130</v>
      </c>
      <c r="C15" s="63" t="s">
        <v>269</v>
      </c>
      <c r="D15" s="64" t="s">
        <v>270</v>
      </c>
    </row>
    <row r="16" spans="1:4" ht="17.2" customHeight="1">
      <c r="B16" s="62" t="s">
        <v>131</v>
      </c>
      <c r="C16" s="63" t="s">
        <v>271</v>
      </c>
      <c r="D16" s="64" t="s">
        <v>272</v>
      </c>
    </row>
    <row r="17" spans="2:4" ht="17.2" customHeight="1">
      <c r="B17" s="62" t="s">
        <v>132</v>
      </c>
      <c r="C17" s="63" t="s">
        <v>273</v>
      </c>
      <c r="D17" s="64" t="s">
        <v>274</v>
      </c>
    </row>
    <row r="18" spans="2:4" ht="30.4" customHeight="1">
      <c r="B18" s="62" t="s">
        <v>133</v>
      </c>
      <c r="C18" s="63" t="s">
        <v>275</v>
      </c>
      <c r="D18" s="64" t="s">
        <v>276</v>
      </c>
    </row>
    <row r="19" spans="2:4" ht="43.6" customHeight="1">
      <c r="B19" s="62" t="s">
        <v>277</v>
      </c>
      <c r="C19" s="63" t="s">
        <v>278</v>
      </c>
      <c r="D19" s="64" t="s">
        <v>276</v>
      </c>
    </row>
    <row r="20" spans="2:4" ht="30.4" customHeight="1">
      <c r="B20" s="62" t="s">
        <v>251</v>
      </c>
      <c r="C20" s="63" t="s">
        <v>279</v>
      </c>
      <c r="D20" s="64" t="s">
        <v>274</v>
      </c>
    </row>
    <row r="21" spans="2:4" ht="17.2" customHeight="1">
      <c r="B21" s="62" t="s">
        <v>280</v>
      </c>
      <c r="C21" s="63" t="s">
        <v>281</v>
      </c>
      <c r="D21" s="64" t="s">
        <v>274</v>
      </c>
    </row>
    <row r="22" spans="2:4" ht="30.4" customHeight="1">
      <c r="B22" s="62" t="s">
        <v>282</v>
      </c>
      <c r="C22" s="63" t="s">
        <v>283</v>
      </c>
      <c r="D22" s="64" t="s">
        <v>267</v>
      </c>
    </row>
    <row r="23" spans="2:4" ht="30.4" customHeight="1">
      <c r="B23" s="62" t="s">
        <v>284</v>
      </c>
      <c r="C23" s="63" t="s">
        <v>285</v>
      </c>
      <c r="D23" s="64" t="s">
        <v>286</v>
      </c>
    </row>
    <row r="25" spans="2:4" ht="21" customHeight="1">
      <c r="B25" s="8" t="s">
        <v>287</v>
      </c>
      <c r="C25" s="8"/>
      <c r="D25" s="8"/>
    </row>
    <row r="26" spans="2:4" ht="5" customHeight="1"/>
    <row r="27" spans="2:4" ht="42.6" customHeight="1">
      <c r="B27" s="26" t="s">
        <v>53</v>
      </c>
      <c r="C27" s="10" t="s">
        <v>288</v>
      </c>
      <c r="D27" s="10"/>
    </row>
    <row r="28" spans="2:4" ht="29.4" customHeight="1">
      <c r="B28" s="26" t="s">
        <v>53</v>
      </c>
      <c r="C28" s="10" t="s">
        <v>289</v>
      </c>
      <c r="D28" s="10"/>
    </row>
    <row r="29" spans="2:4" ht="29.4" customHeight="1">
      <c r="B29" s="26" t="s">
        <v>53</v>
      </c>
      <c r="C29" s="10" t="s">
        <v>290</v>
      </c>
      <c r="D29" s="10"/>
    </row>
    <row r="30" spans="2:4" ht="29.4" customHeight="1">
      <c r="B30" s="26" t="s">
        <v>53</v>
      </c>
      <c r="C30" s="10" t="s">
        <v>291</v>
      </c>
      <c r="D30" s="10"/>
    </row>
    <row r="32" spans="2:4" ht="21" customHeight="1">
      <c r="B32" s="8" t="s">
        <v>292</v>
      </c>
      <c r="C32" s="8"/>
      <c r="D32" s="8"/>
    </row>
    <row r="33" spans="2:4" ht="5" customHeight="1"/>
    <row r="34" spans="2:4" ht="29.4" customHeight="1">
      <c r="B34" s="26" t="s">
        <v>53</v>
      </c>
      <c r="C34" s="10" t="s">
        <v>293</v>
      </c>
      <c r="D34" s="10"/>
    </row>
    <row r="35" spans="2:4" ht="29.4" customHeight="1">
      <c r="B35" s="26" t="s">
        <v>53</v>
      </c>
      <c r="C35" s="10" t="s">
        <v>294</v>
      </c>
      <c r="D35" s="10"/>
    </row>
    <row r="36" spans="2:4" ht="29.4" customHeight="1">
      <c r="B36" s="26" t="s">
        <v>53</v>
      </c>
      <c r="C36" s="10" t="s">
        <v>295</v>
      </c>
      <c r="D36" s="10"/>
    </row>
    <row r="37" spans="2:4" ht="29.4" customHeight="1">
      <c r="B37" s="26" t="s">
        <v>53</v>
      </c>
      <c r="C37" s="10" t="s">
        <v>296</v>
      </c>
      <c r="D37" s="10"/>
    </row>
    <row r="39" spans="2:4" ht="21" customHeight="1">
      <c r="B39" s="8" t="s">
        <v>297</v>
      </c>
      <c r="C39" s="8"/>
      <c r="D39" s="8"/>
    </row>
    <row r="40" spans="2:4" ht="5" customHeight="1"/>
    <row r="41" spans="2:4" ht="69" customHeight="1">
      <c r="B41" s="10" t="s">
        <v>298</v>
      </c>
      <c r="C41" s="10"/>
      <c r="D41" s="10"/>
    </row>
    <row r="42" spans="2:4">
      <c r="B42" s="24" t="s">
        <v>299</v>
      </c>
      <c r="C42" s="24"/>
      <c r="D42" s="24"/>
    </row>
    <row r="44" spans="2:4" ht="21" customHeight="1">
      <c r="B44" s="8" t="s">
        <v>40</v>
      </c>
      <c r="C44" s="8"/>
      <c r="D44" s="8"/>
    </row>
    <row r="45" spans="2:4" ht="5" customHeight="1"/>
    <row r="46" spans="2:4" ht="42.6" customHeight="1">
      <c r="B46" s="10" t="s">
        <v>300</v>
      </c>
      <c r="C46" s="10"/>
      <c r="D46" s="10"/>
    </row>
    <row r="48" spans="2:4" ht="21" customHeight="1">
      <c r="B48" s="8" t="s">
        <v>301</v>
      </c>
      <c r="C48" s="8"/>
      <c r="D48" s="8"/>
    </row>
    <row r="49" spans="2:4" ht="5" customHeight="1"/>
    <row r="50" spans="2:4" ht="29.4" customHeight="1">
      <c r="B50" s="26" t="s">
        <v>53</v>
      </c>
      <c r="C50" s="10" t="s">
        <v>302</v>
      </c>
      <c r="D50" s="10"/>
    </row>
    <row r="51" spans="2:4" ht="29.4" customHeight="1">
      <c r="B51" s="26" t="s">
        <v>53</v>
      </c>
      <c r="C51" s="10" t="s">
        <v>303</v>
      </c>
      <c r="D51" s="10"/>
    </row>
    <row r="52" spans="2:4" ht="29.4" customHeight="1">
      <c r="B52" s="26" t="s">
        <v>53</v>
      </c>
      <c r="C52" s="10" t="s">
        <v>304</v>
      </c>
      <c r="D52" s="10"/>
    </row>
    <row r="53" spans="2:4">
      <c r="B53" s="21" t="s">
        <v>305</v>
      </c>
      <c r="C53" s="21"/>
      <c r="D53" s="21"/>
    </row>
    <row r="55" spans="2:4" ht="21" customHeight="1">
      <c r="B55" s="8" t="s">
        <v>306</v>
      </c>
      <c r="C55" s="8"/>
      <c r="D55" s="8"/>
    </row>
    <row r="56" spans="2:4" ht="5" customHeight="1"/>
    <row r="57" spans="2:4">
      <c r="B57" s="54" t="s">
        <v>48</v>
      </c>
      <c r="C57" s="54" t="s">
        <v>307</v>
      </c>
      <c r="D57" s="31" t="s">
        <v>308</v>
      </c>
    </row>
    <row r="58" spans="2:4" ht="16.2" customHeight="1">
      <c r="B58" s="65" t="s">
        <v>309</v>
      </c>
      <c r="C58" s="66" t="s">
        <v>310</v>
      </c>
      <c r="D58" s="67" t="s">
        <v>311</v>
      </c>
    </row>
    <row r="60" spans="2:4">
      <c r="B60" s="21" t="s">
        <v>59</v>
      </c>
      <c r="C60" s="21"/>
      <c r="D60" s="21"/>
    </row>
  </sheetData>
  <sheetProtection sheet="1" formatColumns="0" formatRows="0"/>
  <mergeCells count="27">
    <mergeCell ref="A1:D1"/>
    <mergeCell ref="B2:C2"/>
    <mergeCell ref="B4:D4"/>
    <mergeCell ref="B6:D6"/>
    <mergeCell ref="B8:D8"/>
    <mergeCell ref="B25:D25"/>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Freight Cost Per Unit&amp;R&amp;8&amp;A</oddHeader>
    <oddFooter>&amp;L&amp;8mfgcalcs.com - free manufacturing templates&amp;R&amp;8Page &amp;P of &amp;N</oddFooter>
  </headerFooter>
  <rowBreaks count="2" manualBreakCount="2">
    <brk id="24"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X76"/>
  <sheetViews>
    <sheetView showGridLines="0" workbookViewId="0"/>
  </sheetViews>
  <sheetFormatPr defaultRowHeight="15"/>
  <cols>
    <col min="1" max="1" width="2.7109375" customWidth="1"/>
    <col min="2" max="19" width="12.7109375" customWidth="1"/>
    <col min="20" max="20" width="10.7109375" customWidth="1"/>
    <col min="21" max="22" width="12.28515625" customWidth="1"/>
    <col min="23" max="23" width="22.7109375" customWidth="1"/>
    <col min="24" max="24" width="26.7109375" customWidth="1"/>
  </cols>
  <sheetData>
    <row r="1" spans="1:24" ht="30" customHeight="1">
      <c r="A1" s="1" t="s">
        <v>0</v>
      </c>
      <c r="B1" s="1"/>
      <c r="C1" s="1"/>
      <c r="D1" s="1"/>
      <c r="E1" s="1"/>
      <c r="F1" s="1"/>
      <c r="G1" s="1"/>
      <c r="H1" s="1"/>
      <c r="I1" s="1"/>
      <c r="J1" s="1"/>
      <c r="K1" s="1"/>
      <c r="L1" s="1"/>
      <c r="M1" s="1"/>
      <c r="N1" s="1"/>
      <c r="O1" s="1"/>
      <c r="P1" s="1"/>
      <c r="Q1" s="1"/>
      <c r="R1" s="1"/>
      <c r="S1" s="1"/>
      <c r="T1" s="1"/>
      <c r="U1" s="1"/>
      <c r="V1" s="1"/>
      <c r="W1" s="1"/>
      <c r="X1" s="1"/>
    </row>
    <row r="2" spans="1:24" ht="21" customHeight="1">
      <c r="B2" s="2" t="s">
        <v>26</v>
      </c>
      <c r="C2" s="2"/>
      <c r="D2" s="2"/>
      <c r="E2" s="2"/>
      <c r="F2" s="2"/>
      <c r="G2" s="2"/>
      <c r="H2" s="2"/>
      <c r="I2" s="2"/>
      <c r="J2" s="2"/>
      <c r="K2" s="2"/>
      <c r="L2" s="2"/>
      <c r="M2" s="2"/>
      <c r="N2" s="2"/>
      <c r="O2" s="2"/>
      <c r="P2" s="2"/>
      <c r="Q2" s="2"/>
      <c r="R2" s="2"/>
      <c r="S2" s="2"/>
      <c r="T2" s="2"/>
      <c r="U2" s="2"/>
      <c r="V2" s="2"/>
      <c r="W2" s="2"/>
      <c r="X2" s="3" t="s">
        <v>2</v>
      </c>
    </row>
    <row r="3" spans="1:24" ht="6" customHeight="1"/>
    <row r="4" spans="1:24" ht="30" customHeight="1">
      <c r="B4" s="68" t="s">
        <v>312</v>
      </c>
      <c r="C4" s="68"/>
      <c r="D4" s="22" t="str">
        <f>IF(COUNTIF($K$11:$K$29,"PASS")=19,"PASS","FAIL")</f>
        <v>PASS</v>
      </c>
      <c r="E4" s="22"/>
      <c r="F4" s="23" t="str">
        <f>COUNTIF($K$11:$K$29,"PASS")&amp;" of 19 checks pass"</f>
        <v>19 of 19 checks pass</v>
      </c>
      <c r="G4" s="23"/>
      <c r="H4" s="23"/>
      <c r="I4" s="23"/>
      <c r="J4" s="23"/>
    </row>
    <row r="6" spans="1:24" ht="29.4" customHeight="1">
      <c r="B6" s="10" t="s">
        <v>313</v>
      </c>
      <c r="C6" s="10"/>
      <c r="D6" s="10"/>
      <c r="E6" s="10"/>
      <c r="F6" s="10"/>
      <c r="G6" s="10"/>
      <c r="H6" s="10"/>
      <c r="I6" s="10"/>
      <c r="J6" s="10"/>
      <c r="K6" s="10"/>
      <c r="L6" s="10"/>
    </row>
    <row r="8" spans="1:24" ht="21" customHeight="1">
      <c r="B8" s="8" t="s">
        <v>314</v>
      </c>
      <c r="C8" s="8"/>
      <c r="D8" s="8"/>
      <c r="E8" s="8"/>
      <c r="F8" s="8"/>
      <c r="G8" s="8"/>
      <c r="H8" s="8"/>
      <c r="I8" s="8"/>
      <c r="J8" s="8"/>
      <c r="K8" s="8"/>
      <c r="L8" s="8"/>
    </row>
    <row r="9" spans="1:24" ht="5" customHeight="1"/>
    <row r="10" spans="1:24" ht="30" customHeight="1">
      <c r="B10" s="31" t="s">
        <v>315</v>
      </c>
      <c r="C10" s="54" t="s">
        <v>135</v>
      </c>
      <c r="D10" s="54"/>
      <c r="E10" s="54"/>
      <c r="F10" s="54"/>
      <c r="G10" s="31" t="s">
        <v>316</v>
      </c>
      <c r="H10" s="31" t="s">
        <v>317</v>
      </c>
      <c r="I10" s="31" t="s">
        <v>318</v>
      </c>
      <c r="J10" s="31" t="s">
        <v>319</v>
      </c>
      <c r="K10" s="31" t="s">
        <v>320</v>
      </c>
    </row>
    <row r="11" spans="1:24" ht="16.2" customHeight="1">
      <c r="B11" s="69">
        <v>1</v>
      </c>
      <c r="C11" s="66" t="s">
        <v>321</v>
      </c>
      <c r="D11" s="66"/>
      <c r="E11" s="66"/>
      <c r="F11" s="66"/>
      <c r="G11" s="70">
        <v>2150</v>
      </c>
      <c r="H11" s="37">
        <f>$N$52</f>
        <v>2150</v>
      </c>
      <c r="I11" s="71">
        <f>IF(AND(ISNUMBER($G$11),ISNUMBER($H$11)),ABS($H$11-$G$11),"")</f>
        <v>0</v>
      </c>
      <c r="J11" s="72">
        <v>1E-09</v>
      </c>
      <c r="K11" s="41" t="str">
        <f>IF(AND(ISNUMBER($G$11),ISNUMBER($H$11)),IF(ABS($H$11-$G$11)&lt;=$J$11,"PASS","FAIL"),"FAIL")</f>
        <v>PASS</v>
      </c>
    </row>
    <row r="12" spans="1:24" ht="16.2" customHeight="1">
      <c r="B12" s="69">
        <v>2</v>
      </c>
      <c r="C12" s="66" t="s">
        <v>322</v>
      </c>
      <c r="D12" s="66"/>
      <c r="E12" s="66"/>
      <c r="F12" s="66"/>
      <c r="G12" s="73">
        <v>0.43</v>
      </c>
      <c r="H12" s="38">
        <f>$P$52</f>
        <v>0.43</v>
      </c>
      <c r="I12" s="71">
        <f>IF(AND(ISNUMBER($G$12),ISNUMBER($H$12)),ABS($H$12-$G$12),"")</f>
        <v>0</v>
      </c>
      <c r="J12" s="72">
        <v>1E-09</v>
      </c>
      <c r="K12" s="41" t="str">
        <f>IF(AND(ISNUMBER($G$12),ISNUMBER($H$12)),IF(ABS($H$12-$G$12)&lt;=$J$12,"PASS","FAIL"),"FAIL")</f>
        <v>PASS</v>
      </c>
    </row>
    <row r="13" spans="1:24" ht="16.2" customHeight="1">
      <c r="B13" s="69">
        <v>3</v>
      </c>
      <c r="C13" s="66" t="s">
        <v>323</v>
      </c>
      <c r="D13" s="66"/>
      <c r="E13" s="66"/>
      <c r="F13" s="66"/>
      <c r="G13" s="73">
        <v>0.07000000000000001</v>
      </c>
      <c r="H13" s="38">
        <f>$Q$52</f>
        <v>0.07</v>
      </c>
      <c r="I13" s="71">
        <f>IF(AND(ISNUMBER($G$13),ISNUMBER($H$13)),ABS($H$13-$G$13),"")</f>
        <v>0</v>
      </c>
      <c r="J13" s="72">
        <v>1E-09</v>
      </c>
      <c r="K13" s="41" t="str">
        <f>IF(AND(ISNUMBER($G$13),ISNUMBER($H$13)),IF(ABS($H$13-$G$13)&lt;=$J$13,"PASS","FAIL"),"FAIL")</f>
        <v>PASS</v>
      </c>
    </row>
    <row r="14" spans="1:24" ht="16.2" customHeight="1">
      <c r="B14" s="69">
        <v>4</v>
      </c>
      <c r="C14" s="66" t="s">
        <v>324</v>
      </c>
      <c r="D14" s="66"/>
      <c r="E14" s="66"/>
      <c r="F14" s="66"/>
      <c r="G14" s="74">
        <v>0.5375</v>
      </c>
      <c r="H14" s="75">
        <f>$R$52</f>
        <v>0.5375</v>
      </c>
      <c r="I14" s="71">
        <f>IF(AND(ISNUMBER($G$14),ISNUMBER($H$14)),ABS($H$14-$G$14),"")</f>
        <v>0</v>
      </c>
      <c r="J14" s="72">
        <v>1E-09</v>
      </c>
      <c r="K14" s="41" t="str">
        <f>IF(AND(ISNUMBER($G$14),ISNUMBER($H$14)),IF(ABS($H$14-$G$14)&lt;=$J$14,"PASS","FAIL"),"FAIL")</f>
        <v>PASS</v>
      </c>
    </row>
    <row r="15" spans="1:24" ht="16.2" customHeight="1">
      <c r="B15" s="69">
        <v>5</v>
      </c>
      <c r="C15" s="66" t="s">
        <v>325</v>
      </c>
      <c r="D15" s="66"/>
      <c r="E15" s="66"/>
      <c r="F15" s="66"/>
      <c r="G15" s="70">
        <v>215</v>
      </c>
      <c r="H15" s="37">
        <f>$S$52</f>
        <v>215</v>
      </c>
      <c r="I15" s="71">
        <f>IF(AND(ISNUMBER($G$15),ISNUMBER($H$15)),ABS($H$15-$G$15),"")</f>
        <v>0</v>
      </c>
      <c r="J15" s="72">
        <v>1E-09</v>
      </c>
      <c r="K15" s="41" t="str">
        <f>IF(AND(ISNUMBER($G$15),ISNUMBER($H$15)),IF(ABS($H$15-$G$15)&lt;=$J$15,"PASS","FAIL"),"FAIL")</f>
        <v>PASS</v>
      </c>
    </row>
    <row r="16" spans="1:24" ht="16.2" customHeight="1">
      <c r="B16" s="69">
        <v>6</v>
      </c>
      <c r="C16" s="66" t="s">
        <v>326</v>
      </c>
      <c r="D16" s="66"/>
      <c r="E16" s="66"/>
      <c r="F16" s="66"/>
      <c r="G16" s="60">
        <v>0.03333333333333333</v>
      </c>
      <c r="H16" s="40">
        <f>$T$52</f>
        <v>0.0333333333333333</v>
      </c>
      <c r="I16" s="71">
        <f>IF(AND(ISNUMBER($G$16),ISNUMBER($H$16)),ABS($H$16-$G$16),"")</f>
        <v>0</v>
      </c>
      <c r="J16" s="72">
        <v>1E-09</v>
      </c>
      <c r="K16" s="41" t="str">
        <f>IF(AND(ISNUMBER($G$16),ISNUMBER($H$16)),IF(ABS($H$16-$G$16)&lt;=$J$16,"PASS","FAIL"),"FAIL")</f>
        <v>PASS</v>
      </c>
    </row>
    <row r="17" spans="2:12" ht="16.2" customHeight="1">
      <c r="B17" s="69">
        <v>7</v>
      </c>
      <c r="C17" s="66" t="s">
        <v>327</v>
      </c>
      <c r="D17" s="66"/>
      <c r="E17" s="66"/>
      <c r="F17" s="66"/>
      <c r="G17" s="65" t="s">
        <v>328</v>
      </c>
      <c r="H17" s="76" t="str">
        <f>$U$52</f>
        <v>On target</v>
      </c>
      <c r="I17" s="76"/>
      <c r="J17" s="67" t="s">
        <v>329</v>
      </c>
      <c r="K17" s="41" t="str">
        <f>IF($H$17&amp;""=$G$17&amp;"","PASS","FAIL")</f>
        <v>PASS</v>
      </c>
    </row>
    <row r="18" spans="2:12" ht="16.2" customHeight="1">
      <c r="B18" s="69">
        <v>8</v>
      </c>
      <c r="C18" s="66" t="s">
        <v>330</v>
      </c>
      <c r="D18" s="66"/>
      <c r="E18" s="66"/>
      <c r="F18" s="66"/>
      <c r="G18" s="65" t="s">
        <v>138</v>
      </c>
      <c r="H18" s="76">
        <f>$S$53</f>
        <v/>
      </c>
      <c r="I18" s="76"/>
      <c r="J18" s="67" t="s">
        <v>329</v>
      </c>
      <c r="K18" s="41" t="str">
        <f>IF($H$18&amp;""=$G$18&amp;"","PASS","FAIL")</f>
        <v>PASS</v>
      </c>
    </row>
    <row r="19" spans="2:12" ht="16.2" customHeight="1">
      <c r="B19" s="69">
        <v>9</v>
      </c>
      <c r="C19" s="66" t="s">
        <v>331</v>
      </c>
      <c r="D19" s="66"/>
      <c r="E19" s="66"/>
      <c r="F19" s="66"/>
      <c r="G19" s="65" t="s">
        <v>332</v>
      </c>
      <c r="H19" s="76" t="str">
        <f>$U$53</f>
        <v>Above target</v>
      </c>
      <c r="I19" s="76"/>
      <c r="J19" s="67" t="s">
        <v>329</v>
      </c>
      <c r="K19" s="41" t="str">
        <f>IF($H$19&amp;""=$G$19&amp;"","PASS","FAIL")</f>
        <v>PASS</v>
      </c>
    </row>
    <row r="20" spans="2:12" ht="16.2" customHeight="1">
      <c r="B20" s="69">
        <v>10</v>
      </c>
      <c r="C20" s="66" t="s">
        <v>333</v>
      </c>
      <c r="D20" s="66"/>
      <c r="E20" s="66"/>
      <c r="F20" s="66"/>
      <c r="G20" s="60">
        <v>0.04085714285714286</v>
      </c>
      <c r="H20" s="40">
        <f>$T$54</f>
        <v>0.0408571428571429</v>
      </c>
      <c r="I20" s="71">
        <f>IF(AND(ISNUMBER($G$20),ISNUMBER($H$20)),ABS($H$20-$G$20),"")</f>
        <v>0</v>
      </c>
      <c r="J20" s="72">
        <v>1E-09</v>
      </c>
      <c r="K20" s="41" t="str">
        <f>IF(AND(ISNUMBER($G$20),ISNUMBER($H$20)),IF(ABS($H$20-$G$20)&lt;=$J$20,"PASS","FAIL"),"FAIL")</f>
        <v>PASS</v>
      </c>
    </row>
    <row r="21" spans="2:12" ht="16.2" customHeight="1">
      <c r="B21" s="69">
        <v>11</v>
      </c>
      <c r="C21" s="66" t="s">
        <v>334</v>
      </c>
      <c r="D21" s="66"/>
      <c r="E21" s="66"/>
      <c r="F21" s="66"/>
      <c r="G21" s="65" t="s">
        <v>335</v>
      </c>
      <c r="H21" s="76" t="str">
        <f>$U$54</f>
        <v>Near target</v>
      </c>
      <c r="I21" s="76"/>
      <c r="J21" s="67" t="s">
        <v>329</v>
      </c>
      <c r="K21" s="41" t="str">
        <f>IF($H$21&amp;""=$G$21&amp;"","PASS","FAIL")</f>
        <v>PASS</v>
      </c>
    </row>
    <row r="22" spans="2:12" ht="16.2" customHeight="1">
      <c r="B22" s="69">
        <v>12</v>
      </c>
      <c r="C22" s="66" t="s">
        <v>336</v>
      </c>
      <c r="D22" s="66"/>
      <c r="E22" s="66"/>
      <c r="F22" s="66"/>
      <c r="G22" s="65" t="s">
        <v>337</v>
      </c>
      <c r="H22" s="76" t="str">
        <f>$W$55</f>
        <v>Lane not on Setup list</v>
      </c>
      <c r="I22" s="76"/>
      <c r="J22" s="67" t="s">
        <v>329</v>
      </c>
      <c r="K22" s="41" t="str">
        <f>IF($H$22&amp;""=$G$22&amp;"","PASS","FAIL")</f>
        <v>PASS</v>
      </c>
    </row>
    <row r="23" spans="2:12" ht="16.2" customHeight="1">
      <c r="B23" s="69">
        <v>13</v>
      </c>
      <c r="C23" s="66" t="s">
        <v>338</v>
      </c>
      <c r="D23" s="66"/>
      <c r="E23" s="66"/>
      <c r="F23" s="66"/>
      <c r="G23" s="65" t="s">
        <v>339</v>
      </c>
      <c r="H23" s="76" t="str">
        <f>$W$56</f>
        <v>Duplicate reference</v>
      </c>
      <c r="I23" s="76"/>
      <c r="J23" s="67" t="s">
        <v>329</v>
      </c>
      <c r="K23" s="41" t="str">
        <f>IF($H$23&amp;""=$G$23&amp;"","PASS","FAIL")</f>
        <v>PASS</v>
      </c>
    </row>
    <row r="24" spans="2:12" ht="16.2" customHeight="1">
      <c r="B24" s="69">
        <v>14</v>
      </c>
      <c r="C24" s="66" t="s">
        <v>340</v>
      </c>
      <c r="D24" s="66"/>
      <c r="E24" s="66"/>
      <c r="F24" s="66"/>
      <c r="G24" s="73">
        <v>0.3227803203661327</v>
      </c>
      <c r="H24" s="38">
        <f>IF((SUMIFS(tblVerifyShipments[Units shipped],tblVerifyShipments[View date],"&gt;0"))=0,"",(SUMIFS(tblVerifyShipments[Total freight],tblVerifyShipments[View date],"&gt;0"))/(SUMIFS(tblVerifyShipments[Units shipped],tblVerifyShipments[View date],"&gt;0")))</f>
        <v>0.322780320366133</v>
      </c>
      <c r="I24" s="71">
        <f>IF(AND(ISNUMBER($G$24),ISNUMBER($H$24)),ABS($H$24-$G$24),"")</f>
        <v>0</v>
      </c>
      <c r="J24" s="72">
        <v>1E-09</v>
      </c>
      <c r="K24" s="41" t="str">
        <f>IF(AND(ISNUMBER($G$24),ISNUMBER($H$24)),IF(ABS($H$24-$G$24)&lt;=$J$24,"PASS","FAIL"),"FAIL")</f>
        <v>PASS</v>
      </c>
    </row>
    <row r="25" spans="2:12" ht="16.2" customHeight="1">
      <c r="B25" s="69">
        <v>15</v>
      </c>
      <c r="C25" s="66" t="s">
        <v>341</v>
      </c>
      <c r="D25" s="66"/>
      <c r="E25" s="66"/>
      <c r="F25" s="66"/>
      <c r="G25" s="60">
        <v>0.03447091886608016</v>
      </c>
      <c r="H25" s="40">
        <f>IF((SUMIFS(tblVerifyShipments[Product value],tblVerifyShipments[View date],"&gt;0"))=0,"",(SUMIFS(tblVerifyShipments[Total freight],tblVerifyShipments[View date],"&gt;0"))/(SUMIFS(tblVerifyShipments[Product value],tblVerifyShipments[View date],"&gt;0")))</f>
        <v>0.0344709188660802</v>
      </c>
      <c r="I25" s="71">
        <f>IF(AND(ISNUMBER($G$25),ISNUMBER($H$25)),ABS($H$25-$G$25),"")</f>
        <v>0</v>
      </c>
      <c r="J25" s="72">
        <v>1E-09</v>
      </c>
      <c r="K25" s="41" t="str">
        <f>IF(AND(ISNUMBER($G$25),ISNUMBER($H$25)),IF(ABS($H$25-$G$25)&lt;=$J$25,"PASS","FAIL"),"FAIL")</f>
        <v>PASS</v>
      </c>
    </row>
    <row r="26" spans="2:12" ht="16.2" customHeight="1">
      <c r="B26" s="69">
        <v>16</v>
      </c>
      <c r="C26" s="66" t="s">
        <v>342</v>
      </c>
      <c r="D26" s="66"/>
      <c r="E26" s="66"/>
      <c r="F26" s="66"/>
      <c r="G26" s="77">
        <v>0.1583424905178831</v>
      </c>
      <c r="H26" s="57">
        <f>IF((SUMIFS(tblVerifyShipments[Total freight],tblVerifyShipments[View date],"&gt;0"))=0,"",(SUMIFS(tblVerifyShipments[Fuel and extras],tblVerifyShipments[View date],"&gt;0"))/(SUMIFS(tblVerifyShipments[Total freight],tblVerifyShipments[View date],"&gt;0")))</f>
        <v>0.158342490517883</v>
      </c>
      <c r="I26" s="71">
        <f>IF(AND(ISNUMBER($G$26),ISNUMBER($H$26)),ABS($H$26-$G$26),"")</f>
        <v>0</v>
      </c>
      <c r="J26" s="72">
        <v>1E-09</v>
      </c>
      <c r="K26" s="41" t="str">
        <f>IF(AND(ISNUMBER($G$26),ISNUMBER($H$26)),IF(ABS($H$26-$G$26)&lt;=$J$26,"PASS","FAIL"),"FAIL")</f>
        <v>PASS</v>
      </c>
    </row>
    <row r="27" spans="2:12" ht="16.2" customHeight="1">
      <c r="B27" s="69">
        <v>17</v>
      </c>
      <c r="C27" s="66" t="s">
        <v>343</v>
      </c>
      <c r="D27" s="66"/>
      <c r="E27" s="66"/>
      <c r="F27" s="66"/>
      <c r="G27" s="73">
        <v>0.348</v>
      </c>
      <c r="H27" s="38">
        <f>$H$61</f>
        <v>0.348</v>
      </c>
      <c r="I27" s="71">
        <f>IF(AND(ISNUMBER($G$27),ISNUMBER($H$27)),ABS($H$27-$G$27),"")</f>
        <v>0</v>
      </c>
      <c r="J27" s="72">
        <v>1E-09</v>
      </c>
      <c r="K27" s="41" t="str">
        <f>IF(AND(ISNUMBER($G$27),ISNUMBER($H$27)),IF(ABS($H$27-$G$27)&lt;=$J$27,"PASS","FAIL"),"FAIL")</f>
        <v>PASS</v>
      </c>
    </row>
    <row r="28" spans="2:12" ht="16.2" customHeight="1">
      <c r="B28" s="69">
        <v>18</v>
      </c>
      <c r="C28" s="66" t="s">
        <v>344</v>
      </c>
      <c r="D28" s="66"/>
      <c r="E28" s="66"/>
      <c r="F28" s="66"/>
      <c r="G28" s="60">
        <v>0.03406993006993007</v>
      </c>
      <c r="H28" s="40">
        <f>$J$61</f>
        <v>0.0340699300699301</v>
      </c>
      <c r="I28" s="71">
        <f>IF(AND(ISNUMBER($G$28),ISNUMBER($H$28)),ABS($H$28-$G$28),"")</f>
        <v>0</v>
      </c>
      <c r="J28" s="72">
        <v>1E-09</v>
      </c>
      <c r="K28" s="41" t="str">
        <f>IF(AND(ISNUMBER($G$28),ISNUMBER($H$28)),IF(ABS($H$28-$G$28)&lt;=$J$28,"PASS","FAIL"),"FAIL")</f>
        <v>PASS</v>
      </c>
    </row>
    <row r="29" spans="2:12" ht="16.2" customHeight="1">
      <c r="B29" s="69">
        <v>19</v>
      </c>
      <c r="C29" s="66" t="s">
        <v>345</v>
      </c>
      <c r="D29" s="66"/>
      <c r="E29" s="66"/>
      <c r="F29" s="66"/>
      <c r="G29" s="73">
        <v>0.143</v>
      </c>
      <c r="H29" s="38">
        <f>$D$71</f>
        <v>0.143</v>
      </c>
      <c r="I29" s="71">
        <f>IF(AND(ISNUMBER($G$29),ISNUMBER($H$29)),ABS($H$29-$G$29),"")</f>
        <v>0</v>
      </c>
      <c r="J29" s="72">
        <v>1E-09</v>
      </c>
      <c r="K29" s="41" t="str">
        <f>IF(AND(ISNUMBER($G$29),ISNUMBER($H$29)),IF(ABS($H$29-$G$29)&lt;=$J$29,"PASS","FAIL"),"FAIL")</f>
        <v>PASS</v>
      </c>
    </row>
    <row r="31" spans="2:12" ht="21" customHeight="1">
      <c r="B31" s="8" t="s">
        <v>346</v>
      </c>
      <c r="C31" s="8"/>
      <c r="D31" s="8"/>
      <c r="E31" s="8"/>
      <c r="F31" s="8"/>
      <c r="G31" s="8"/>
      <c r="H31" s="8"/>
      <c r="I31" s="8"/>
      <c r="J31" s="8"/>
      <c r="K31" s="8"/>
      <c r="L31" s="8"/>
    </row>
    <row r="32" spans="2:12" ht="5" customHeight="1"/>
    <row r="33" spans="2:12">
      <c r="B33" s="21" t="s">
        <v>347</v>
      </c>
      <c r="C33" s="21"/>
      <c r="D33" s="21"/>
      <c r="E33" s="21"/>
      <c r="F33" s="21"/>
      <c r="G33" s="21"/>
      <c r="H33" s="21"/>
      <c r="I33" s="21"/>
      <c r="J33" s="21"/>
      <c r="K33" s="21"/>
      <c r="L33" s="21"/>
    </row>
    <row r="34" spans="2:12">
      <c r="B34" s="30" t="s">
        <v>348</v>
      </c>
      <c r="C34" s="30"/>
      <c r="D34" s="30"/>
      <c r="E34" s="30"/>
      <c r="F34" s="30"/>
    </row>
    <row r="35" spans="2:12">
      <c r="B35" s="27" t="s">
        <v>349</v>
      </c>
      <c r="C35" s="27"/>
      <c r="D35" s="27"/>
      <c r="E35" s="78">
        <v>0</v>
      </c>
      <c r="F35" s="7"/>
    </row>
    <row r="36" spans="2:12">
      <c r="B36" s="27" t="s">
        <v>350</v>
      </c>
      <c r="C36" s="27"/>
      <c r="D36" s="27"/>
      <c r="E36" s="78">
        <v>2958465</v>
      </c>
      <c r="F36" s="7"/>
    </row>
    <row r="37" spans="2:12">
      <c r="B37" s="27" t="s">
        <v>351</v>
      </c>
      <c r="C37" s="27"/>
      <c r="D37" s="27"/>
      <c r="E37" s="77">
        <v>0.04</v>
      </c>
      <c r="F37" s="7"/>
    </row>
    <row r="39" spans="2:12">
      <c r="B39" s="30" t="s">
        <v>352</v>
      </c>
      <c r="C39" s="30"/>
      <c r="D39" s="30"/>
      <c r="E39" s="30"/>
      <c r="F39" s="30"/>
      <c r="G39" s="30"/>
      <c r="H39" s="30"/>
      <c r="I39" s="30"/>
      <c r="J39" s="30"/>
      <c r="K39" s="30"/>
      <c r="L39" s="30"/>
    </row>
    <row r="40" spans="2:12" ht="20" customHeight="1">
      <c r="B40" s="31" t="s">
        <v>60</v>
      </c>
      <c r="C40" s="31" t="s">
        <v>61</v>
      </c>
      <c r="D40" s="31" t="s">
        <v>62</v>
      </c>
      <c r="E40" s="31" t="s">
        <v>63</v>
      </c>
    </row>
    <row r="41" spans="2:12">
      <c r="B41" s="65" t="s">
        <v>353</v>
      </c>
      <c r="C41" s="65" t="s">
        <v>354</v>
      </c>
      <c r="D41" s="65" t="s">
        <v>354</v>
      </c>
      <c r="E41" s="65" t="s">
        <v>138</v>
      </c>
    </row>
    <row r="42" spans="2:12">
      <c r="B42" s="65" t="s">
        <v>355</v>
      </c>
      <c r="C42" s="65" t="s">
        <v>354</v>
      </c>
      <c r="D42" s="65" t="s">
        <v>354</v>
      </c>
      <c r="E42" s="65" t="s">
        <v>138</v>
      </c>
    </row>
    <row r="44" spans="2:12">
      <c r="B44" s="30" t="s">
        <v>356</v>
      </c>
      <c r="C44" s="30"/>
      <c r="D44" s="30"/>
      <c r="E44" s="30"/>
      <c r="F44" s="30"/>
      <c r="G44" s="30"/>
      <c r="H44" s="30"/>
      <c r="I44" s="30"/>
      <c r="J44" s="30"/>
      <c r="K44" s="30"/>
      <c r="L44" s="30"/>
    </row>
    <row r="45" spans="2:12" ht="20" customHeight="1">
      <c r="B45" s="31" t="s">
        <v>64</v>
      </c>
      <c r="C45" s="31" t="s">
        <v>65</v>
      </c>
      <c r="D45" s="31" t="s">
        <v>63</v>
      </c>
    </row>
    <row r="46" spans="2:12">
      <c r="B46" s="65" t="s">
        <v>357</v>
      </c>
      <c r="C46" s="65" t="s">
        <v>354</v>
      </c>
      <c r="D46" s="65" t="s">
        <v>138</v>
      </c>
    </row>
    <row r="47" spans="2:12">
      <c r="B47" s="65" t="s">
        <v>358</v>
      </c>
      <c r="C47" s="65" t="s">
        <v>354</v>
      </c>
      <c r="D47" s="65" t="s">
        <v>138</v>
      </c>
    </row>
    <row r="49" spans="2:24">
      <c r="B49" s="30" t="s">
        <v>359</v>
      </c>
      <c r="C49" s="30"/>
      <c r="D49" s="30"/>
      <c r="E49" s="30"/>
      <c r="F49" s="30"/>
      <c r="G49" s="30"/>
      <c r="H49" s="30"/>
      <c r="I49" s="30"/>
      <c r="J49" s="30"/>
      <c r="K49" s="30"/>
      <c r="L49" s="30"/>
    </row>
    <row r="50" spans="2:24" ht="14" customHeight="1">
      <c r="B50" s="33"/>
      <c r="C50" s="33"/>
      <c r="D50" s="33"/>
      <c r="E50" s="33"/>
      <c r="F50" s="33"/>
      <c r="G50" s="33"/>
      <c r="H50" s="33"/>
      <c r="I50" s="33" t="str">
        <f>WeightUnit</f>
        <v>kg</v>
      </c>
      <c r="J50" s="33" t="str">
        <f>Currency</f>
        <v>GBP</v>
      </c>
      <c r="K50" s="33" t="str">
        <f>Currency</f>
        <v>GBP</v>
      </c>
      <c r="L50" s="33" t="str">
        <f>Currency</f>
        <v>GBP</v>
      </c>
      <c r="M50" s="33" t="str">
        <f>Currency</f>
        <v>GBP</v>
      </c>
      <c r="N50" s="33" t="str">
        <f>Currency</f>
        <v>GBP</v>
      </c>
      <c r="O50" s="33" t="str">
        <f>Currency</f>
        <v>GBP</v>
      </c>
      <c r="P50" s="33" t="str">
        <f>Currency&amp;"/unit"</f>
        <v>GBP/unit</v>
      </c>
      <c r="Q50" s="33" t="str">
        <f>Currency&amp;"/unit"</f>
        <v>GBP/unit</v>
      </c>
      <c r="R50" s="33" t="str">
        <f>Currency&amp;"/"&amp;WeightUnit</f>
        <v>GBP/kg</v>
      </c>
      <c r="S50" s="33" t="str">
        <f>Currency&amp;"/pallet"</f>
        <v>GBP/pallet</v>
      </c>
      <c r="T50" s="33"/>
      <c r="U50" s="33"/>
      <c r="V50" s="33"/>
      <c r="W50" s="33"/>
      <c r="X50" s="33"/>
    </row>
    <row r="51" spans="2:24" ht="32" customHeight="1">
      <c r="B51" s="31" t="s">
        <v>117</v>
      </c>
      <c r="C51" s="31" t="s">
        <v>118</v>
      </c>
      <c r="D51" s="31" t="s">
        <v>60</v>
      </c>
      <c r="E51" s="31" t="s">
        <v>64</v>
      </c>
      <c r="F51" s="31" t="s">
        <v>66</v>
      </c>
      <c r="G51" s="31" t="s">
        <v>119</v>
      </c>
      <c r="H51" s="31" t="s">
        <v>120</v>
      </c>
      <c r="I51" s="31" t="s">
        <v>121</v>
      </c>
      <c r="J51" s="31" t="s">
        <v>122</v>
      </c>
      <c r="K51" s="31" t="s">
        <v>123</v>
      </c>
      <c r="L51" s="31" t="s">
        <v>124</v>
      </c>
      <c r="M51" s="31" t="s">
        <v>125</v>
      </c>
      <c r="N51" s="31" t="s">
        <v>126</v>
      </c>
      <c r="O51" s="31" t="s">
        <v>127</v>
      </c>
      <c r="P51" s="31" t="s">
        <v>128</v>
      </c>
      <c r="Q51" s="31" t="s">
        <v>129</v>
      </c>
      <c r="R51" s="31" t="s">
        <v>130</v>
      </c>
      <c r="S51" s="31" t="s">
        <v>131</v>
      </c>
      <c r="T51" s="31" t="s">
        <v>132</v>
      </c>
      <c r="U51" s="31" t="s">
        <v>133</v>
      </c>
      <c r="V51" s="31" t="s">
        <v>134</v>
      </c>
      <c r="W51" s="31" t="s">
        <v>135</v>
      </c>
      <c r="X51" s="31" t="s">
        <v>63</v>
      </c>
    </row>
    <row r="52" spans="2:24">
      <c r="B52" s="79">
        <v>46027</v>
      </c>
      <c r="C52" s="65" t="s">
        <v>360</v>
      </c>
      <c r="D52" s="65" t="s">
        <v>353</v>
      </c>
      <c r="E52" s="65" t="s">
        <v>357</v>
      </c>
      <c r="F52" s="65" t="s">
        <v>108</v>
      </c>
      <c r="G52" s="78">
        <v>5000</v>
      </c>
      <c r="H52" s="78">
        <v>10</v>
      </c>
      <c r="I52" s="78">
        <v>4000</v>
      </c>
      <c r="J52" s="70">
        <v>64500</v>
      </c>
      <c r="K52" s="70">
        <v>1800</v>
      </c>
      <c r="L52" s="70">
        <v>240</v>
      </c>
      <c r="M52" s="70">
        <v>110</v>
      </c>
      <c r="N52" s="37">
        <f>IF(tblVerifyShipments[[#This Row],[Ship date]]="","",tblVerifyShipments[[#This Row],[Base charge]]+tblVerifyShipments[[#This Row],[Fuel surcharge]]+tblVerifyShipments[[#This Row],[Accessorials]])</f>
        <v>2150</v>
      </c>
      <c r="O52" s="37">
        <f>IF(tblVerifyShipments[[#This Row],[Ship date]]="","",tblVerifyShipments[[#This Row],[Fuel surcharge]]+tblVerifyShipments[[#This Row],[Accessorials]])</f>
        <v>350</v>
      </c>
      <c r="P52" s="38">
        <f>IF(tblVerifyShipments[[#This Row],[Ship date]]="","",IF(tblVerifyShipments[[#This Row],[Units shipped]]&gt;0,tblVerifyShipments[[#This Row],[Total freight]]/tblVerifyShipments[[#This Row],[Units shipped]],""))</f>
        <v>0.43</v>
      </c>
      <c r="Q52" s="38">
        <f>IF(tblVerifyShipments[[#This Row],[Ship date]]="","",IF(tblVerifyShipments[[#This Row],[Units shipped]]&gt;0,tblVerifyShipments[[#This Row],[Fuel and extras]]/tblVerifyShipments[[#This Row],[Units shipped]],""))</f>
        <v>0.07</v>
      </c>
      <c r="R52" s="39">
        <f>IF(tblVerifyShipments[[#This Row],[Ship date]]="","",IF(tblVerifyShipments[[#This Row],[Gross weight]]&gt;0,tblVerifyShipments[[#This Row],[Total freight]]/tblVerifyShipments[[#This Row],[Gross weight]],""))</f>
        <v>0.5375</v>
      </c>
      <c r="S52" s="37">
        <f>IF(tblVerifyShipments[[#This Row],[Ship date]]="","",IF(tblVerifyShipments[[#This Row],[Pallets]]&gt;0,tblVerifyShipments[[#This Row],[Total freight]]/tblVerifyShipments[[#This Row],[Pallets]],""))</f>
        <v>215</v>
      </c>
      <c r="T52" s="40">
        <f>IF(tblVerifyShipments[[#This Row],[Ship date]]="","",IF(tblVerifyShipments[[#This Row],[Product value]]&gt;0,tblVerifyShipments[[#This Row],[Total freight]]/tblVerifyShipments[[#This Row],[Product value]],""))</f>
        <v>0.0333333333333333</v>
      </c>
      <c r="U52" s="41" t="str">
        <f>IF(NOT(ISNUMBER(tblVerifyShipments[[#This Row],[Freight share of value]])),"",IF(tblVerifyShipments[[#This Row],[Freight share of value]]&lt;=$E$37,"On target",IF(tblVerifyShipments[[#This Row],[Freight share of value]]&lt;=$E$37*(1+0.05),"Near target","Above target")))</f>
        <v>On target</v>
      </c>
      <c r="V52" s="42">
        <f>IF(tblVerifyShipments[[#This Row],[Ship date]]="","",IF(AND(tblVerifyShipments[[#This Row],[Ship date]]&gt;=$E$35,tblVerifyShipments[[#This Row],[Ship date]]&lt;=$E$36),tblVerifyShipments[[#This Row],[Ship date]],""))</f>
        <v>46027</v>
      </c>
      <c r="W52" s="43" t="str">
        <f>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f>
        <v>OK</v>
      </c>
      <c r="X52" s="65" t="s">
        <v>138</v>
      </c>
    </row>
    <row r="53" spans="2:24">
      <c r="B53" s="79">
        <v>46028</v>
      </c>
      <c r="C53" s="65" t="s">
        <v>361</v>
      </c>
      <c r="D53" s="65" t="s">
        <v>355</v>
      </c>
      <c r="E53" s="65" t="s">
        <v>358</v>
      </c>
      <c r="F53" s="65" t="s">
        <v>115</v>
      </c>
      <c r="G53" s="78">
        <v>140</v>
      </c>
      <c r="H53" s="78">
        <v>0</v>
      </c>
      <c r="I53" s="78">
        <v>52</v>
      </c>
      <c r="J53" s="70">
        <v>1540</v>
      </c>
      <c r="K53" s="70">
        <v>74.40000000000001</v>
      </c>
      <c r="L53" s="70">
        <v>6.7</v>
      </c>
      <c r="M53" s="70">
        <v>0</v>
      </c>
      <c r="N53" s="37">
        <f>IF(tblVerifyShipments[[#This Row],[Ship date]]="","",tblVerifyShipments[[#This Row],[Base charge]]+tblVerifyShipments[[#This Row],[Fuel surcharge]]+tblVerifyShipments[[#This Row],[Accessorials]])</f>
        <v>81.1</v>
      </c>
      <c r="O53" s="37">
        <f>IF(tblVerifyShipments[[#This Row],[Ship date]]="","",tblVerifyShipments[[#This Row],[Fuel surcharge]]+tblVerifyShipments[[#This Row],[Accessorials]])</f>
        <v>6.7</v>
      </c>
      <c r="P53" s="38">
        <f>IF(tblVerifyShipments[[#This Row],[Ship date]]="","",IF(tblVerifyShipments[[#This Row],[Units shipped]]&gt;0,tblVerifyShipments[[#This Row],[Total freight]]/tblVerifyShipments[[#This Row],[Units shipped]],""))</f>
        <v>0.579285714285714</v>
      </c>
      <c r="Q53" s="38">
        <f>IF(tblVerifyShipments[[#This Row],[Ship date]]="","",IF(tblVerifyShipments[[#This Row],[Units shipped]]&gt;0,tblVerifyShipments[[#This Row],[Fuel and extras]]/tblVerifyShipments[[#This Row],[Units shipped]],""))</f>
        <v>0.0478571428571429</v>
      </c>
      <c r="R53" s="39">
        <f>IF(tblVerifyShipments[[#This Row],[Ship date]]="","",IF(tblVerifyShipments[[#This Row],[Gross weight]]&gt;0,tblVerifyShipments[[#This Row],[Total freight]]/tblVerifyShipments[[#This Row],[Gross weight]],""))</f>
        <v>1.55961538461538</v>
      </c>
      <c r="S53" s="37">
        <f>IF(tblVerifyShipments[[#This Row],[Ship date]]="","",IF(tblVerifyShipments[[#This Row],[Pallets]]&gt;0,tblVerifyShipments[[#This Row],[Total freight]]/tblVerifyShipments[[#This Row],[Pallets]],""))</f>
        <v/>
      </c>
      <c r="T53" s="40">
        <f>IF(tblVerifyShipments[[#This Row],[Ship date]]="","",IF(tblVerifyShipments[[#This Row],[Product value]]&gt;0,tblVerifyShipments[[#This Row],[Total freight]]/tblVerifyShipments[[#This Row],[Product value]],""))</f>
        <v>0.0526623376623377</v>
      </c>
      <c r="U53" s="41" t="str">
        <f>IF(NOT(ISNUMBER(tblVerifyShipments[[#This Row],[Freight share of value]])),"",IF(tblVerifyShipments[[#This Row],[Freight share of value]]&lt;=$E$37,"On target",IF(tblVerifyShipments[[#This Row],[Freight share of value]]&lt;=$E$37*(1+0.05),"Near target","Above target")))</f>
        <v>Above target</v>
      </c>
      <c r="V53" s="42">
        <f>IF(tblVerifyShipments[[#This Row],[Ship date]]="","",IF(AND(tblVerifyShipments[[#This Row],[Ship date]]&gt;=$E$35,tblVerifyShipments[[#This Row],[Ship date]]&lt;=$E$36),tblVerifyShipments[[#This Row],[Ship date]],""))</f>
        <v>46028</v>
      </c>
      <c r="W53" s="43" t="str">
        <f>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f>
        <v>OK</v>
      </c>
      <c r="X53" s="65" t="s">
        <v>138</v>
      </c>
    </row>
    <row r="54" spans="2:24">
      <c r="B54" s="79">
        <v>46029</v>
      </c>
      <c r="C54" s="65" t="s">
        <v>362</v>
      </c>
      <c r="D54" s="65" t="s">
        <v>353</v>
      </c>
      <c r="E54" s="65" t="s">
        <v>358</v>
      </c>
      <c r="F54" s="65" t="s">
        <v>110</v>
      </c>
      <c r="G54" s="78">
        <v>2000</v>
      </c>
      <c r="H54" s="78">
        <v>4</v>
      </c>
      <c r="I54" s="78">
        <v>1300</v>
      </c>
      <c r="J54" s="70">
        <v>7000</v>
      </c>
      <c r="K54" s="70">
        <v>260</v>
      </c>
      <c r="L54" s="70">
        <v>26</v>
      </c>
      <c r="M54" s="70">
        <v>0</v>
      </c>
      <c r="N54" s="37">
        <f>IF(tblVerifyShipments[[#This Row],[Ship date]]="","",tblVerifyShipments[[#This Row],[Base charge]]+tblVerifyShipments[[#This Row],[Fuel surcharge]]+tblVerifyShipments[[#This Row],[Accessorials]])</f>
        <v>286</v>
      </c>
      <c r="O54" s="37">
        <f>IF(tblVerifyShipments[[#This Row],[Ship date]]="","",tblVerifyShipments[[#This Row],[Fuel surcharge]]+tblVerifyShipments[[#This Row],[Accessorials]])</f>
        <v>26</v>
      </c>
      <c r="P54" s="38">
        <f>IF(tblVerifyShipments[[#This Row],[Ship date]]="","",IF(tblVerifyShipments[[#This Row],[Units shipped]]&gt;0,tblVerifyShipments[[#This Row],[Total freight]]/tblVerifyShipments[[#This Row],[Units shipped]],""))</f>
        <v>0.143</v>
      </c>
      <c r="Q54" s="38">
        <f>IF(tblVerifyShipments[[#This Row],[Ship date]]="","",IF(tblVerifyShipments[[#This Row],[Units shipped]]&gt;0,tblVerifyShipments[[#This Row],[Fuel and extras]]/tblVerifyShipments[[#This Row],[Units shipped]],""))</f>
        <v>0.013</v>
      </c>
      <c r="R54" s="39">
        <f>IF(tblVerifyShipments[[#This Row],[Ship date]]="","",IF(tblVerifyShipments[[#This Row],[Gross weight]]&gt;0,tblVerifyShipments[[#This Row],[Total freight]]/tblVerifyShipments[[#This Row],[Gross weight]],""))</f>
        <v>0.22</v>
      </c>
      <c r="S54" s="37">
        <f>IF(tblVerifyShipments[[#This Row],[Ship date]]="","",IF(tblVerifyShipments[[#This Row],[Pallets]]&gt;0,tblVerifyShipments[[#This Row],[Total freight]]/tblVerifyShipments[[#This Row],[Pallets]],""))</f>
        <v>71.5</v>
      </c>
      <c r="T54" s="40">
        <f>IF(tblVerifyShipments[[#This Row],[Ship date]]="","",IF(tblVerifyShipments[[#This Row],[Product value]]&gt;0,tblVerifyShipments[[#This Row],[Total freight]]/tblVerifyShipments[[#This Row],[Product value]],""))</f>
        <v>0.0408571428571429</v>
      </c>
      <c r="U54" s="41" t="str">
        <f>IF(NOT(ISNUMBER(tblVerifyShipments[[#This Row],[Freight share of value]])),"",IF(tblVerifyShipments[[#This Row],[Freight share of value]]&lt;=$E$37,"On target",IF(tblVerifyShipments[[#This Row],[Freight share of value]]&lt;=$E$37*(1+0.05),"Near target","Above target")))</f>
        <v>Near target</v>
      </c>
      <c r="V54" s="42">
        <f>IF(tblVerifyShipments[[#This Row],[Ship date]]="","",IF(AND(tblVerifyShipments[[#This Row],[Ship date]]&gt;=$E$35,tblVerifyShipments[[#This Row],[Ship date]]&lt;=$E$36),tblVerifyShipments[[#This Row],[Ship date]],""))</f>
        <v>46029</v>
      </c>
      <c r="W54" s="43" t="str">
        <f>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f>
        <v>OK</v>
      </c>
      <c r="X54" s="65" t="s">
        <v>138</v>
      </c>
    </row>
    <row r="55" spans="2:24">
      <c r="B55" s="79">
        <v>46034</v>
      </c>
      <c r="C55" s="65" t="s">
        <v>363</v>
      </c>
      <c r="D55" s="65" t="s">
        <v>364</v>
      </c>
      <c r="E55" s="65" t="s">
        <v>357</v>
      </c>
      <c r="F55" s="65" t="s">
        <v>110</v>
      </c>
      <c r="G55" s="78">
        <v>800</v>
      </c>
      <c r="H55" s="78">
        <v>2</v>
      </c>
      <c r="I55" s="78">
        <v>600</v>
      </c>
      <c r="J55" s="70">
        <v>4400</v>
      </c>
      <c r="K55" s="70">
        <v>120</v>
      </c>
      <c r="L55" s="70">
        <v>14</v>
      </c>
      <c r="M55" s="70">
        <v>18</v>
      </c>
      <c r="N55" s="37">
        <f>IF(tblVerifyShipments[[#This Row],[Ship date]]="","",tblVerifyShipments[[#This Row],[Base charge]]+tblVerifyShipments[[#This Row],[Fuel surcharge]]+tblVerifyShipments[[#This Row],[Accessorials]])</f>
        <v>152</v>
      </c>
      <c r="O55" s="37">
        <f>IF(tblVerifyShipments[[#This Row],[Ship date]]="","",tblVerifyShipments[[#This Row],[Fuel surcharge]]+tblVerifyShipments[[#This Row],[Accessorials]])</f>
        <v>32</v>
      </c>
      <c r="P55" s="38">
        <f>IF(tblVerifyShipments[[#This Row],[Ship date]]="","",IF(tblVerifyShipments[[#This Row],[Units shipped]]&gt;0,tblVerifyShipments[[#This Row],[Total freight]]/tblVerifyShipments[[#This Row],[Units shipped]],""))</f>
        <v>0.19</v>
      </c>
      <c r="Q55" s="38">
        <f>IF(tblVerifyShipments[[#This Row],[Ship date]]="","",IF(tblVerifyShipments[[#This Row],[Units shipped]]&gt;0,tblVerifyShipments[[#This Row],[Fuel and extras]]/tblVerifyShipments[[#This Row],[Units shipped]],""))</f>
        <v>0.04</v>
      </c>
      <c r="R55" s="39">
        <f>IF(tblVerifyShipments[[#This Row],[Ship date]]="","",IF(tblVerifyShipments[[#This Row],[Gross weight]]&gt;0,tblVerifyShipments[[#This Row],[Total freight]]/tblVerifyShipments[[#This Row],[Gross weight]],""))</f>
        <v>0.253333333333333</v>
      </c>
      <c r="S55" s="37">
        <f>IF(tblVerifyShipments[[#This Row],[Ship date]]="","",IF(tblVerifyShipments[[#This Row],[Pallets]]&gt;0,tblVerifyShipments[[#This Row],[Total freight]]/tblVerifyShipments[[#This Row],[Pallets]],""))</f>
        <v>76</v>
      </c>
      <c r="T55" s="40">
        <f>IF(tblVerifyShipments[[#This Row],[Ship date]]="","",IF(tblVerifyShipments[[#This Row],[Product value]]&gt;0,tblVerifyShipments[[#This Row],[Total freight]]/tblVerifyShipments[[#This Row],[Product value]],""))</f>
        <v>0.0345454545454545</v>
      </c>
      <c r="U55" s="41" t="str">
        <f>IF(NOT(ISNUMBER(tblVerifyShipments[[#This Row],[Freight share of value]])),"",IF(tblVerifyShipments[[#This Row],[Freight share of value]]&lt;=$E$37,"On target",IF(tblVerifyShipments[[#This Row],[Freight share of value]]&lt;=$E$37*(1+0.05),"Near target","Above target")))</f>
        <v>On target</v>
      </c>
      <c r="V55" s="42">
        <f>IF(tblVerifyShipments[[#This Row],[Ship date]]="","",IF(AND(tblVerifyShipments[[#This Row],[Ship date]]&gt;=$E$35,tblVerifyShipments[[#This Row],[Ship date]]&lt;=$E$36),tblVerifyShipments[[#This Row],[Ship date]],""))</f>
        <v>46034</v>
      </c>
      <c r="W55" s="43" t="str">
        <f>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f>
        <v>Lane not on Setup list</v>
      </c>
      <c r="X55" s="65" t="s">
        <v>138</v>
      </c>
    </row>
    <row r="56" spans="2:24">
      <c r="B56" s="79">
        <v>46035</v>
      </c>
      <c r="C56" s="65" t="s">
        <v>363</v>
      </c>
      <c r="D56" s="65" t="s">
        <v>355</v>
      </c>
      <c r="E56" s="65" t="s">
        <v>357</v>
      </c>
      <c r="F56" s="65" t="s">
        <v>110</v>
      </c>
      <c r="G56" s="78">
        <v>800</v>
      </c>
      <c r="H56" s="78">
        <v>2</v>
      </c>
      <c r="I56" s="78">
        <v>600</v>
      </c>
      <c r="J56" s="70">
        <v>4400</v>
      </c>
      <c r="K56" s="70">
        <v>120</v>
      </c>
      <c r="L56" s="70">
        <v>14</v>
      </c>
      <c r="M56" s="70">
        <v>18</v>
      </c>
      <c r="N56" s="37">
        <f>IF(tblVerifyShipments[[#This Row],[Ship date]]="","",tblVerifyShipments[[#This Row],[Base charge]]+tblVerifyShipments[[#This Row],[Fuel surcharge]]+tblVerifyShipments[[#This Row],[Accessorials]])</f>
        <v>152</v>
      </c>
      <c r="O56" s="37">
        <f>IF(tblVerifyShipments[[#This Row],[Ship date]]="","",tblVerifyShipments[[#This Row],[Fuel surcharge]]+tblVerifyShipments[[#This Row],[Accessorials]])</f>
        <v>32</v>
      </c>
      <c r="P56" s="38">
        <f>IF(tblVerifyShipments[[#This Row],[Ship date]]="","",IF(tblVerifyShipments[[#This Row],[Units shipped]]&gt;0,tblVerifyShipments[[#This Row],[Total freight]]/tblVerifyShipments[[#This Row],[Units shipped]],""))</f>
        <v>0.19</v>
      </c>
      <c r="Q56" s="38">
        <f>IF(tblVerifyShipments[[#This Row],[Ship date]]="","",IF(tblVerifyShipments[[#This Row],[Units shipped]]&gt;0,tblVerifyShipments[[#This Row],[Fuel and extras]]/tblVerifyShipments[[#This Row],[Units shipped]],""))</f>
        <v>0.04</v>
      </c>
      <c r="R56" s="39">
        <f>IF(tblVerifyShipments[[#This Row],[Ship date]]="","",IF(tblVerifyShipments[[#This Row],[Gross weight]]&gt;0,tblVerifyShipments[[#This Row],[Total freight]]/tblVerifyShipments[[#This Row],[Gross weight]],""))</f>
        <v>0.253333333333333</v>
      </c>
      <c r="S56" s="37">
        <f>IF(tblVerifyShipments[[#This Row],[Ship date]]="","",IF(tblVerifyShipments[[#This Row],[Pallets]]&gt;0,tblVerifyShipments[[#This Row],[Total freight]]/tblVerifyShipments[[#This Row],[Pallets]],""))</f>
        <v>76</v>
      </c>
      <c r="T56" s="40">
        <f>IF(tblVerifyShipments[[#This Row],[Ship date]]="","",IF(tblVerifyShipments[[#This Row],[Product value]]&gt;0,tblVerifyShipments[[#This Row],[Total freight]]/tblVerifyShipments[[#This Row],[Product value]],""))</f>
        <v>0.0345454545454545</v>
      </c>
      <c r="U56" s="41" t="str">
        <f>IF(NOT(ISNUMBER(tblVerifyShipments[[#This Row],[Freight share of value]])),"",IF(tblVerifyShipments[[#This Row],[Freight share of value]]&lt;=$E$37,"On target",IF(tblVerifyShipments[[#This Row],[Freight share of value]]&lt;=$E$37*(1+0.05),"Near target","Above target")))</f>
        <v>On target</v>
      </c>
      <c r="V56" s="42">
        <f>IF(tblVerifyShipments[[#This Row],[Ship date]]="","",IF(AND(tblVerifyShipments[[#This Row],[Ship date]]&gt;=$E$35,tblVerifyShipments[[#This Row],[Ship date]]&lt;=$E$36),tblVerifyShipments[[#This Row],[Ship date]],""))</f>
        <v>46035</v>
      </c>
      <c r="W56" s="43" t="str">
        <f>IF(tblVerifyShipments[[#This Row],[Ship date]]="","",IF(tblVerifyShipments[[#This Row],[Lane]]="","Missing lane",IF(tblVerifyShipments[[#This Row],[Carrier]]="","Missing carrier",IF(tblVerifyShipments[[#This Row],[Units shipped]]="","Missing units shipped",IF(tblVerifyShipments[[#This Row],[Gross weight]]="","Missing gross weight",IF(tblVerifyShipments[[#This Row],[Product value]]="","Missing product value",IF(tblVerifyShipments[[#This Row],[Base charge]]="","Missing base charge",IF(COUNTIF(tblVerifyLanes[Lane],tblVerifyShipments[[#This Row],[Lane]])=0,"Lane not on Setup list",IF(COUNTIF(tblVerifyCarriers[Carrier],tblVerifyShipments[[#This Row],[Carrier]])=0,"Carrier not on Setup list",IF(tblVerifyShipments[[#This Row],[Units shipped]]=0,"Units shipped is 0",IF(AND(tblVerifyShipments[[#This Row],[Reference]]&lt;&gt;"",COUNTIF(tblVerifyShipments[Reference],tblVerifyShipments[[#This Row],[Reference]])&gt;1),"Duplicate reference","OK")))))))))))</f>
        <v>Duplicate reference</v>
      </c>
      <c r="X56" s="65" t="s">
        <v>138</v>
      </c>
    </row>
    <row r="58" spans="2:24">
      <c r="B58" s="30" t="s">
        <v>365</v>
      </c>
      <c r="C58" s="30"/>
      <c r="D58" s="30"/>
      <c r="E58" s="30"/>
      <c r="F58" s="30"/>
      <c r="G58" s="30"/>
      <c r="H58" s="30"/>
      <c r="I58" s="30"/>
      <c r="J58" s="30"/>
      <c r="K58" s="30"/>
      <c r="L58" s="30"/>
    </row>
    <row r="59" spans="2:24" ht="32" customHeight="1">
      <c r="B59" s="54" t="s">
        <v>60</v>
      </c>
      <c r="C59" s="31" t="s">
        <v>245</v>
      </c>
      <c r="D59" s="31" t="s">
        <v>119</v>
      </c>
      <c r="E59" s="31" t="s">
        <v>246</v>
      </c>
      <c r="F59" s="31" t="s">
        <v>247</v>
      </c>
      <c r="G59" s="31" t="s">
        <v>248</v>
      </c>
      <c r="H59" s="31" t="s">
        <v>128</v>
      </c>
      <c r="I59" s="31" t="s">
        <v>130</v>
      </c>
      <c r="J59" s="31" t="s">
        <v>132</v>
      </c>
      <c r="K59" s="31" t="s">
        <v>133</v>
      </c>
      <c r="L59" s="31"/>
    </row>
    <row r="60" spans="2:24" ht="14" customHeight="1">
      <c r="B60" s="33"/>
      <c r="C60" s="33"/>
      <c r="D60" s="33"/>
      <c r="E60" s="33" t="str">
        <f>Currency</f>
        <v>GBP</v>
      </c>
      <c r="F60" s="33" t="str">
        <f>Currency&amp;"/unit"</f>
        <v>GBP/unit</v>
      </c>
      <c r="G60" s="33" t="str">
        <f>Currency&amp;"/unit"</f>
        <v>GBP/unit</v>
      </c>
      <c r="H60" s="33" t="str">
        <f>Currency&amp;"/unit"</f>
        <v>GBP/unit</v>
      </c>
      <c r="I60" s="33" t="str">
        <f>Currency&amp;"/"&amp;WeightUnit</f>
        <v>GBP/kg</v>
      </c>
      <c r="J60" s="33"/>
      <c r="K60" s="33"/>
      <c r="L60" s="33"/>
    </row>
    <row r="61" spans="2:24">
      <c r="B61" s="55" t="str">
        <f>IFERROR(INDEX(tblVerifyLanes[Lane],1)&amp;"","")</f>
        <v>Lane A</v>
      </c>
      <c r="C61" s="56">
        <f>IF($B$61="","",COUNTIFS(tblVerifyShipments[Lane],$B$61,tblVerifyShipments[View date],"&gt;0"))</f>
        <v>2</v>
      </c>
      <c r="D61" s="56">
        <f>IF($B$61="","",SUMIFS(tblVerifyShipments[Units shipped],tblVerifyShipments[Lane],$B$61,tblVerifyShipments[View date],"&gt;0"))</f>
        <v>7000</v>
      </c>
      <c r="E61" s="56">
        <f>IF($B$61="","",SUMIFS(tblVerifyShipments[Total freight],tblVerifyShipments[Lane],$B$61,tblVerifyShipments[View date],"&gt;0"))</f>
        <v>2436</v>
      </c>
      <c r="F61" s="38">
        <f>IF($B$61="","",IF((SUMIFS(tblVerifyShipments[Units shipped],tblVerifyShipments[Lane],$B$61,tblVerifyShipments[View date],"&gt;0"))=0,"",(SUMIFS(tblVerifyShipments[Base charge],tblVerifyShipments[Lane],$B$61,tblVerifyShipments[View date],"&gt;0"))/(SUMIFS(tblVerifyShipments[Units shipped],tblVerifyShipments[Lane],$B$61,tblVerifyShipments[View date],"&gt;0"))))</f>
        <v>0.294285714285714</v>
      </c>
      <c r="G61" s="38">
        <f>IF($B$61="","",IF((SUMIFS(tblVerifyShipments[Units shipped],tblVerifyShipments[Lane],$B$61,tblVerifyShipments[View date],"&gt;0"))=0,"",(SUMIFS(tblVerifyShipments[Fuel and extras],tblVerifyShipments[Lane],$B$61,tblVerifyShipments[View date],"&gt;0"))/(SUMIFS(tblVerifyShipments[Units shipped],tblVerifyShipments[Lane],$B$61,tblVerifyShipments[View date],"&gt;0"))))</f>
        <v>0.0537142857142857</v>
      </c>
      <c r="H61" s="38">
        <f>IF($B$61="","",IF((SUMIFS(tblVerifyShipments[Units shipped],tblVerifyShipments[Lane],$B$61,tblVerifyShipments[View date],"&gt;0"))=0,"",(SUMIFS(tblVerifyShipments[Total freight],tblVerifyShipments[Lane],$B$61,tblVerifyShipments[View date],"&gt;0"))/(SUMIFS(tblVerifyShipments[Units shipped],tblVerifyShipments[Lane],$B$61,tblVerifyShipments[View date],"&gt;0"))))</f>
        <v>0.348</v>
      </c>
      <c r="I61" s="39">
        <f>IF($B$61="","",IF((SUMIFS(tblVerifyShipments[Gross weight],tblVerifyShipments[Lane],$B$61,tblVerifyShipments[View date],"&gt;0"))=0,"",(SUMIFS(tblVerifyShipments[Total freight],tblVerifyShipments[Lane],$B$61,tblVerifyShipments[View date],"&gt;0"))/(SUMIFS(tblVerifyShipments[Gross weight],tblVerifyShipments[Lane],$B$61,tblVerifyShipments[View date],"&gt;0"))))</f>
        <v>0.459622641509434</v>
      </c>
      <c r="J61" s="40">
        <f>IF($B$61="","",IF((SUMIFS(tblVerifyShipments[Product value],tblVerifyShipments[Lane],$B$61,tblVerifyShipments[View date],"&gt;0"))=0,"",(SUMIFS(tblVerifyShipments[Total freight],tblVerifyShipments[Lane],$B$61,tblVerifyShipments[View date],"&gt;0"))/(SUMIFS(tblVerifyShipments[Product value],tblVerifyShipments[Lane],$B$61,tblVerifyShipments[View date],"&gt;0"))))</f>
        <v>0.0340699300699301</v>
      </c>
      <c r="K61" s="41" t="str">
        <f>IF($B$61="","",IF($J$61="","",IF($J$61&lt;=$E$37,"On target",IF($J$61&lt;=$E$37*1.05,"Near target","Above target"))))</f>
        <v>On target</v>
      </c>
      <c r="L61" s="41"/>
    </row>
    <row r="62" spans="2:24">
      <c r="B62" s="55" t="str">
        <f>IFERROR(INDEX(tblVerifyLanes[Lane],2)&amp;"","")</f>
        <v>Lane B</v>
      </c>
      <c r="C62" s="56">
        <f>IF($B$62="","",COUNTIFS(tblVerifyShipments[Lane],$B$62,tblVerifyShipments[View date],"&gt;0"))</f>
        <v>2</v>
      </c>
      <c r="D62" s="56">
        <f>IF($B$62="","",SUMIFS(tblVerifyShipments[Units shipped],tblVerifyShipments[Lane],$B$62,tblVerifyShipments[View date],"&gt;0"))</f>
        <v>940</v>
      </c>
      <c r="E62" s="56">
        <f>IF($B$62="","",SUMIFS(tblVerifyShipments[Total freight],tblVerifyShipments[Lane],$B$62,tblVerifyShipments[View date],"&gt;0"))</f>
        <v>233.1</v>
      </c>
      <c r="F62" s="38">
        <f>IF($B$62="","",IF((SUMIFS(tblVerifyShipments[Units shipped],tblVerifyShipments[Lane],$B$62,tblVerifyShipments[View date],"&gt;0"))=0,"",(SUMIFS(tblVerifyShipments[Base charge],tblVerifyShipments[Lane],$B$62,tblVerifyShipments[View date],"&gt;0"))/(SUMIFS(tblVerifyShipments[Units shipped],tblVerifyShipments[Lane],$B$62,tblVerifyShipments[View date],"&gt;0"))))</f>
        <v>0.206808510638298</v>
      </c>
      <c r="G62" s="38">
        <f>IF($B$62="","",IF((SUMIFS(tblVerifyShipments[Units shipped],tblVerifyShipments[Lane],$B$62,tblVerifyShipments[View date],"&gt;0"))=0,"",(SUMIFS(tblVerifyShipments[Fuel and extras],tblVerifyShipments[Lane],$B$62,tblVerifyShipments[View date],"&gt;0"))/(SUMIFS(tblVerifyShipments[Units shipped],tblVerifyShipments[Lane],$B$62,tblVerifyShipments[View date],"&gt;0"))))</f>
        <v>0.0411702127659575</v>
      </c>
      <c r="H62" s="38">
        <f>IF($B$62="","",IF((SUMIFS(tblVerifyShipments[Units shipped],tblVerifyShipments[Lane],$B$62,tblVerifyShipments[View date],"&gt;0"))=0,"",(SUMIFS(tblVerifyShipments[Total freight],tblVerifyShipments[Lane],$B$62,tblVerifyShipments[View date],"&gt;0"))/(SUMIFS(tblVerifyShipments[Units shipped],tblVerifyShipments[Lane],$B$62,tblVerifyShipments[View date],"&gt;0"))))</f>
        <v>0.247978723404255</v>
      </c>
      <c r="I62" s="39">
        <f>IF($B$62="","",IF((SUMIFS(tblVerifyShipments[Gross weight],tblVerifyShipments[Lane],$B$62,tblVerifyShipments[View date],"&gt;0"))=0,"",(SUMIFS(tblVerifyShipments[Total freight],tblVerifyShipments[Lane],$B$62,tblVerifyShipments[View date],"&gt;0"))/(SUMIFS(tblVerifyShipments[Gross weight],tblVerifyShipments[Lane],$B$62,tblVerifyShipments[View date],"&gt;0"))))</f>
        <v>0.357515337423313</v>
      </c>
      <c r="J62" s="40">
        <f>IF($B$62="","",IF((SUMIFS(tblVerifyShipments[Product value],tblVerifyShipments[Lane],$B$62,tblVerifyShipments[View date],"&gt;0"))=0,"",(SUMIFS(tblVerifyShipments[Total freight],tblVerifyShipments[Lane],$B$62,tblVerifyShipments[View date],"&gt;0"))/(SUMIFS(tblVerifyShipments[Product value],tblVerifyShipments[Lane],$B$62,tblVerifyShipments[View date],"&gt;0"))))</f>
        <v>0.0392424242424242</v>
      </c>
      <c r="K62" s="41" t="str">
        <f>IF($B$62="","",IF($J$62="","",IF($J$62&lt;=$E$37,"On target",IF($J$62&lt;=$E$37*1.05,"Near target","Above target"))))</f>
        <v>On target</v>
      </c>
      <c r="L62" s="41"/>
    </row>
    <row r="63" spans="2:24">
      <c r="B63" s="55">
        <f>IFERROR(INDEX(tblVerifyLanes[Lane],3)&amp;"","")</f>
        <v/>
      </c>
      <c r="C63" s="56">
        <f>IF($B$63="","",COUNTIFS(tblVerifyShipments[Lane],$B$63,tblVerifyShipments[View date],"&gt;0"))</f>
        <v/>
      </c>
      <c r="D63" s="56">
        <f>IF($B$63="","",SUMIFS(tblVerifyShipments[Units shipped],tblVerifyShipments[Lane],$B$63,tblVerifyShipments[View date],"&gt;0"))</f>
        <v/>
      </c>
      <c r="E63" s="56">
        <f>IF($B$63="","",SUMIFS(tblVerifyShipments[Total freight],tblVerifyShipments[Lane],$B$63,tblVerifyShipments[View date],"&gt;0"))</f>
        <v/>
      </c>
      <c r="F63" s="38">
        <f>IF($B$63="","",IF((SUMIFS(tblVerifyShipments[Units shipped],tblVerifyShipments[Lane],$B$63,tblVerifyShipments[View date],"&gt;0"))=0,"",(SUMIFS(tblVerifyShipments[Base charge],tblVerifyShipments[Lane],$B$63,tblVerifyShipments[View date],"&gt;0"))/(SUMIFS(tblVerifyShipments[Units shipped],tblVerifyShipments[Lane],$B$63,tblVerifyShipments[View date],"&gt;0"))))</f>
        <v/>
      </c>
      <c r="G63" s="38">
        <f>IF($B$63="","",IF((SUMIFS(tblVerifyShipments[Units shipped],tblVerifyShipments[Lane],$B$63,tblVerifyShipments[View date],"&gt;0"))=0,"",(SUMIFS(tblVerifyShipments[Fuel and extras],tblVerifyShipments[Lane],$B$63,tblVerifyShipments[View date],"&gt;0"))/(SUMIFS(tblVerifyShipments[Units shipped],tblVerifyShipments[Lane],$B$63,tblVerifyShipments[View date],"&gt;0"))))</f>
        <v/>
      </c>
      <c r="H63" s="38">
        <f>IF($B$63="","",IF((SUMIFS(tblVerifyShipments[Units shipped],tblVerifyShipments[Lane],$B$63,tblVerifyShipments[View date],"&gt;0"))=0,"",(SUMIFS(tblVerifyShipments[Total freight],tblVerifyShipments[Lane],$B$63,tblVerifyShipments[View date],"&gt;0"))/(SUMIFS(tblVerifyShipments[Units shipped],tblVerifyShipments[Lane],$B$63,tblVerifyShipments[View date],"&gt;0"))))</f>
        <v/>
      </c>
      <c r="I63" s="39">
        <f>IF($B$63="","",IF((SUMIFS(tblVerifyShipments[Gross weight],tblVerifyShipments[Lane],$B$63,tblVerifyShipments[View date],"&gt;0"))=0,"",(SUMIFS(tblVerifyShipments[Total freight],tblVerifyShipments[Lane],$B$63,tblVerifyShipments[View date],"&gt;0"))/(SUMIFS(tblVerifyShipments[Gross weight],tblVerifyShipments[Lane],$B$63,tblVerifyShipments[View date],"&gt;0"))))</f>
        <v/>
      </c>
      <c r="J63" s="40">
        <f>IF($B$63="","",IF((SUMIFS(tblVerifyShipments[Product value],tblVerifyShipments[Lane],$B$63,tblVerifyShipments[View date],"&gt;0"))=0,"",(SUMIFS(tblVerifyShipments[Total freight],tblVerifyShipments[Lane],$B$63,tblVerifyShipments[View date],"&gt;0"))/(SUMIFS(tblVerifyShipments[Product value],tblVerifyShipments[Lane],$B$63,tblVerifyShipments[View date],"&gt;0"))))</f>
        <v/>
      </c>
      <c r="K63" s="41">
        <f>IF($B$63="","",IF($J$63="","",IF($J$63&lt;=$E$37,"On target",IF($J$63&lt;=$E$37*1.05,"Near target","Above target"))))</f>
        <v/>
      </c>
      <c r="L63" s="41"/>
    </row>
    <row r="64" spans="2:24">
      <c r="B64" s="55">
        <f>IFERROR(INDEX(tblVerifyLanes[Lane],4)&amp;"","")</f>
        <v/>
      </c>
      <c r="C64" s="56">
        <f>IF($B$64="","",COUNTIFS(tblVerifyShipments[Lane],$B$64,tblVerifyShipments[View date],"&gt;0"))</f>
        <v/>
      </c>
      <c r="D64" s="56">
        <f>IF($B$64="","",SUMIFS(tblVerifyShipments[Units shipped],tblVerifyShipments[Lane],$B$64,tblVerifyShipments[View date],"&gt;0"))</f>
        <v/>
      </c>
      <c r="E64" s="56">
        <f>IF($B$64="","",SUMIFS(tblVerifyShipments[Total freight],tblVerifyShipments[Lane],$B$64,tblVerifyShipments[View date],"&gt;0"))</f>
        <v/>
      </c>
      <c r="F64" s="38">
        <f>IF($B$64="","",IF((SUMIFS(tblVerifyShipments[Units shipped],tblVerifyShipments[Lane],$B$64,tblVerifyShipments[View date],"&gt;0"))=0,"",(SUMIFS(tblVerifyShipments[Base charge],tblVerifyShipments[Lane],$B$64,tblVerifyShipments[View date],"&gt;0"))/(SUMIFS(tblVerifyShipments[Units shipped],tblVerifyShipments[Lane],$B$64,tblVerifyShipments[View date],"&gt;0"))))</f>
        <v/>
      </c>
      <c r="G64" s="38">
        <f>IF($B$64="","",IF((SUMIFS(tblVerifyShipments[Units shipped],tblVerifyShipments[Lane],$B$64,tblVerifyShipments[View date],"&gt;0"))=0,"",(SUMIFS(tblVerifyShipments[Fuel and extras],tblVerifyShipments[Lane],$B$64,tblVerifyShipments[View date],"&gt;0"))/(SUMIFS(tblVerifyShipments[Units shipped],tblVerifyShipments[Lane],$B$64,tblVerifyShipments[View date],"&gt;0"))))</f>
        <v/>
      </c>
      <c r="H64" s="38">
        <f>IF($B$64="","",IF((SUMIFS(tblVerifyShipments[Units shipped],tblVerifyShipments[Lane],$B$64,tblVerifyShipments[View date],"&gt;0"))=0,"",(SUMIFS(tblVerifyShipments[Total freight],tblVerifyShipments[Lane],$B$64,tblVerifyShipments[View date],"&gt;0"))/(SUMIFS(tblVerifyShipments[Units shipped],tblVerifyShipments[Lane],$B$64,tblVerifyShipments[View date],"&gt;0"))))</f>
        <v/>
      </c>
      <c r="I64" s="39">
        <f>IF($B$64="","",IF((SUMIFS(tblVerifyShipments[Gross weight],tblVerifyShipments[Lane],$B$64,tblVerifyShipments[View date],"&gt;0"))=0,"",(SUMIFS(tblVerifyShipments[Total freight],tblVerifyShipments[Lane],$B$64,tblVerifyShipments[View date],"&gt;0"))/(SUMIFS(tblVerifyShipments[Gross weight],tblVerifyShipments[Lane],$B$64,tblVerifyShipments[View date],"&gt;0"))))</f>
        <v/>
      </c>
      <c r="J64" s="40">
        <f>IF($B$64="","",IF((SUMIFS(tblVerifyShipments[Product value],tblVerifyShipments[Lane],$B$64,tblVerifyShipments[View date],"&gt;0"))=0,"",(SUMIFS(tblVerifyShipments[Total freight],tblVerifyShipments[Lane],$B$64,tblVerifyShipments[View date],"&gt;0"))/(SUMIFS(tblVerifyShipments[Product value],tblVerifyShipments[Lane],$B$64,tblVerifyShipments[View date],"&gt;0"))))</f>
        <v/>
      </c>
      <c r="K64" s="41">
        <f>IF($B$64="","",IF($J$64="","",IF($J$64&lt;=$E$37,"On target",IF($J$64&lt;=$E$37*1.05,"Near target","Above target"))))</f>
        <v/>
      </c>
      <c r="L64" s="41"/>
    </row>
    <row r="65" spans="2:12">
      <c r="B65" s="55">
        <f>IFERROR(INDEX(tblVerifyLanes[Lane],5)&amp;"","")</f>
        <v/>
      </c>
      <c r="C65" s="56">
        <f>IF($B$65="","",COUNTIFS(tblVerifyShipments[Lane],$B$65,tblVerifyShipments[View date],"&gt;0"))</f>
        <v/>
      </c>
      <c r="D65" s="56">
        <f>IF($B$65="","",SUMIFS(tblVerifyShipments[Units shipped],tblVerifyShipments[Lane],$B$65,tblVerifyShipments[View date],"&gt;0"))</f>
        <v/>
      </c>
      <c r="E65" s="56">
        <f>IF($B$65="","",SUMIFS(tblVerifyShipments[Total freight],tblVerifyShipments[Lane],$B$65,tblVerifyShipments[View date],"&gt;0"))</f>
        <v/>
      </c>
      <c r="F65" s="38">
        <f>IF($B$65="","",IF((SUMIFS(tblVerifyShipments[Units shipped],tblVerifyShipments[Lane],$B$65,tblVerifyShipments[View date],"&gt;0"))=0,"",(SUMIFS(tblVerifyShipments[Base charge],tblVerifyShipments[Lane],$B$65,tblVerifyShipments[View date],"&gt;0"))/(SUMIFS(tblVerifyShipments[Units shipped],tblVerifyShipments[Lane],$B$65,tblVerifyShipments[View date],"&gt;0"))))</f>
        <v/>
      </c>
      <c r="G65" s="38">
        <f>IF($B$65="","",IF((SUMIFS(tblVerifyShipments[Units shipped],tblVerifyShipments[Lane],$B$65,tblVerifyShipments[View date],"&gt;0"))=0,"",(SUMIFS(tblVerifyShipments[Fuel and extras],tblVerifyShipments[Lane],$B$65,tblVerifyShipments[View date],"&gt;0"))/(SUMIFS(tblVerifyShipments[Units shipped],tblVerifyShipments[Lane],$B$65,tblVerifyShipments[View date],"&gt;0"))))</f>
        <v/>
      </c>
      <c r="H65" s="38">
        <f>IF($B$65="","",IF((SUMIFS(tblVerifyShipments[Units shipped],tblVerifyShipments[Lane],$B$65,tblVerifyShipments[View date],"&gt;0"))=0,"",(SUMIFS(tblVerifyShipments[Total freight],tblVerifyShipments[Lane],$B$65,tblVerifyShipments[View date],"&gt;0"))/(SUMIFS(tblVerifyShipments[Units shipped],tblVerifyShipments[Lane],$B$65,tblVerifyShipments[View date],"&gt;0"))))</f>
        <v/>
      </c>
      <c r="I65" s="39">
        <f>IF($B$65="","",IF((SUMIFS(tblVerifyShipments[Gross weight],tblVerifyShipments[Lane],$B$65,tblVerifyShipments[View date],"&gt;0"))=0,"",(SUMIFS(tblVerifyShipments[Total freight],tblVerifyShipments[Lane],$B$65,tblVerifyShipments[View date],"&gt;0"))/(SUMIFS(tblVerifyShipments[Gross weight],tblVerifyShipments[Lane],$B$65,tblVerifyShipments[View date],"&gt;0"))))</f>
        <v/>
      </c>
      <c r="J65" s="40">
        <f>IF($B$65="","",IF((SUMIFS(tblVerifyShipments[Product value],tblVerifyShipments[Lane],$B$65,tblVerifyShipments[View date],"&gt;0"))=0,"",(SUMIFS(tblVerifyShipments[Total freight],tblVerifyShipments[Lane],$B$65,tblVerifyShipments[View date],"&gt;0"))/(SUMIFS(tblVerifyShipments[Product value],tblVerifyShipments[Lane],$B$65,tblVerifyShipments[View date],"&gt;0"))))</f>
        <v/>
      </c>
      <c r="K65" s="41">
        <f>IF($B$65="","",IF($J$65="","",IF($J$65&lt;=$E$37,"On target",IF($J$65&lt;=$E$37*1.05,"Near target","Above target"))))</f>
        <v/>
      </c>
      <c r="L65" s="41"/>
    </row>
    <row r="66" spans="2:12">
      <c r="B66" s="55">
        <f>IFERROR(INDEX(tblVerifyLanes[Lane],6)&amp;"","")</f>
        <v/>
      </c>
      <c r="C66" s="56">
        <f>IF($B$66="","",COUNTIFS(tblVerifyShipments[Lane],$B$66,tblVerifyShipments[View date],"&gt;0"))</f>
        <v/>
      </c>
      <c r="D66" s="56">
        <f>IF($B$66="","",SUMIFS(tblVerifyShipments[Units shipped],tblVerifyShipments[Lane],$B$66,tblVerifyShipments[View date],"&gt;0"))</f>
        <v/>
      </c>
      <c r="E66" s="56">
        <f>IF($B$66="","",SUMIFS(tblVerifyShipments[Total freight],tblVerifyShipments[Lane],$B$66,tblVerifyShipments[View date],"&gt;0"))</f>
        <v/>
      </c>
      <c r="F66" s="38">
        <f>IF($B$66="","",IF((SUMIFS(tblVerifyShipments[Units shipped],tblVerifyShipments[Lane],$B$66,tblVerifyShipments[View date],"&gt;0"))=0,"",(SUMIFS(tblVerifyShipments[Base charge],tblVerifyShipments[Lane],$B$66,tblVerifyShipments[View date],"&gt;0"))/(SUMIFS(tblVerifyShipments[Units shipped],tblVerifyShipments[Lane],$B$66,tblVerifyShipments[View date],"&gt;0"))))</f>
        <v/>
      </c>
      <c r="G66" s="38">
        <f>IF($B$66="","",IF((SUMIFS(tblVerifyShipments[Units shipped],tblVerifyShipments[Lane],$B$66,tblVerifyShipments[View date],"&gt;0"))=0,"",(SUMIFS(tblVerifyShipments[Fuel and extras],tblVerifyShipments[Lane],$B$66,tblVerifyShipments[View date],"&gt;0"))/(SUMIFS(tblVerifyShipments[Units shipped],tblVerifyShipments[Lane],$B$66,tblVerifyShipments[View date],"&gt;0"))))</f>
        <v/>
      </c>
      <c r="H66" s="38">
        <f>IF($B$66="","",IF((SUMIFS(tblVerifyShipments[Units shipped],tblVerifyShipments[Lane],$B$66,tblVerifyShipments[View date],"&gt;0"))=0,"",(SUMIFS(tblVerifyShipments[Total freight],tblVerifyShipments[Lane],$B$66,tblVerifyShipments[View date],"&gt;0"))/(SUMIFS(tblVerifyShipments[Units shipped],tblVerifyShipments[Lane],$B$66,tblVerifyShipments[View date],"&gt;0"))))</f>
        <v/>
      </c>
      <c r="I66" s="39">
        <f>IF($B$66="","",IF((SUMIFS(tblVerifyShipments[Gross weight],tblVerifyShipments[Lane],$B$66,tblVerifyShipments[View date],"&gt;0"))=0,"",(SUMIFS(tblVerifyShipments[Total freight],tblVerifyShipments[Lane],$B$66,tblVerifyShipments[View date],"&gt;0"))/(SUMIFS(tblVerifyShipments[Gross weight],tblVerifyShipments[Lane],$B$66,tblVerifyShipments[View date],"&gt;0"))))</f>
        <v/>
      </c>
      <c r="J66" s="40">
        <f>IF($B$66="","",IF((SUMIFS(tblVerifyShipments[Product value],tblVerifyShipments[Lane],$B$66,tblVerifyShipments[View date],"&gt;0"))=0,"",(SUMIFS(tblVerifyShipments[Total freight],tblVerifyShipments[Lane],$B$66,tblVerifyShipments[View date],"&gt;0"))/(SUMIFS(tblVerifyShipments[Product value],tblVerifyShipments[Lane],$B$66,tblVerifyShipments[View date],"&gt;0"))))</f>
        <v/>
      </c>
      <c r="K66" s="41">
        <f>IF($B$66="","",IF($J$66="","",IF($J$66&lt;=$E$37,"On target",IF($J$66&lt;=$E$37*1.05,"Near target","Above target"))))</f>
        <v/>
      </c>
      <c r="L66" s="41"/>
    </row>
    <row r="68" spans="2:12">
      <c r="B68" s="30" t="s">
        <v>366</v>
      </c>
      <c r="C68" s="30"/>
      <c r="D68" s="30"/>
      <c r="E68" s="30"/>
      <c r="F68" s="30"/>
      <c r="G68" s="30"/>
      <c r="H68" s="30"/>
      <c r="I68" s="30"/>
      <c r="J68" s="30"/>
      <c r="K68" s="30"/>
      <c r="L68" s="30"/>
    </row>
    <row r="69" spans="2:12">
      <c r="B69" s="30" t="s">
        <v>252</v>
      </c>
      <c r="C69" s="30"/>
      <c r="D69" s="30"/>
      <c r="E69" s="30"/>
      <c r="F69" s="30"/>
    </row>
    <row r="70" spans="2:12">
      <c r="B70" s="54" t="s">
        <v>128</v>
      </c>
      <c r="C70" s="31" t="str">
        <f>IFERROR(INDEX(tblVerifyCarriers[Carrier],1)&amp;"","")</f>
        <v>Carrier X</v>
      </c>
      <c r="D70" s="31" t="str">
        <f>IFERROR(INDEX(tblVerifyCarriers[Carrier],2)&amp;"","")</f>
        <v>Carrier Y</v>
      </c>
      <c r="E70" s="31">
        <f>IFERROR(INDEX(tblVerifyCarriers[Carrier],3)&amp;"","")</f>
        <v/>
      </c>
      <c r="F70" s="31">
        <f>IFERROR(INDEX(tblVerifyCarriers[Carrier],4)&amp;"","")</f>
        <v/>
      </c>
    </row>
    <row r="71" spans="2:12">
      <c r="B71" s="55" t="str">
        <f>IFERROR(INDEX(tblVerifyLanes[Lane],1)&amp;"","")</f>
        <v>Lane A</v>
      </c>
      <c r="C71" s="58">
        <f>IF(OR($B$71="",$C$70=""),"",IF((SUMIFS(tblVerifyShipments[Units shipped],tblVerifyShipments[Lane],$B$71,tblVerifyShipments[Carrier],$C$70,tblVerifyShipments[View date],"&gt;0"))=0,"",(SUMIFS(tblVerifyShipments[Total freight],tblVerifyShipments[Lane],$B$71,tblVerifyShipments[Carrier],$C$70,tblVerifyShipments[View date],"&gt;0"))/(SUMIFS(tblVerifyShipments[Units shipped],tblVerifyShipments[Lane],$B$71,tblVerifyShipments[Carrier],$C$70,tblVerifyShipments[View date],"&gt;0"))))</f>
        <v>0.43</v>
      </c>
      <c r="D71" s="58">
        <f>IF(OR($B$71="",$D$70=""),"",IF((SUMIFS(tblVerifyShipments[Units shipped],tblVerifyShipments[Lane],$B$71,tblVerifyShipments[Carrier],$D$70,tblVerifyShipments[View date],"&gt;0"))=0,"",(SUMIFS(tblVerifyShipments[Total freight],tblVerifyShipments[Lane],$B$71,tblVerifyShipments[Carrier],$D$70,tblVerifyShipments[View date],"&gt;0"))/(SUMIFS(tblVerifyShipments[Units shipped],tblVerifyShipments[Lane],$B$71,tblVerifyShipments[Carrier],$D$70,tblVerifyShipments[View date],"&gt;0"))))</f>
        <v>0.143</v>
      </c>
      <c r="E71" s="58">
        <f>IF(OR($B$71="",$E$70=""),"",IF((SUMIFS(tblVerifyShipments[Units shipped],tblVerifyShipments[Lane],$B$71,tblVerifyShipments[Carrier],$E$70,tblVerifyShipments[View date],"&gt;0"))=0,"",(SUMIFS(tblVerifyShipments[Total freight],tblVerifyShipments[Lane],$B$71,tblVerifyShipments[Carrier],$E$70,tblVerifyShipments[View date],"&gt;0"))/(SUMIFS(tblVerifyShipments[Units shipped],tblVerifyShipments[Lane],$B$71,tblVerifyShipments[Carrier],$E$70,tblVerifyShipments[View date],"&gt;0"))))</f>
        <v/>
      </c>
      <c r="F71" s="58">
        <f>IF(OR($B$71="",$F$70=""),"",IF((SUMIFS(tblVerifyShipments[Units shipped],tblVerifyShipments[Lane],$B$71,tblVerifyShipments[Carrier],$F$70,tblVerifyShipments[View date],"&gt;0"))=0,"",(SUMIFS(tblVerifyShipments[Total freight],tblVerifyShipments[Lane],$B$71,tblVerifyShipments[Carrier],$F$70,tblVerifyShipments[View date],"&gt;0"))/(SUMIFS(tblVerifyShipments[Units shipped],tblVerifyShipments[Lane],$B$71,tblVerifyShipments[Carrier],$F$70,tblVerifyShipments[View date],"&gt;0"))))</f>
        <v/>
      </c>
    </row>
    <row r="72" spans="2:12">
      <c r="B72" s="55" t="str">
        <f>IFERROR(INDEX(tblVerifyLanes[Lane],2)&amp;"","")</f>
        <v>Lane B</v>
      </c>
      <c r="C72" s="58">
        <f>IF(OR($B$72="",$C$70=""),"",IF((SUMIFS(tblVerifyShipments[Units shipped],tblVerifyShipments[Lane],$B$72,tblVerifyShipments[Carrier],$C$70,tblVerifyShipments[View date],"&gt;0"))=0,"",(SUMIFS(tblVerifyShipments[Total freight],tblVerifyShipments[Lane],$B$72,tblVerifyShipments[Carrier],$C$70,tblVerifyShipments[View date],"&gt;0"))/(SUMIFS(tblVerifyShipments[Units shipped],tblVerifyShipments[Lane],$B$72,tblVerifyShipments[Carrier],$C$70,tblVerifyShipments[View date],"&gt;0"))))</f>
        <v>0.19</v>
      </c>
      <c r="D72" s="58">
        <f>IF(OR($B$72="",$D$70=""),"",IF((SUMIFS(tblVerifyShipments[Units shipped],tblVerifyShipments[Lane],$B$72,tblVerifyShipments[Carrier],$D$70,tblVerifyShipments[View date],"&gt;0"))=0,"",(SUMIFS(tblVerifyShipments[Total freight],tblVerifyShipments[Lane],$B$72,tblVerifyShipments[Carrier],$D$70,tblVerifyShipments[View date],"&gt;0"))/(SUMIFS(tblVerifyShipments[Units shipped],tblVerifyShipments[Lane],$B$72,tblVerifyShipments[Carrier],$D$70,tblVerifyShipments[View date],"&gt;0"))))</f>
        <v>0.579285714285714</v>
      </c>
      <c r="E72" s="58">
        <f>IF(OR($B$72="",$E$70=""),"",IF((SUMIFS(tblVerifyShipments[Units shipped],tblVerifyShipments[Lane],$B$72,tblVerifyShipments[Carrier],$E$70,tblVerifyShipments[View date],"&gt;0"))=0,"",(SUMIFS(tblVerifyShipments[Total freight],tblVerifyShipments[Lane],$B$72,tblVerifyShipments[Carrier],$E$70,tblVerifyShipments[View date],"&gt;0"))/(SUMIFS(tblVerifyShipments[Units shipped],tblVerifyShipments[Lane],$B$72,tblVerifyShipments[Carrier],$E$70,tblVerifyShipments[View date],"&gt;0"))))</f>
        <v/>
      </c>
      <c r="F72" s="58">
        <f>IF(OR($B$72="",$F$70=""),"",IF((SUMIFS(tblVerifyShipments[Units shipped],tblVerifyShipments[Lane],$B$72,tblVerifyShipments[Carrier],$F$70,tblVerifyShipments[View date],"&gt;0"))=0,"",(SUMIFS(tblVerifyShipments[Total freight],tblVerifyShipments[Lane],$B$72,tblVerifyShipments[Carrier],$F$70,tblVerifyShipments[View date],"&gt;0"))/(SUMIFS(tblVerifyShipments[Units shipped],tblVerifyShipments[Lane],$B$72,tblVerifyShipments[Carrier],$F$70,tblVerifyShipments[View date],"&gt;0"))))</f>
        <v/>
      </c>
    </row>
    <row r="73" spans="2:12">
      <c r="B73" s="55">
        <f>IFERROR(INDEX(tblVerifyLanes[Lane],3)&amp;"","")</f>
        <v/>
      </c>
      <c r="C73" s="58">
        <f>IF(OR($B$73="",$C$70=""),"",IF((SUMIFS(tblVerifyShipments[Units shipped],tblVerifyShipments[Lane],$B$73,tblVerifyShipments[Carrier],$C$70,tblVerifyShipments[View date],"&gt;0"))=0,"",(SUMIFS(tblVerifyShipments[Total freight],tblVerifyShipments[Lane],$B$73,tblVerifyShipments[Carrier],$C$70,tblVerifyShipments[View date],"&gt;0"))/(SUMIFS(tblVerifyShipments[Units shipped],tblVerifyShipments[Lane],$B$73,tblVerifyShipments[Carrier],$C$70,tblVerifyShipments[View date],"&gt;0"))))</f>
        <v/>
      </c>
      <c r="D73" s="58">
        <f>IF(OR($B$73="",$D$70=""),"",IF((SUMIFS(tblVerifyShipments[Units shipped],tblVerifyShipments[Lane],$B$73,tblVerifyShipments[Carrier],$D$70,tblVerifyShipments[View date],"&gt;0"))=0,"",(SUMIFS(tblVerifyShipments[Total freight],tblVerifyShipments[Lane],$B$73,tblVerifyShipments[Carrier],$D$70,tblVerifyShipments[View date],"&gt;0"))/(SUMIFS(tblVerifyShipments[Units shipped],tblVerifyShipments[Lane],$B$73,tblVerifyShipments[Carrier],$D$70,tblVerifyShipments[View date],"&gt;0"))))</f>
        <v/>
      </c>
      <c r="E73" s="58">
        <f>IF(OR($B$73="",$E$70=""),"",IF((SUMIFS(tblVerifyShipments[Units shipped],tblVerifyShipments[Lane],$B$73,tblVerifyShipments[Carrier],$E$70,tblVerifyShipments[View date],"&gt;0"))=0,"",(SUMIFS(tblVerifyShipments[Total freight],tblVerifyShipments[Lane],$B$73,tblVerifyShipments[Carrier],$E$70,tblVerifyShipments[View date],"&gt;0"))/(SUMIFS(tblVerifyShipments[Units shipped],tblVerifyShipments[Lane],$B$73,tblVerifyShipments[Carrier],$E$70,tblVerifyShipments[View date],"&gt;0"))))</f>
        <v/>
      </c>
      <c r="F73" s="58">
        <f>IF(OR($B$73="",$F$70=""),"",IF((SUMIFS(tblVerifyShipments[Units shipped],tblVerifyShipments[Lane],$B$73,tblVerifyShipments[Carrier],$F$70,tblVerifyShipments[View date],"&gt;0"))=0,"",(SUMIFS(tblVerifyShipments[Total freight],tblVerifyShipments[Lane],$B$73,tblVerifyShipments[Carrier],$F$70,tblVerifyShipments[View date],"&gt;0"))/(SUMIFS(tblVerifyShipments[Units shipped],tblVerifyShipments[Lane],$B$73,tblVerifyShipments[Carrier],$F$70,tblVerifyShipments[View date],"&gt;0"))))</f>
        <v/>
      </c>
    </row>
    <row r="74" spans="2:12">
      <c r="B74" s="55">
        <f>IFERROR(INDEX(tblVerifyLanes[Lane],4)&amp;"","")</f>
        <v/>
      </c>
      <c r="C74" s="58">
        <f>IF(OR($B$74="",$C$70=""),"",IF((SUMIFS(tblVerifyShipments[Units shipped],tblVerifyShipments[Lane],$B$74,tblVerifyShipments[Carrier],$C$70,tblVerifyShipments[View date],"&gt;0"))=0,"",(SUMIFS(tblVerifyShipments[Total freight],tblVerifyShipments[Lane],$B$74,tblVerifyShipments[Carrier],$C$70,tblVerifyShipments[View date],"&gt;0"))/(SUMIFS(tblVerifyShipments[Units shipped],tblVerifyShipments[Lane],$B$74,tblVerifyShipments[Carrier],$C$70,tblVerifyShipments[View date],"&gt;0"))))</f>
        <v/>
      </c>
      <c r="D74" s="58">
        <f>IF(OR($B$74="",$D$70=""),"",IF((SUMIFS(tblVerifyShipments[Units shipped],tblVerifyShipments[Lane],$B$74,tblVerifyShipments[Carrier],$D$70,tblVerifyShipments[View date],"&gt;0"))=0,"",(SUMIFS(tblVerifyShipments[Total freight],tblVerifyShipments[Lane],$B$74,tblVerifyShipments[Carrier],$D$70,tblVerifyShipments[View date],"&gt;0"))/(SUMIFS(tblVerifyShipments[Units shipped],tblVerifyShipments[Lane],$B$74,tblVerifyShipments[Carrier],$D$70,tblVerifyShipments[View date],"&gt;0"))))</f>
        <v/>
      </c>
      <c r="E74" s="58">
        <f>IF(OR($B$74="",$E$70=""),"",IF((SUMIFS(tblVerifyShipments[Units shipped],tblVerifyShipments[Lane],$B$74,tblVerifyShipments[Carrier],$E$70,tblVerifyShipments[View date],"&gt;0"))=0,"",(SUMIFS(tblVerifyShipments[Total freight],tblVerifyShipments[Lane],$B$74,tblVerifyShipments[Carrier],$E$70,tblVerifyShipments[View date],"&gt;0"))/(SUMIFS(tblVerifyShipments[Units shipped],tblVerifyShipments[Lane],$B$74,tblVerifyShipments[Carrier],$E$70,tblVerifyShipments[View date],"&gt;0"))))</f>
        <v/>
      </c>
      <c r="F74" s="58">
        <f>IF(OR($B$74="",$F$70=""),"",IF((SUMIFS(tblVerifyShipments[Units shipped],tblVerifyShipments[Lane],$B$74,tblVerifyShipments[Carrier],$F$70,tblVerifyShipments[View date],"&gt;0"))=0,"",(SUMIFS(tblVerifyShipments[Total freight],tblVerifyShipments[Lane],$B$74,tblVerifyShipments[Carrier],$F$70,tblVerifyShipments[View date],"&gt;0"))/(SUMIFS(tblVerifyShipments[Units shipped],tblVerifyShipments[Lane],$B$74,tblVerifyShipments[Carrier],$F$70,tblVerifyShipments[View date],"&gt;0"))))</f>
        <v/>
      </c>
    </row>
    <row r="75" spans="2:12">
      <c r="B75" s="55">
        <f>IFERROR(INDEX(tblVerifyLanes[Lane],5)&amp;"","")</f>
        <v/>
      </c>
      <c r="C75" s="58">
        <f>IF(OR($B$75="",$C$70=""),"",IF((SUMIFS(tblVerifyShipments[Units shipped],tblVerifyShipments[Lane],$B$75,tblVerifyShipments[Carrier],$C$70,tblVerifyShipments[View date],"&gt;0"))=0,"",(SUMIFS(tblVerifyShipments[Total freight],tblVerifyShipments[Lane],$B$75,tblVerifyShipments[Carrier],$C$70,tblVerifyShipments[View date],"&gt;0"))/(SUMIFS(tblVerifyShipments[Units shipped],tblVerifyShipments[Lane],$B$75,tblVerifyShipments[Carrier],$C$70,tblVerifyShipments[View date],"&gt;0"))))</f>
        <v/>
      </c>
      <c r="D75" s="58">
        <f>IF(OR($B$75="",$D$70=""),"",IF((SUMIFS(tblVerifyShipments[Units shipped],tblVerifyShipments[Lane],$B$75,tblVerifyShipments[Carrier],$D$70,tblVerifyShipments[View date],"&gt;0"))=0,"",(SUMIFS(tblVerifyShipments[Total freight],tblVerifyShipments[Lane],$B$75,tblVerifyShipments[Carrier],$D$70,tblVerifyShipments[View date],"&gt;0"))/(SUMIFS(tblVerifyShipments[Units shipped],tblVerifyShipments[Lane],$B$75,tblVerifyShipments[Carrier],$D$70,tblVerifyShipments[View date],"&gt;0"))))</f>
        <v/>
      </c>
      <c r="E75" s="58">
        <f>IF(OR($B$75="",$E$70=""),"",IF((SUMIFS(tblVerifyShipments[Units shipped],tblVerifyShipments[Lane],$B$75,tblVerifyShipments[Carrier],$E$70,tblVerifyShipments[View date],"&gt;0"))=0,"",(SUMIFS(tblVerifyShipments[Total freight],tblVerifyShipments[Lane],$B$75,tblVerifyShipments[Carrier],$E$70,tblVerifyShipments[View date],"&gt;0"))/(SUMIFS(tblVerifyShipments[Units shipped],tblVerifyShipments[Lane],$B$75,tblVerifyShipments[Carrier],$E$70,tblVerifyShipments[View date],"&gt;0"))))</f>
        <v/>
      </c>
      <c r="F75" s="58">
        <f>IF(OR($B$75="",$F$70=""),"",IF((SUMIFS(tblVerifyShipments[Units shipped],tblVerifyShipments[Lane],$B$75,tblVerifyShipments[Carrier],$F$70,tblVerifyShipments[View date],"&gt;0"))=0,"",(SUMIFS(tblVerifyShipments[Total freight],tblVerifyShipments[Lane],$B$75,tblVerifyShipments[Carrier],$F$70,tblVerifyShipments[View date],"&gt;0"))/(SUMIFS(tblVerifyShipments[Units shipped],tblVerifyShipments[Lane],$B$75,tblVerifyShipments[Carrier],$F$70,tblVerifyShipments[View date],"&gt;0"))))</f>
        <v/>
      </c>
    </row>
    <row r="76" spans="2:12">
      <c r="B76" s="55">
        <f>IFERROR(INDEX(tblVerifyLanes[Lane],6)&amp;"","")</f>
        <v/>
      </c>
      <c r="C76" s="58">
        <f>IF(OR($B$76="",$C$70=""),"",IF((SUMIFS(tblVerifyShipments[Units shipped],tblVerifyShipments[Lane],$B$76,tblVerifyShipments[Carrier],$C$70,tblVerifyShipments[View date],"&gt;0"))=0,"",(SUMIFS(tblVerifyShipments[Total freight],tblVerifyShipments[Lane],$B$76,tblVerifyShipments[Carrier],$C$70,tblVerifyShipments[View date],"&gt;0"))/(SUMIFS(tblVerifyShipments[Units shipped],tblVerifyShipments[Lane],$B$76,tblVerifyShipments[Carrier],$C$70,tblVerifyShipments[View date],"&gt;0"))))</f>
        <v/>
      </c>
      <c r="D76" s="58">
        <f>IF(OR($B$76="",$D$70=""),"",IF((SUMIFS(tblVerifyShipments[Units shipped],tblVerifyShipments[Lane],$B$76,tblVerifyShipments[Carrier],$D$70,tblVerifyShipments[View date],"&gt;0"))=0,"",(SUMIFS(tblVerifyShipments[Total freight],tblVerifyShipments[Lane],$B$76,tblVerifyShipments[Carrier],$D$70,tblVerifyShipments[View date],"&gt;0"))/(SUMIFS(tblVerifyShipments[Units shipped],tblVerifyShipments[Lane],$B$76,tblVerifyShipments[Carrier],$D$70,tblVerifyShipments[View date],"&gt;0"))))</f>
        <v/>
      </c>
      <c r="E76" s="58">
        <f>IF(OR($B$76="",$E$70=""),"",IF((SUMIFS(tblVerifyShipments[Units shipped],tblVerifyShipments[Lane],$B$76,tblVerifyShipments[Carrier],$E$70,tblVerifyShipments[View date],"&gt;0"))=0,"",(SUMIFS(tblVerifyShipments[Total freight],tblVerifyShipments[Lane],$B$76,tblVerifyShipments[Carrier],$E$70,tblVerifyShipments[View date],"&gt;0"))/(SUMIFS(tblVerifyShipments[Units shipped],tblVerifyShipments[Lane],$B$76,tblVerifyShipments[Carrier],$E$70,tblVerifyShipments[View date],"&gt;0"))))</f>
        <v/>
      </c>
      <c r="F76" s="58">
        <f>IF(OR($B$76="",$F$70=""),"",IF((SUMIFS(tblVerifyShipments[Units shipped],tblVerifyShipments[Lane],$B$76,tblVerifyShipments[Carrier],$F$70,tblVerifyShipments[View date],"&gt;0"))=0,"",(SUMIFS(tblVerifyShipments[Total freight],tblVerifyShipments[Lane],$B$76,tblVerifyShipments[Carrier],$F$70,tblVerifyShipments[View date],"&gt;0"))/(SUMIFS(tblVerifyShipments[Units shipped],tblVerifyShipments[Lane],$B$76,tblVerifyShipments[Carrier],$F$70,tblVerifyShipments[View date],"&gt;0"))))</f>
        <v/>
      </c>
    </row>
  </sheetData>
  <sheetProtection sheet="1" formatColumns="0" formatRows="0"/>
  <mergeCells count="47">
    <mergeCell ref="A1:X1"/>
    <mergeCell ref="B2:W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9:L39"/>
    <mergeCell ref="B44:L44"/>
    <mergeCell ref="B49:L49"/>
    <mergeCell ref="B58:L58"/>
    <mergeCell ref="K59:L59"/>
    <mergeCell ref="K60:L60"/>
    <mergeCell ref="K61:L61"/>
    <mergeCell ref="K62:L62"/>
    <mergeCell ref="K63:L63"/>
    <mergeCell ref="K64:L64"/>
    <mergeCell ref="K65:L65"/>
    <mergeCell ref="K66:L66"/>
    <mergeCell ref="B68:L68"/>
    <mergeCell ref="B69:F6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J61:J66">
    <cfRule type="expression" dxfId="3" priority="43" stopIfTrue="1">
      <formula>AND(ISNUMBER(J61),J61&lt;=($E$37))</formula>
    </cfRule>
    <cfRule type="expression" dxfId="4" priority="44" stopIfTrue="1">
      <formula>AND(ISNUMBER(J61),J61&lt;=($E$37)*(1+0.05))</formula>
    </cfRule>
    <cfRule type="expression" dxfId="5" priority="45">
      <formula>ISNUMBER(J61)</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61:K66">
    <cfRule type="cellIs" dxfId="0" priority="46" operator="equal">
      <formula>"On target"</formula>
    </cfRule>
    <cfRule type="cellIs" dxfId="0" priority="47" operator="equal">
      <formula>"PASS"</formula>
    </cfRule>
    <cfRule type="cellIs" dxfId="0" priority="48" operator="equal">
      <formula>"OK"</formula>
    </cfRule>
    <cfRule type="cellIs" dxfId="0" priority="49" operator="equal">
      <formula>"Within limits"</formula>
    </cfRule>
    <cfRule type="cellIs" dxfId="0" priority="50" operator="equal">
      <formula>"Under capacity"</formula>
    </cfRule>
    <cfRule type="cellIs" dxfId="0" priority="51" operator="equal">
      <formula>"Complete"</formula>
    </cfRule>
    <cfRule type="cellIs" dxfId="0" priority="52" operator="equal">
      <formula>"Yes"</formula>
    </cfRule>
    <cfRule type="cellIs" dxfId="1" priority="53" operator="equal">
      <formula>"Near target"</formula>
    </cfRule>
    <cfRule type="cellIs" dxfId="1" priority="54" operator="equal">
      <formula>"Check"</formula>
    </cfRule>
    <cfRule type="cellIs" dxfId="1" priority="55" operator="equal">
      <formula>"Due soon"</formula>
    </cfRule>
    <cfRule type="cellIs" dxfId="1" priority="56" operator="equal">
      <formula>"Near capacity"</formula>
    </cfRule>
    <cfRule type="cellIs" dxfId="1" priority="57" operator="equal">
      <formula>"In progress"</formula>
    </cfRule>
    <cfRule type="cellIs" dxfId="1" priority="58" operator="equal">
      <formula>"Partial"</formula>
    </cfRule>
    <cfRule type="cellIs" dxfId="2" priority="59" operator="equal">
      <formula>"Below target"</formula>
    </cfRule>
    <cfRule type="cellIs" dxfId="2" priority="60" operator="equal">
      <formula>"Above target"</formula>
    </cfRule>
    <cfRule type="cellIs" dxfId="2" priority="61" operator="equal">
      <formula>"FAIL"</formula>
    </cfRule>
    <cfRule type="cellIs" dxfId="2" priority="62" operator="equal">
      <formula>"Over capacity"</formula>
    </cfRule>
    <cfRule type="cellIs" dxfId="2" priority="63" operator="equal">
      <formula>"Overdue"</formula>
    </cfRule>
    <cfRule type="cellIs" dxfId="2" priority="64" operator="equal">
      <formula>"Out of limits"</formula>
    </cfRule>
    <cfRule type="cellIs" dxfId="2" priority="65" operator="equal">
      <formula>"No"</formula>
    </cfRule>
  </conditionalFormatting>
  <conditionalFormatting sqref="W52:W56">
    <cfRule type="expression" dxfId="3" priority="41">
      <formula>$W52="OK"</formula>
    </cfRule>
    <cfRule type="expression" dxfId="1" priority="42">
      <formula>AND($W52&lt;&gt;"",$W52&lt;&gt;"OK")</formula>
    </cfRule>
  </conditionalFormatting>
  <hyperlinks>
    <hyperlink ref="X2" r:id="rId1" tooltip="Free manufacturing calculators and templates"/>
  </hyperlinks>
  <printOptions horizontalCentered="1"/>
  <pageMargins left="0.4" right="0.4" top="0.7" bottom="0.65" header="0.3" footer="0.3"/>
  <pageSetup fitToHeight="0" orientation="landscape"/>
  <headerFooter>
    <oddHeader>&amp;L&amp;8MFG Calcs - Freight Cost Per Unit&amp;R&amp;8&amp;A</oddHeader>
    <oddFooter>&amp;L&amp;8mfgcalcs.com - free manufacturing templates&amp;R&amp;8Page &amp;P of &amp;N</oddFooter>
  </headerFooter>
  <rowBreaks count="1" manualBreakCount="1">
    <brk id="57"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20</vt:i4>
      </vt:variant>
    </vt:vector>
  </HeadingPairs>
  <TitlesOfParts>
    <vt:vector size="26" baseType="lpstr">
      <vt:lpstr>Start Here</vt:lpstr>
      <vt:lpstr>Setup</vt:lpstr>
      <vt:lpstr>Shipment Log</vt:lpstr>
      <vt:lpstr>Dashboard</vt:lpstr>
      <vt:lpstr>Method</vt:lpstr>
      <vt:lpstr>Verify</vt:lpstr>
      <vt:lpstr>CompanyName</vt:lpstr>
      <vt:lpstr>Currency</vt:lpstr>
      <vt:lpstr>DashFrom</vt:lpstr>
      <vt:lpstr>DashTo</vt:lpstr>
      <vt:lpstr>KpiExtras</vt:lpstr>
      <vt:lpstr>KpiPerUnit</vt:lpstr>
      <vt:lpstr>KpiShare</vt:lpstr>
      <vt:lpstr>KpiSpend</vt:lpstr>
      <vt:lpstr>Dashboard!Print_Area</vt:lpstr>
      <vt:lpstr>Method!Print_Area</vt:lpstr>
      <vt:lpstr>Setup!Print_Area</vt:lpstr>
      <vt:lpstr>'Shipment Log'!Print_Area</vt:lpstr>
      <vt:lpstr>'Start Here'!Print_Area</vt:lpstr>
      <vt:lpstr>Verify!Print_Area</vt:lpstr>
      <vt:lpstr>Method!Print_Titles</vt:lpstr>
      <vt:lpstr>'Shipment Log'!Print_Titles</vt:lpstr>
      <vt:lpstr>SelfCheck</vt:lpstr>
      <vt:lpstr>SelfCheckSummary</vt:lpstr>
      <vt:lpstr>TargetPct</vt:lpstr>
      <vt:lpstr>WeightUnit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Freight Cost Per Unit - free Excel template from MFG Calcs</dc:title>
  <dc:subject>Log every freight invoice and see freight cost per unit, per weight and as a share of product value by lane, carrier and week.</dc:subject>
  <dc:creator>MFG Calcs</dc:creator>
  <cp:keywords>freight cost per unit, landed cost, fuel surcharge, accessorials, carrier comparison, lane analysis, freight budget</cp:keywords>
  <dc:description>https://www.mfgcalcs.com/templates/freight-cost-per-unit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freight-cost-per-unit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https://www.mfgcalcs.com/templates/freight-cost-per-unit</vt:lpwstr>
  </property>
  <property fmtid="{D5CDD505-2E9C-101B-9397-08002B2CF9AE}" pid="7" name="Template sheet roles">
    <vt:lpwstr>Start Here=start;Setup=setup;Shipment Log=work;Dashboard=dashboard;Method=method;Verify=verify</vt:lpwstr>
  </property>
</Properties>
</file>