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tudy" sheetId="3" r:id="rId3"/>
    <sheet name="Dashboard" sheetId="4" r:id="rId4"/>
    <sheet name="Method" sheetId="5" r:id="rId5"/>
    <sheet name="Verify" sheetId="6" r:id="rId6"/>
  </sheets>
  <definedNames>
    <definedName name="AcceptPct">Setup!$C$14</definedName>
    <definedName name="Appraisers">tblAppraisers[Appraiser]</definedName>
    <definedName name="AV">Dashboard!$J$30</definedName>
    <definedName name="CharName">Setup!$C$8</definedName>
    <definedName name="Constants">tblConstants[Count]</definedName>
    <definedName name="ConstD4">Setup!$C$32</definedName>
    <definedName name="ConstK1">Setup!$C$29</definedName>
    <definedName name="ConstK2">Setup!$C$30</definedName>
    <definedName name="ConstK3">Setup!$C$31</definedName>
    <definedName name="EV">Dashboard!$J$29</definedName>
    <definedName name="GageName">Setup!$C$7</definedName>
    <definedName name="GRR">Dashboard!$J$31</definedName>
    <definedName name="KpiNdc">Dashboard!$G$6</definedName>
    <definedName name="KpiPctGrr">Dashboard!$B$6</definedName>
    <definedName name="KpiPctTol">Dashboard!$D$6</definedName>
    <definedName name="KpiSource">Dashboard!$J$6</definedName>
    <definedName name="MinNdc">Setup!$C$16</definedName>
    <definedName name="NApp">Setup!$C$28</definedName>
    <definedName name="Ndc">Dashboard!$J$37</definedName>
    <definedName name="NdcRaw">Dashboard!$J$36</definedName>
    <definedName name="Parts">Setup!$C$11</definedName>
    <definedName name="PctGRR">Dashboard!$J$34</definedName>
    <definedName name="PctTol">Dashboard!$J$35</definedName>
    <definedName name="PlantName">Setup!$C$6</definedName>
    <definedName name="_xlnm.Print_Area" localSheetId="3">Dashboard!$A$1:$L$65</definedName>
    <definedName name="_xlnm.Print_Area" localSheetId="4">Method!$A$1:$D$61</definedName>
    <definedName name="_xlnm.Print_Area" localSheetId="1">Setup!$A$1:$F$48</definedName>
    <definedName name="_xlnm.Print_Area" localSheetId="0">'Start Here'!$A$1:$F$55</definedName>
    <definedName name="_xlnm.Print_Area" localSheetId="2">Study!$A$1:$J$36</definedName>
    <definedName name="_xlnm.Print_Area" localSheetId="5">Verify!$A$1:$L$88</definedName>
    <definedName name="_xlnm.Print_Titles" localSheetId="4">Method!$1:$2</definedName>
    <definedName name="_xlnm.Print_Titles" localSheetId="2">Study!$1:$6</definedName>
    <definedName name="PV">Dashboard!$J$32</definedName>
    <definedName name="RBarBar">Setup!$C$33</definedName>
    <definedName name="RejectPct">Setup!$C$15</definedName>
    <definedName name="Rp">Dashboard!$J$28</definedName>
    <definedName name="SelfCheck">Verify!$D$4</definedName>
    <definedName name="SelfCheckSummary">Verify!$F$4</definedName>
    <definedName name="SetupCheck">Setup!$C$35</definedName>
    <definedName name="Source">Dashboard!$J$38</definedName>
    <definedName name="SpreadMult">Setup!$C$13</definedName>
    <definedName name="Tolerance">Setup!$C$12</definedName>
    <definedName name="Trials">Setup!$C$10</definedName>
    <definedName name="TV">Dashboard!$J$33</definedName>
    <definedName name="UCLR">Setup!$C$34</definedName>
    <definedName name="UnitLabel">Setup!$C$9</definedName>
    <definedName name="XDiff">Dashboard!$J$27</definedName>
  </definedNames>
  <calcPr calcId="124519" fullCalcOnLoad="1"/>
</workbook>
</file>

<file path=xl/sharedStrings.xml><?xml version="1.0" encoding="utf-8"?>
<sst xmlns="http://schemas.openxmlformats.org/spreadsheetml/2006/main" count="422" uniqueCount="247">
  <si>
    <t>Gage R&amp;R Study</t>
  </si>
  <si>
    <t>Read this first: what the workbook does and how to use it.</t>
  </si>
  <si>
    <t>mfgcalcs.com</t>
  </si>
  <si>
    <t>Enter a crossed gage study (parts x appraisers x trials) and get repeatability, reproducibility, % GRR of study variation and tolerance, and ndc.</t>
  </si>
  <si>
    <t>For: Quality and metrology engineers, supplier quality engineers and inspection leads qualifying a gage for PPAP, a control plan or a customer audit.</t>
  </si>
  <si>
    <t>Version 1.0.0  ·  updated 15 October 2026</t>
  </si>
  <si>
    <t>Quick start</t>
  </si>
  <si>
    <t>1.</t>
  </si>
  <si>
    <t>On Setup, name the gage and characteristic, set the trials (2 or 3), parts (2 to 10), tolerance and your acceptance limits, and list the appraisers (2 or 3).</t>
  </si>
  <si>
    <t>2.</t>
  </si>
  <si>
    <t>Measure the parts in random order, blind to part number where you can. On Study, enter one row per appraiser per part with the trials in order.</t>
  </si>
  <si>
    <t>3.</t>
  </si>
  <si>
    <t>Fix anything the Check column names; Range above UCL means re-measure that part.</t>
  </si>
  <si>
    <t>4.</t>
  </si>
  <si>
    <t>Read the Dashboard: % GRR of study variation and of tolerance, ndc, and which source dominates (equipment or appraisers).</t>
  </si>
  <si>
    <t>What is in this workbook</t>
  </si>
  <si>
    <t>Start Here</t>
  </si>
  <si>
    <t>Setup</t>
  </si>
  <si>
    <t>The gage, the study design, the tolerance, your acceptance limits and the appraisers.</t>
  </si>
  <si>
    <t>Study</t>
  </si>
  <si>
    <t>One row per appraiser per part. Enter the trials in the order measured.</t>
  </si>
  <si>
    <t>Dashboard</t>
  </si>
  <si>
    <t>Is the gage good enough? % GRR of study variation and tolerance, ndc, and where the measurement error comes from.</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</si>
  <si>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</si>
  <si>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</si>
  <si>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</si>
  <si>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</si>
  <si>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</si>
  <si>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</si>
  <si>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</si>
  <si>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</si>
  <si>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</si>
  <si>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</si>
  <si>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</si>
  <si>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</si>
  <si>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</si>
  <si>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</si>
  <si>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</si>
  <si>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</si>
  <si>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</si>
  <si>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</si>
  <si>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</si>
  <si>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</si>
  <si>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Gauge R&amp;R Percentage Calculator on mfgcalcs.com</t>
  </si>
  <si>
    <t>Latest version</t>
  </si>
  <si>
    <t>mfgcalcs.com/templates/gage-rr-study</t>
  </si>
  <si>
    <t>More free templates</t>
  </si>
  <si>
    <t>mfgcalcs.com/templates</t>
  </si>
  <si>
    <t>Version</t>
  </si>
  <si>
    <t>1.0.0 (updated 15 October 2026)</t>
  </si>
  <si>
    <t>About the example data</t>
  </si>
  <si>
    <t>Every number already in this workbook is example data for Northgate Precision, a fictional business invented for this template, so the dashboard and charts show something meaningful on day one. It covers ten plunger diameters measured three times each by three appraisers with one micrometer (90 readings),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</si>
  <si>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</si>
  <si>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</si>
  <si>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</si>
  <si>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</si>
  <si>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</si>
  <si>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</si>
  <si>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</si>
  <si>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</si>
  <si>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Appraiser</t>
  </si>
  <si>
    <t>Notes</t>
  </si>
  <si>
    <t>Count</t>
  </si>
  <si>
    <t>K1 (trials)</t>
  </si>
  <si>
    <t>K2 (appraisers)</t>
  </si>
  <si>
    <t>K3 (parts)</t>
  </si>
  <si>
    <t>D4 (trials)</t>
  </si>
  <si>
    <t>Gage and study design</t>
  </si>
  <si>
    <t>Plant or lab</t>
  </si>
  <si>
    <t>Northgate Precision (example)</t>
  </si>
  <si>
    <t>Gage</t>
  </si>
  <si>
    <t>Digital micrometer 0-25 mm, GA-114 (example)</t>
  </si>
  <si>
    <t>Characteristic</t>
  </si>
  <si>
    <t>Plunger OD 6.350 +/- 0.025 mm (example)</t>
  </si>
  <si>
    <t>Measurement unit</t>
  </si>
  <si>
    <t>mm</t>
  </si>
  <si>
    <t>Trials per appraiser per part</t>
  </si>
  <si>
    <t>trials</t>
  </si>
  <si>
    <t>Parts in the study</t>
  </si>
  <si>
    <t>parts</t>
  </si>
  <si>
    <t>Tolerance (USL - LSL)</t>
  </si>
  <si>
    <t>Spread multiplier for % tolerance</t>
  </si>
  <si>
    <t>sigma</t>
  </si>
  <si>
    <t>Acceptable below</t>
  </si>
  <si>
    <t>% GRR</t>
  </si>
  <si>
    <t>Unacceptable above</t>
  </si>
  <si>
    <t>Minimum distinct categories</t>
  </si>
  <si>
    <t>ndc</t>
  </si>
  <si>
    <t>Acceptance limits are yours to set; the defaults follow the guidance in the AIAG Measurement Systems Analysis reference manual. Your customer's requirements take precedence.</t>
  </si>
  <si>
    <t>Appraisers (2 or 3)</t>
  </si>
  <si>
    <t>A. Patel</t>
  </si>
  <si>
    <t>Day shift inspector</t>
  </si>
  <si>
    <t>B. Novak</t>
  </si>
  <si>
    <t>Machinist, cell 2</t>
  </si>
  <si>
    <t>C. Reyes</t>
  </si>
  <si>
    <t>Night shift inspector</t>
  </si>
  <si>
    <t>Study constants and statistics (calculated)</t>
  </si>
  <si>
    <t>Appraisers on the list</t>
  </si>
  <si>
    <t>appraisers</t>
  </si>
  <si>
    <t>K1 for the trials (1 / d2*)</t>
  </si>
  <si>
    <t>-</t>
  </si>
  <si>
    <t>K2 for the appraisers (1 / d2*)</t>
  </si>
  <si>
    <t>K3 for the parts (1 / d2*)</t>
  </si>
  <si>
    <t>D4 for the trials</t>
  </si>
  <si>
    <t>Average range (R-double-bar)</t>
  </si>
  <si>
    <t>Range control limit (D4 x R-double-bar)</t>
  </si>
  <si>
    <t>Setup check</t>
  </si>
  <si>
    <t>Average and Range method constants (public)</t>
  </si>
  <si>
    <t>Public statistical constants: K = 1 / d2* for the number of trials, appraisers or parts, and D4 for the range chart. Do not edit.</t>
  </si>
  <si>
    <t>Part no.</t>
  </si>
  <si>
    <t>Trial 1</t>
  </si>
  <si>
    <t>Trial 2</t>
  </si>
  <si>
    <t>Trial 3</t>
  </si>
  <si>
    <t>Mean</t>
  </si>
  <si>
    <t>Range</t>
  </si>
  <si>
    <t>Check</t>
  </si>
  <si>
    <t>Example data for Northgate Precision (fictional). To clear: select the example rows, right-click, Delete &gt; Table Rows. Yellow = you type; blue = calculated; Check names any problem.</t>
  </si>
  <si>
    <t>% GRR OF STUDY VARIATION</t>
  </si>
  <si>
    <t>% GRR OF TOLERANCE</t>
  </si>
  <si>
    <t>DISTINCT CATEGORIES (NDC)</t>
  </si>
  <si>
    <t>LARGER SOURCE OF GAGE ERROR</t>
  </si>
  <si>
    <t>Compare EV with AV below</t>
  </si>
  <si>
    <t>Components of variation</t>
  </si>
  <si>
    <t>Appraiser spread X-diff</t>
  </si>
  <si>
    <t>Source</t>
  </si>
  <si>
    <t>Std dev</t>
  </si>
  <si>
    <t>% study var</t>
  </si>
  <si>
    <t>% contribution</t>
  </si>
  <si>
    <t>% tolerance</t>
  </si>
  <si>
    <t>Part range Rp</t>
  </si>
  <si>
    <t>Repeatability EV</t>
  </si>
  <si>
    <t>Repeatability (EV)</t>
  </si>
  <si>
    <t>Reproducibility AV</t>
  </si>
  <si>
    <t>Reproducibility (AV)</t>
  </si>
  <si>
    <t>Gage R&amp;R GRR</t>
  </si>
  <si>
    <t>Gage R&amp;R (GRR)</t>
  </si>
  <si>
    <t>Part variation PV</t>
  </si>
  <si>
    <t>Part-to-part (PV)</t>
  </si>
  <si>
    <t>Total variation TV</t>
  </si>
  <si>
    <t>Total (TV)</t>
  </si>
  <si>
    <t>% GRR of study var.</t>
  </si>
  <si>
    <t>%</t>
  </si>
  <si>
    <t>% GRR of tolerance</t>
  </si>
  <si>
    <t>1.41 x PV / GRR</t>
  </si>
  <si>
    <t>Distinct categories</t>
  </si>
  <si>
    <t>categories</t>
  </si>
  <si>
    <t>Larger error source</t>
  </si>
  <si>
    <t>Average by appraiser and part</t>
  </si>
  <si>
    <t>Appraiser / part</t>
  </si>
  <si>
    <t>Range by appraiser and part</t>
  </si>
  <si>
    <t>By appraiser</t>
  </si>
  <si>
    <t>By part</t>
  </si>
  <si>
    <t>Rows</t>
  </si>
  <si>
    <t>Average</t>
  </si>
  <si>
    <t>Average range</t>
  </si>
  <si>
    <t>The Dashboard shows up to 3 appraisers and 10 parts, the limits of the Average and Range constants used here. A blank third appraiser plots at zero in the line chart.</t>
  </si>
  <si>
    <t>What this workbook calculates</t>
  </si>
  <si>
    <t>A gage R&amp;R study splits the variation seen in a set of measurements into the part-to-part variation you want to see and the measurement system's own variation: repeatability (the same appraiser measuring the same part again, mostly the equipment) and reproducibility (different appraisers, mostly method and people). This workbook uses the Average and Range method of the AIAG Measurement Systems Analysis manual. Every component is a standard deviation in your unit.</t>
  </si>
  <si>
    <t>Calculations</t>
  </si>
  <si>
    <t>Quantity</t>
  </si>
  <si>
    <t>How it is calculated</t>
  </si>
  <si>
    <t>Units</t>
  </si>
  <si>
    <t>Mean and range (per row)</t>
  </si>
  <si>
    <t>Average and largest minus smallest of one appraiser's trials on one part.</t>
  </si>
  <si>
    <t>unit</t>
  </si>
  <si>
    <t>R-double-bar</t>
  </si>
  <si>
    <t>Average of every row's range.</t>
  </si>
  <si>
    <t>Range control limit</t>
  </si>
  <si>
    <t>D4 x R-double-bar (D4 = 2.574 for 3 trials, 3.267 for 2). A row above it is flagged for re-measurement.</t>
  </si>
  <si>
    <t>X-diff</t>
  </si>
  <si>
    <t>Largest minus smallest appraiser average.</t>
  </si>
  <si>
    <t>Rp</t>
  </si>
  <si>
    <t>Largest minus smallest part average (over all appraisers and trials).</t>
  </si>
  <si>
    <t>R-double-bar x K1; K1 = 1 / d2* = 0.5908 for 3 trials, 0.8862 for 2.</t>
  </si>
  <si>
    <t>sqrt((X-diff x K2)^2 - EV^2 / (parts x trials)), set to 0 when negative; K2 = 0.5231 for 3 appraisers, 0.7071 for 2.</t>
  </si>
  <si>
    <t>sqrt(EV^2 + AV^2).</t>
  </si>
  <si>
    <t>Part variation (PV)</t>
  </si>
  <si>
    <t>Rp x K3; K3 depends on the number of parts (0.3146 for 10).</t>
  </si>
  <si>
    <t>Total variation (TV)</t>
  </si>
  <si>
    <t>sqrt(GRR^2 + PV^2).</t>
  </si>
  <si>
    <t>% study variation</t>
  </si>
  <si>
    <t>Component / TV. % contribution is the square of it (variance share).</t>
  </si>
  <si>
    <t>Spread multiplier (6 by default) x component / tolerance.</t>
  </si>
  <si>
    <t>1.41 x PV / GRR, truncated to a whole number.</t>
  </si>
  <si>
    <t>% GRR: OK below the acceptable limit, Check between the limits, FAIL above the unacceptable limit (Setup). ndc: On target at or above the minimum.</t>
  </si>
  <si>
    <t>words</t>
  </si>
  <si>
    <t>Assumptions</t>
  </si>
  <si>
    <t>A crossed, balanced study: every appraiser measures every part the same number of times.</t>
  </si>
  <si>
    <t>Parts are chosen to represent the process range. If they are not (for example ten nearly identical parts), PV and ndc are understated; judge the gage on % tolerance instead.</t>
  </si>
  <si>
    <t>Measurements are taken in random order and blind to earlier readings, so trials are independent.</t>
  </si>
  <si>
    <t>The gage is calibrated and stable during the study; bias and linearity are separate studies.</t>
  </si>
  <si>
    <t>Limitations</t>
  </si>
  <si>
    <t>Average and Range method only. It does not separate the appraiser-by-part interaction; the ANOVA method does, and gives slightly different numbers.</t>
  </si>
  <si>
    <t>Up to 3 appraisers, 3 trials and 10 parts (the constants on Setup).</t>
  </si>
  <si>
    <t>Attribute (go/no-go) gages need an attribute agreement study instead.</t>
  </si>
  <si>
    <t>Acceptance limits are guidance: the AIAG manual leaves the 10% to 30% band to the application, its cost and the customer.</t>
  </si>
  <si>
    <t>Agreement with the live calculator</t>
  </si>
  <si>
    <t>The live Gauge R&amp;R Percentage calculator combines a repeatability SD, a reproducibility SD and a part-to-part SD into % GRR of study variation. Enter this workbook's EV, AV and PV there and the % GRR, combined gauge SD and total SD agree exactly (checked against the calculator's engine on every build). The calculator starts from the three SDs; this workbook estimates them from the study readings and adds % tolerance, ndc and the charts.</t>
  </si>
  <si>
    <t>Open the Gauge R&amp;R Percentage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</si>
  <si>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</si>
  <si>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</si>
  <si>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AIAG, Measurement Systems Analysis (MSA) reference manual, 4th edition, 2010 (Average and Range method, ndc, acceptance guidance).</t>
  </si>
  <si>
    <t>Duncan, A. J., Quality Control and Industrial Statistics, Irwin (d2* constants).</t>
  </si>
  <si>
    <t>ISO 22514-7, Capability of measurement processes (an alternative approach, not used here).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</si>
  <si>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</si>
  <si>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</si>
  <si>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</si>
  <si>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</si>
  <si>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</si>
  <si>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</si>
  <si>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</si>
  <si>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</si>
  <si>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</si>
  <si>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</si>
  <si>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</si>
  <si>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</si>
  <si>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</si>
  <si>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</si>
  <si>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</si>
  <si>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</si>
  <si>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mean</t>
  </si>
  <si>
    <t>Row 1: range</t>
  </si>
  <si>
    <t>Row 11: Check reports a part outside the study</t>
  </si>
  <si>
    <t>Part no. above parts in study</t>
  </si>
  <si>
    <t>exact</t>
  </si>
  <si>
    <t>Row 12: Check reports a missing trial</t>
  </si>
  <si>
    <t>Reading count is not the trials</t>
  </si>
  <si>
    <t>% GRR of study variation</t>
  </si>
  <si>
    <t>ndc (truncated)</t>
  </si>
  <si>
    <t>Fixed test inputs</t>
  </si>
  <si>
    <t>White cells are fixed test inputs; blue cells are the workbook's formulas evaluated on them.</t>
  </si>
  <si>
    <t>Parameters</t>
  </si>
  <si>
    <t>Trials</t>
  </si>
  <si>
    <t>Parts</t>
  </si>
  <si>
    <t>Spread multiplier</t>
  </si>
  <si>
    <t>K1, 2 trials</t>
  </si>
  <si>
    <t>K2, 2 appraisers</t>
  </si>
  <si>
    <t>K3, 5 parts</t>
  </si>
  <si>
    <t>D4, 2 trials</t>
  </si>
  <si>
    <t>Test table: Study</t>
  </si>
  <si>
    <t>P</t>
  </si>
  <si>
    <t>Q</t>
  </si>
  <si>
    <t>Test inputs and formulas</t>
  </si>
  <si>
    <t>Range UCL</t>
  </si>
  <si>
    <t>Test grid: AppStats</t>
  </si>
  <si>
    <t/>
  </si>
  <si>
    <t>Test grid: PartStats</t>
  </si>
</sst>
</file>

<file path=xl/styles.xml><?xml version="1.0" encoding="utf-8"?>
<styleSheet xmlns="http://schemas.openxmlformats.org/spreadsheetml/2006/main">
  <numFmts count="9">
    <numFmt numFmtId="164" formatCode="#,##0"/>
    <numFmt numFmtId="165" formatCode="0.0000"/>
    <numFmt numFmtId="166" formatCode="#,##0.00"/>
    <numFmt numFmtId="167" formatCode="0%"/>
    <numFmt numFmtId="168" formatCode="#,##0.000"/>
    <numFmt numFmtId="169" formatCode="0.0%"/>
    <numFmt numFmtId="170" formatCode="&quot;Limit &quot;0.0%"/>
    <numFmt numFmtId="171" formatCode="&quot;Target &quot;#,##0"/>
    <numFmt numFmtId="172"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b/>
      <sz val="15"/>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7">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10" fillId="4" borderId="3" xfId="0" applyFont="1" applyFill="1" applyBorder="1" applyAlignment="1">
      <alignment vertical="center"/>
    </xf>
    <xf numFmtId="0" fontId="19" fillId="7" borderId="2" xfId="0" applyFont="1" applyFill="1" applyBorder="1" applyAlignment="1">
      <alignment vertical="center" wrapText="1"/>
    </xf>
    <xf numFmtId="168" fontId="10" fillId="3" borderId="2" xfId="0" applyNumberFormat="1" applyFont="1" applyFill="1" applyBorder="1" applyAlignment="1" applyProtection="1">
      <alignment vertical="center"/>
      <protection locked="0"/>
    </xf>
    <xf numFmtId="0" fontId="20" fillId="0" borderId="0" xfId="0" applyFont="1" applyAlignment="1">
      <alignment horizontal="center" vertical="center"/>
    </xf>
    <xf numFmtId="0" fontId="21" fillId="4" borderId="3" xfId="0" applyFont="1" applyFill="1" applyBorder="1" applyAlignment="1">
      <alignment vertical="center"/>
    </xf>
    <xf numFmtId="0" fontId="22" fillId="9" borderId="6" xfId="0" applyFont="1" applyFill="1" applyBorder="1" applyAlignment="1">
      <alignment vertical="center" wrapText="1"/>
    </xf>
    <xf numFmtId="169"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70" fontId="24" fillId="9" borderId="7" xfId="0" applyNumberFormat="1" applyFont="1" applyFill="1" applyBorder="1" applyAlignment="1">
      <alignment horizontal="left" vertical="center"/>
    </xf>
    <xf numFmtId="171"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9" fontId="10" fillId="4" borderId="3" xfId="0" applyNumberFormat="1" applyFont="1" applyFill="1" applyBorder="1" applyAlignment="1">
      <alignment vertical="center"/>
    </xf>
    <xf numFmtId="165" fontId="9" fillId="4" borderId="3" xfId="0" applyNumberFormat="1" applyFont="1" applyFill="1" applyBorder="1" applyAlignment="1">
      <alignment vertical="center"/>
    </xf>
    <xf numFmtId="169" fontId="9"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164" fontId="18" fillId="2" borderId="5" xfId="0" applyNumberFormat="1" applyFont="1" applyFill="1" applyBorder="1" applyAlignment="1">
      <alignment horizontal="center" vertical="center" wrapText="1"/>
    </xf>
    <xf numFmtId="168" fontId="10" fillId="4" borderId="3" xfId="0" applyNumberFormat="1" applyFont="1" applyFill="1" applyBorder="1" applyAlignment="1">
      <alignment horizontal="center" vertical="center"/>
    </xf>
    <xf numFmtId="164" fontId="9" fillId="0" borderId="9" xfId="0" applyNumberFormat="1" applyFont="1" applyBorder="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65"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0" fontId="10" fillId="4" borderId="3" xfId="0" applyFont="1" applyFill="1" applyBorder="1" applyAlignment="1">
      <alignment horizontal="center" vertical="center"/>
    </xf>
    <xf numFmtId="164" fontId="10" fillId="0" borderId="9" xfId="0" applyNumberFormat="1" applyFont="1" applyBorder="1" applyAlignment="1">
      <alignment vertical="center"/>
    </xf>
    <xf numFmtId="168"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Components of variation</a:t>
            </a:r>
          </a:p>
        </c:rich>
      </c:tx>
      <c:layout/>
    </c:title>
    <c:plotArea>
      <c:layout/>
      <c:barChart>
        <c:barDir val="col"/>
        <c:grouping val="clustered"/>
        <c:ser>
          <c:idx val="0"/>
          <c:order val="0"/>
          <c:tx>
            <c:v>% study variation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Dashboard!$B$30:$B$34</c:f>
              <c:strCache>
                <c:ptCount val="5"/>
                <c:pt idx="0">
                  <c:v>Repeatability (EV)</c:v>
                </c:pt>
                <c:pt idx="1">
                  <c:v>Reproducibility (AV)</c:v>
                </c:pt>
                <c:pt idx="2">
                  <c:v>Gage R&amp;R (GRR)</c:v>
                </c:pt>
                <c:pt idx="3">
                  <c:v>Part-to-part (PV)</c:v>
                </c:pt>
                <c:pt idx="4">
                  <c:v>Total (TV)</c:v>
                </c:pt>
              </c:strCache>
            </c:strRef>
          </c:cat>
          <c:val>
            <c:numRef>
              <c:f>Dashboard!$D$30:$D$34</c:f>
              <c:numCache>
                <c:formatCode>General</c:formatCode>
                <c:ptCount val="5"/>
                <c:pt idx="0">
                  <c:v>0.156093818587878</c:v>
                </c:pt>
                <c:pt idx="1">
                  <c:v>0.100496046758441</c:v>
                </c:pt>
                <c:pt idx="2">
                  <c:v>0.185646803407492</c:v>
                </c:pt>
                <c:pt idx="3">
                  <c:v>0.982616539848877</c:v>
                </c:pt>
                <c:pt idx="4">
                  <c:v>1</c:v>
                </c:pt>
              </c:numCache>
            </c:numRef>
          </c:val>
        </c:ser>
        <c:ser>
          <c:idx val="1"/>
          <c:order val="1"/>
          <c:tx>
            <c:v>% tolerance</c:v>
          </c:tx>
          <c:spPr>
            <a:solidFill>
              <a:srgbClr val="E8702A"/>
            </a:solidFill>
            <a:ln w="9525">
              <a:solidFill>
                <a:srgbClr val="FFFFFF"/>
              </a:solidFill>
            </a:ln>
          </c:spPr>
          <c:cat>
            <c:strRef>
              <c:f>Dashboard!$B$30:$B$34</c:f>
              <c:strCache>
                <c:ptCount val="5"/>
                <c:pt idx="0">
                  <c:v>Repeatability (EV)</c:v>
                </c:pt>
                <c:pt idx="1">
                  <c:v>Reproducibility (AV)</c:v>
                </c:pt>
                <c:pt idx="2">
                  <c:v>Gage R&amp;R (GRR)</c:v>
                </c:pt>
                <c:pt idx="3">
                  <c:v>Part-to-part (PV)</c:v>
                </c:pt>
                <c:pt idx="4">
                  <c:v>Total (TV)</c:v>
                </c:pt>
              </c:strCache>
            </c:strRef>
          </c:cat>
          <c:val>
            <c:numRef>
              <c:f>Dashboard!$F$30:$F$34</c:f>
              <c:numCache>
                <c:formatCode>General</c:formatCode>
                <c:ptCount val="5"/>
                <c:pt idx="0">
                  <c:v>0.203235200000007</c:v>
                </c:pt>
                <c:pt idx="1">
                  <c:v>0.130846527728856</c:v>
                </c:pt>
                <c:pt idx="2">
                  <c:v>0.241713384688852</c:v>
                </c:pt>
                <c:pt idx="3">
                  <c:v>1.27937333333333</c:v>
                </c:pt>
                <c:pt idx="4">
                  <c:v>1.30200671518321</c:v>
                </c:pt>
              </c:numCache>
            </c:numRef>
          </c:val>
        </c:ser>
        <c:gapWidth val="60"/>
        <c:overlap val="-10"/>
        <c:axId val="50010001"/>
        <c:axId val="50010002"/>
      </c:bar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Average by part, each appraiser</a:t>
            </a:r>
          </a:p>
        </c:rich>
      </c:tx>
      <c:layout/>
    </c:title>
    <c:plotArea>
      <c:layout/>
      <c:lineChart>
        <c:grouping val="standard"/>
        <c:ser>
          <c:idx val="0"/>
          <c:order val="0"/>
          <c:tx>
            <c:strRef>
              <c:f>Dashboard!$B$42</c:f>
              <c:strCache>
                <c:ptCount val="1"/>
                <c:pt idx="0">
                  <c:v>A. Patel</c:v>
                </c:pt>
              </c:strCache>
            </c:strRef>
          </c:tx>
          <c:spPr>
            <a:ln w="28575">
              <a:solidFill>
                <a:srgbClr val="3B64D8"/>
              </a:solidFill>
            </a:ln>
          </c:spPr>
          <c:marker>
            <c:symbol val="circle"/>
            <c:size val="5"/>
            <c:spPr>
              <a:solidFill>
                <a:srgbClr val="3B64D8"/>
              </a:solidFill>
              <a:ln>
                <a:solidFill>
                  <a:srgbClr val="3B64D8"/>
                </a:solidFill>
              </a:ln>
            </c:spPr>
          </c:marker>
          <c:cat>
            <c:numRef>
              <c:f>Dashboard!$C$41:$L$41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Dashboard!$C$42:$L$42</c:f>
              <c:numCache>
                <c:formatCode>General</c:formatCode>
                <c:ptCount val="10"/>
                <c:pt idx="0">
                  <c:v>6.34266666666667</c:v>
                </c:pt>
                <c:pt idx="1">
                  <c:v>6.338</c:v>
                </c:pt>
                <c:pt idx="2">
                  <c:v>6.34533333333333</c:v>
                </c:pt>
                <c:pt idx="3">
                  <c:v>6.352</c:v>
                </c:pt>
                <c:pt idx="4">
                  <c:v>6.34933333333333</c:v>
                </c:pt>
                <c:pt idx="5">
                  <c:v>6.36766666666667</c:v>
                </c:pt>
                <c:pt idx="6">
                  <c:v>6.35833333333333</c:v>
                </c:pt>
                <c:pt idx="7">
                  <c:v>6.36266666666667</c:v>
                </c:pt>
                <c:pt idx="8">
                  <c:v>6.335</c:v>
                </c:pt>
                <c:pt idx="9">
                  <c:v>6.35466666666667</c:v>
                </c:pt>
              </c:numCache>
            </c:numRef>
          </c:val>
        </c:ser>
        <c:ser>
          <c:idx val="1"/>
          <c:order val="1"/>
          <c:tx>
            <c:strRef>
              <c:f>Dashboard!$B$43</c:f>
              <c:strCache>
                <c:ptCount val="1"/>
                <c:pt idx="0">
                  <c:v>B. Novak</c:v>
                </c:pt>
              </c:strCache>
            </c:strRef>
          </c:tx>
          <c:spPr>
            <a:ln w="28575">
              <a:solidFill>
                <a:srgbClr val="E8702A"/>
              </a:solidFill>
            </a:ln>
          </c:spPr>
          <c:marker>
            <c:symbol val="circle"/>
            <c:size val="5"/>
            <c:spPr>
              <a:solidFill>
                <a:srgbClr val="E8702A"/>
              </a:solidFill>
              <a:ln>
                <a:solidFill>
                  <a:srgbClr val="E8702A"/>
                </a:solidFill>
              </a:ln>
            </c:spPr>
          </c:marker>
          <c:cat>
            <c:numRef>
              <c:f>Dashboard!$C$41:$L$41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Dashboard!$C$43:$L$43</c:f>
              <c:numCache>
                <c:formatCode>General</c:formatCode>
                <c:ptCount val="10"/>
                <c:pt idx="0">
                  <c:v>6.34433333333333</c:v>
                </c:pt>
                <c:pt idx="1">
                  <c:v>6.33966666666667</c:v>
                </c:pt>
                <c:pt idx="2">
                  <c:v>6.34666666666667</c:v>
                </c:pt>
                <c:pt idx="3">
                  <c:v>6.354</c:v>
                </c:pt>
                <c:pt idx="4">
                  <c:v>6.35233333333333</c:v>
                </c:pt>
                <c:pt idx="5">
                  <c:v>6.368</c:v>
                </c:pt>
                <c:pt idx="6">
                  <c:v>6.359</c:v>
                </c:pt>
                <c:pt idx="7">
                  <c:v>6.36166666666667</c:v>
                </c:pt>
                <c:pt idx="8">
                  <c:v>6.33466666666667</c:v>
                </c:pt>
                <c:pt idx="9">
                  <c:v>6.35666666666667</c:v>
                </c:pt>
              </c:numCache>
            </c:numRef>
          </c:val>
        </c:ser>
        <c:ser>
          <c:idx val="2"/>
          <c:order val="2"/>
          <c:tx>
            <c:strRef>
              <c:f>Dashboard!$B$44</c:f>
              <c:strCache>
                <c:ptCount val="1"/>
                <c:pt idx="0">
                  <c:v>C. Reyes</c:v>
                </c:pt>
              </c:strCache>
            </c:strRef>
          </c:tx>
          <c:spPr>
            <a:ln w="28575">
              <a:solidFill>
                <a:srgbClr val="1BA37A"/>
              </a:solidFill>
            </a:ln>
          </c:spPr>
          <c:marker>
            <c:symbol val="circle"/>
            <c:size val="5"/>
            <c:spPr>
              <a:solidFill>
                <a:srgbClr val="1BA37A"/>
              </a:solidFill>
              <a:ln>
                <a:solidFill>
                  <a:srgbClr val="1BA37A"/>
                </a:solidFill>
              </a:ln>
            </c:spPr>
          </c:marker>
          <c:cat>
            <c:numRef>
              <c:f>Dashboard!$C$41:$L$41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Dashboard!$C$44:$L$44</c:f>
              <c:numCache>
                <c:formatCode>General</c:formatCode>
                <c:ptCount val="10"/>
                <c:pt idx="0">
                  <c:v>6.34033333333333</c:v>
                </c:pt>
                <c:pt idx="1">
                  <c:v>6.33766666666667</c:v>
                </c:pt>
                <c:pt idx="2">
                  <c:v>6.34633333333333</c:v>
                </c:pt>
                <c:pt idx="3">
                  <c:v>6.35</c:v>
                </c:pt>
                <c:pt idx="4">
                  <c:v>6.35</c:v>
                </c:pt>
                <c:pt idx="5">
                  <c:v>6.36866666666667</c:v>
                </c:pt>
                <c:pt idx="6">
                  <c:v>6.35533333333333</c:v>
                </c:pt>
                <c:pt idx="7">
                  <c:v>6.36</c:v>
                </c:pt>
                <c:pt idx="8">
                  <c:v>6.333</c:v>
                </c:pt>
                <c:pt idx="9">
                  <c:v>6.354</c:v>
                </c:pt>
              </c:numCache>
            </c:numRef>
          </c:val>
        </c:ser>
        <c:marker val="1"/>
        <c:axId val="50020001"/>
        <c:axId val="50020002"/>
      </c:lineChart>
      <c:catAx>
        <c:axId val="5002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Part no.</a:t>
                </a:r>
              </a:p>
            </c:rich>
          </c:tx>
          <c:layout/>
        </c:title>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scaling>
        <c:axPos val="l"/>
        <c:majorGridlines>
          <c:spPr>
            <a:ln w="9525">
              <a:solidFill>
                <a:srgbClr val="E6E9EE"/>
              </a:solidFill>
            </a:ln>
          </c:spPr>
        </c:majorGridlines>
        <c:numFmt formatCode="0.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10</xdr:row>
      <xdr:rowOff>38100</xdr:rowOff>
    </xdr:from>
    <xdr:to>
      <xdr:col>5</xdr:col>
      <xdr:colOff>676275</xdr:colOff>
      <xdr:row>24</xdr:row>
      <xdr:rowOff>152400</xdr:rowOff>
    </xdr:to>
    <xdr:graphicFrame macro="">
      <xdr:nvGraphicFramePr>
        <xdr:cNvPr id="2" name="Chart 1" descr="Column chart of repeatability, reproducibility, gage R&amp;R, part-to-part and total variation as a percentage of the study variation and of the toleranc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10</xdr:row>
      <xdr:rowOff>38100</xdr:rowOff>
    </xdr:from>
    <xdr:to>
      <xdr:col>11</xdr:col>
      <xdr:colOff>676275</xdr:colOff>
      <xdr:row>24</xdr:row>
      <xdr:rowOff>152400</xdr:rowOff>
    </xdr:to>
    <xdr:graphicFrame macro="">
      <xdr:nvGraphicFramePr>
        <xdr:cNvPr id="3" name="Chart 2" descr="Line chart of each appraiser's average reading for every part; lines that lie on top of each other mean the appraisers agre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Appraisers" displayName="tblAppraisers" ref="B21:C24" totalsRowShown="0">
  <autoFilter ref="B21:C24"/>
  <tableColumns count="2">
    <tableColumn id="1" name="Appraiser"/>
    <tableColumn id="2" name="Notes"/>
  </tableColumns>
  <tableStyleInfo name="TableStyleLight1" showFirstColumn="0" showLastColumn="0" showRowStripes="0" showColumnStripes="0"/>
</table>
</file>

<file path=xl/tables/table2.xml><?xml version="1.0" encoding="utf-8"?>
<table xmlns="http://schemas.openxmlformats.org/spreadsheetml/2006/main" id="2" name="tblConstants" displayName="tblConstants" ref="B39:F48" totalsRowShown="0">
  <autoFilter ref="B39:F48"/>
  <tableColumns count="5">
    <tableColumn id="1" name="Count"/>
    <tableColumn id="2" name="K1 (trials)"/>
    <tableColumn id="3" name="K2 (appraisers)"/>
    <tableColumn id="4" name="K3 (parts)"/>
    <tableColumn id="5" name="D4 (trials)"/>
  </tableColumns>
  <tableStyleInfo name="TableStyleLight1" showFirstColumn="0" showLastColumn="0" showRowStripes="0" showColumnStripes="0"/>
</table>
</file>

<file path=xl/tables/table3.xml><?xml version="1.0" encoding="utf-8"?>
<table xmlns="http://schemas.openxmlformats.org/spreadsheetml/2006/main" id="3" name="tblStudy" displayName="tblStudy" ref="B6:J36" totalsRowShown="0">
  <autoFilter ref="B6:J36"/>
  <tableColumns count="9">
    <tableColumn id="1" name="Appraiser"/>
    <tableColumn id="2" name="Part no."/>
    <tableColumn id="3" name="Trial 1"/>
    <tableColumn id="4" name="Trial 2"/>
    <tableColumn id="5" name="Trial 3"/>
    <tableColumn id="6" name="Mean">
      <calculatedColumnFormula>IF(tblStudy[[#This Row],[Appraiser]]="","",IF(OR(COUNT(tblStudy[[#This Row],[Trial 1]],tblStudy[[#This Row],[Trial 2]],tblStudy[[#This Row],[Trial 3]])&lt;&gt;Trials,N(tblStudy[[#This Row],[Part no.]])&gt;Parts),"",AVERAGE(tblStudy[[#This Row],[Trial 1]],tblStudy[[#This Row],[Trial 2]],tblStudy[[#This Row],[Trial 3]])))</calculatedColumnFormula>
    </tableColumn>
    <tableColumn id="7" name="Range">
      <calculatedColumnFormula>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calculatedColumnFormula>
    </tableColumn>
    <tableColumn id="8" name="Check">
      <calculatedColumnFormula>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calculatedColumnFormula>
    </tableColumn>
    <tableColumn id="9" name="Notes"/>
  </tableColumns>
  <tableStyleInfo name="TableStyleLight1" showFirstColumn="0" showLastColumn="0" showRowStripes="0" showColumnStripes="0"/>
</table>
</file>

<file path=xl/tables/table4.xml><?xml version="1.0" encoding="utf-8"?>
<table xmlns="http://schemas.openxmlformats.org/spreadsheetml/2006/main" id="4" name="tblVerifyStudy" displayName="tblVerifyStudy" ref="B39:J51" totalsRowShown="0">
  <tableColumns count="9">
    <tableColumn id="1" name="Appraiser"/>
    <tableColumn id="2" name="Part no."/>
    <tableColumn id="3" name="Trial 1"/>
    <tableColumn id="4" name="Trial 2"/>
    <tableColumn id="5" name="Trial 3"/>
    <tableColumn id="6" name="Mean">
      <calculatedColumnFormula>IF(tblVerifyStudy[[#This Row],[Appraiser]]="","",IF(OR(COUNT(tblVerifyStudy[[#This Row],[Trial 1]],tblVerifyStudy[[#This Row],[Trial 2]],tblVerifyStudy[[#This Row],[Trial 3]])&lt;&gt;$E$28,N(tblVerifyStudy[[#This Row],[Part no.]])&gt;$E$29),"",AVERAGE(tblVerifyStudy[[#This Row],[Trial 1]],tblVerifyStudy[[#This Row],[Trial 2]],tblVerifyStudy[[#This Row],[Trial 3]])))</calculatedColumnFormula>
    </tableColumn>
    <tableColumn id="7" name="Range">
      <calculatedColumnFormula>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calculatedColumnFormula>
    </tableColumn>
    <tableColumn id="8" name="Check">
      <calculatedColumnFormula>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calculatedColumnFormula>
    </tableColumn>
    <tableColumn id="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ge-rr-study" TargetMode="External"/><Relationship Id="rId2" Type="http://schemas.openxmlformats.org/officeDocument/2006/relationships/hyperlink" Target="https://www.mfgcalcs.com/calculators/quality-inspection-metrology/gauge-rr-percentage?utm_source=mfgcalcs-template&amp;utm_medium=xlsx&amp;utm_campaign=gage-rr-study" TargetMode="External"/><Relationship Id="rId3" Type="http://schemas.openxmlformats.org/officeDocument/2006/relationships/hyperlink" Target="https://www.mfgcalcs.com/templates/gage-rr-study?utm_source=mfgcalcs-template&amp;utm_medium=xlsx&amp;utm_campaign=gage-rr-study" TargetMode="External"/><Relationship Id="rId4" Type="http://schemas.openxmlformats.org/officeDocument/2006/relationships/hyperlink" Target="https://www.mfgcalcs.com/templates?utm_source=mfgcalcs-template&amp;utm_medium=xlsx&amp;utm_campaign=gage-rr-study"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ge-rr-study"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ge-rr-study"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ge-rr-study"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ge-rr-study" TargetMode="External"/><Relationship Id="rId2" Type="http://schemas.openxmlformats.org/officeDocument/2006/relationships/hyperlink" Target="https://www.mfgcalcs.com/calculators/quality-inspection-metrology/gauge-rr-percentage?utm_source=mfgcalcs-template&amp;utm_medium=xlsx&amp;utm_campaign=gage-rr-stud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gage-rr-study"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16.2"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12 of 12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Study!A1" tooltip="Go to Study" display="Study"/>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Gage R&amp;&amp;R Study&amp;R&amp;8&amp;A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48"/>
  <sheetViews>
    <sheetView showGridLines="0" workbookViewId="0"/>
  </sheetViews>
  <sheetFormatPr defaultRowHeight="15"/>
  <cols>
    <col min="1" max="1" width="2.7109375" customWidth="1"/>
    <col min="2" max="2" width="34.7109375" customWidth="1"/>
    <col min="3" max="3" width="16.7109375" customWidth="1"/>
    <col min="4" max="4" width="14.7109375" customWidth="1"/>
    <col min="5" max="5" width="30.7109375" customWidth="1"/>
    <col min="6" max="6" width="11.7109375" customWidth="1"/>
  </cols>
  <sheetData>
    <row r="1" spans="1:6" ht="30" customHeight="1">
      <c r="A1" s="1" t="s">
        <v>0</v>
      </c>
      <c r="B1" s="1"/>
      <c r="C1" s="1"/>
      <c r="D1" s="1"/>
      <c r="E1" s="1"/>
      <c r="F1" s="1"/>
    </row>
    <row r="2" spans="1:6" ht="32.4" customHeight="1">
      <c r="B2" s="2" t="s">
        <v>18</v>
      </c>
      <c r="C2" s="2"/>
      <c r="D2" s="2"/>
      <c r="E2" s="3" t="s">
        <v>2</v>
      </c>
      <c r="F2" s="3"/>
    </row>
    <row r="3" spans="1:6" ht="6" customHeight="1"/>
    <row r="4" spans="1:6" ht="21" customHeight="1">
      <c r="B4" s="8" t="s">
        <v>67</v>
      </c>
      <c r="C4" s="8"/>
      <c r="D4" s="8"/>
      <c r="E4" s="8"/>
    </row>
    <row r="5" spans="1:6" ht="5" customHeight="1"/>
    <row r="6" spans="1:6">
      <c r="B6" s="27" t="s">
        <v>68</v>
      </c>
      <c r="C6" s="28" t="s">
        <v>69</v>
      </c>
      <c r="D6" s="28"/>
    </row>
    <row r="7" spans="1:6">
      <c r="B7" s="27" t="s">
        <v>70</v>
      </c>
      <c r="C7" s="28" t="s">
        <v>71</v>
      </c>
      <c r="D7" s="28"/>
    </row>
    <row r="8" spans="1:6">
      <c r="B8" s="27" t="s">
        <v>72</v>
      </c>
      <c r="C8" s="28" t="s">
        <v>73</v>
      </c>
      <c r="D8" s="28"/>
    </row>
    <row r="9" spans="1:6">
      <c r="B9" s="27" t="s">
        <v>74</v>
      </c>
      <c r="C9" s="28" t="s">
        <v>75</v>
      </c>
      <c r="D9" s="28"/>
    </row>
    <row r="10" spans="1:6">
      <c r="B10" s="27" t="s">
        <v>76</v>
      </c>
      <c r="C10" s="29">
        <v>3</v>
      </c>
      <c r="D10" s="7" t="s">
        <v>77</v>
      </c>
    </row>
    <row r="11" spans="1:6">
      <c r="B11" s="27" t="s">
        <v>78</v>
      </c>
      <c r="C11" s="29">
        <v>10</v>
      </c>
      <c r="D11" s="7" t="s">
        <v>79</v>
      </c>
    </row>
    <row r="12" spans="1:6">
      <c r="B12" s="27" t="s">
        <v>80</v>
      </c>
      <c r="C12" s="30">
        <v>0.05</v>
      </c>
      <c r="D12" s="7" t="str">
        <f>UnitLabel</f>
        <v>mm</v>
      </c>
    </row>
    <row r="13" spans="1:6">
      <c r="B13" s="27" t="s">
        <v>81</v>
      </c>
      <c r="C13" s="31">
        <v>6</v>
      </c>
      <c r="D13" s="7" t="s">
        <v>82</v>
      </c>
    </row>
    <row r="14" spans="1:6">
      <c r="B14" s="27" t="s">
        <v>83</v>
      </c>
      <c r="C14" s="32">
        <v>0.1</v>
      </c>
      <c r="D14" s="7" t="s">
        <v>84</v>
      </c>
    </row>
    <row r="15" spans="1:6">
      <c r="B15" s="27" t="s">
        <v>85</v>
      </c>
      <c r="C15" s="32">
        <v>0.3</v>
      </c>
      <c r="D15" s="7" t="s">
        <v>84</v>
      </c>
    </row>
    <row r="16" spans="1:6">
      <c r="B16" s="27" t="s">
        <v>86</v>
      </c>
      <c r="C16" s="29">
        <v>5</v>
      </c>
      <c r="D16" s="7" t="s">
        <v>87</v>
      </c>
    </row>
    <row r="18" spans="2:5" ht="35.4" customHeight="1">
      <c r="B18" s="25" t="s">
        <v>88</v>
      </c>
      <c r="C18" s="25"/>
      <c r="D18" s="25"/>
      <c r="E18" s="25"/>
    </row>
    <row r="20" spans="2:5">
      <c r="B20" s="33" t="s">
        <v>89</v>
      </c>
      <c r="C20" s="33"/>
    </row>
    <row r="21" spans="2:5" ht="20" customHeight="1">
      <c r="B21" s="34" t="s">
        <v>60</v>
      </c>
      <c r="C21" s="34" t="s">
        <v>61</v>
      </c>
    </row>
    <row r="22" spans="2:5">
      <c r="B22" s="28" t="s">
        <v>90</v>
      </c>
      <c r="C22" s="35" t="s">
        <v>91</v>
      </c>
    </row>
    <row r="23" spans="2:5">
      <c r="B23" s="28" t="s">
        <v>92</v>
      </c>
      <c r="C23" s="35" t="s">
        <v>93</v>
      </c>
    </row>
    <row r="24" spans="2:5">
      <c r="B24" s="28" t="s">
        <v>94</v>
      </c>
      <c r="C24" s="35" t="s">
        <v>95</v>
      </c>
    </row>
    <row r="26" spans="2:5" ht="21" customHeight="1">
      <c r="B26" s="8" t="s">
        <v>96</v>
      </c>
      <c r="C26" s="8"/>
      <c r="D26" s="8"/>
      <c r="E26" s="8"/>
    </row>
    <row r="27" spans="2:5" ht="5" customHeight="1"/>
    <row r="28" spans="2:5">
      <c r="B28" s="27" t="s">
        <v>97</v>
      </c>
      <c r="C28" s="36">
        <f>COUNTA(tblAppraisers[Appraiser])</f>
        <v>3</v>
      </c>
      <c r="D28" s="7" t="s">
        <v>98</v>
      </c>
    </row>
    <row r="29" spans="2:5">
      <c r="B29" s="27" t="s">
        <v>99</v>
      </c>
      <c r="C29" s="37">
        <f>INDEX(tblConstants[K1 (trials)],MATCH(Trials,tblConstants[Count],0))</f>
        <v>0.5908</v>
      </c>
      <c r="D29" s="7" t="s">
        <v>100</v>
      </c>
    </row>
    <row r="30" spans="2:5">
      <c r="B30" s="27" t="s">
        <v>101</v>
      </c>
      <c r="C30" s="37">
        <f>INDEX(tblConstants[K2 (appraisers)],MATCH(NApp,tblConstants[Count],0))</f>
        <v>0.5231</v>
      </c>
      <c r="D30" s="7" t="s">
        <v>100</v>
      </c>
    </row>
    <row r="31" spans="2:5">
      <c r="B31" s="27" t="s">
        <v>102</v>
      </c>
      <c r="C31" s="37">
        <f>INDEX(tblConstants[K3 (parts)],MATCH(Parts,tblConstants[Count],0))</f>
        <v>0.3146</v>
      </c>
      <c r="D31" s="7" t="s">
        <v>100</v>
      </c>
    </row>
    <row r="32" spans="2:5">
      <c r="B32" s="27" t="s">
        <v>103</v>
      </c>
      <c r="C32" s="38">
        <f>INDEX(tblConstants[D4 (trials)],MATCH(Trials,tblConstants[Count],0))</f>
        <v>2.574</v>
      </c>
      <c r="D32" s="7" t="s">
        <v>100</v>
      </c>
    </row>
    <row r="33" spans="2:6">
      <c r="B33" s="27" t="s">
        <v>104</v>
      </c>
      <c r="C33" s="37">
        <f>IF(COUNT(tblStudy[Range])=0,"",AVERAGE(tblStudy[Range]))</f>
        <v>0.00286666666666677</v>
      </c>
      <c r="D33" s="7" t="str">
        <f>UnitLabel</f>
        <v>mm</v>
      </c>
    </row>
    <row r="34" spans="2:6">
      <c r="B34" s="27" t="s">
        <v>105</v>
      </c>
      <c r="C34" s="37">
        <f>IF(N(RBarBar)=0,"",ConstD4*RBarBar)</f>
        <v>0.00737880000000025</v>
      </c>
      <c r="D34" s="7" t="str">
        <f>UnitLabel</f>
        <v>mm</v>
      </c>
    </row>
    <row r="35" spans="2:6">
      <c r="B35" s="27" t="s">
        <v>106</v>
      </c>
      <c r="C35" s="39" t="str">
        <f>IF(OR(NApp&lt;2,NApp&gt;3),"List 2 or 3 appraisers","OK")</f>
        <v>OK</v>
      </c>
      <c r="D35" s="7"/>
    </row>
    <row r="37" spans="2:6">
      <c r="B37" s="33" t="s">
        <v>107</v>
      </c>
      <c r="C37" s="33"/>
      <c r="D37" s="33"/>
      <c r="E37" s="33"/>
      <c r="F37" s="33"/>
    </row>
    <row r="38" spans="2:6" ht="18" customHeight="1">
      <c r="B38" s="40" t="s">
        <v>108</v>
      </c>
      <c r="C38" s="40"/>
      <c r="D38" s="40"/>
      <c r="E38" s="40"/>
      <c r="F38" s="40"/>
    </row>
    <row r="39" spans="2:6" ht="32" customHeight="1">
      <c r="B39" s="34" t="s">
        <v>62</v>
      </c>
      <c r="C39" s="34" t="s">
        <v>63</v>
      </c>
      <c r="D39" s="34" t="s">
        <v>64</v>
      </c>
      <c r="E39" s="34" t="s">
        <v>65</v>
      </c>
      <c r="F39" s="34" t="s">
        <v>66</v>
      </c>
    </row>
    <row r="40" spans="2:6">
      <c r="B40" s="29">
        <v>2</v>
      </c>
      <c r="C40" s="30">
        <v>0.8862</v>
      </c>
      <c r="D40" s="30">
        <v>0.7071</v>
      </c>
      <c r="E40" s="30">
        <v>0.7071</v>
      </c>
      <c r="F40" s="41">
        <v>3.267</v>
      </c>
    </row>
    <row r="41" spans="2:6">
      <c r="B41" s="29">
        <v>3</v>
      </c>
      <c r="C41" s="30">
        <v>0.5908</v>
      </c>
      <c r="D41" s="30">
        <v>0.5231</v>
      </c>
      <c r="E41" s="30">
        <v>0.5231</v>
      </c>
      <c r="F41" s="41">
        <v>2.574</v>
      </c>
    </row>
    <row r="42" spans="2:6">
      <c r="B42" s="29">
        <v>4</v>
      </c>
      <c r="C42" s="30"/>
      <c r="D42" s="30"/>
      <c r="E42" s="30">
        <v>0.4467</v>
      </c>
      <c r="F42" s="41"/>
    </row>
    <row r="43" spans="2:6">
      <c r="B43" s="29">
        <v>5</v>
      </c>
      <c r="C43" s="30"/>
      <c r="D43" s="30"/>
      <c r="E43" s="30">
        <v>0.403</v>
      </c>
      <c r="F43" s="41"/>
    </row>
    <row r="44" spans="2:6">
      <c r="B44" s="29">
        <v>6</v>
      </c>
      <c r="C44" s="30"/>
      <c r="D44" s="30"/>
      <c r="E44" s="30">
        <v>0.3742</v>
      </c>
      <c r="F44" s="41"/>
    </row>
    <row r="45" spans="2:6">
      <c r="B45" s="29">
        <v>7</v>
      </c>
      <c r="C45" s="30"/>
      <c r="D45" s="30"/>
      <c r="E45" s="30">
        <v>0.3534</v>
      </c>
      <c r="F45" s="41"/>
    </row>
    <row r="46" spans="2:6">
      <c r="B46" s="29">
        <v>8</v>
      </c>
      <c r="C46" s="30"/>
      <c r="D46" s="30"/>
      <c r="E46" s="30">
        <v>0.3375</v>
      </c>
      <c r="F46" s="41"/>
    </row>
    <row r="47" spans="2:6">
      <c r="B47" s="29">
        <v>9</v>
      </c>
      <c r="C47" s="30"/>
      <c r="D47" s="30"/>
      <c r="E47" s="30">
        <v>0.3249</v>
      </c>
      <c r="F47" s="41"/>
    </row>
    <row r="48" spans="2:6">
      <c r="B48" s="29">
        <v>10</v>
      </c>
      <c r="C48" s="30"/>
      <c r="D48" s="30"/>
      <c r="E48" s="30">
        <v>0.3146</v>
      </c>
      <c r="F48" s="41"/>
    </row>
  </sheetData>
  <mergeCells count="13">
    <mergeCell ref="A1:F1"/>
    <mergeCell ref="B2:D2"/>
    <mergeCell ref="E2:F2"/>
    <mergeCell ref="B4:E4"/>
    <mergeCell ref="C6:D6"/>
    <mergeCell ref="C7:D7"/>
    <mergeCell ref="C8:D8"/>
    <mergeCell ref="C9:D9"/>
    <mergeCell ref="B18:E18"/>
    <mergeCell ref="B20:C20"/>
    <mergeCell ref="B26:E26"/>
    <mergeCell ref="B37:F37"/>
    <mergeCell ref="B38:F38"/>
  </mergeCells>
  <dataValidations count="18">
    <dataValidation type="textLength" allowBlank="1" showInputMessage="1" showErrorMessage="1" errorTitle="Check this entry" error="Text up to 80 characters." promptTitle="Plant or lab" prompt="Text up to 80 characters." sqref="C6">
      <formula1>0</formula1>
      <formula2>80</formula2>
    </dataValidation>
    <dataValidation type="textLength" allowBlank="1" showInputMessage="1" showErrorMessage="1" errorTitle="Check this entry" error="Text up to 80 characters." promptTitle="Gage" prompt="Gage type, range and ID. Text up to 80 characters." sqref="C7">
      <formula1>0</formula1>
      <formula2>80</formula2>
    </dataValidation>
    <dataValidation type="textLength" allowBlank="1" showInputMessage="1" showErrorMessage="1" errorTitle="Check this entry" error="Text up to 80 characters." promptTitle="Characteristic" prompt="Text up to 80 characters." sqref="C8">
      <formula1>0</formula1>
      <formula2>80</formula2>
    </dataValidation>
    <dataValidation type="textLength" allowBlank="1" showInputMessage="1" showErrorMessage="1" errorTitle="Check this entry" error="Text up to 12 characters." promptTitle="Measurement unit" prompt="Text shown with readings and results. No conversion is applied. Text up to 12 characters." sqref="C9">
      <formula1>0</formula1>
      <formula2>12</formula2>
    </dataValidation>
    <dataValidation type="whole" allowBlank="1" showInputMessage="1" showErrorMessage="1" errorTitle="Check this entry" error="Enter a whole number from 2 to 3." promptTitle="Trials per appraiser per part" prompt="2 or 3. Leave Trial 3 blank for a 2-trial study. Enter a whole number from 2 to 3." sqref="C10">
      <formula1>2</formula1>
      <formula2>3</formula2>
    </dataValidation>
    <dataValidation type="whole" allowBlank="1" showInputMessage="1" showErrorMessage="1" errorTitle="Check this entry" error="Enter a whole number from 2 to 10." promptTitle="Parts in the study" prompt="2 to 10, numbered 1 to n. Choose parts that cover the process range. Enter a whole number from 2 to 10." sqref="C11">
      <formula1>2</formula1>
      <formula2>10</formula2>
    </dataValidation>
    <dataValidation type="decimal" allowBlank="1" showInputMessage="1" showErrorMessage="1" errorTitle="Check this entry" error="Enter a number of at least 0." promptTitle="Tolerance (USL - LSL)" prompt="For % of tolerance. 0 = not used (one-sided or no tolerance). Enter a number of at least 0." sqref="C12">
      <formula1>0</formula1>
      <formula2>1000000000.0</formula2>
    </dataValidation>
    <dataValidation type="decimal" allowBlank="1" showInputMessage="1" showErrorMessage="1" errorTitle="Check this entry" error="Enter a number from 1 to 10." promptTitle="Spread multiplier for % toler..." prompt="6 (99.73%) as in the current AIAG MSA manual; some customers still ask for 5.15. Enter a number from 1 to 10." sqref="C13">
      <formula1>1</formula1>
      <formula2>10</formula2>
    </dataValidation>
    <dataValidation type="decimal" allowBlank="1" showInputMessage="1" showErrorMessage="1" errorTitle="Check this entry" error="Enter a percentage from 0% to 100% (type 85% or 0.85)." promptTitle="Acceptable below" prompt="Your acceptance limit. AIAG MSA guidance: under 10% generally acceptable. Enter a percentage from 0% to 100% (type 85% or 0.85)." sqref="C14">
      <formula1>0</formula1>
      <formula2>1</formula2>
    </dataValidation>
    <dataValidation type="decimal" allowBlank="1" showInputMessage="1" showErrorMessage="1" errorTitle="Check this entry" error="Enter a percentage from 0% to 100% (type 85% or 0.85)." promptTitle="Unacceptable above" prompt="AIAG MSA guidance: over 30% unacceptable; between the two may be acceptable depending on the application. Enter a percentage from 0% to 100% (type 85% or 0.85)." sqref="C15">
      <formula1>0</formula1>
      <formula2>1</formula2>
    </dataValidation>
    <dataValidation type="whole" allowBlank="1" showInputMessage="1" showErrorMessage="1" errorTitle="Check this entry" error="Enter a whole number from 1 to 100." promptTitle="Minimum distinct categories" prompt="AIAG MSA guidance: ndc of 5 or more. Enter a whole number from 1 to 100." sqref="C16">
      <formula1>1</formula1>
      <formula2>100</formula2>
    </dataValidation>
    <dataValidation type="textLength" allowBlank="1" showInputMessage="1" showErrorMessage="1" errorTitle="Check this entry" error="Text up to 40 characters." promptTitle="Appraiser" prompt="Text up to 40 characters." sqref="B22:B124">
      <formula1>0</formula1>
      <formula2>40</formula2>
    </dataValidation>
    <dataValidation type="textLength" allowBlank="1" showInputMessage="1" showErrorMessage="1" errorTitle="Check this entry" error="Text up to 120 characters." promptTitle="Notes" prompt="Text up to 120 characters." sqref="C22:C124">
      <formula1>0</formula1>
      <formula2>120</formula2>
    </dataValidation>
    <dataValidation type="whole" allowBlank="1" showInputMessage="1" showErrorMessage="1" errorTitle="Check this entry" error="Enter a whole number from 2 to 10." promptTitle="Count" prompt="Enter a whole number from 2 to 10." sqref="B40:B148">
      <formula1>2</formula1>
      <formula2>10</formula2>
    </dataValidation>
    <dataValidation type="decimal" allowBlank="1" showInputMessage="1" showErrorMessage="1" errorTitle="Check this entry" error="Enter a number from 0 to 1." promptTitle="K1 (trials)" prompt="Enter a number from 0 to 1." sqref="C40:C148">
      <formula1>0</formula1>
      <formula2>1</formula2>
    </dataValidation>
    <dataValidation type="decimal" allowBlank="1" showInputMessage="1" showErrorMessage="1" errorTitle="Check this entry" error="Enter a number from 0 to 1." promptTitle="K2 (appraisers)" prompt="Enter a number from 0 to 1." sqref="D40:D148">
      <formula1>0</formula1>
      <formula2>1</formula2>
    </dataValidation>
    <dataValidation type="decimal" allowBlank="1" showInputMessage="1" showErrorMessage="1" errorTitle="Check this entry" error="Enter a number from 0 to 1." promptTitle="K3 (parts)" prompt="Enter a number from 0 to 1." sqref="E40:E148">
      <formula1>0</formula1>
      <formula2>1</formula2>
    </dataValidation>
    <dataValidation type="decimal" allowBlank="1" showInputMessage="1" showErrorMessage="1" errorTitle="Check this entry" error="Enter a number from 0 to 5." promptTitle="D4 (trials)" prompt="Enter a number from 0 to 5." sqref="F40:F148">
      <formula1>0</formula1>
      <formula2>5</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Gage R&amp;&amp;R Study&amp;R&amp;8&amp;A</oddHeader>
    <oddFooter>&amp;L&amp;8mfgcalcs.com - free manufacturing templates&amp;R&amp;8Page &amp;P of &amp;N</oddFooter>
  </headerFooter>
  <rowBreaks count="1" manualBreakCount="1">
    <brk id="36"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J3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4.7109375" customWidth="1"/>
    <col min="3" max="3" width="8.7109375" customWidth="1"/>
    <col min="4" max="8" width="10.7109375" customWidth="1"/>
    <col min="9" max="9" width="27.7109375" customWidth="1"/>
    <col min="10" max="10" width="24.7109375" customWidth="1"/>
  </cols>
  <sheetData>
    <row r="1" spans="1:10" ht="30" customHeight="1">
      <c r="A1" s="1" t="s">
        <v>0</v>
      </c>
      <c r="B1" s="1"/>
      <c r="C1" s="1"/>
      <c r="D1" s="1"/>
      <c r="E1" s="1"/>
      <c r="F1" s="1"/>
      <c r="G1" s="1"/>
      <c r="H1" s="1"/>
      <c r="I1" s="1"/>
      <c r="J1" s="1"/>
    </row>
    <row r="2" spans="1:10" ht="21" customHeight="1">
      <c r="B2" s="2" t="s">
        <v>20</v>
      </c>
      <c r="C2" s="2"/>
      <c r="D2" s="2"/>
      <c r="E2" s="2"/>
      <c r="F2" s="2"/>
      <c r="G2" s="2"/>
      <c r="H2" s="2"/>
      <c r="I2" s="2"/>
      <c r="J2" s="3" t="s">
        <v>2</v>
      </c>
    </row>
    <row r="3" spans="1:10" ht="6" customHeight="1"/>
    <row r="4" spans="1:10" ht="29.76" customHeight="1">
      <c r="B4" s="40" t="s">
        <v>116</v>
      </c>
      <c r="C4" s="40"/>
      <c r="D4" s="40"/>
      <c r="E4" s="40"/>
      <c r="F4" s="40"/>
      <c r="G4" s="40"/>
      <c r="H4" s="40"/>
      <c r="I4" s="40"/>
      <c r="J4" s="40"/>
    </row>
    <row r="5" spans="1:10" ht="14" customHeight="1">
      <c r="B5" s="42"/>
      <c r="C5" s="42"/>
      <c r="D5" s="42" t="str">
        <f>UnitLabel</f>
        <v>mm</v>
      </c>
      <c r="E5" s="42" t="str">
        <f>UnitLabel</f>
        <v>mm</v>
      </c>
      <c r="F5" s="42" t="str">
        <f>UnitLabel</f>
        <v>mm</v>
      </c>
      <c r="G5" s="42" t="str">
        <f>UnitLabel</f>
        <v>mm</v>
      </c>
      <c r="H5" s="42" t="str">
        <f>UnitLabel</f>
        <v>mm</v>
      </c>
      <c r="I5" s="42"/>
      <c r="J5" s="42"/>
    </row>
    <row r="6" spans="1:10" ht="20" customHeight="1">
      <c r="B6" s="34" t="s">
        <v>60</v>
      </c>
      <c r="C6" s="34" t="s">
        <v>109</v>
      </c>
      <c r="D6" s="34" t="s">
        <v>110</v>
      </c>
      <c r="E6" s="34" t="s">
        <v>111</v>
      </c>
      <c r="F6" s="34" t="s">
        <v>112</v>
      </c>
      <c r="G6" s="34" t="s">
        <v>113</v>
      </c>
      <c r="H6" s="34" t="s">
        <v>114</v>
      </c>
      <c r="I6" s="34" t="s">
        <v>115</v>
      </c>
      <c r="J6" s="34" t="s">
        <v>61</v>
      </c>
    </row>
    <row r="7" spans="1:10">
      <c r="B7" s="28" t="s">
        <v>90</v>
      </c>
      <c r="C7" s="29">
        <v>1</v>
      </c>
      <c r="D7" s="41">
        <v>6.346</v>
      </c>
      <c r="E7" s="41">
        <v>6.341</v>
      </c>
      <c r="F7" s="41">
        <v>6.341</v>
      </c>
      <c r="G7" s="37">
        <f>IF(tblStudy[[#This Row],[Appraiser]]="","",IF(OR(COUNT(tblStudy[[#This Row],[Trial 1]],tblStudy[[#This Row],[Trial 2]],tblStudy[[#This Row],[Trial 3]])&lt;&gt;Trials,N(tblStudy[[#This Row],[Part no.]])&gt;Parts),"",AVERAGE(tblStudy[[#This Row],[Trial 1]],tblStudy[[#This Row],[Trial 2]],tblStudy[[#This Row],[Trial 3]])))</f>
        <v>6.34266666666667</v>
      </c>
      <c r="H7"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0.00499999999999989</v>
      </c>
      <c r="I7"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7" s="28"/>
    </row>
    <row r="8" spans="1:10">
      <c r="B8" s="28" t="s">
        <v>90</v>
      </c>
      <c r="C8" s="29">
        <v>2</v>
      </c>
      <c r="D8" s="41">
        <v>6.337</v>
      </c>
      <c r="E8" s="41">
        <v>6.338</v>
      </c>
      <c r="F8" s="41">
        <v>6.339</v>
      </c>
      <c r="G8" s="37">
        <f>IF(tblStudy[[#This Row],[Appraiser]]="","",IF(OR(COUNT(tblStudy[[#This Row],[Trial 1]],tblStudy[[#This Row],[Trial 2]],tblStudy[[#This Row],[Trial 3]])&lt;&gt;Trials,N(tblStudy[[#This Row],[Part no.]])&gt;Parts),"",AVERAGE(tblStudy[[#This Row],[Trial 1]],tblStudy[[#This Row],[Trial 2]],tblStudy[[#This Row],[Trial 3]])))</f>
        <v>6.338</v>
      </c>
      <c r="H8"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0.00200000000000067</v>
      </c>
      <c r="I8"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8" s="28"/>
    </row>
    <row r="9" spans="1:10">
      <c r="B9" s="28" t="s">
        <v>90</v>
      </c>
      <c r="C9" s="29">
        <v>3</v>
      </c>
      <c r="D9" s="41">
        <v>6.346</v>
      </c>
      <c r="E9" s="41">
        <v>6.345</v>
      </c>
      <c r="F9" s="41">
        <v>6.345</v>
      </c>
      <c r="G9" s="37">
        <f>IF(tblStudy[[#This Row],[Appraiser]]="","",IF(OR(COUNT(tblStudy[[#This Row],[Trial 1]],tblStudy[[#This Row],[Trial 2]],tblStudy[[#This Row],[Trial 3]])&lt;&gt;Trials,N(tblStudy[[#This Row],[Part no.]])&gt;Parts),"",AVERAGE(tblStudy[[#This Row],[Trial 1]],tblStudy[[#This Row],[Trial 2]],tblStudy[[#This Row],[Trial 3]])))</f>
        <v>6.34533333333333</v>
      </c>
      <c r="H9"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0.00100000000000033</v>
      </c>
      <c r="I9"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9" s="28"/>
    </row>
    <row r="10" spans="1:10">
      <c r="B10" s="28" t="s">
        <v>90</v>
      </c>
      <c r="C10" s="29">
        <v>4</v>
      </c>
      <c r="D10" s="41">
        <v>6.353</v>
      </c>
      <c r="E10" s="41">
        <v>6.353</v>
      </c>
      <c r="F10" s="41">
        <v>6.35</v>
      </c>
      <c r="G10" s="37">
        <f>IF(tblStudy[[#This Row],[Appraiser]]="","",IF(OR(COUNT(tblStudy[[#This Row],[Trial 1]],tblStudy[[#This Row],[Trial 2]],tblStudy[[#This Row],[Trial 3]])&lt;&gt;Trials,N(tblStudy[[#This Row],[Part no.]])&gt;Parts),"",AVERAGE(tblStudy[[#This Row],[Trial 1]],tblStudy[[#This Row],[Trial 2]],tblStudy[[#This Row],[Trial 3]])))</f>
        <v>6.352</v>
      </c>
      <c r="H10"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0.00300000000000011</v>
      </c>
      <c r="I10"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0" s="28"/>
    </row>
    <row r="11" spans="1:10">
      <c r="B11" s="28" t="s">
        <v>90</v>
      </c>
      <c r="C11" s="29">
        <v>5</v>
      </c>
      <c r="D11" s="41">
        <v>6.349</v>
      </c>
      <c r="E11" s="41">
        <v>6.35</v>
      </c>
      <c r="F11" s="41">
        <v>6.349</v>
      </c>
      <c r="G11" s="37">
        <f>IF(tblStudy[[#This Row],[Appraiser]]="","",IF(OR(COUNT(tblStudy[[#This Row],[Trial 1]],tblStudy[[#This Row],[Trial 2]],tblStudy[[#This Row],[Trial 3]])&lt;&gt;Trials,N(tblStudy[[#This Row],[Part no.]])&gt;Parts),"",AVERAGE(tblStudy[[#This Row],[Trial 1]],tblStudy[[#This Row],[Trial 2]],tblStudy[[#This Row],[Trial 3]])))</f>
        <v>6.34933333333333</v>
      </c>
      <c r="H11"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0.000999999999999446</v>
      </c>
      <c r="I11"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1" s="28"/>
    </row>
    <row r="12" spans="1:10">
      <c r="B12" s="28" t="s">
        <v>90</v>
      </c>
      <c r="C12" s="29">
        <v>6</v>
      </c>
      <c r="D12" s="41">
        <v>6.368</v>
      </c>
      <c r="E12" s="41">
        <v>6.366</v>
      </c>
      <c r="F12" s="41">
        <v>6.369</v>
      </c>
      <c r="G12" s="37">
        <f>IF(tblStudy[[#This Row],[Appraiser]]="","",IF(OR(COUNT(tblStudy[[#This Row],[Trial 1]],tblStudy[[#This Row],[Trial 2]],tblStudy[[#This Row],[Trial 3]])&lt;&gt;Trials,N(tblStudy[[#This Row],[Part no.]])&gt;Parts),"",AVERAGE(tblStudy[[#This Row],[Trial 1]],tblStudy[[#This Row],[Trial 2]],tblStudy[[#This Row],[Trial 3]])))</f>
        <v>6.36766666666667</v>
      </c>
      <c r="H12"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0.00300000000000011</v>
      </c>
      <c r="I12"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2" s="28"/>
    </row>
    <row r="13" spans="1:10">
      <c r="B13" s="28" t="s">
        <v>90</v>
      </c>
      <c r="C13" s="29">
        <v>7</v>
      </c>
      <c r="D13" s="41">
        <v>6.355</v>
      </c>
      <c r="E13" s="41">
        <v>6.359</v>
      </c>
      <c r="F13" s="41">
        <v>6.361</v>
      </c>
      <c r="G13" s="37">
        <f>IF(tblStudy[[#This Row],[Appraiser]]="","",IF(OR(COUNT(tblStudy[[#This Row],[Trial 1]],tblStudy[[#This Row],[Trial 2]],tblStudy[[#This Row],[Trial 3]])&lt;&gt;Trials,N(tblStudy[[#This Row],[Part no.]])&gt;Parts),"",AVERAGE(tblStudy[[#This Row],[Trial 1]],tblStudy[[#This Row],[Trial 2]],tblStudy[[#This Row],[Trial 3]])))</f>
        <v>6.35833333333333</v>
      </c>
      <c r="H13"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0.00599999999999934</v>
      </c>
      <c r="I13"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3" s="28"/>
    </row>
    <row r="14" spans="1:10">
      <c r="B14" s="28" t="s">
        <v>90</v>
      </c>
      <c r="C14" s="29">
        <v>8</v>
      </c>
      <c r="D14" s="41">
        <v>6.363</v>
      </c>
      <c r="E14" s="41">
        <v>6.363</v>
      </c>
      <c r="F14" s="41">
        <v>6.362</v>
      </c>
      <c r="G14" s="37">
        <f>IF(tblStudy[[#This Row],[Appraiser]]="","",IF(OR(COUNT(tblStudy[[#This Row],[Trial 1]],tblStudy[[#This Row],[Trial 2]],tblStudy[[#This Row],[Trial 3]])&lt;&gt;Trials,N(tblStudy[[#This Row],[Part no.]])&gt;Parts),"",AVERAGE(tblStudy[[#This Row],[Trial 1]],tblStudy[[#This Row],[Trial 2]],tblStudy[[#This Row],[Trial 3]])))</f>
        <v>6.36266666666667</v>
      </c>
      <c r="H14"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0.00100000000000033</v>
      </c>
      <c r="I14"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4" s="28"/>
    </row>
    <row r="15" spans="1:10">
      <c r="B15" s="28" t="s">
        <v>90</v>
      </c>
      <c r="C15" s="29">
        <v>9</v>
      </c>
      <c r="D15" s="41">
        <v>6.337</v>
      </c>
      <c r="E15" s="41">
        <v>6.333</v>
      </c>
      <c r="F15" s="41">
        <v>6.335</v>
      </c>
      <c r="G15" s="37">
        <f>IF(tblStudy[[#This Row],[Appraiser]]="","",IF(OR(COUNT(tblStudy[[#This Row],[Trial 1]],tblStudy[[#This Row],[Trial 2]],tblStudy[[#This Row],[Trial 3]])&lt;&gt;Trials,N(tblStudy[[#This Row],[Part no.]])&gt;Parts),"",AVERAGE(tblStudy[[#This Row],[Trial 1]],tblStudy[[#This Row],[Trial 2]],tblStudy[[#This Row],[Trial 3]])))</f>
        <v>6.335</v>
      </c>
      <c r="H15"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0.00399999999999956</v>
      </c>
      <c r="I15"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5" s="28"/>
    </row>
    <row r="16" spans="1:10">
      <c r="B16" s="28" t="s">
        <v>90</v>
      </c>
      <c r="C16" s="29">
        <v>10</v>
      </c>
      <c r="D16" s="41">
        <v>6.355</v>
      </c>
      <c r="E16" s="41">
        <v>6.355</v>
      </c>
      <c r="F16" s="41">
        <v>6.354</v>
      </c>
      <c r="G16" s="37">
        <f>IF(tblStudy[[#This Row],[Appraiser]]="","",IF(OR(COUNT(tblStudy[[#This Row],[Trial 1]],tblStudy[[#This Row],[Trial 2]],tblStudy[[#This Row],[Trial 3]])&lt;&gt;Trials,N(tblStudy[[#This Row],[Part no.]])&gt;Parts),"",AVERAGE(tblStudy[[#This Row],[Trial 1]],tblStudy[[#This Row],[Trial 2]],tblStudy[[#This Row],[Trial 3]])))</f>
        <v>6.35466666666667</v>
      </c>
      <c r="H16"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0.00100000000000033</v>
      </c>
      <c r="I16"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6" s="28"/>
    </row>
    <row r="17" spans="2:10">
      <c r="B17" s="28" t="s">
        <v>92</v>
      </c>
      <c r="C17" s="29">
        <v>1</v>
      </c>
      <c r="D17" s="41">
        <v>6.343</v>
      </c>
      <c r="E17" s="41">
        <v>6.346</v>
      </c>
      <c r="F17" s="41">
        <v>6.344</v>
      </c>
      <c r="G17" s="37">
        <f>IF(tblStudy[[#This Row],[Appraiser]]="","",IF(OR(COUNT(tblStudy[[#This Row],[Trial 1]],tblStudy[[#This Row],[Trial 2]],tblStudy[[#This Row],[Trial 3]])&lt;&gt;Trials,N(tblStudy[[#This Row],[Part no.]])&gt;Parts),"",AVERAGE(tblStudy[[#This Row],[Trial 1]],tblStudy[[#This Row],[Trial 2]],tblStudy[[#This Row],[Trial 3]])))</f>
        <v>6.34433333333333</v>
      </c>
      <c r="H17"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0.00300000000000011</v>
      </c>
      <c r="I17"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7" s="28"/>
    </row>
    <row r="18" spans="2:10">
      <c r="B18" s="28" t="s">
        <v>92</v>
      </c>
      <c r="C18" s="29">
        <v>2</v>
      </c>
      <c r="D18" s="41">
        <v>6.339</v>
      </c>
      <c r="E18" s="41">
        <v>6.341</v>
      </c>
      <c r="F18" s="41">
        <v>6.339</v>
      </c>
      <c r="G18" s="37">
        <f>IF(tblStudy[[#This Row],[Appraiser]]="","",IF(OR(COUNT(tblStudy[[#This Row],[Trial 1]],tblStudy[[#This Row],[Trial 2]],tblStudy[[#This Row],[Trial 3]])&lt;&gt;Trials,N(tblStudy[[#This Row],[Part no.]])&gt;Parts),"",AVERAGE(tblStudy[[#This Row],[Trial 1]],tblStudy[[#This Row],[Trial 2]],tblStudy[[#This Row],[Trial 3]])))</f>
        <v>6.33966666666667</v>
      </c>
      <c r="H18"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0.00199999999999978</v>
      </c>
      <c r="I18"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8" s="28"/>
    </row>
    <row r="19" spans="2:10">
      <c r="B19" s="28" t="s">
        <v>92</v>
      </c>
      <c r="C19" s="29">
        <v>3</v>
      </c>
      <c r="D19" s="41">
        <v>6.347</v>
      </c>
      <c r="E19" s="41">
        <v>6.345</v>
      </c>
      <c r="F19" s="41">
        <v>6.348</v>
      </c>
      <c r="G19" s="37">
        <f>IF(tblStudy[[#This Row],[Appraiser]]="","",IF(OR(COUNT(tblStudy[[#This Row],[Trial 1]],tblStudy[[#This Row],[Trial 2]],tblStudy[[#This Row],[Trial 3]])&lt;&gt;Trials,N(tblStudy[[#This Row],[Part no.]])&gt;Parts),"",AVERAGE(tblStudy[[#This Row],[Trial 1]],tblStudy[[#This Row],[Trial 2]],tblStudy[[#This Row],[Trial 3]])))</f>
        <v>6.34666666666667</v>
      </c>
      <c r="H19"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0.00300000000000011</v>
      </c>
      <c r="I19"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19" s="28"/>
    </row>
    <row r="20" spans="2:10">
      <c r="B20" s="28" t="s">
        <v>92</v>
      </c>
      <c r="C20" s="29">
        <v>4</v>
      </c>
      <c r="D20" s="41">
        <v>6.353</v>
      </c>
      <c r="E20" s="41">
        <v>6.355</v>
      </c>
      <c r="F20" s="41">
        <v>6.354</v>
      </c>
      <c r="G20" s="37">
        <f>IF(tblStudy[[#This Row],[Appraiser]]="","",IF(OR(COUNT(tblStudy[[#This Row],[Trial 1]],tblStudy[[#This Row],[Trial 2]],tblStudy[[#This Row],[Trial 3]])&lt;&gt;Trials,N(tblStudy[[#This Row],[Part no.]])&gt;Parts),"",AVERAGE(tblStudy[[#This Row],[Trial 1]],tblStudy[[#This Row],[Trial 2]],tblStudy[[#This Row],[Trial 3]])))</f>
        <v>6.354</v>
      </c>
      <c r="H20"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0.00200000000000067</v>
      </c>
      <c r="I20"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0" s="28"/>
    </row>
    <row r="21" spans="2:10">
      <c r="B21" s="28" t="s">
        <v>92</v>
      </c>
      <c r="C21" s="29">
        <v>5</v>
      </c>
      <c r="D21" s="41">
        <v>6.354</v>
      </c>
      <c r="E21" s="41">
        <v>6.351</v>
      </c>
      <c r="F21" s="41">
        <v>6.352</v>
      </c>
      <c r="G21" s="37">
        <f>IF(tblStudy[[#This Row],[Appraiser]]="","",IF(OR(COUNT(tblStudy[[#This Row],[Trial 1]],tblStudy[[#This Row],[Trial 2]],tblStudy[[#This Row],[Trial 3]])&lt;&gt;Trials,N(tblStudy[[#This Row],[Part no.]])&gt;Parts),"",AVERAGE(tblStudy[[#This Row],[Trial 1]],tblStudy[[#This Row],[Trial 2]],tblStudy[[#This Row],[Trial 3]])))</f>
        <v>6.35233333333333</v>
      </c>
      <c r="H21"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0.00300000000000011</v>
      </c>
      <c r="I21"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1" s="28"/>
    </row>
    <row r="22" spans="2:10">
      <c r="B22" s="28" t="s">
        <v>92</v>
      </c>
      <c r="C22" s="29">
        <v>6</v>
      </c>
      <c r="D22" s="41">
        <v>6.368</v>
      </c>
      <c r="E22" s="41">
        <v>6.367</v>
      </c>
      <c r="F22" s="41">
        <v>6.369</v>
      </c>
      <c r="G22" s="37">
        <f>IF(tblStudy[[#This Row],[Appraiser]]="","",IF(OR(COUNT(tblStudy[[#This Row],[Trial 1]],tblStudy[[#This Row],[Trial 2]],tblStudy[[#This Row],[Trial 3]])&lt;&gt;Trials,N(tblStudy[[#This Row],[Part no.]])&gt;Parts),"",AVERAGE(tblStudy[[#This Row],[Trial 1]],tblStudy[[#This Row],[Trial 2]],tblStudy[[#This Row],[Trial 3]])))</f>
        <v>6.368</v>
      </c>
      <c r="H22"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0.00199999999999978</v>
      </c>
      <c r="I22"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2" s="28"/>
    </row>
    <row r="23" spans="2:10">
      <c r="B23" s="28" t="s">
        <v>92</v>
      </c>
      <c r="C23" s="29">
        <v>7</v>
      </c>
      <c r="D23" s="41">
        <v>6.36</v>
      </c>
      <c r="E23" s="41">
        <v>6.358</v>
      </c>
      <c r="F23" s="41">
        <v>6.359</v>
      </c>
      <c r="G23" s="37">
        <f>IF(tblStudy[[#This Row],[Appraiser]]="","",IF(OR(COUNT(tblStudy[[#This Row],[Trial 1]],tblStudy[[#This Row],[Trial 2]],tblStudy[[#This Row],[Trial 3]])&lt;&gt;Trials,N(tblStudy[[#This Row],[Part no.]])&gt;Parts),"",AVERAGE(tblStudy[[#This Row],[Trial 1]],tblStudy[[#This Row],[Trial 2]],tblStudy[[#This Row],[Trial 3]])))</f>
        <v>6.359</v>
      </c>
      <c r="H23"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0.00200000000000067</v>
      </c>
      <c r="I23"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3" s="28"/>
    </row>
    <row r="24" spans="2:10">
      <c r="B24" s="28" t="s">
        <v>92</v>
      </c>
      <c r="C24" s="29">
        <v>8</v>
      </c>
      <c r="D24" s="41">
        <v>6.362</v>
      </c>
      <c r="E24" s="41">
        <v>6.361</v>
      </c>
      <c r="F24" s="41">
        <v>6.362</v>
      </c>
      <c r="G24" s="37">
        <f>IF(tblStudy[[#This Row],[Appraiser]]="","",IF(OR(COUNT(tblStudy[[#This Row],[Trial 1]],tblStudy[[#This Row],[Trial 2]],tblStudy[[#This Row],[Trial 3]])&lt;&gt;Trials,N(tblStudy[[#This Row],[Part no.]])&gt;Parts),"",AVERAGE(tblStudy[[#This Row],[Trial 1]],tblStudy[[#This Row],[Trial 2]],tblStudy[[#This Row],[Trial 3]])))</f>
        <v>6.36166666666667</v>
      </c>
      <c r="H24"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0.00100000000000033</v>
      </c>
      <c r="I24"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4" s="28"/>
    </row>
    <row r="25" spans="2:10">
      <c r="B25" s="28" t="s">
        <v>92</v>
      </c>
      <c r="C25" s="29">
        <v>9</v>
      </c>
      <c r="D25" s="41">
        <v>6.335</v>
      </c>
      <c r="E25" s="41">
        <v>6.334</v>
      </c>
      <c r="F25" s="41">
        <v>6.335</v>
      </c>
      <c r="G25" s="37">
        <f>IF(tblStudy[[#This Row],[Appraiser]]="","",IF(OR(COUNT(tblStudy[[#This Row],[Trial 1]],tblStudy[[#This Row],[Trial 2]],tblStudy[[#This Row],[Trial 3]])&lt;&gt;Trials,N(tblStudy[[#This Row],[Part no.]])&gt;Parts),"",AVERAGE(tblStudy[[#This Row],[Trial 1]],tblStudy[[#This Row],[Trial 2]],tblStudy[[#This Row],[Trial 3]])))</f>
        <v>6.33466666666667</v>
      </c>
      <c r="H25"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0.00100000000000033</v>
      </c>
      <c r="I25"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5" s="28"/>
    </row>
    <row r="26" spans="2:10">
      <c r="B26" s="28" t="s">
        <v>92</v>
      </c>
      <c r="C26" s="29">
        <v>10</v>
      </c>
      <c r="D26" s="41">
        <v>6.356</v>
      </c>
      <c r="E26" s="41">
        <v>6.359</v>
      </c>
      <c r="F26" s="41">
        <v>6.355</v>
      </c>
      <c r="G26" s="37">
        <f>IF(tblStudy[[#This Row],[Appraiser]]="","",IF(OR(COUNT(tblStudy[[#This Row],[Trial 1]],tblStudy[[#This Row],[Trial 2]],tblStudy[[#This Row],[Trial 3]])&lt;&gt;Trials,N(tblStudy[[#This Row],[Part no.]])&gt;Parts),"",AVERAGE(tblStudy[[#This Row],[Trial 1]],tblStudy[[#This Row],[Trial 2]],tblStudy[[#This Row],[Trial 3]])))</f>
        <v>6.35666666666667</v>
      </c>
      <c r="H26"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0.00399999999999956</v>
      </c>
      <c r="I26"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6" s="28"/>
    </row>
    <row r="27" spans="2:10">
      <c r="B27" s="28" t="s">
        <v>94</v>
      </c>
      <c r="C27" s="29">
        <v>1</v>
      </c>
      <c r="D27" s="41">
        <v>6.343</v>
      </c>
      <c r="E27" s="41">
        <v>6.339</v>
      </c>
      <c r="F27" s="41">
        <v>6.339</v>
      </c>
      <c r="G27" s="37">
        <f>IF(tblStudy[[#This Row],[Appraiser]]="","",IF(OR(COUNT(tblStudy[[#This Row],[Trial 1]],tblStudy[[#This Row],[Trial 2]],tblStudy[[#This Row],[Trial 3]])&lt;&gt;Trials,N(tblStudy[[#This Row],[Part no.]])&gt;Parts),"",AVERAGE(tblStudy[[#This Row],[Trial 1]],tblStudy[[#This Row],[Trial 2]],tblStudy[[#This Row],[Trial 3]])))</f>
        <v>6.34033333333333</v>
      </c>
      <c r="H27"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0.00399999999999956</v>
      </c>
      <c r="I27"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7" s="28"/>
    </row>
    <row r="28" spans="2:10">
      <c r="B28" s="28" t="s">
        <v>94</v>
      </c>
      <c r="C28" s="29">
        <v>2</v>
      </c>
      <c r="D28" s="41">
        <v>6.339</v>
      </c>
      <c r="E28" s="41">
        <v>6.337</v>
      </c>
      <c r="F28" s="41">
        <v>6.337</v>
      </c>
      <c r="G28" s="37">
        <f>IF(tblStudy[[#This Row],[Appraiser]]="","",IF(OR(COUNT(tblStudy[[#This Row],[Trial 1]],tblStudy[[#This Row],[Trial 2]],tblStudy[[#This Row],[Trial 3]])&lt;&gt;Trials,N(tblStudy[[#This Row],[Part no.]])&gt;Parts),"",AVERAGE(tblStudy[[#This Row],[Trial 1]],tblStudy[[#This Row],[Trial 2]],tblStudy[[#This Row],[Trial 3]])))</f>
        <v>6.33766666666667</v>
      </c>
      <c r="H28"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0.00200000000000067</v>
      </c>
      <c r="I28"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8" s="28"/>
    </row>
    <row r="29" spans="2:10">
      <c r="B29" s="28" t="s">
        <v>94</v>
      </c>
      <c r="C29" s="29">
        <v>3</v>
      </c>
      <c r="D29" s="41">
        <v>6.347</v>
      </c>
      <c r="E29" s="41">
        <v>6.349</v>
      </c>
      <c r="F29" s="41">
        <v>6.343</v>
      </c>
      <c r="G29" s="37">
        <f>IF(tblStudy[[#This Row],[Appraiser]]="","",IF(OR(COUNT(tblStudy[[#This Row],[Trial 1]],tblStudy[[#This Row],[Trial 2]],tblStudy[[#This Row],[Trial 3]])&lt;&gt;Trials,N(tblStudy[[#This Row],[Part no.]])&gt;Parts),"",AVERAGE(tblStudy[[#This Row],[Trial 1]],tblStudy[[#This Row],[Trial 2]],tblStudy[[#This Row],[Trial 3]])))</f>
        <v>6.34633333333333</v>
      </c>
      <c r="H29"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0.00600000000000023</v>
      </c>
      <c r="I29"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29" s="28"/>
    </row>
    <row r="30" spans="2:10">
      <c r="B30" s="28" t="s">
        <v>94</v>
      </c>
      <c r="C30" s="29">
        <v>4</v>
      </c>
      <c r="D30" s="41">
        <v>6.349</v>
      </c>
      <c r="E30" s="41">
        <v>6.35</v>
      </c>
      <c r="F30" s="41">
        <v>6.351</v>
      </c>
      <c r="G30" s="37">
        <f>IF(tblStudy[[#This Row],[Appraiser]]="","",IF(OR(COUNT(tblStudy[[#This Row],[Trial 1]],tblStudy[[#This Row],[Trial 2]],tblStudy[[#This Row],[Trial 3]])&lt;&gt;Trials,N(tblStudy[[#This Row],[Part no.]])&gt;Parts),"",AVERAGE(tblStudy[[#This Row],[Trial 1]],tblStudy[[#This Row],[Trial 2]],tblStudy[[#This Row],[Trial 3]])))</f>
        <v>6.35</v>
      </c>
      <c r="H30"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0.00199999999999978</v>
      </c>
      <c r="I30"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30" s="28"/>
    </row>
    <row r="31" spans="2:10">
      <c r="B31" s="28" t="s">
        <v>94</v>
      </c>
      <c r="C31" s="29">
        <v>5</v>
      </c>
      <c r="D31" s="41">
        <v>6.351</v>
      </c>
      <c r="E31" s="41">
        <v>6.348</v>
      </c>
      <c r="F31" s="41">
        <v>6.351</v>
      </c>
      <c r="G31" s="37">
        <f>IF(tblStudy[[#This Row],[Appraiser]]="","",IF(OR(COUNT(tblStudy[[#This Row],[Trial 1]],tblStudy[[#This Row],[Trial 2]],tblStudy[[#This Row],[Trial 3]])&lt;&gt;Trials,N(tblStudy[[#This Row],[Part no.]])&gt;Parts),"",AVERAGE(tblStudy[[#This Row],[Trial 1]],tblStudy[[#This Row],[Trial 2]],tblStudy[[#This Row],[Trial 3]])))</f>
        <v>6.35</v>
      </c>
      <c r="H31"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0.00300000000000011</v>
      </c>
      <c r="I31"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31" s="28"/>
    </row>
    <row r="32" spans="2:10">
      <c r="B32" s="28" t="s">
        <v>94</v>
      </c>
      <c r="C32" s="29">
        <v>6</v>
      </c>
      <c r="D32" s="41">
        <v>6.367</v>
      </c>
      <c r="E32" s="41">
        <v>6.37</v>
      </c>
      <c r="F32" s="41">
        <v>6.369</v>
      </c>
      <c r="G32" s="37">
        <f>IF(tblStudy[[#This Row],[Appraiser]]="","",IF(OR(COUNT(tblStudy[[#This Row],[Trial 1]],tblStudy[[#This Row],[Trial 2]],tblStudy[[#This Row],[Trial 3]])&lt;&gt;Trials,N(tblStudy[[#This Row],[Part no.]])&gt;Parts),"",AVERAGE(tblStudy[[#This Row],[Trial 1]],tblStudy[[#This Row],[Trial 2]],tblStudy[[#This Row],[Trial 3]])))</f>
        <v>6.36866666666667</v>
      </c>
      <c r="H32"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0.00300000000000011</v>
      </c>
      <c r="I32"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32" s="28"/>
    </row>
    <row r="33" spans="2:10">
      <c r="B33" s="28" t="s">
        <v>94</v>
      </c>
      <c r="C33" s="29">
        <v>7</v>
      </c>
      <c r="D33" s="41">
        <v>6.354</v>
      </c>
      <c r="E33" s="41">
        <v>6.356</v>
      </c>
      <c r="F33" s="41">
        <v>6.356</v>
      </c>
      <c r="G33" s="37">
        <f>IF(tblStudy[[#This Row],[Appraiser]]="","",IF(OR(COUNT(tblStudy[[#This Row],[Trial 1]],tblStudy[[#This Row],[Trial 2]],tblStudy[[#This Row],[Trial 3]])&lt;&gt;Trials,N(tblStudy[[#This Row],[Part no.]])&gt;Parts),"",AVERAGE(tblStudy[[#This Row],[Trial 1]],tblStudy[[#This Row],[Trial 2]],tblStudy[[#This Row],[Trial 3]])))</f>
        <v>6.35533333333333</v>
      </c>
      <c r="H33"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0.00199999999999978</v>
      </c>
      <c r="I33"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33" s="28"/>
    </row>
    <row r="34" spans="2:10">
      <c r="B34" s="28" t="s">
        <v>94</v>
      </c>
      <c r="C34" s="29">
        <v>8</v>
      </c>
      <c r="D34" s="41">
        <v>6.358</v>
      </c>
      <c r="E34" s="41">
        <v>6.362</v>
      </c>
      <c r="F34" s="41">
        <v>6.36</v>
      </c>
      <c r="G34" s="37">
        <f>IF(tblStudy[[#This Row],[Appraiser]]="","",IF(OR(COUNT(tblStudy[[#This Row],[Trial 1]],tblStudy[[#This Row],[Trial 2]],tblStudy[[#This Row],[Trial 3]])&lt;&gt;Trials,N(tblStudy[[#This Row],[Part no.]])&gt;Parts),"",AVERAGE(tblStudy[[#This Row],[Trial 1]],tblStudy[[#This Row],[Trial 2]],tblStudy[[#This Row],[Trial 3]])))</f>
        <v>6.36</v>
      </c>
      <c r="H34"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0.00400000000000045</v>
      </c>
      <c r="I34"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34" s="28"/>
    </row>
    <row r="35" spans="2:10">
      <c r="B35" s="28" t="s">
        <v>94</v>
      </c>
      <c r="C35" s="29">
        <v>9</v>
      </c>
      <c r="D35" s="41">
        <v>6.334</v>
      </c>
      <c r="E35" s="41">
        <v>6.329</v>
      </c>
      <c r="F35" s="41">
        <v>6.336</v>
      </c>
      <c r="G35" s="37">
        <f>IF(tblStudy[[#This Row],[Appraiser]]="","",IF(OR(COUNT(tblStudy[[#This Row],[Trial 1]],tblStudy[[#This Row],[Trial 2]],tblStudy[[#This Row],[Trial 3]])&lt;&gt;Trials,N(tblStudy[[#This Row],[Part no.]])&gt;Parts),"",AVERAGE(tblStudy[[#This Row],[Trial 1]],tblStudy[[#This Row],[Trial 2]],tblStudy[[#This Row],[Trial 3]])))</f>
        <v>6.333</v>
      </c>
      <c r="H35"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0.00700000000000056</v>
      </c>
      <c r="I35"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35" s="28"/>
    </row>
    <row r="36" spans="2:10">
      <c r="B36" s="28" t="s">
        <v>94</v>
      </c>
      <c r="C36" s="29">
        <v>10</v>
      </c>
      <c r="D36" s="41">
        <v>6.353</v>
      </c>
      <c r="E36" s="41">
        <v>6.356</v>
      </c>
      <c r="F36" s="41">
        <v>6.353</v>
      </c>
      <c r="G36" s="37">
        <f>IF(tblStudy[[#This Row],[Appraiser]]="","",IF(OR(COUNT(tblStudy[[#This Row],[Trial 1]],tblStudy[[#This Row],[Trial 2]],tblStudy[[#This Row],[Trial 3]])&lt;&gt;Trials,N(tblStudy[[#This Row],[Part no.]])&gt;Parts),"",AVERAGE(tblStudy[[#This Row],[Trial 1]],tblStudy[[#This Row],[Trial 2]],tblStudy[[#This Row],[Trial 3]])))</f>
        <v>6.354</v>
      </c>
      <c r="H36" s="37">
        <f>IF(tblStudy[[#This Row],[Appraiser]]="","",IF(OR(COUNT(tblStudy[[#This Row],[Trial 1]],tblStudy[[#This Row],[Trial 2]],tblStudy[[#This Row],[Trial 3]])&lt;&gt;Trials,N(tblStudy[[#This Row],[Part no.]])&gt;Parts),"",MAX(tblStudy[[#This Row],[Trial 1]],tblStudy[[#This Row],[Trial 2]],tblStudy[[#This Row],[Trial 3]])-MIN(tblStudy[[#This Row],[Trial 1]],tblStudy[[#This Row],[Trial 2]],tblStudy[[#This Row],[Trial 3]])))</f>
        <v>0.00300000000000011</v>
      </c>
      <c r="I36" s="43" t="str">
        <f>IF(tblStudy[[#This Row],[Appraiser]]="","",IF(tblStudy[[#This Row],[Part no.]]="","Missing part no.",IF(COUNT(tblStudy[[#This Row],[Trial 1]],tblStudy[[#This Row],[Trial 2]],tblStudy[[#This Row],[Trial 3]])&lt;&gt;Trials,"Reading count is not the trials",IF(tblStudy[[#This Row],[Part no.]]&gt;Parts,"Part no. above parts in study",IF(COUNTIFS(tblStudy[Appraiser],tblStudy[[#This Row],[Appraiser]],tblStudy[Part no.],tblStudy[[#This Row],[Part no.]])&gt;1,"Duplicate appraiser and part",IF(AND(ISNUMBER(UCLR),tblStudy[[#This Row],[Range]]&gt;UCLR),"Range above UCL: re-measure","OK"))))))</f>
        <v>OK</v>
      </c>
      <c r="J36" s="28"/>
    </row>
  </sheetData>
  <mergeCells count="3">
    <mergeCell ref="A1:J1"/>
    <mergeCell ref="B2:I2"/>
    <mergeCell ref="B4:J4"/>
  </mergeCells>
  <conditionalFormatting sqref="I7:I536">
    <cfRule type="expression" dxfId="3" priority="1">
      <formula>$I7="OK"</formula>
    </cfRule>
    <cfRule type="expression" dxfId="1" priority="2">
      <formula>AND($I7&lt;&gt;"",$I7&lt;&gt;"OK")</formula>
    </cfRule>
  </conditionalFormatting>
  <dataValidations count="6">
    <dataValidation type="list" allowBlank="1" showInputMessage="1" showErrorMessage="1" errorTitle="Check this entry" error="Pick from the list (edit the list on Setup: Appraisers)." promptTitle="Appraiser" prompt="Pick from the list (edit the list on Setup: Appraisers)." sqref="B7:B536">
      <formula1>Appraisers</formula1>
    </dataValidation>
    <dataValidation type="whole" allowBlank="1" showInputMessage="1" showErrorMessage="1" errorTitle="Check this entry" error="Enter a whole number from 1 to 10." promptTitle="Part no." prompt="1 to the number of parts on Setup. Enter a whole number from 1 to 10." sqref="C7:C536">
      <formula1>1</formula1>
      <formula2>10</formula2>
    </dataValidation>
    <dataValidation type="decimal" allowBlank="1" showInputMessage="1" showErrorMessage="1" errorTitle="Check this entry" error="Enter a number of at least -1,000,000,000." promptTitle="Trial 1" prompt="Reading in the unit on Setup. Leave Trial 3 blank in a 2-trial study. Enter a number of at least -1,000,000,000." sqref="D7:D536">
      <formula1>-1000000000.0</formula1>
      <formula2>1000000000.0</formula2>
    </dataValidation>
    <dataValidation type="decimal" allowBlank="1" showInputMessage="1" showErrorMessage="1" errorTitle="Check this entry" error="Enter a number of at least -1,000,000,000." promptTitle="Trial 2" prompt="Reading in the unit on Setup. Leave Trial 3 blank in a 2-trial study. Enter a number of at least -1,000,000,000." sqref="E7:E536">
      <formula1>-1000000000.0</formula1>
      <formula2>1000000000.0</formula2>
    </dataValidation>
    <dataValidation type="decimal" allowBlank="1" showInputMessage="1" showErrorMessage="1" errorTitle="Check this entry" error="Enter a number of at least -1,000,000,000." promptTitle="Trial 3" prompt="Reading in the unit on Setup. Leave Trial 3 blank in a 2-trial study. Enter a number of at least -1,000,000,000." sqref="F7:F536">
      <formula1>-1000000000.0</formula1>
      <formula2>1000000000.0</formula2>
    </dataValidation>
    <dataValidation type="textLength" allowBlank="1" showInputMessage="1" showErrorMessage="1" errorTitle="Check this entry" error="Text up to 255 characters." promptTitle="Notes" prompt="Text up to 255 characters." sqref="J7:J536">
      <formula1>0</formula1>
      <formula2>255</formula2>
    </dataValidation>
  </dataValidations>
  <hyperlinks>
    <hyperlink ref="J2" r:id="rId1" tooltip="Free manufacturing calculators and templates"/>
  </hyperlinks>
  <pageMargins left="0.4" right="0.4" top="0.7" bottom="0.65" header="0.3" footer="0.3"/>
  <pageSetup fitToHeight="0" orientation="landscape"/>
  <headerFooter>
    <oddHeader>&amp;L&amp;8MFG Calcs - Gage R&amp;&amp;R Study&amp;R&amp;8&amp;A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5"/>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17" t="str">
        <f>GageName&amp;"  |  "&amp;CharName&amp;"  |  "&amp;Parts&amp;" parts x "&amp;NApp&amp;" appraisers x "&amp;Trials&amp;" trials"</f>
        <v>Digital micrometer 0-25 mm, GA-114 (example)  |  Plunger OD 6.350 +/- 0.025 mm (example)  |  10 parts x 3 appraisers x 3 trials</v>
      </c>
      <c r="C4" s="17"/>
      <c r="D4" s="17"/>
      <c r="E4" s="17"/>
      <c r="F4" s="17"/>
      <c r="G4" s="17"/>
      <c r="H4" s="17"/>
      <c r="I4" s="17"/>
      <c r="J4" s="17"/>
      <c r="K4" s="17"/>
      <c r="L4" s="17"/>
    </row>
    <row r="5" spans="1:12" ht="18" customHeight="1">
      <c r="B5" s="44" t="s">
        <v>117</v>
      </c>
      <c r="C5" s="44"/>
      <c r="D5" s="44" t="s">
        <v>118</v>
      </c>
      <c r="E5" s="44"/>
      <c r="F5" s="44"/>
      <c r="G5" s="44" t="s">
        <v>119</v>
      </c>
      <c r="H5" s="44"/>
      <c r="I5" s="44"/>
      <c r="J5" s="44" t="s">
        <v>120</v>
      </c>
      <c r="K5" s="44"/>
      <c r="L5" s="44"/>
    </row>
    <row r="6" spans="1:12" ht="21" customHeight="1">
      <c r="B6" s="45">
        <f>PctGRR</f>
        <v>0.185646803407492</v>
      </c>
      <c r="C6" s="45"/>
      <c r="D6" s="45">
        <f>PctTol</f>
        <v>0.241713384688852</v>
      </c>
      <c r="E6" s="45"/>
      <c r="F6" s="45"/>
      <c r="G6" s="46">
        <f>Ndc</f>
        <v>7</v>
      </c>
      <c r="H6" s="46"/>
      <c r="I6" s="46"/>
      <c r="J6" s="47" t="str">
        <f>Source</f>
        <v>Repeatability (equipment)</v>
      </c>
      <c r="K6" s="47"/>
      <c r="L6" s="47"/>
    </row>
    <row r="7" spans="1:12" ht="21" customHeight="1">
      <c r="B7" s="45"/>
      <c r="C7" s="45"/>
      <c r="D7" s="45"/>
      <c r="E7" s="45"/>
      <c r="F7" s="45"/>
      <c r="G7" s="46"/>
      <c r="H7" s="46"/>
      <c r="I7" s="46"/>
      <c r="J7" s="47"/>
      <c r="K7" s="47"/>
      <c r="L7" s="47"/>
    </row>
    <row r="8" spans="1:12">
      <c r="B8" s="48">
        <f>AcceptPct</f>
        <v>0.1</v>
      </c>
      <c r="C8" s="48"/>
      <c r="D8" s="48">
        <f>AcceptPct</f>
        <v>0.1</v>
      </c>
      <c r="E8" s="48"/>
      <c r="F8" s="48"/>
      <c r="G8" s="49">
        <f>MinNdc</f>
        <v>5</v>
      </c>
      <c r="H8" s="49"/>
      <c r="I8" s="49"/>
      <c r="J8" s="50" t="s">
        <v>121</v>
      </c>
      <c r="K8" s="50"/>
      <c r="L8" s="50"/>
    </row>
    <row r="9" spans="1:12" ht="18" customHeight="1">
      <c r="B9" s="51" t="str">
        <f>IF(NOT(ISNUMBER(KpiPctGrr)),"No data",IF(KpiPctGrr&lt;=(AcceptPct),"OK",IF(KpiPctGrr&lt;=(RejectPct),"Check","FAIL")))</f>
        <v>Check</v>
      </c>
      <c r="C9" s="51"/>
      <c r="D9" s="51" t="str">
        <f>IF(NOT(ISNUMBER(KpiPctTol)),"No data",IF(KpiPctTol&lt;=(AcceptPct),"OK",IF(KpiPctTol&lt;=(RejectPct),"Check","FAIL")))</f>
        <v>Check</v>
      </c>
      <c r="E9" s="51"/>
      <c r="F9" s="51"/>
      <c r="G9" s="51" t="str">
        <f>IF(NOT(ISNUMBER(KpiNdc)),"No data",IF(KpiNdc&gt;=(MinNdc),"On target",IF(KpiNdc&gt;=(MinNdc)*(1-0.05),"Near target","Below target")))</f>
        <v>On target</v>
      </c>
      <c r="H9" s="51"/>
      <c r="I9" s="51"/>
      <c r="J9" s="51"/>
      <c r="K9" s="51"/>
      <c r="L9" s="51"/>
    </row>
    <row r="27" spans="2:12">
      <c r="B27" s="33" t="s">
        <v>122</v>
      </c>
      <c r="C27" s="33"/>
      <c r="D27" s="33"/>
      <c r="E27" s="33"/>
      <c r="F27" s="33"/>
      <c r="H27" s="27" t="s">
        <v>123</v>
      </c>
      <c r="I27" s="27"/>
      <c r="J27" s="37">
        <f>IF(COUNT($D$54:$D$56)&lt;2,"",MAX($D$54:$D$56)-MIN($D$54:$D$56))</f>
        <v>0.00216666666666665</v>
      </c>
      <c r="K27" s="37"/>
      <c r="L27" s="7" t="str">
        <f>UnitLabel</f>
        <v>mm</v>
      </c>
    </row>
    <row r="28" spans="2:12" ht="32" customHeight="1">
      <c r="B28" s="52" t="s">
        <v>124</v>
      </c>
      <c r="C28" s="34" t="s">
        <v>125</v>
      </c>
      <c r="D28" s="34" t="s">
        <v>126</v>
      </c>
      <c r="E28" s="34" t="s">
        <v>127</v>
      </c>
      <c r="F28" s="34" t="s">
        <v>128</v>
      </c>
      <c r="H28" s="27" t="s">
        <v>129</v>
      </c>
      <c r="I28" s="27"/>
      <c r="J28" s="37">
        <f>IF(COUNT($I$54:$I$63)&lt;2,"",MAX($I$54:$I$63)-MIN($I$54:$I$63))</f>
        <v>0.0338888888888889</v>
      </c>
      <c r="K28" s="37"/>
      <c r="L28" s="7" t="str">
        <f>UnitLabel</f>
        <v>mm</v>
      </c>
    </row>
    <row r="29" spans="2:12" ht="14" customHeight="1">
      <c r="B29" s="42"/>
      <c r="C29" s="42" t="str">
        <f>UnitLabel</f>
        <v>mm</v>
      </c>
      <c r="D29" s="42"/>
      <c r="E29" s="42"/>
      <c r="F29" s="42"/>
      <c r="H29" s="27" t="s">
        <v>130</v>
      </c>
      <c r="I29" s="27"/>
      <c r="J29" s="37">
        <f>IF(N(RBarBar)=0,"",RBarBar*ConstK1)</f>
        <v>0.00169362666666673</v>
      </c>
      <c r="K29" s="37"/>
      <c r="L29" s="7" t="str">
        <f>UnitLabel</f>
        <v>mm</v>
      </c>
    </row>
    <row r="30" spans="2:12">
      <c r="B30" s="53" t="s">
        <v>131</v>
      </c>
      <c r="C30" s="37">
        <f>CHOOSE(1,EV,AV,GRR,PV,TV)</f>
        <v>0.00169362666666673</v>
      </c>
      <c r="D30" s="54">
        <f>IF((N(TV))=0,"",(CHOOSE(1,EV,AV,GRR,PV,TV))/(N(TV)))</f>
        <v>0.156093818587878</v>
      </c>
      <c r="E30" s="54">
        <f>IF((N(TV)^2)=0,"",(CHOOSE(1,EV,AV,GRR,PV,TV)^2)/(N(TV)^2))</f>
        <v>0.0243652802013453</v>
      </c>
      <c r="F30" s="54">
        <f>IF(OR(Tolerance&lt;=0,N(TV)=0),"",SpreadMult*CHOOSE(1,EV,AV,GRR,PV,TV)/Tolerance)</f>
        <v>0.203235200000007</v>
      </c>
      <c r="H30" s="27" t="s">
        <v>132</v>
      </c>
      <c r="I30" s="27"/>
      <c r="J30" s="37">
        <f>IF(OR(N(EV)=0,N(XDiff)=0),0,SQRT(MAX(0,(XDiff*ConstK2)^2-EV^2/(Parts*Trials))))</f>
        <v>0.0010903877310738</v>
      </c>
      <c r="K30" s="37"/>
      <c r="L30" s="7" t="str">
        <f>UnitLabel</f>
        <v>mm</v>
      </c>
    </row>
    <row r="31" spans="2:12">
      <c r="B31" s="53" t="s">
        <v>133</v>
      </c>
      <c r="C31" s="37">
        <f>CHOOSE(2,EV,AV,GRR,PV,TV)</f>
        <v>0.0010903877310738</v>
      </c>
      <c r="D31" s="54">
        <f>IF((N(TV))=0,"",(CHOOSE(2,EV,AV,GRR,PV,TV))/(N(TV)))</f>
        <v>0.100496046758441</v>
      </c>
      <c r="E31" s="54">
        <f>IF((N(TV)^2)=0,"",(CHOOSE(2,EV,AV,GRR,PV,TV)^2)/(N(TV)^2))</f>
        <v>0.0100994554140747</v>
      </c>
      <c r="F31" s="54">
        <f>IF(OR(Tolerance&lt;=0,N(TV)=0),"",SpreadMult*CHOOSE(2,EV,AV,GRR,PV,TV)/Tolerance)</f>
        <v>0.130846527728856</v>
      </c>
      <c r="H31" s="17" t="s">
        <v>134</v>
      </c>
      <c r="I31" s="17"/>
      <c r="J31" s="55">
        <f>IF(N(EV)=0,"",SQRT(EV^2+AV^2))</f>
        <v>0.00201427820574044</v>
      </c>
      <c r="K31" s="55"/>
      <c r="L31" s="7" t="str">
        <f>UnitLabel</f>
        <v>mm</v>
      </c>
    </row>
    <row r="32" spans="2:12">
      <c r="B32" s="53" t="s">
        <v>135</v>
      </c>
      <c r="C32" s="37">
        <f>CHOOSE(3,EV,AV,GRR,PV,TV)</f>
        <v>0.00201427820574044</v>
      </c>
      <c r="D32" s="54">
        <f>IF((N(TV))=0,"",(CHOOSE(3,EV,AV,GRR,PV,TV))/(N(TV)))</f>
        <v>0.185646803407492</v>
      </c>
      <c r="E32" s="54">
        <f>IF((N(TV)^2)=0,"",(CHOOSE(3,EV,AV,GRR,PV,TV)^2)/(N(TV)^2))</f>
        <v>0.03446473561542</v>
      </c>
      <c r="F32" s="54">
        <f>IF(OR(Tolerance&lt;=0,N(TV)=0),"",SpreadMult*CHOOSE(3,EV,AV,GRR,PV,TV)/Tolerance)</f>
        <v>0.241713384688852</v>
      </c>
      <c r="H32" s="27" t="s">
        <v>136</v>
      </c>
      <c r="I32" s="27"/>
      <c r="J32" s="37">
        <f>IF(N(Rp)=0,"",Rp*ConstK3)</f>
        <v>0.0106614444444444</v>
      </c>
      <c r="K32" s="37"/>
      <c r="L32" s="7" t="str">
        <f>UnitLabel</f>
        <v>mm</v>
      </c>
    </row>
    <row r="33" spans="2:12">
      <c r="B33" s="53" t="s">
        <v>137</v>
      </c>
      <c r="C33" s="37">
        <f>CHOOSE(4,EV,AV,GRR,PV,TV)</f>
        <v>0.0106614444444444</v>
      </c>
      <c r="D33" s="54">
        <f>IF((N(TV))=0,"",(CHOOSE(4,EV,AV,GRR,PV,TV))/(N(TV)))</f>
        <v>0.982616539848877</v>
      </c>
      <c r="E33" s="54">
        <f>IF((N(TV)^2)=0,"",(CHOOSE(4,EV,AV,GRR,PV,TV)^2)/(N(TV)^2))</f>
        <v>0.96553526438458</v>
      </c>
      <c r="F33" s="54">
        <f>IF(OR(Tolerance&lt;=0,N(TV)=0),"",SpreadMult*CHOOSE(4,EV,AV,GRR,PV,TV)/Tolerance)</f>
        <v>1.27937333333333</v>
      </c>
      <c r="H33" s="27" t="s">
        <v>138</v>
      </c>
      <c r="I33" s="27"/>
      <c r="J33" s="37">
        <f>IF(OR(N(GRR)=0,N(PV)=0),"",SQRT(GRR^2+PV^2))</f>
        <v>0.0108500559598601</v>
      </c>
      <c r="K33" s="37"/>
      <c r="L33" s="7" t="str">
        <f>UnitLabel</f>
        <v>mm</v>
      </c>
    </row>
    <row r="34" spans="2:12">
      <c r="B34" s="53" t="s">
        <v>139</v>
      </c>
      <c r="C34" s="37">
        <f>CHOOSE(5,EV,AV,GRR,PV,TV)</f>
        <v>0.0108500559598601</v>
      </c>
      <c r="D34" s="54">
        <f>IF((N(TV))=0,"",(CHOOSE(5,EV,AV,GRR,PV,TV))/(N(TV)))</f>
        <v>1</v>
      </c>
      <c r="E34" s="54">
        <f>IF((N(TV)^2)=0,"",(CHOOSE(5,EV,AV,GRR,PV,TV)^2)/(N(TV)^2))</f>
        <v>1</v>
      </c>
      <c r="F34" s="54">
        <f>IF(OR(Tolerance&lt;=0,N(TV)=0),"",SpreadMult*CHOOSE(5,EV,AV,GRR,PV,TV)/Tolerance)</f>
        <v>1.30200671518321</v>
      </c>
      <c r="H34" s="17" t="s">
        <v>140</v>
      </c>
      <c r="I34" s="17"/>
      <c r="J34" s="56">
        <f>IF(N(TV)=0,"",GRR/TV)</f>
        <v>0.185646803407492</v>
      </c>
      <c r="K34" s="56"/>
      <c r="L34" s="7" t="s">
        <v>141</v>
      </c>
    </row>
    <row r="35" spans="2:12">
      <c r="H35" s="17" t="s">
        <v>142</v>
      </c>
      <c r="I35" s="17"/>
      <c r="J35" s="56">
        <f>IF(OR(N(GRR)=0,Tolerance&lt;=0),"",SpreadMult*GRR/Tolerance)</f>
        <v>0.241713384688852</v>
      </c>
      <c r="K35" s="56"/>
      <c r="L35" s="7" t="s">
        <v>141</v>
      </c>
    </row>
    <row r="36" spans="2:12">
      <c r="H36" s="27" t="s">
        <v>143</v>
      </c>
      <c r="I36" s="27"/>
      <c r="J36" s="57">
        <f>IF(N(GRR)=0,"",1.41*PV/GRR)</f>
        <v>7.46303893068274</v>
      </c>
      <c r="K36" s="57"/>
      <c r="L36" s="7" t="s">
        <v>100</v>
      </c>
    </row>
    <row r="37" spans="2:12">
      <c r="H37" s="17" t="s">
        <v>144</v>
      </c>
      <c r="I37" s="17"/>
      <c r="J37" s="58">
        <f>IF(N(GRR)=0,"",INT(NdcRaw))</f>
        <v>7</v>
      </c>
      <c r="K37" s="58"/>
      <c r="L37" s="7" t="s">
        <v>145</v>
      </c>
    </row>
    <row r="38" spans="2:12">
      <c r="H38" s="27" t="s">
        <v>146</v>
      </c>
      <c r="I38" s="27"/>
      <c r="J38" s="39" t="str">
        <f>IF(N(GRR)=0,"",IF(EV&gt;=AV,"Repeatability (equipment)","Reproducibility (appraisers)"))</f>
        <v>Repeatability (equipment)</v>
      </c>
      <c r="K38" s="39"/>
      <c r="L38" s="7"/>
    </row>
    <row r="40" spans="2:12">
      <c r="B40" s="33" t="s">
        <v>147</v>
      </c>
      <c r="C40" s="33"/>
      <c r="D40" s="33"/>
      <c r="E40" s="33"/>
      <c r="F40" s="33"/>
      <c r="G40" s="33"/>
      <c r="H40" s="33"/>
      <c r="I40" s="33"/>
      <c r="J40" s="33"/>
      <c r="K40" s="33"/>
      <c r="L40" s="33"/>
    </row>
    <row r="41" spans="2:12">
      <c r="B41" s="52" t="s">
        <v>148</v>
      </c>
      <c r="C41" s="59">
        <v>1</v>
      </c>
      <c r="D41" s="59">
        <f>$C$41+1</f>
        <v>2</v>
      </c>
      <c r="E41" s="59">
        <f>$D$41+1</f>
        <v>3</v>
      </c>
      <c r="F41" s="59">
        <f>$E$41+1</f>
        <v>4</v>
      </c>
      <c r="G41" s="59">
        <f>$F$41+1</f>
        <v>5</v>
      </c>
      <c r="H41" s="59">
        <f>$G$41+1</f>
        <v>6</v>
      </c>
      <c r="I41" s="59">
        <f>$H$41+1</f>
        <v>7</v>
      </c>
      <c r="J41" s="59">
        <f>$I$41+1</f>
        <v>8</v>
      </c>
      <c r="K41" s="59">
        <f>$J$41+1</f>
        <v>9</v>
      </c>
      <c r="L41" s="59">
        <f>$K$41+1</f>
        <v>10</v>
      </c>
    </row>
    <row r="42" spans="2:12">
      <c r="B42" s="53" t="str">
        <f>IFERROR(INDEX(tblAppraisers[Appraiser],1)&amp;"","")</f>
        <v>A. Patel</v>
      </c>
      <c r="C42" s="60">
        <f>IF($B$42="","",IF($C$41&gt;Parts,"",IFERROR(AVERAGEIFS(tblStudy[Mean],tblStudy[Appraiser],$B$42,tblStudy[Part no.],$C$41),"")))</f>
        <v>6.34266666666667</v>
      </c>
      <c r="D42" s="60">
        <f>IF($B$42="","",IF($D$41&gt;Parts,"",IFERROR(AVERAGEIFS(tblStudy[Mean],tblStudy[Appraiser],$B$42,tblStudy[Part no.],$D$41),"")))</f>
        <v>6.338</v>
      </c>
      <c r="E42" s="60">
        <f>IF($B$42="","",IF($E$41&gt;Parts,"",IFERROR(AVERAGEIFS(tblStudy[Mean],tblStudy[Appraiser],$B$42,tblStudy[Part no.],$E$41),"")))</f>
        <v>6.34533333333333</v>
      </c>
      <c r="F42" s="60">
        <f>IF($B$42="","",IF($F$41&gt;Parts,"",IFERROR(AVERAGEIFS(tblStudy[Mean],tblStudy[Appraiser],$B$42,tblStudy[Part no.],$F$41),"")))</f>
        <v>6.352</v>
      </c>
      <c r="G42" s="60">
        <f>IF($B$42="","",IF($G$41&gt;Parts,"",IFERROR(AVERAGEIFS(tblStudy[Mean],tblStudy[Appraiser],$B$42,tblStudy[Part no.],$G$41),"")))</f>
        <v>6.34933333333333</v>
      </c>
      <c r="H42" s="60">
        <f>IF($B$42="","",IF($H$41&gt;Parts,"",IFERROR(AVERAGEIFS(tblStudy[Mean],tblStudy[Appraiser],$B$42,tblStudy[Part no.],$H$41),"")))</f>
        <v>6.36766666666667</v>
      </c>
      <c r="I42" s="60">
        <f>IF($B$42="","",IF($I$41&gt;Parts,"",IFERROR(AVERAGEIFS(tblStudy[Mean],tblStudy[Appraiser],$B$42,tblStudy[Part no.],$I$41),"")))</f>
        <v>6.35833333333333</v>
      </c>
      <c r="J42" s="60">
        <f>IF($B$42="","",IF($J$41&gt;Parts,"",IFERROR(AVERAGEIFS(tblStudy[Mean],tblStudy[Appraiser],$B$42,tblStudy[Part no.],$J$41),"")))</f>
        <v>6.36266666666667</v>
      </c>
      <c r="K42" s="60">
        <f>IF($B$42="","",IF($K$41&gt;Parts,"",IFERROR(AVERAGEIFS(tblStudy[Mean],tblStudy[Appraiser],$B$42,tblStudy[Part no.],$K$41),"")))</f>
        <v>6.335</v>
      </c>
      <c r="L42" s="60">
        <f>IF($B$42="","",IF($L$41&gt;Parts,"",IFERROR(AVERAGEIFS(tblStudy[Mean],tblStudy[Appraiser],$B$42,tblStudy[Part no.],$L$41),"")))</f>
        <v>6.35466666666667</v>
      </c>
    </row>
    <row r="43" spans="2:12">
      <c r="B43" s="53" t="str">
        <f>IFERROR(INDEX(tblAppraisers[Appraiser],2)&amp;"","")</f>
        <v>B. Novak</v>
      </c>
      <c r="C43" s="60">
        <f>IF($B$43="","",IF($C$41&gt;Parts,"",IFERROR(AVERAGEIFS(tblStudy[Mean],tblStudy[Appraiser],$B$43,tblStudy[Part no.],$C$41),"")))</f>
        <v>6.34433333333333</v>
      </c>
      <c r="D43" s="60">
        <f>IF($B$43="","",IF($D$41&gt;Parts,"",IFERROR(AVERAGEIFS(tblStudy[Mean],tblStudy[Appraiser],$B$43,tblStudy[Part no.],$D$41),"")))</f>
        <v>6.33966666666667</v>
      </c>
      <c r="E43" s="60">
        <f>IF($B$43="","",IF($E$41&gt;Parts,"",IFERROR(AVERAGEIFS(tblStudy[Mean],tblStudy[Appraiser],$B$43,tblStudy[Part no.],$E$41),"")))</f>
        <v>6.34666666666667</v>
      </c>
      <c r="F43" s="60">
        <f>IF($B$43="","",IF($F$41&gt;Parts,"",IFERROR(AVERAGEIFS(tblStudy[Mean],tblStudy[Appraiser],$B$43,tblStudy[Part no.],$F$41),"")))</f>
        <v>6.354</v>
      </c>
      <c r="G43" s="60">
        <f>IF($B$43="","",IF($G$41&gt;Parts,"",IFERROR(AVERAGEIFS(tblStudy[Mean],tblStudy[Appraiser],$B$43,tblStudy[Part no.],$G$41),"")))</f>
        <v>6.35233333333333</v>
      </c>
      <c r="H43" s="60">
        <f>IF($B$43="","",IF($H$41&gt;Parts,"",IFERROR(AVERAGEIFS(tblStudy[Mean],tblStudy[Appraiser],$B$43,tblStudy[Part no.],$H$41),"")))</f>
        <v>6.368</v>
      </c>
      <c r="I43" s="60">
        <f>IF($B$43="","",IF($I$41&gt;Parts,"",IFERROR(AVERAGEIFS(tblStudy[Mean],tblStudy[Appraiser],$B$43,tblStudy[Part no.],$I$41),"")))</f>
        <v>6.359</v>
      </c>
      <c r="J43" s="60">
        <f>IF($B$43="","",IF($J$41&gt;Parts,"",IFERROR(AVERAGEIFS(tblStudy[Mean],tblStudy[Appraiser],$B$43,tblStudy[Part no.],$J$41),"")))</f>
        <v>6.36166666666667</v>
      </c>
      <c r="K43" s="60">
        <f>IF($B$43="","",IF($K$41&gt;Parts,"",IFERROR(AVERAGEIFS(tblStudy[Mean],tblStudy[Appraiser],$B$43,tblStudy[Part no.],$K$41),"")))</f>
        <v>6.33466666666667</v>
      </c>
      <c r="L43" s="60">
        <f>IF($B$43="","",IF($L$41&gt;Parts,"",IFERROR(AVERAGEIFS(tblStudy[Mean],tblStudy[Appraiser],$B$43,tblStudy[Part no.],$L$41),"")))</f>
        <v>6.35666666666667</v>
      </c>
    </row>
    <row r="44" spans="2:12">
      <c r="B44" s="53" t="str">
        <f>IFERROR(INDEX(tblAppraisers[Appraiser],3)&amp;"","")</f>
        <v>C. Reyes</v>
      </c>
      <c r="C44" s="60">
        <f>IF($B$44="","",IF($C$41&gt;Parts,"",IFERROR(AVERAGEIFS(tblStudy[Mean],tblStudy[Appraiser],$B$44,tblStudy[Part no.],$C$41),"")))</f>
        <v>6.34033333333333</v>
      </c>
      <c r="D44" s="60">
        <f>IF($B$44="","",IF($D$41&gt;Parts,"",IFERROR(AVERAGEIFS(tblStudy[Mean],tblStudy[Appraiser],$B$44,tblStudy[Part no.],$D$41),"")))</f>
        <v>6.33766666666667</v>
      </c>
      <c r="E44" s="60">
        <f>IF($B$44="","",IF($E$41&gt;Parts,"",IFERROR(AVERAGEIFS(tblStudy[Mean],tblStudy[Appraiser],$B$44,tblStudy[Part no.],$E$41),"")))</f>
        <v>6.34633333333333</v>
      </c>
      <c r="F44" s="60">
        <f>IF($B$44="","",IF($F$41&gt;Parts,"",IFERROR(AVERAGEIFS(tblStudy[Mean],tblStudy[Appraiser],$B$44,tblStudy[Part no.],$F$41),"")))</f>
        <v>6.35</v>
      </c>
      <c r="G44" s="60">
        <f>IF($B$44="","",IF($G$41&gt;Parts,"",IFERROR(AVERAGEIFS(tblStudy[Mean],tblStudy[Appraiser],$B$44,tblStudy[Part no.],$G$41),"")))</f>
        <v>6.35</v>
      </c>
      <c r="H44" s="60">
        <f>IF($B$44="","",IF($H$41&gt;Parts,"",IFERROR(AVERAGEIFS(tblStudy[Mean],tblStudy[Appraiser],$B$44,tblStudy[Part no.],$H$41),"")))</f>
        <v>6.36866666666667</v>
      </c>
      <c r="I44" s="60">
        <f>IF($B$44="","",IF($I$41&gt;Parts,"",IFERROR(AVERAGEIFS(tblStudy[Mean],tblStudy[Appraiser],$B$44,tblStudy[Part no.],$I$41),"")))</f>
        <v>6.35533333333333</v>
      </c>
      <c r="J44" s="60">
        <f>IF($B$44="","",IF($J$41&gt;Parts,"",IFERROR(AVERAGEIFS(tblStudy[Mean],tblStudy[Appraiser],$B$44,tblStudy[Part no.],$J$41),"")))</f>
        <v>6.36</v>
      </c>
      <c r="K44" s="60">
        <f>IF($B$44="","",IF($K$41&gt;Parts,"",IFERROR(AVERAGEIFS(tblStudy[Mean],tblStudy[Appraiser],$B$44,tblStudy[Part no.],$K$41),"")))</f>
        <v>6.333</v>
      </c>
      <c r="L44" s="60">
        <f>IF($B$44="","",IF($L$41&gt;Parts,"",IFERROR(AVERAGEIFS(tblStudy[Mean],tblStudy[Appraiser],$B$44,tblStudy[Part no.],$L$41),"")))</f>
        <v>6.354</v>
      </c>
    </row>
    <row r="46" spans="2:12">
      <c r="B46" s="33" t="s">
        <v>149</v>
      </c>
      <c r="C46" s="33"/>
      <c r="D46" s="33"/>
      <c r="E46" s="33"/>
      <c r="F46" s="33"/>
      <c r="G46" s="33"/>
      <c r="H46" s="33"/>
      <c r="I46" s="33"/>
      <c r="J46" s="33"/>
      <c r="K46" s="33"/>
      <c r="L46" s="33"/>
    </row>
    <row r="47" spans="2:12">
      <c r="B47" s="52" t="s">
        <v>148</v>
      </c>
      <c r="C47" s="59">
        <v>1</v>
      </c>
      <c r="D47" s="59">
        <f>$C$47+1</f>
        <v>2</v>
      </c>
      <c r="E47" s="59">
        <f>$D$47+1</f>
        <v>3</v>
      </c>
      <c r="F47" s="59">
        <f>$E$47+1</f>
        <v>4</v>
      </c>
      <c r="G47" s="59">
        <f>$F$47+1</f>
        <v>5</v>
      </c>
      <c r="H47" s="59">
        <f>$G$47+1</f>
        <v>6</v>
      </c>
      <c r="I47" s="59">
        <f>$H$47+1</f>
        <v>7</v>
      </c>
      <c r="J47" s="59">
        <f>$I$47+1</f>
        <v>8</v>
      </c>
      <c r="K47" s="59">
        <f>$J$47+1</f>
        <v>9</v>
      </c>
      <c r="L47" s="59">
        <f>$K$47+1</f>
        <v>10</v>
      </c>
    </row>
    <row r="48" spans="2:12">
      <c r="B48" s="53" t="str">
        <f>IFERROR(INDEX(tblAppraisers[Appraiser],1)&amp;"","")</f>
        <v>A. Patel</v>
      </c>
      <c r="C48" s="60">
        <f>IF($B$48="","",IF($C$47&gt;Parts,"",IFERROR(AVERAGEIFS(tblStudy[Range],tblStudy[Appraiser],$B$48,tblStudy[Part no.],$C$47),"")))</f>
        <v>0.00499999999999989</v>
      </c>
      <c r="D48" s="60">
        <f>IF($B$48="","",IF($D$47&gt;Parts,"",IFERROR(AVERAGEIFS(tblStudy[Range],tblStudy[Appraiser],$B$48,tblStudy[Part no.],$D$47),"")))</f>
        <v>0.00200000000000067</v>
      </c>
      <c r="E48" s="60">
        <f>IF($B$48="","",IF($E$47&gt;Parts,"",IFERROR(AVERAGEIFS(tblStudy[Range],tblStudy[Appraiser],$B$48,tblStudy[Part no.],$E$47),"")))</f>
        <v>0.00100000000000033</v>
      </c>
      <c r="F48" s="60">
        <f>IF($B$48="","",IF($F$47&gt;Parts,"",IFERROR(AVERAGEIFS(tblStudy[Range],tblStudy[Appraiser],$B$48,tblStudy[Part no.],$F$47),"")))</f>
        <v>0.00300000000000011</v>
      </c>
      <c r="G48" s="60">
        <f>IF($B$48="","",IF($G$47&gt;Parts,"",IFERROR(AVERAGEIFS(tblStudy[Range],tblStudy[Appraiser],$B$48,tblStudy[Part no.],$G$47),"")))</f>
        <v>0.000999999999999446</v>
      </c>
      <c r="H48" s="60">
        <f>IF($B$48="","",IF($H$47&gt;Parts,"",IFERROR(AVERAGEIFS(tblStudy[Range],tblStudy[Appraiser],$B$48,tblStudy[Part no.],$H$47),"")))</f>
        <v>0.00300000000000011</v>
      </c>
      <c r="I48" s="60">
        <f>IF($B$48="","",IF($I$47&gt;Parts,"",IFERROR(AVERAGEIFS(tblStudy[Range],tblStudy[Appraiser],$B$48,tblStudy[Part no.],$I$47),"")))</f>
        <v>0.00599999999999934</v>
      </c>
      <c r="J48" s="60">
        <f>IF($B$48="","",IF($J$47&gt;Parts,"",IFERROR(AVERAGEIFS(tblStudy[Range],tblStudy[Appraiser],$B$48,tblStudy[Part no.],$J$47),"")))</f>
        <v>0.00100000000000033</v>
      </c>
      <c r="K48" s="60">
        <f>IF($B$48="","",IF($K$47&gt;Parts,"",IFERROR(AVERAGEIFS(tblStudy[Range],tblStudy[Appraiser],$B$48,tblStudy[Part no.],$K$47),"")))</f>
        <v>0.00399999999999956</v>
      </c>
      <c r="L48" s="60">
        <f>IF($B$48="","",IF($L$47&gt;Parts,"",IFERROR(AVERAGEIFS(tblStudy[Range],tblStudy[Appraiser],$B$48,tblStudy[Part no.],$L$47),"")))</f>
        <v>0.00100000000000033</v>
      </c>
    </row>
    <row r="49" spans="2:12">
      <c r="B49" s="53" t="str">
        <f>IFERROR(INDEX(tblAppraisers[Appraiser],2)&amp;"","")</f>
        <v>B. Novak</v>
      </c>
      <c r="C49" s="60">
        <f>IF($B$49="","",IF($C$47&gt;Parts,"",IFERROR(AVERAGEIFS(tblStudy[Range],tblStudy[Appraiser],$B$49,tblStudy[Part no.],$C$47),"")))</f>
        <v>0.00300000000000011</v>
      </c>
      <c r="D49" s="60">
        <f>IF($B$49="","",IF($D$47&gt;Parts,"",IFERROR(AVERAGEIFS(tblStudy[Range],tblStudy[Appraiser],$B$49,tblStudy[Part no.],$D$47),"")))</f>
        <v>0.00199999999999978</v>
      </c>
      <c r="E49" s="60">
        <f>IF($B$49="","",IF($E$47&gt;Parts,"",IFERROR(AVERAGEIFS(tblStudy[Range],tblStudy[Appraiser],$B$49,tblStudy[Part no.],$E$47),"")))</f>
        <v>0.00300000000000011</v>
      </c>
      <c r="F49" s="60">
        <f>IF($B$49="","",IF($F$47&gt;Parts,"",IFERROR(AVERAGEIFS(tblStudy[Range],tblStudy[Appraiser],$B$49,tblStudy[Part no.],$F$47),"")))</f>
        <v>0.00200000000000067</v>
      </c>
      <c r="G49" s="60">
        <f>IF($B$49="","",IF($G$47&gt;Parts,"",IFERROR(AVERAGEIFS(tblStudy[Range],tblStudy[Appraiser],$B$49,tblStudy[Part no.],$G$47),"")))</f>
        <v>0.00300000000000011</v>
      </c>
      <c r="H49" s="60">
        <f>IF($B$49="","",IF($H$47&gt;Parts,"",IFERROR(AVERAGEIFS(tblStudy[Range],tblStudy[Appraiser],$B$49,tblStudy[Part no.],$H$47),"")))</f>
        <v>0.00199999999999978</v>
      </c>
      <c r="I49" s="60">
        <f>IF($B$49="","",IF($I$47&gt;Parts,"",IFERROR(AVERAGEIFS(tblStudy[Range],tblStudy[Appraiser],$B$49,tblStudy[Part no.],$I$47),"")))</f>
        <v>0.00200000000000067</v>
      </c>
      <c r="J49" s="60">
        <f>IF($B$49="","",IF($J$47&gt;Parts,"",IFERROR(AVERAGEIFS(tblStudy[Range],tblStudy[Appraiser],$B$49,tblStudy[Part no.],$J$47),"")))</f>
        <v>0.00100000000000033</v>
      </c>
      <c r="K49" s="60">
        <f>IF($B$49="","",IF($K$47&gt;Parts,"",IFERROR(AVERAGEIFS(tblStudy[Range],tblStudy[Appraiser],$B$49,tblStudy[Part no.],$K$47),"")))</f>
        <v>0.00100000000000033</v>
      </c>
      <c r="L49" s="60">
        <f>IF($B$49="","",IF($L$47&gt;Parts,"",IFERROR(AVERAGEIFS(tblStudy[Range],tblStudy[Appraiser],$B$49,tblStudy[Part no.],$L$47),"")))</f>
        <v>0.00399999999999956</v>
      </c>
    </row>
    <row r="50" spans="2:12">
      <c r="B50" s="53" t="str">
        <f>IFERROR(INDEX(tblAppraisers[Appraiser],3)&amp;"","")</f>
        <v>C. Reyes</v>
      </c>
      <c r="C50" s="60">
        <f>IF($B$50="","",IF($C$47&gt;Parts,"",IFERROR(AVERAGEIFS(tblStudy[Range],tblStudy[Appraiser],$B$50,tblStudy[Part no.],$C$47),"")))</f>
        <v>0.00399999999999956</v>
      </c>
      <c r="D50" s="60">
        <f>IF($B$50="","",IF($D$47&gt;Parts,"",IFERROR(AVERAGEIFS(tblStudy[Range],tblStudy[Appraiser],$B$50,tblStudy[Part no.],$D$47),"")))</f>
        <v>0.00200000000000067</v>
      </c>
      <c r="E50" s="60">
        <f>IF($B$50="","",IF($E$47&gt;Parts,"",IFERROR(AVERAGEIFS(tblStudy[Range],tblStudy[Appraiser],$B$50,tblStudy[Part no.],$E$47),"")))</f>
        <v>0.00600000000000023</v>
      </c>
      <c r="F50" s="60">
        <f>IF($B$50="","",IF($F$47&gt;Parts,"",IFERROR(AVERAGEIFS(tblStudy[Range],tblStudy[Appraiser],$B$50,tblStudy[Part no.],$F$47),"")))</f>
        <v>0.00199999999999978</v>
      </c>
      <c r="G50" s="60">
        <f>IF($B$50="","",IF($G$47&gt;Parts,"",IFERROR(AVERAGEIFS(tblStudy[Range],tblStudy[Appraiser],$B$50,tblStudy[Part no.],$G$47),"")))</f>
        <v>0.00300000000000011</v>
      </c>
      <c r="H50" s="60">
        <f>IF($B$50="","",IF($H$47&gt;Parts,"",IFERROR(AVERAGEIFS(tblStudy[Range],tblStudy[Appraiser],$B$50,tblStudy[Part no.],$H$47),"")))</f>
        <v>0.00300000000000011</v>
      </c>
      <c r="I50" s="60">
        <f>IF($B$50="","",IF($I$47&gt;Parts,"",IFERROR(AVERAGEIFS(tblStudy[Range],tblStudy[Appraiser],$B$50,tblStudy[Part no.],$I$47),"")))</f>
        <v>0.00199999999999978</v>
      </c>
      <c r="J50" s="60">
        <f>IF($B$50="","",IF($J$47&gt;Parts,"",IFERROR(AVERAGEIFS(tblStudy[Range],tblStudy[Appraiser],$B$50,tblStudy[Part no.],$J$47),"")))</f>
        <v>0.00400000000000045</v>
      </c>
      <c r="K50" s="60">
        <f>IF($B$50="","",IF($K$47&gt;Parts,"",IFERROR(AVERAGEIFS(tblStudy[Range],tblStudy[Appraiser],$B$50,tblStudy[Part no.],$K$47),"")))</f>
        <v>0.00700000000000056</v>
      </c>
      <c r="L50" s="60">
        <f>IF($B$50="","",IF($L$47&gt;Parts,"",IFERROR(AVERAGEIFS(tblStudy[Range],tblStudy[Appraiser],$B$50,tblStudy[Part no.],$L$47),"")))</f>
        <v>0.00300000000000011</v>
      </c>
    </row>
    <row r="52" spans="2:12">
      <c r="B52" s="33" t="s">
        <v>150</v>
      </c>
      <c r="C52" s="33"/>
      <c r="D52" s="33"/>
      <c r="E52" s="33"/>
      <c r="G52" s="33" t="s">
        <v>151</v>
      </c>
      <c r="H52" s="33"/>
      <c r="I52" s="33"/>
    </row>
    <row r="53" spans="2:12" ht="20" customHeight="1">
      <c r="B53" s="52" t="s">
        <v>60</v>
      </c>
      <c r="C53" s="34" t="s">
        <v>152</v>
      </c>
      <c r="D53" s="34" t="s">
        <v>153</v>
      </c>
      <c r="E53" s="34" t="s">
        <v>154</v>
      </c>
      <c r="G53" s="52" t="s">
        <v>109</v>
      </c>
      <c r="H53" s="34" t="s">
        <v>152</v>
      </c>
      <c r="I53" s="34" t="s">
        <v>153</v>
      </c>
    </row>
    <row r="54" spans="2:12">
      <c r="B54" s="53" t="str">
        <f>IFERROR(INDEX(tblAppraisers[Appraiser],1)&amp;"","")</f>
        <v>A. Patel</v>
      </c>
      <c r="C54" s="36">
        <f>IF($B$54="","",COUNTIFS(tblStudy[Appraiser],$B$54,tblStudy[Range],"&gt;=0"))</f>
        <v>10</v>
      </c>
      <c r="D54" s="37">
        <f>IF($B$54="","",IF($C$54=0,"",AVERAGEIFS(tblStudy[Mean],tblStudy[Appraiser],$B$54,tblStudy[Range],"&gt;=0")))</f>
        <v>6.35056666666667</v>
      </c>
      <c r="E54" s="37">
        <f>IF($B$54="","",IF($C$54=0,"",AVERAGEIFS(tblStudy[Range],tblStudy[Appraiser],$B$54)))</f>
        <v>0.00270000000000001</v>
      </c>
      <c r="G54" s="61">
        <v>1</v>
      </c>
      <c r="H54" s="36">
        <f>IF($G$54&gt;Parts,0,COUNTIFS(tblStudy[Part no.],$G$54,tblStudy[Range],"&gt;=0"))</f>
        <v>3</v>
      </c>
      <c r="I54" s="37">
        <f>IF($H$54=0,"",AVERAGEIFS(tblStudy[Mean],tblStudy[Part no.],$G$54,tblStudy[Range],"&gt;=0"))</f>
        <v>6.34244444444445</v>
      </c>
    </row>
    <row r="55" spans="2:12">
      <c r="B55" s="53" t="str">
        <f>IFERROR(INDEX(tblAppraisers[Appraiser],2)&amp;"","")</f>
        <v>B. Novak</v>
      </c>
      <c r="C55" s="36">
        <f>IF($B$55="","",COUNTIFS(tblStudy[Appraiser],$B$55,tblStudy[Range],"&gt;=0"))</f>
        <v>10</v>
      </c>
      <c r="D55" s="37">
        <f>IF($B$55="","",IF($C$55=0,"",AVERAGEIFS(tblStudy[Mean],tblStudy[Appraiser],$B$55,tblStudy[Range],"&gt;=0")))</f>
        <v>6.3517</v>
      </c>
      <c r="E55" s="37">
        <f>IF($B$55="","",IF($C$55=0,"",AVERAGEIFS(tblStudy[Range],tblStudy[Appraiser],$B$55)))</f>
        <v>0.00230000000000015</v>
      </c>
      <c r="G55" s="61">
        <f>$G$54+1</f>
        <v>2</v>
      </c>
      <c r="H55" s="36">
        <f>IF($G$55&gt;Parts,0,COUNTIFS(tblStudy[Part no.],$G$55,tblStudy[Range],"&gt;=0"))</f>
        <v>3</v>
      </c>
      <c r="I55" s="37">
        <f>IF($H$55=0,"",AVERAGEIFS(tblStudy[Mean],tblStudy[Part no.],$G$55,tblStudy[Range],"&gt;=0"))</f>
        <v>6.33844444444445</v>
      </c>
    </row>
    <row r="56" spans="2:12">
      <c r="B56" s="53" t="str">
        <f>IFERROR(INDEX(tblAppraisers[Appraiser],3)&amp;"","")</f>
        <v>C. Reyes</v>
      </c>
      <c r="C56" s="36">
        <f>IF($B$56="","",COUNTIFS(tblStudy[Appraiser],$B$56,tblStudy[Range],"&gt;=0"))</f>
        <v>10</v>
      </c>
      <c r="D56" s="37">
        <f>IF($B$56="","",IF($C$56=0,"",AVERAGEIFS(tblStudy[Mean],tblStudy[Appraiser],$B$56,tblStudy[Range],"&gt;=0")))</f>
        <v>6.34953333333333</v>
      </c>
      <c r="E56" s="37">
        <f>IF($B$56="","",IF($C$56=0,"",AVERAGEIFS(tblStudy[Range],tblStudy[Appraiser],$B$56)))</f>
        <v>0.00360000000000014</v>
      </c>
      <c r="G56" s="61">
        <f>$G$55+1</f>
        <v>3</v>
      </c>
      <c r="H56" s="36">
        <f>IF($G$56&gt;Parts,0,COUNTIFS(tblStudy[Part no.],$G$56,tblStudy[Range],"&gt;=0"))</f>
        <v>3</v>
      </c>
      <c r="I56" s="37">
        <f>IF($H$56=0,"",AVERAGEIFS(tblStudy[Mean],tblStudy[Part no.],$G$56,tblStudy[Range],"&gt;=0"))</f>
        <v>6.34611111111111</v>
      </c>
    </row>
    <row r="57" spans="2:12">
      <c r="G57" s="61">
        <f>$G$56+1</f>
        <v>4</v>
      </c>
      <c r="H57" s="36">
        <f>IF($G$57&gt;Parts,0,COUNTIFS(tblStudy[Part no.],$G$57,tblStudy[Range],"&gt;=0"))</f>
        <v>3</v>
      </c>
      <c r="I57" s="37">
        <f>IF($H$57=0,"",AVERAGEIFS(tblStudy[Mean],tblStudy[Part no.],$G$57,tblStudy[Range],"&gt;=0"))</f>
        <v>6.352</v>
      </c>
    </row>
    <row r="58" spans="2:12">
      <c r="G58" s="61">
        <f>$G$57+1</f>
        <v>5</v>
      </c>
      <c r="H58" s="36">
        <f>IF($G$58&gt;Parts,0,COUNTIFS(tblStudy[Part no.],$G$58,tblStudy[Range],"&gt;=0"))</f>
        <v>3</v>
      </c>
      <c r="I58" s="37">
        <f>IF($H$58=0,"",AVERAGEIFS(tblStudy[Mean],tblStudy[Part no.],$G$58,tblStudy[Range],"&gt;=0"))</f>
        <v>6.35055555555556</v>
      </c>
    </row>
    <row r="59" spans="2:12">
      <c r="G59" s="61">
        <f>$G$58+1</f>
        <v>6</v>
      </c>
      <c r="H59" s="36">
        <f>IF($G$59&gt;Parts,0,COUNTIFS(tblStudy[Part no.],$G$59,tblStudy[Range],"&gt;=0"))</f>
        <v>3</v>
      </c>
      <c r="I59" s="37">
        <f>IF($H$59=0,"",AVERAGEIFS(tblStudy[Mean],tblStudy[Part no.],$G$59,tblStudy[Range],"&gt;=0"))</f>
        <v>6.36811111111111</v>
      </c>
    </row>
    <row r="60" spans="2:12">
      <c r="G60" s="61">
        <f>$G$59+1</f>
        <v>7</v>
      </c>
      <c r="H60" s="36">
        <f>IF($G$60&gt;Parts,0,COUNTIFS(tblStudy[Part no.],$G$60,tblStudy[Range],"&gt;=0"))</f>
        <v>3</v>
      </c>
      <c r="I60" s="37">
        <f>IF($H$60=0,"",AVERAGEIFS(tblStudy[Mean],tblStudy[Part no.],$G$60,tblStudy[Range],"&gt;=0"))</f>
        <v>6.35755555555556</v>
      </c>
    </row>
    <row r="61" spans="2:12">
      <c r="G61" s="61">
        <f>$G$60+1</f>
        <v>8</v>
      </c>
      <c r="H61" s="36">
        <f>IF($G$61&gt;Parts,0,COUNTIFS(tblStudy[Part no.],$G$61,tblStudy[Range],"&gt;=0"))</f>
        <v>3</v>
      </c>
      <c r="I61" s="37">
        <f>IF($H$61=0,"",AVERAGEIFS(tblStudy[Mean],tblStudy[Part no.],$G$61,tblStudy[Range],"&gt;=0"))</f>
        <v>6.36144444444444</v>
      </c>
    </row>
    <row r="62" spans="2:12">
      <c r="G62" s="61">
        <f>$G$61+1</f>
        <v>9</v>
      </c>
      <c r="H62" s="36">
        <f>IF($G$62&gt;Parts,0,COUNTIFS(tblStudy[Part no.],$G$62,tblStudy[Range],"&gt;=0"))</f>
        <v>3</v>
      </c>
      <c r="I62" s="37">
        <f>IF($H$62=0,"",AVERAGEIFS(tblStudy[Mean],tblStudy[Part no.],$G$62,tblStudy[Range],"&gt;=0"))</f>
        <v>6.33422222222222</v>
      </c>
    </row>
    <row r="63" spans="2:12">
      <c r="G63" s="61">
        <f>$G$62+1</f>
        <v>10</v>
      </c>
      <c r="H63" s="36">
        <f>IF($G$63&gt;Parts,0,COUNTIFS(tblStudy[Part no.],$G$63,tblStudy[Range],"&gt;=0"))</f>
        <v>3</v>
      </c>
      <c r="I63" s="37">
        <f>IF($H$63=0,"",AVERAGEIFS(tblStudy[Mean],tblStudy[Part no.],$G$63,tblStudy[Range],"&gt;=0"))</f>
        <v>6.35511111111111</v>
      </c>
    </row>
    <row r="65" spans="2:12">
      <c r="B65" s="21" t="s">
        <v>155</v>
      </c>
      <c r="C65" s="21"/>
      <c r="D65" s="21"/>
      <c r="E65" s="21"/>
      <c r="F65" s="21"/>
      <c r="G65" s="21"/>
      <c r="H65" s="21"/>
      <c r="I65" s="21"/>
      <c r="J65" s="21"/>
      <c r="K65" s="21"/>
      <c r="L65" s="21"/>
    </row>
  </sheetData>
  <sheetProtection sheet="1" formatColumns="0" formatRows="0"/>
  <mergeCells count="50">
    <mergeCell ref="A1:L1"/>
    <mergeCell ref="B2:J2"/>
    <mergeCell ref="K2:L2"/>
    <mergeCell ref="B4:L4"/>
    <mergeCell ref="B5:C5"/>
    <mergeCell ref="B6:C7"/>
    <mergeCell ref="B8:C8"/>
    <mergeCell ref="B9:C9"/>
    <mergeCell ref="D5:F5"/>
    <mergeCell ref="D6:F7"/>
    <mergeCell ref="D8:F8"/>
    <mergeCell ref="D9:F9"/>
    <mergeCell ref="G5:I5"/>
    <mergeCell ref="G6:I7"/>
    <mergeCell ref="G8:I8"/>
    <mergeCell ref="G9:I9"/>
    <mergeCell ref="J5:L5"/>
    <mergeCell ref="J6:L7"/>
    <mergeCell ref="J8:L8"/>
    <mergeCell ref="J9:L9"/>
    <mergeCell ref="B27:F27"/>
    <mergeCell ref="H27:I27"/>
    <mergeCell ref="J27:K27"/>
    <mergeCell ref="H28:I28"/>
    <mergeCell ref="J28:K28"/>
    <mergeCell ref="H29:I29"/>
    <mergeCell ref="J29:K29"/>
    <mergeCell ref="H30:I30"/>
    <mergeCell ref="J30:K30"/>
    <mergeCell ref="H31:I31"/>
    <mergeCell ref="J31:K31"/>
    <mergeCell ref="H32:I32"/>
    <mergeCell ref="J32:K32"/>
    <mergeCell ref="H33:I33"/>
    <mergeCell ref="J33:K33"/>
    <mergeCell ref="H34:I34"/>
    <mergeCell ref="J34:K34"/>
    <mergeCell ref="H35:I35"/>
    <mergeCell ref="J35:K35"/>
    <mergeCell ref="H36:I36"/>
    <mergeCell ref="J36:K36"/>
    <mergeCell ref="H37:I37"/>
    <mergeCell ref="J37:K37"/>
    <mergeCell ref="H38:I38"/>
    <mergeCell ref="J38:K38"/>
    <mergeCell ref="B40:L40"/>
    <mergeCell ref="B46:L46"/>
    <mergeCell ref="B52:E52"/>
    <mergeCell ref="G52:I52"/>
    <mergeCell ref="B65:L65"/>
  </mergeCells>
  <conditionalFormatting sqref="B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9">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9">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Gage R&amp;&amp;R Study&amp;R&amp;8&amp;A</oddHeader>
    <oddFooter>&amp;L&amp;8mfgcalcs.com - free manufacturing templates&amp;R&amp;8Page &amp;P of &amp;N</oddFooter>
  </headerFooter>
  <rowBreaks count="2" manualBreakCount="2">
    <brk id="26" max="16383" man="1"/>
    <brk id="51"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1"/>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156</v>
      </c>
      <c r="C4" s="8"/>
      <c r="D4" s="8"/>
    </row>
    <row r="5" spans="1:4" ht="5" customHeight="1"/>
    <row r="6" spans="1:4" ht="55.8" customHeight="1">
      <c r="B6" s="10" t="s">
        <v>157</v>
      </c>
      <c r="C6" s="10"/>
      <c r="D6" s="10"/>
    </row>
    <row r="8" spans="1:4" ht="21" customHeight="1">
      <c r="B8" s="8" t="s">
        <v>158</v>
      </c>
      <c r="C8" s="8"/>
      <c r="D8" s="8"/>
    </row>
    <row r="9" spans="1:4" ht="5" customHeight="1"/>
    <row r="10" spans="1:4" ht="20" customHeight="1">
      <c r="B10" s="52" t="s">
        <v>159</v>
      </c>
      <c r="C10" s="52" t="s">
        <v>160</v>
      </c>
      <c r="D10" s="34" t="s">
        <v>161</v>
      </c>
    </row>
    <row r="11" spans="1:4" ht="17.2" customHeight="1">
      <c r="B11" s="62" t="s">
        <v>162</v>
      </c>
      <c r="C11" s="63" t="s">
        <v>163</v>
      </c>
      <c r="D11" s="64" t="s">
        <v>164</v>
      </c>
    </row>
    <row r="12" spans="1:4" ht="17.2" customHeight="1">
      <c r="B12" s="62" t="s">
        <v>165</v>
      </c>
      <c r="C12" s="63" t="s">
        <v>166</v>
      </c>
      <c r="D12" s="64" t="s">
        <v>164</v>
      </c>
    </row>
    <row r="13" spans="1:4" ht="30.4" customHeight="1">
      <c r="B13" s="62" t="s">
        <v>167</v>
      </c>
      <c r="C13" s="63" t="s">
        <v>168</v>
      </c>
      <c r="D13" s="64" t="s">
        <v>164</v>
      </c>
    </row>
    <row r="14" spans="1:4" ht="17.2" customHeight="1">
      <c r="B14" s="62" t="s">
        <v>169</v>
      </c>
      <c r="C14" s="63" t="s">
        <v>170</v>
      </c>
      <c r="D14" s="64" t="s">
        <v>164</v>
      </c>
    </row>
    <row r="15" spans="1:4" ht="17.2" customHeight="1">
      <c r="B15" s="62" t="s">
        <v>171</v>
      </c>
      <c r="C15" s="63" t="s">
        <v>172</v>
      </c>
      <c r="D15" s="64" t="s">
        <v>164</v>
      </c>
    </row>
    <row r="16" spans="1:4" ht="17.2" customHeight="1">
      <c r="B16" s="62" t="s">
        <v>131</v>
      </c>
      <c r="C16" s="63" t="s">
        <v>173</v>
      </c>
      <c r="D16" s="64" t="s">
        <v>164</v>
      </c>
    </row>
    <row r="17" spans="2:4" ht="30.4" customHeight="1">
      <c r="B17" s="62" t="s">
        <v>133</v>
      </c>
      <c r="C17" s="63" t="s">
        <v>174</v>
      </c>
      <c r="D17" s="64" t="s">
        <v>164</v>
      </c>
    </row>
    <row r="18" spans="2:4" ht="17.2" customHeight="1">
      <c r="B18" s="62" t="s">
        <v>135</v>
      </c>
      <c r="C18" s="63" t="s">
        <v>175</v>
      </c>
      <c r="D18" s="64" t="s">
        <v>164</v>
      </c>
    </row>
    <row r="19" spans="2:4" ht="17.2" customHeight="1">
      <c r="B19" s="62" t="s">
        <v>176</v>
      </c>
      <c r="C19" s="63" t="s">
        <v>177</v>
      </c>
      <c r="D19" s="64" t="s">
        <v>164</v>
      </c>
    </row>
    <row r="20" spans="2:4" ht="17.2" customHeight="1">
      <c r="B20" s="62" t="s">
        <v>178</v>
      </c>
      <c r="C20" s="63" t="s">
        <v>179</v>
      </c>
      <c r="D20" s="64" t="s">
        <v>164</v>
      </c>
    </row>
    <row r="21" spans="2:4" ht="17.2" customHeight="1">
      <c r="B21" s="62" t="s">
        <v>180</v>
      </c>
      <c r="C21" s="63" t="s">
        <v>181</v>
      </c>
      <c r="D21" s="64" t="s">
        <v>141</v>
      </c>
    </row>
    <row r="22" spans="2:4" ht="17.2" customHeight="1">
      <c r="B22" s="62" t="s">
        <v>128</v>
      </c>
      <c r="C22" s="63" t="s">
        <v>182</v>
      </c>
      <c r="D22" s="64" t="s">
        <v>141</v>
      </c>
    </row>
    <row r="23" spans="2:4" ht="17.2" customHeight="1">
      <c r="B23" s="62" t="s">
        <v>87</v>
      </c>
      <c r="C23" s="63" t="s">
        <v>183</v>
      </c>
      <c r="D23" s="64" t="s">
        <v>145</v>
      </c>
    </row>
    <row r="24" spans="2:4" ht="30.4" customHeight="1">
      <c r="B24" s="62" t="s">
        <v>34</v>
      </c>
      <c r="C24" s="63" t="s">
        <v>184</v>
      </c>
      <c r="D24" s="64" t="s">
        <v>185</v>
      </c>
    </row>
    <row r="26" spans="2:4" ht="21" customHeight="1">
      <c r="B26" s="8" t="s">
        <v>186</v>
      </c>
      <c r="C26" s="8"/>
      <c r="D26" s="8"/>
    </row>
    <row r="27" spans="2:4" ht="5" customHeight="1"/>
    <row r="28" spans="2:4" ht="16.2" customHeight="1">
      <c r="B28" s="26" t="s">
        <v>53</v>
      </c>
      <c r="C28" s="10" t="s">
        <v>187</v>
      </c>
      <c r="D28" s="10"/>
    </row>
    <row r="29" spans="2:4" ht="29.4" customHeight="1">
      <c r="B29" s="26" t="s">
        <v>53</v>
      </c>
      <c r="C29" s="10" t="s">
        <v>188</v>
      </c>
      <c r="D29" s="10"/>
    </row>
    <row r="30" spans="2:4" ht="16.2" customHeight="1">
      <c r="B30" s="26" t="s">
        <v>53</v>
      </c>
      <c r="C30" s="10" t="s">
        <v>189</v>
      </c>
      <c r="D30" s="10"/>
    </row>
    <row r="31" spans="2:4" ht="16.2" customHeight="1">
      <c r="B31" s="26" t="s">
        <v>53</v>
      </c>
      <c r="C31" s="10" t="s">
        <v>190</v>
      </c>
      <c r="D31" s="10"/>
    </row>
    <row r="33" spans="2:4" ht="21" customHeight="1">
      <c r="B33" s="8" t="s">
        <v>191</v>
      </c>
      <c r="C33" s="8"/>
      <c r="D33" s="8"/>
    </row>
    <row r="34" spans="2:4" ht="5" customHeight="1"/>
    <row r="35" spans="2:4" ht="29.4" customHeight="1">
      <c r="B35" s="26" t="s">
        <v>53</v>
      </c>
      <c r="C35" s="10" t="s">
        <v>192</v>
      </c>
      <c r="D35" s="10"/>
    </row>
    <row r="36" spans="2:4" ht="16.2" customHeight="1">
      <c r="B36" s="26" t="s">
        <v>53</v>
      </c>
      <c r="C36" s="10" t="s">
        <v>193</v>
      </c>
      <c r="D36" s="10"/>
    </row>
    <row r="37" spans="2:4" ht="16.2" customHeight="1">
      <c r="B37" s="26" t="s">
        <v>53</v>
      </c>
      <c r="C37" s="10" t="s">
        <v>194</v>
      </c>
      <c r="D37" s="10"/>
    </row>
    <row r="38" spans="2:4" ht="29.4" customHeight="1">
      <c r="B38" s="26" t="s">
        <v>53</v>
      </c>
      <c r="C38" s="10" t="s">
        <v>195</v>
      </c>
      <c r="D38" s="10"/>
    </row>
    <row r="40" spans="2:4" ht="21" customHeight="1">
      <c r="B40" s="8" t="s">
        <v>196</v>
      </c>
      <c r="C40" s="8"/>
      <c r="D40" s="8"/>
    </row>
    <row r="41" spans="2:4" ht="5" customHeight="1"/>
    <row r="42" spans="2:4" ht="55.8" customHeight="1">
      <c r="B42" s="10" t="s">
        <v>197</v>
      </c>
      <c r="C42" s="10"/>
      <c r="D42" s="10"/>
    </row>
    <row r="43" spans="2:4">
      <c r="B43" s="24" t="s">
        <v>198</v>
      </c>
      <c r="C43" s="24"/>
      <c r="D43" s="24"/>
    </row>
    <row r="45" spans="2:4" ht="21" customHeight="1">
      <c r="B45" s="8" t="s">
        <v>40</v>
      </c>
      <c r="C45" s="8"/>
      <c r="D45" s="8"/>
    </row>
    <row r="46" spans="2:4" ht="5" customHeight="1"/>
    <row r="47" spans="2:4" ht="42.6" customHeight="1">
      <c r="B47" s="10" t="s">
        <v>199</v>
      </c>
      <c r="C47" s="10"/>
      <c r="D47" s="10"/>
    </row>
    <row r="49" spans="2:4" ht="21" customHeight="1">
      <c r="B49" s="8" t="s">
        <v>200</v>
      </c>
      <c r="C49" s="8"/>
      <c r="D49" s="8"/>
    </row>
    <row r="50" spans="2:4" ht="5" customHeight="1"/>
    <row r="51" spans="2:4" ht="29.4" customHeight="1">
      <c r="B51" s="26" t="s">
        <v>53</v>
      </c>
      <c r="C51" s="10" t="s">
        <v>201</v>
      </c>
      <c r="D51" s="10"/>
    </row>
    <row r="52" spans="2:4" ht="16.2" customHeight="1">
      <c r="B52" s="26" t="s">
        <v>53</v>
      </c>
      <c r="C52" s="10" t="s">
        <v>202</v>
      </c>
      <c r="D52" s="10"/>
    </row>
    <row r="53" spans="2:4" ht="16.2" customHeight="1">
      <c r="B53" s="26" t="s">
        <v>53</v>
      </c>
      <c r="C53" s="10" t="s">
        <v>203</v>
      </c>
      <c r="D53" s="10"/>
    </row>
    <row r="54" spans="2:4">
      <c r="B54" s="21" t="s">
        <v>204</v>
      </c>
      <c r="C54" s="21"/>
      <c r="D54" s="21"/>
    </row>
    <row r="56" spans="2:4" ht="21" customHeight="1">
      <c r="B56" s="8" t="s">
        <v>205</v>
      </c>
      <c r="C56" s="8"/>
      <c r="D56" s="8"/>
    </row>
    <row r="57" spans="2:4" ht="5" customHeight="1"/>
    <row r="58" spans="2:4">
      <c r="B58" s="52" t="s">
        <v>48</v>
      </c>
      <c r="C58" s="52" t="s">
        <v>206</v>
      </c>
      <c r="D58" s="34" t="s">
        <v>207</v>
      </c>
    </row>
    <row r="59" spans="2:4" ht="16.2" customHeight="1">
      <c r="B59" s="65" t="s">
        <v>208</v>
      </c>
      <c r="C59" s="66" t="s">
        <v>209</v>
      </c>
      <c r="D59" s="67" t="s">
        <v>210</v>
      </c>
    </row>
    <row r="61" spans="2:4">
      <c r="B61" s="21" t="s">
        <v>59</v>
      </c>
      <c r="C61" s="21"/>
      <c r="D61" s="21"/>
    </row>
  </sheetData>
  <sheetProtection sheet="1" formatColumns="0" formatRows="0"/>
  <mergeCells count="27">
    <mergeCell ref="A1:D1"/>
    <mergeCell ref="B2:C2"/>
    <mergeCell ref="B4:D4"/>
    <mergeCell ref="B6:D6"/>
    <mergeCell ref="B8:D8"/>
    <mergeCell ref="B26:D26"/>
    <mergeCell ref="C28:D28"/>
    <mergeCell ref="C29:D29"/>
    <mergeCell ref="C30:D30"/>
    <mergeCell ref="C31:D31"/>
    <mergeCell ref="B33:D33"/>
    <mergeCell ref="C35:D35"/>
    <mergeCell ref="C36:D36"/>
    <mergeCell ref="C37:D37"/>
    <mergeCell ref="C38:D38"/>
    <mergeCell ref="B40:D40"/>
    <mergeCell ref="B42:D42"/>
    <mergeCell ref="B43:D43"/>
    <mergeCell ref="B45:D45"/>
    <mergeCell ref="B47:D47"/>
    <mergeCell ref="B49:D49"/>
    <mergeCell ref="C51:D51"/>
    <mergeCell ref="C52:D52"/>
    <mergeCell ref="C53:D53"/>
    <mergeCell ref="B54:D54"/>
    <mergeCell ref="B56:D56"/>
    <mergeCell ref="B61:D61"/>
  </mergeCells>
  <hyperlinks>
    <hyperlink ref="D2" r:id="rId1" tooltip="Free manufacturing calculators and templates"/>
    <hyperlink ref="B43" r:id="rId2"/>
  </hyperlinks>
  <printOptions horizontalCentered="1"/>
  <pageMargins left="0.4" right="0.4" top="0.7" bottom="0.65" header="0.3" footer="0.3"/>
  <pageSetup fitToHeight="0" orientation="portrait"/>
  <headerFooter>
    <oddHeader>&amp;L&amp;8MFG Calcs - Gage R&amp;&amp;R Study&amp;R&amp;8&amp;A</oddHeader>
    <oddFooter>&amp;L&amp;8mfgcalcs.com - free manufacturing templates&amp;R&amp;8Page &amp;P of &amp;N</oddFooter>
  </headerFooter>
  <rowBreaks count="1" manualBreakCount="1">
    <brk id="32"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88"/>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26</v>
      </c>
      <c r="C2" s="2"/>
      <c r="D2" s="2"/>
      <c r="E2" s="2"/>
      <c r="F2" s="2"/>
      <c r="G2" s="2"/>
      <c r="H2" s="2"/>
      <c r="I2" s="2"/>
      <c r="J2" s="2"/>
      <c r="K2" s="2"/>
      <c r="L2" s="3" t="s">
        <v>2</v>
      </c>
    </row>
    <row r="3" spans="1:12" ht="6" customHeight="1"/>
    <row r="4" spans="1:12" ht="30" customHeight="1">
      <c r="B4" s="68" t="s">
        <v>211</v>
      </c>
      <c r="C4" s="68"/>
      <c r="D4" s="22" t="str">
        <f>IF(COUNTIF($K$11:$K$22,"PASS")=12,"PASS","FAIL")</f>
        <v>PASS</v>
      </c>
      <c r="E4" s="22"/>
      <c r="F4" s="23" t="str">
        <f>COUNTIF($K$11:$K$22,"PASS")&amp;" of 12 checks pass"</f>
        <v>12 of 12 checks pass</v>
      </c>
      <c r="G4" s="23"/>
      <c r="H4" s="23"/>
      <c r="I4" s="23"/>
      <c r="J4" s="23"/>
    </row>
    <row r="6" spans="1:12" ht="29.4" customHeight="1">
      <c r="B6" s="10" t="s">
        <v>212</v>
      </c>
      <c r="C6" s="10"/>
      <c r="D6" s="10"/>
      <c r="E6" s="10"/>
      <c r="F6" s="10"/>
      <c r="G6" s="10"/>
      <c r="H6" s="10"/>
      <c r="I6" s="10"/>
      <c r="J6" s="10"/>
      <c r="K6" s="10"/>
      <c r="L6" s="10"/>
    </row>
    <row r="8" spans="1:12" ht="21" customHeight="1">
      <c r="B8" s="8" t="s">
        <v>213</v>
      </c>
      <c r="C8" s="8"/>
      <c r="D8" s="8"/>
      <c r="E8" s="8"/>
      <c r="F8" s="8"/>
      <c r="G8" s="8"/>
      <c r="H8" s="8"/>
      <c r="I8" s="8"/>
      <c r="J8" s="8"/>
      <c r="K8" s="8"/>
      <c r="L8" s="8"/>
    </row>
    <row r="9" spans="1:12" ht="5" customHeight="1"/>
    <row r="10" spans="1:12" ht="30" customHeight="1">
      <c r="B10" s="34" t="s">
        <v>214</v>
      </c>
      <c r="C10" s="52" t="s">
        <v>115</v>
      </c>
      <c r="D10" s="52"/>
      <c r="E10" s="52"/>
      <c r="F10" s="52"/>
      <c r="G10" s="34" t="s">
        <v>215</v>
      </c>
      <c r="H10" s="34" t="s">
        <v>216</v>
      </c>
      <c r="I10" s="34" t="s">
        <v>217</v>
      </c>
      <c r="J10" s="34" t="s">
        <v>218</v>
      </c>
      <c r="K10" s="34" t="s">
        <v>219</v>
      </c>
    </row>
    <row r="11" spans="1:12" ht="16.2" customHeight="1">
      <c r="B11" s="69">
        <v>1</v>
      </c>
      <c r="C11" s="66" t="s">
        <v>220</v>
      </c>
      <c r="D11" s="66"/>
      <c r="E11" s="66"/>
      <c r="F11" s="66"/>
      <c r="G11" s="70">
        <v>2.495</v>
      </c>
      <c r="H11" s="37">
        <f>$G$40</f>
        <v>2.495</v>
      </c>
      <c r="I11" s="71">
        <f>IF(AND(ISNUMBER($G$11),ISNUMBER($H$11)),ABS($H$11-$G$11),"")</f>
        <v>0</v>
      </c>
      <c r="J11" s="72">
        <v>1E-09</v>
      </c>
      <c r="K11" s="73" t="str">
        <f>IF(AND(ISNUMBER($G$11),ISNUMBER($H$11)),IF(ABS($H$11-$G$11)&lt;=$J$11,"PASS","FAIL"),"FAIL")</f>
        <v>PASS</v>
      </c>
    </row>
    <row r="12" spans="1:12" ht="16.2" customHeight="1">
      <c r="B12" s="69">
        <v>2</v>
      </c>
      <c r="C12" s="66" t="s">
        <v>221</v>
      </c>
      <c r="D12" s="66"/>
      <c r="E12" s="66"/>
      <c r="F12" s="66"/>
      <c r="G12" s="70">
        <v>0.0299999999999998</v>
      </c>
      <c r="H12" s="37">
        <f>$H$40</f>
        <v>0.0299999999999998</v>
      </c>
      <c r="I12" s="71">
        <f>IF(AND(ISNUMBER($G$12),ISNUMBER($H$12)),ABS($H$12-$G$12),"")</f>
        <v>0</v>
      </c>
      <c r="J12" s="72">
        <v>1E-09</v>
      </c>
      <c r="K12" s="73" t="str">
        <f>IF(AND(ISNUMBER($G$12),ISNUMBER($H$12)),IF(ABS($H$12-$G$12)&lt;=$J$12,"PASS","FAIL"),"FAIL")</f>
        <v>PASS</v>
      </c>
    </row>
    <row r="13" spans="1:12" ht="16.2" customHeight="1">
      <c r="B13" s="69">
        <v>3</v>
      </c>
      <c r="C13" s="66" t="s">
        <v>222</v>
      </c>
      <c r="D13" s="66"/>
      <c r="E13" s="66"/>
      <c r="F13" s="66"/>
      <c r="G13" s="65" t="s">
        <v>223</v>
      </c>
      <c r="H13" s="39" t="str">
        <f>$I$50</f>
        <v>Part no. above parts in study</v>
      </c>
      <c r="I13" s="39"/>
      <c r="J13" s="67" t="s">
        <v>224</v>
      </c>
      <c r="K13" s="73" t="str">
        <f>IF($H$13&amp;""=$G$13&amp;"","PASS","FAIL")</f>
        <v>PASS</v>
      </c>
    </row>
    <row r="14" spans="1:12" ht="16.2" customHeight="1">
      <c r="B14" s="69">
        <v>4</v>
      </c>
      <c r="C14" s="66" t="s">
        <v>225</v>
      </c>
      <c r="D14" s="66"/>
      <c r="E14" s="66"/>
      <c r="F14" s="66"/>
      <c r="G14" s="65" t="s">
        <v>226</v>
      </c>
      <c r="H14" s="39" t="str">
        <f>$I$51</f>
        <v>Reading count is not the trials</v>
      </c>
      <c r="I14" s="39"/>
      <c r="J14" s="67" t="s">
        <v>224</v>
      </c>
      <c r="K14" s="73" t="str">
        <f>IF($H$14&amp;""=$G$14&amp;"","PASS","FAIL")</f>
        <v>PASS</v>
      </c>
    </row>
    <row r="15" spans="1:12" ht="16.2" customHeight="1">
      <c r="B15" s="69">
        <v>5</v>
      </c>
      <c r="C15" s="66" t="s">
        <v>130</v>
      </c>
      <c r="D15" s="66"/>
      <c r="E15" s="66"/>
      <c r="F15" s="66"/>
      <c r="G15" s="70">
        <v>0.01772400000000001</v>
      </c>
      <c r="H15" s="37">
        <f>IF(N($E$54)=0,"",$E$54*$E$32)</f>
        <v>0.017724</v>
      </c>
      <c r="I15" s="71">
        <f>IF(AND(ISNUMBER($G$15),ISNUMBER($H$15)),ABS($H$15-$G$15),"")</f>
        <v>0</v>
      </c>
      <c r="J15" s="72">
        <v>1E-09</v>
      </c>
      <c r="K15" s="73" t="str">
        <f>IF(AND(ISNUMBER($G$15),ISNUMBER($H$15)),IF(ABS($H$15-$G$15)&lt;=$J$15,"PASS","FAIL"),"FAIL")</f>
        <v>PASS</v>
      </c>
    </row>
    <row r="16" spans="1:12" ht="16.2" customHeight="1">
      <c r="B16" s="69">
        <v>6</v>
      </c>
      <c r="C16" s="66" t="s">
        <v>132</v>
      </c>
      <c r="D16" s="66"/>
      <c r="E16" s="66"/>
      <c r="F16" s="66"/>
      <c r="G16" s="70">
        <v>0.02192204740073337</v>
      </c>
      <c r="H16" s="37">
        <f>IF(OR(N($E$79)=0,N($E$77)=0),0,SQRT(MAX(0,($E$77*$E$33)^2-$E$79^2/($E$29*$E$28))))</f>
        <v>0.0219220474007334</v>
      </c>
      <c r="I16" s="71">
        <f>IF(AND(ISNUMBER($G$16),ISNUMBER($H$16)),ABS($H$16-$G$16),"")</f>
        <v>0</v>
      </c>
      <c r="J16" s="72">
        <v>1E-09</v>
      </c>
      <c r="K16" s="73" t="str">
        <f>IF(AND(ISNUMBER($G$16),ISNUMBER($H$16)),IF(ABS($H$16-$G$16)&lt;=$J$16,"PASS","FAIL"),"FAIL")</f>
        <v>PASS</v>
      </c>
    </row>
    <row r="17" spans="2:12" ht="16.2" customHeight="1">
      <c r="B17" s="69">
        <v>7</v>
      </c>
      <c r="C17" s="66" t="s">
        <v>134</v>
      </c>
      <c r="D17" s="66"/>
      <c r="E17" s="66"/>
      <c r="F17" s="66"/>
      <c r="G17" s="70">
        <v>0.02819071368802147</v>
      </c>
      <c r="H17" s="37">
        <f>IF(N($E$79)=0,"",SQRT($E$79^2+$E$80^2))</f>
        <v>0.0281907136880215</v>
      </c>
      <c r="I17" s="71">
        <f>IF(AND(ISNUMBER($G$17),ISNUMBER($H$17)),ABS($H$17-$G$17),"")</f>
        <v>0</v>
      </c>
      <c r="J17" s="72">
        <v>1E-09</v>
      </c>
      <c r="K17" s="73" t="str">
        <f>IF(AND(ISNUMBER($G$17),ISNUMBER($H$17)),IF(ABS($H$17-$G$17)&lt;=$J$17,"PASS","FAIL"),"FAIL")</f>
        <v>PASS</v>
      </c>
    </row>
    <row r="18" spans="2:12" ht="16.2" customHeight="1">
      <c r="B18" s="69">
        <v>8</v>
      </c>
      <c r="C18" s="66" t="s">
        <v>136</v>
      </c>
      <c r="D18" s="66"/>
      <c r="E18" s="66"/>
      <c r="F18" s="66"/>
      <c r="G18" s="70">
        <v>0.2196350000000002</v>
      </c>
      <c r="H18" s="37">
        <f>IF(N($E$78)=0,"",$E$78*$E$34)</f>
        <v>0.219635</v>
      </c>
      <c r="I18" s="71">
        <f>IF(AND(ISNUMBER($G$18),ISNUMBER($H$18)),ABS($H$18-$G$18),"")</f>
        <v>0</v>
      </c>
      <c r="J18" s="72">
        <v>1E-09</v>
      </c>
      <c r="K18" s="73" t="str">
        <f>IF(AND(ISNUMBER($G$18),ISNUMBER($H$18)),IF(ABS($H$18-$G$18)&lt;=$J$18,"PASS","FAIL"),"FAIL")</f>
        <v>PASS</v>
      </c>
    </row>
    <row r="19" spans="2:12" ht="16.2" customHeight="1">
      <c r="B19" s="69">
        <v>9</v>
      </c>
      <c r="C19" s="66" t="s">
        <v>138</v>
      </c>
      <c r="D19" s="66"/>
      <c r="E19" s="66"/>
      <c r="F19" s="66"/>
      <c r="G19" s="70">
        <v>0.2214367845757341</v>
      </c>
      <c r="H19" s="37">
        <f>IF(OR(N($E$81)=0,N($E$82)=0),"",SQRT($E$81^2+$E$82^2))</f>
        <v>0.221436784575734</v>
      </c>
      <c r="I19" s="71">
        <f>IF(AND(ISNUMBER($G$19),ISNUMBER($H$19)),ABS($H$19-$G$19),"")</f>
        <v>0</v>
      </c>
      <c r="J19" s="72">
        <v>1E-09</v>
      </c>
      <c r="K19" s="73" t="str">
        <f>IF(AND(ISNUMBER($G$19),ISNUMBER($H$19)),IF(ABS($H$19-$G$19)&lt;=$J$19,"PASS","FAIL"),"FAIL")</f>
        <v>PASS</v>
      </c>
    </row>
    <row r="20" spans="2:12" ht="16.2" customHeight="1">
      <c r="B20" s="69">
        <v>10</v>
      </c>
      <c r="C20" s="66" t="s">
        <v>227</v>
      </c>
      <c r="D20" s="66"/>
      <c r="E20" s="66"/>
      <c r="F20" s="66"/>
      <c r="G20" s="70">
        <v>0.1273081784583984</v>
      </c>
      <c r="H20" s="37">
        <f>IF(N($E$83)=0,"",$E$81/$E$83)</f>
        <v>0.127308178458398</v>
      </c>
      <c r="I20" s="71">
        <f>IF(AND(ISNUMBER($G$20),ISNUMBER($H$20)),ABS($H$20-$G$20),"")</f>
        <v>0</v>
      </c>
      <c r="J20" s="72">
        <v>1E-09</v>
      </c>
      <c r="K20" s="73" t="str">
        <f>IF(AND(ISNUMBER($G$20),ISNUMBER($H$20)),IF(ABS($H$20-$G$20)&lt;=$J$20,"PASS","FAIL"),"FAIL")</f>
        <v>PASS</v>
      </c>
    </row>
    <row r="21" spans="2:12" ht="16.2" customHeight="1">
      <c r="B21" s="69">
        <v>11</v>
      </c>
      <c r="C21" s="66" t="s">
        <v>142</v>
      </c>
      <c r="D21" s="66"/>
      <c r="E21" s="66"/>
      <c r="F21" s="66"/>
      <c r="G21" s="70">
        <v>0.3382885642562576</v>
      </c>
      <c r="H21" s="37">
        <f>IF(OR(N($E$81)=0,$E$30&lt;=0),"",$E$31*$E$81/$E$30)</f>
        <v>0.338288564256258</v>
      </c>
      <c r="I21" s="71">
        <f>IF(AND(ISNUMBER($G$21),ISNUMBER($H$21)),ABS($H$21-$G$21),"")</f>
        <v>0</v>
      </c>
      <c r="J21" s="72">
        <v>1E-09</v>
      </c>
      <c r="K21" s="73" t="str">
        <f>IF(AND(ISNUMBER($G$21),ISNUMBER($H$21)),IF(ABS($H$21-$G$21)&lt;=$J$21,"PASS","FAIL"),"FAIL")</f>
        <v>PASS</v>
      </c>
    </row>
    <row r="22" spans="2:12" ht="16.2" customHeight="1">
      <c r="B22" s="69">
        <v>12</v>
      </c>
      <c r="C22" s="66" t="s">
        <v>228</v>
      </c>
      <c r="D22" s="66"/>
      <c r="E22" s="66"/>
      <c r="F22" s="66"/>
      <c r="G22" s="70">
        <v>10</v>
      </c>
      <c r="H22" s="37">
        <f>IF(N($E$81)=0,"",INT($E$86))</f>
        <v>10</v>
      </c>
      <c r="I22" s="71">
        <f>IF(AND(ISNUMBER($G$22),ISNUMBER($H$22)),ABS($H$22-$G$22),"")</f>
        <v>0</v>
      </c>
      <c r="J22" s="72">
        <v>1E-09</v>
      </c>
      <c r="K22" s="73" t="str">
        <f>IF(AND(ISNUMBER($G$22),ISNUMBER($H$22)),IF(ABS($H$22-$G$22)&lt;=$J$22,"PASS","FAIL"),"FAIL")</f>
        <v>PASS</v>
      </c>
    </row>
    <row r="24" spans="2:12" ht="21" customHeight="1">
      <c r="B24" s="8" t="s">
        <v>229</v>
      </c>
      <c r="C24" s="8"/>
      <c r="D24" s="8"/>
      <c r="E24" s="8"/>
      <c r="F24" s="8"/>
      <c r="G24" s="8"/>
      <c r="H24" s="8"/>
      <c r="I24" s="8"/>
      <c r="J24" s="8"/>
      <c r="K24" s="8"/>
      <c r="L24" s="8"/>
    </row>
    <row r="25" spans="2:12" ht="5" customHeight="1"/>
    <row r="26" spans="2:12">
      <c r="B26" s="21" t="s">
        <v>230</v>
      </c>
      <c r="C26" s="21"/>
      <c r="D26" s="21"/>
      <c r="E26" s="21"/>
      <c r="F26" s="21"/>
      <c r="G26" s="21"/>
      <c r="H26" s="21"/>
      <c r="I26" s="21"/>
      <c r="J26" s="21"/>
      <c r="K26" s="21"/>
      <c r="L26" s="21"/>
    </row>
    <row r="27" spans="2:12">
      <c r="B27" s="33" t="s">
        <v>231</v>
      </c>
      <c r="C27" s="33"/>
      <c r="D27" s="33"/>
      <c r="E27" s="33"/>
      <c r="F27" s="33"/>
    </row>
    <row r="28" spans="2:12">
      <c r="B28" s="27" t="s">
        <v>232</v>
      </c>
      <c r="C28" s="27"/>
      <c r="D28" s="27"/>
      <c r="E28" s="74">
        <v>2</v>
      </c>
      <c r="F28" s="7"/>
    </row>
    <row r="29" spans="2:12">
      <c r="B29" s="27" t="s">
        <v>233</v>
      </c>
      <c r="C29" s="27"/>
      <c r="D29" s="27"/>
      <c r="E29" s="74">
        <v>5</v>
      </c>
      <c r="F29" s="7"/>
    </row>
    <row r="30" spans="2:12">
      <c r="B30" s="27" t="s">
        <v>218</v>
      </c>
      <c r="C30" s="27"/>
      <c r="D30" s="27"/>
      <c r="E30" s="75">
        <v>0.5</v>
      </c>
      <c r="F30" s="7"/>
    </row>
    <row r="31" spans="2:12">
      <c r="B31" s="27" t="s">
        <v>234</v>
      </c>
      <c r="C31" s="27"/>
      <c r="D31" s="27"/>
      <c r="E31" s="76">
        <v>6</v>
      </c>
      <c r="F31" s="7"/>
    </row>
    <row r="32" spans="2:12">
      <c r="B32" s="27" t="s">
        <v>235</v>
      </c>
      <c r="C32" s="27"/>
      <c r="D32" s="27"/>
      <c r="E32" s="70">
        <v>0.8862</v>
      </c>
      <c r="F32" s="7"/>
    </row>
    <row r="33" spans="2:12">
      <c r="B33" s="27" t="s">
        <v>236</v>
      </c>
      <c r="C33" s="27"/>
      <c r="D33" s="27"/>
      <c r="E33" s="70">
        <v>0.7071</v>
      </c>
      <c r="F33" s="7"/>
    </row>
    <row r="34" spans="2:12">
      <c r="B34" s="27" t="s">
        <v>237</v>
      </c>
      <c r="C34" s="27"/>
      <c r="D34" s="27"/>
      <c r="E34" s="70">
        <v>0.403</v>
      </c>
      <c r="F34" s="7"/>
    </row>
    <row r="35" spans="2:12">
      <c r="B35" s="27" t="s">
        <v>238</v>
      </c>
      <c r="C35" s="27"/>
      <c r="D35" s="27"/>
      <c r="E35" s="75">
        <v>3.267</v>
      </c>
      <c r="F35" s="7"/>
    </row>
    <row r="37" spans="2:12">
      <c r="B37" s="33" t="s">
        <v>239</v>
      </c>
      <c r="C37" s="33"/>
      <c r="D37" s="33"/>
      <c r="E37" s="33"/>
      <c r="F37" s="33"/>
      <c r="G37" s="33"/>
      <c r="H37" s="33"/>
      <c r="I37" s="33"/>
      <c r="J37" s="33"/>
      <c r="K37" s="33"/>
      <c r="L37" s="33"/>
    </row>
    <row r="38" spans="2:12" ht="14" customHeight="1">
      <c r="B38" s="42"/>
      <c r="C38" s="42"/>
      <c r="D38" s="42" t="str">
        <f>UnitLabel</f>
        <v>mm</v>
      </c>
      <c r="E38" s="42" t="str">
        <f>UnitLabel</f>
        <v>mm</v>
      </c>
      <c r="F38" s="42" t="str">
        <f>UnitLabel</f>
        <v>mm</v>
      </c>
      <c r="G38" s="42" t="str">
        <f>UnitLabel</f>
        <v>mm</v>
      </c>
      <c r="H38" s="42" t="str">
        <f>UnitLabel</f>
        <v>mm</v>
      </c>
      <c r="I38" s="42"/>
      <c r="J38" s="42"/>
    </row>
    <row r="39" spans="2:12" ht="20" customHeight="1">
      <c r="B39" s="34" t="s">
        <v>60</v>
      </c>
      <c r="C39" s="34" t="s">
        <v>109</v>
      </c>
      <c r="D39" s="34" t="s">
        <v>110</v>
      </c>
      <c r="E39" s="34" t="s">
        <v>111</v>
      </c>
      <c r="F39" s="34" t="s">
        <v>112</v>
      </c>
      <c r="G39" s="34" t="s">
        <v>113</v>
      </c>
      <c r="H39" s="34" t="s">
        <v>114</v>
      </c>
      <c r="I39" s="34" t="s">
        <v>115</v>
      </c>
      <c r="J39" s="34" t="s">
        <v>61</v>
      </c>
    </row>
    <row r="40" spans="2:12">
      <c r="B40" s="65" t="s">
        <v>240</v>
      </c>
      <c r="C40" s="74">
        <v>1</v>
      </c>
      <c r="D40" s="75">
        <v>2.48</v>
      </c>
      <c r="E40" s="75">
        <v>2.51</v>
      </c>
      <c r="F40" s="75"/>
      <c r="G40" s="37">
        <f>IF(tblVerifyStudy[[#This Row],[Appraiser]]="","",IF(OR(COUNT(tblVerifyStudy[[#This Row],[Trial 1]],tblVerifyStudy[[#This Row],[Trial 2]],tblVerifyStudy[[#This Row],[Trial 3]])&lt;&gt;$E$28,N(tblVerifyStudy[[#This Row],[Part no.]])&gt;$E$29),"",AVERAGE(tblVerifyStudy[[#This Row],[Trial 1]],tblVerifyStudy[[#This Row],[Trial 2]],tblVerifyStudy[[#This Row],[Trial 3]])))</f>
        <v>2.495</v>
      </c>
      <c r="H40"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0.0299999999999998</v>
      </c>
      <c r="I40"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0" s="65"/>
    </row>
    <row r="41" spans="2:12">
      <c r="B41" s="65" t="s">
        <v>240</v>
      </c>
      <c r="C41" s="74">
        <v>2</v>
      </c>
      <c r="D41" s="75">
        <v>2.71</v>
      </c>
      <c r="E41" s="75">
        <v>2.69</v>
      </c>
      <c r="F41" s="75"/>
      <c r="G41" s="37">
        <f>IF(tblVerifyStudy[[#This Row],[Appraiser]]="","",IF(OR(COUNT(tblVerifyStudy[[#This Row],[Trial 1]],tblVerifyStudy[[#This Row],[Trial 2]],tblVerifyStudy[[#This Row],[Trial 3]])&lt;&gt;$E$28,N(tblVerifyStudy[[#This Row],[Part no.]])&gt;$E$29),"",AVERAGE(tblVerifyStudy[[#This Row],[Trial 1]],tblVerifyStudy[[#This Row],[Trial 2]],tblVerifyStudy[[#This Row],[Trial 3]])))</f>
        <v>2.7</v>
      </c>
      <c r="H41"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0.02</v>
      </c>
      <c r="I41"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1" s="65"/>
    </row>
    <row r="42" spans="2:12">
      <c r="B42" s="65" t="s">
        <v>240</v>
      </c>
      <c r="C42" s="74">
        <v>3</v>
      </c>
      <c r="D42" s="75">
        <v>2.15</v>
      </c>
      <c r="E42" s="75">
        <v>2.18</v>
      </c>
      <c r="F42" s="75"/>
      <c r="G42" s="37">
        <f>IF(tblVerifyStudy[[#This Row],[Appraiser]]="","",IF(OR(COUNT(tblVerifyStudy[[#This Row],[Trial 1]],tblVerifyStudy[[#This Row],[Trial 2]],tblVerifyStudy[[#This Row],[Trial 3]])&lt;&gt;$E$28,N(tblVerifyStudy[[#This Row],[Part no.]])&gt;$E$29),"",AVERAGE(tblVerifyStudy[[#This Row],[Trial 1]],tblVerifyStudy[[#This Row],[Trial 2]],tblVerifyStudy[[#This Row],[Trial 3]])))</f>
        <v>2.165</v>
      </c>
      <c r="H42"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0.0300000000000003</v>
      </c>
      <c r="I42"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2" s="65"/>
    </row>
    <row r="43" spans="2:12">
      <c r="B43" s="65" t="s">
        <v>240</v>
      </c>
      <c r="C43" s="74">
        <v>4</v>
      </c>
      <c r="D43" s="75">
        <v>2.62</v>
      </c>
      <c r="E43" s="75">
        <v>2.6</v>
      </c>
      <c r="F43" s="75"/>
      <c r="G43" s="37">
        <f>IF(tblVerifyStudy[[#This Row],[Appraiser]]="","",IF(OR(COUNT(tblVerifyStudy[[#This Row],[Trial 1]],tblVerifyStudy[[#This Row],[Trial 2]],tblVerifyStudy[[#This Row],[Trial 3]])&lt;&gt;$E$28,N(tblVerifyStudy[[#This Row],[Part no.]])&gt;$E$29),"",AVERAGE(tblVerifyStudy[[#This Row],[Trial 1]],tblVerifyStudy[[#This Row],[Trial 2]],tblVerifyStudy[[#This Row],[Trial 3]])))</f>
        <v>2.61</v>
      </c>
      <c r="H43"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0.02</v>
      </c>
      <c r="I43"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3" s="65"/>
    </row>
    <row r="44" spans="2:12">
      <c r="B44" s="65" t="s">
        <v>240</v>
      </c>
      <c r="C44" s="74">
        <v>5</v>
      </c>
      <c r="D44" s="75">
        <v>2.33</v>
      </c>
      <c r="E44" s="75">
        <v>2.33</v>
      </c>
      <c r="F44" s="75"/>
      <c r="G44" s="37">
        <f>IF(tblVerifyStudy[[#This Row],[Appraiser]]="","",IF(OR(COUNT(tblVerifyStudy[[#This Row],[Trial 1]],tblVerifyStudy[[#This Row],[Trial 2]],tblVerifyStudy[[#This Row],[Trial 3]])&lt;&gt;$E$28,N(tblVerifyStudy[[#This Row],[Part no.]])&gt;$E$29),"",AVERAGE(tblVerifyStudy[[#This Row],[Trial 1]],tblVerifyStudy[[#This Row],[Trial 2]],tblVerifyStudy[[#This Row],[Trial 3]])))</f>
        <v>2.33</v>
      </c>
      <c r="H44"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v>
      </c>
      <c r="I44"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4" s="65"/>
    </row>
    <row r="45" spans="2:12">
      <c r="B45" s="65" t="s">
        <v>241</v>
      </c>
      <c r="C45" s="74">
        <v>1</v>
      </c>
      <c r="D45" s="75">
        <v>2.52</v>
      </c>
      <c r="E45" s="75">
        <v>2.5</v>
      </c>
      <c r="F45" s="75"/>
      <c r="G45" s="37">
        <f>IF(tblVerifyStudy[[#This Row],[Appraiser]]="","",IF(OR(COUNT(tblVerifyStudy[[#This Row],[Trial 1]],tblVerifyStudy[[#This Row],[Trial 2]],tblVerifyStudy[[#This Row],[Trial 3]])&lt;&gt;$E$28,N(tblVerifyStudy[[#This Row],[Part no.]])&gt;$E$29),"",AVERAGE(tblVerifyStudy[[#This Row],[Trial 1]],tblVerifyStudy[[#This Row],[Trial 2]],tblVerifyStudy[[#This Row],[Trial 3]])))</f>
        <v>2.51</v>
      </c>
      <c r="H45"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0.02</v>
      </c>
      <c r="I45"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5" s="65"/>
    </row>
    <row r="46" spans="2:12">
      <c r="B46" s="65" t="s">
        <v>241</v>
      </c>
      <c r="C46" s="74">
        <v>2</v>
      </c>
      <c r="D46" s="75">
        <v>2.74</v>
      </c>
      <c r="E46" s="75">
        <v>2.73</v>
      </c>
      <c r="F46" s="75"/>
      <c r="G46" s="37">
        <f>IF(tblVerifyStudy[[#This Row],[Appraiser]]="","",IF(OR(COUNT(tblVerifyStudy[[#This Row],[Trial 1]],tblVerifyStudy[[#This Row],[Trial 2]],tblVerifyStudy[[#This Row],[Trial 3]])&lt;&gt;$E$28,N(tblVerifyStudy[[#This Row],[Part no.]])&gt;$E$29),"",AVERAGE(tblVerifyStudy[[#This Row],[Trial 1]],tblVerifyStudy[[#This Row],[Trial 2]],tblVerifyStudy[[#This Row],[Trial 3]])))</f>
        <v>2.735</v>
      </c>
      <c r="H46"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0.0100000000000002</v>
      </c>
      <c r="I46"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Duplicate appraiser and part</v>
      </c>
      <c r="J46" s="65"/>
    </row>
    <row r="47" spans="2:12">
      <c r="B47" s="65" t="s">
        <v>241</v>
      </c>
      <c r="C47" s="74">
        <v>3</v>
      </c>
      <c r="D47" s="75">
        <v>2.19</v>
      </c>
      <c r="E47" s="75">
        <v>2.17</v>
      </c>
      <c r="F47" s="75"/>
      <c r="G47" s="37">
        <f>IF(tblVerifyStudy[[#This Row],[Appraiser]]="","",IF(OR(COUNT(tblVerifyStudy[[#This Row],[Trial 1]],tblVerifyStudy[[#This Row],[Trial 2]],tblVerifyStudy[[#This Row],[Trial 3]])&lt;&gt;$E$28,N(tblVerifyStudy[[#This Row],[Part no.]])&gt;$E$29),"",AVERAGE(tblVerifyStudy[[#This Row],[Trial 1]],tblVerifyStudy[[#This Row],[Trial 2]],tblVerifyStudy[[#This Row],[Trial 3]])))</f>
        <v>2.18</v>
      </c>
      <c r="H47"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0.02</v>
      </c>
      <c r="I47"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7" s="65"/>
    </row>
    <row r="48" spans="2:12">
      <c r="B48" s="65" t="s">
        <v>241</v>
      </c>
      <c r="C48" s="74">
        <v>4</v>
      </c>
      <c r="D48" s="75">
        <v>2.66</v>
      </c>
      <c r="E48" s="75">
        <v>2.68</v>
      </c>
      <c r="F48" s="75"/>
      <c r="G48" s="37">
        <f>IF(tblVerifyStudy[[#This Row],[Appraiser]]="","",IF(OR(COUNT(tblVerifyStudy[[#This Row],[Trial 1]],tblVerifyStudy[[#This Row],[Trial 2]],tblVerifyStudy[[#This Row],[Trial 3]])&lt;&gt;$E$28,N(tblVerifyStudy[[#This Row],[Part no.]])&gt;$E$29),"",AVERAGE(tblVerifyStudy[[#This Row],[Trial 1]],tblVerifyStudy[[#This Row],[Trial 2]],tblVerifyStudy[[#This Row],[Trial 3]])))</f>
        <v>2.67</v>
      </c>
      <c r="H48"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0.02</v>
      </c>
      <c r="I48"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8" s="65"/>
    </row>
    <row r="49" spans="2:12">
      <c r="B49" s="65" t="s">
        <v>241</v>
      </c>
      <c r="C49" s="74">
        <v>5</v>
      </c>
      <c r="D49" s="75">
        <v>2.35</v>
      </c>
      <c r="E49" s="75">
        <v>2.38</v>
      </c>
      <c r="F49" s="75"/>
      <c r="G49" s="37">
        <f>IF(tblVerifyStudy[[#This Row],[Appraiser]]="","",IF(OR(COUNT(tblVerifyStudy[[#This Row],[Trial 1]],tblVerifyStudy[[#This Row],[Trial 2]],tblVerifyStudy[[#This Row],[Trial 3]])&lt;&gt;$E$28,N(tblVerifyStudy[[#This Row],[Part no.]])&gt;$E$29),"",AVERAGE(tblVerifyStudy[[#This Row],[Trial 1]],tblVerifyStudy[[#This Row],[Trial 2]],tblVerifyStudy[[#This Row],[Trial 3]])))</f>
        <v>2.365</v>
      </c>
      <c r="H49"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0.0299999999999998</v>
      </c>
      <c r="I49"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OK</v>
      </c>
      <c r="J49" s="65"/>
    </row>
    <row r="50" spans="2:12">
      <c r="B50" s="65" t="s">
        <v>240</v>
      </c>
      <c r="C50" s="74">
        <v>6</v>
      </c>
      <c r="D50" s="75">
        <v>2.4</v>
      </c>
      <c r="E50" s="75">
        <v>2.41</v>
      </c>
      <c r="F50" s="75"/>
      <c r="G50" s="37">
        <f>IF(tblVerifyStudy[[#This Row],[Appraiser]]="","",IF(OR(COUNT(tblVerifyStudy[[#This Row],[Trial 1]],tblVerifyStudy[[#This Row],[Trial 2]],tblVerifyStudy[[#This Row],[Trial 3]])&lt;&gt;$E$28,N(tblVerifyStudy[[#This Row],[Part no.]])&gt;$E$29),"",AVERAGE(tblVerifyStudy[[#This Row],[Trial 1]],tblVerifyStudy[[#This Row],[Trial 2]],tblVerifyStudy[[#This Row],[Trial 3]])))</f>
        <v/>
      </c>
      <c r="H50"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
      </c>
      <c r="I50"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Part no. above parts in study</v>
      </c>
      <c r="J50" s="65"/>
    </row>
    <row r="51" spans="2:12">
      <c r="B51" s="65" t="s">
        <v>241</v>
      </c>
      <c r="C51" s="74">
        <v>2</v>
      </c>
      <c r="D51" s="75">
        <v>2.7</v>
      </c>
      <c r="E51" s="75"/>
      <c r="F51" s="75"/>
      <c r="G51" s="37">
        <f>IF(tblVerifyStudy[[#This Row],[Appraiser]]="","",IF(OR(COUNT(tblVerifyStudy[[#This Row],[Trial 1]],tblVerifyStudy[[#This Row],[Trial 2]],tblVerifyStudy[[#This Row],[Trial 3]])&lt;&gt;$E$28,N(tblVerifyStudy[[#This Row],[Part no.]])&gt;$E$29),"",AVERAGE(tblVerifyStudy[[#This Row],[Trial 1]],tblVerifyStudy[[#This Row],[Trial 2]],tblVerifyStudy[[#This Row],[Trial 3]])))</f>
        <v/>
      </c>
      <c r="H51" s="37">
        <f>IF(tblVerifyStudy[[#This Row],[Appraiser]]="","",IF(OR(COUNT(tblVerifyStudy[[#This Row],[Trial 1]],tblVerifyStudy[[#This Row],[Trial 2]],tblVerifyStudy[[#This Row],[Trial 3]])&lt;&gt;$E$28,N(tblVerifyStudy[[#This Row],[Part no.]])&gt;$E$29),"",MAX(tblVerifyStudy[[#This Row],[Trial 1]],tblVerifyStudy[[#This Row],[Trial 2]],tblVerifyStudy[[#This Row],[Trial 3]])-MIN(tblVerifyStudy[[#This Row],[Trial 1]],tblVerifyStudy[[#This Row],[Trial 2]],tblVerifyStudy[[#This Row],[Trial 3]])))</f>
        <v/>
      </c>
      <c r="I51" s="43" t="str">
        <f>IF(tblVerifyStudy[[#This Row],[Appraiser]]="","",IF(tblVerifyStudy[[#This Row],[Part no.]]="","Missing part no.",IF(COUNT(tblVerifyStudy[[#This Row],[Trial 1]],tblVerifyStudy[[#This Row],[Trial 2]],tblVerifyStudy[[#This Row],[Trial 3]])&lt;&gt;$E$28,"Reading count is not the trials",IF(tblVerifyStudy[[#This Row],[Part no.]]&gt;$E$29,"Part no. above parts in study",IF(COUNTIFS(tblVerifyStudy[Appraiser],tblVerifyStudy[[#This Row],[Appraiser]],tblVerifyStudy[Part no.],tblVerifyStudy[[#This Row],[Part no.]])&gt;1,"Duplicate appraiser and part",IF(AND(ISNUMBER($E$55),tblVerifyStudy[[#This Row],[Range]]&gt;$E$55),"Range above UCL: re-measure","OK"))))))</f>
        <v>Reading count is not the trials</v>
      </c>
      <c r="J51" s="65"/>
    </row>
    <row r="53" spans="2:12">
      <c r="B53" s="33" t="s">
        <v>242</v>
      </c>
      <c r="C53" s="33"/>
      <c r="D53" s="33"/>
      <c r="E53" s="33"/>
      <c r="F53" s="33"/>
      <c r="G53" s="33"/>
      <c r="H53" s="33"/>
      <c r="I53" s="33"/>
      <c r="J53" s="33"/>
      <c r="K53" s="33"/>
      <c r="L53" s="33"/>
    </row>
    <row r="54" spans="2:12">
      <c r="B54" s="27" t="s">
        <v>165</v>
      </c>
      <c r="C54" s="27"/>
      <c r="D54" s="27"/>
      <c r="E54" s="37">
        <f>IF(COUNT(tblVerifyStudy[Range])=0,"",AVERAGE(tblVerifyStudy[Range]))</f>
        <v>0.02</v>
      </c>
      <c r="F54" s="7"/>
    </row>
    <row r="55" spans="2:12">
      <c r="B55" s="27" t="s">
        <v>243</v>
      </c>
      <c r="C55" s="27"/>
      <c r="D55" s="27"/>
      <c r="E55" s="37">
        <f>IF(N($E$54)=0,"",$E$35*$E$54)</f>
        <v>0.0653400000000001</v>
      </c>
      <c r="F55" s="7"/>
    </row>
    <row r="57" spans="2:12">
      <c r="B57" s="33" t="s">
        <v>244</v>
      </c>
      <c r="C57" s="33"/>
      <c r="D57" s="33"/>
      <c r="E57" s="33"/>
      <c r="F57" s="33"/>
      <c r="G57" s="33"/>
      <c r="H57" s="33"/>
      <c r="I57" s="33"/>
      <c r="J57" s="33"/>
      <c r="K57" s="33"/>
      <c r="L57" s="33"/>
    </row>
    <row r="58" spans="2:12" ht="20" customHeight="1">
      <c r="B58" s="52" t="s">
        <v>60</v>
      </c>
      <c r="C58" s="34" t="s">
        <v>152</v>
      </c>
      <c r="D58" s="34" t="s">
        <v>153</v>
      </c>
      <c r="E58" s="34" t="s">
        <v>154</v>
      </c>
    </row>
    <row r="59" spans="2:12">
      <c r="B59" s="53" t="s">
        <v>240</v>
      </c>
      <c r="C59" s="36">
        <f>IF($B$59="","",COUNTIFS(tblVerifyStudy[Appraiser],$B$59,tblVerifyStudy[Range],"&gt;=0"))</f>
        <v>5</v>
      </c>
      <c r="D59" s="37">
        <f>IF($B$59="","",IF($C$59=0,"",AVERAGEIFS(tblVerifyStudy[Mean],tblVerifyStudy[Appraiser],$B$59,tblVerifyStudy[Range],"&gt;=0")))</f>
        <v>2.46</v>
      </c>
      <c r="E59" s="37">
        <f>IF($B$59="","",IF($C$59=0,"",AVERAGEIFS(tblVerifyStudy[Range],tblVerifyStudy[Appraiser],$B$59)))</f>
        <v>0.02</v>
      </c>
    </row>
    <row r="60" spans="2:12">
      <c r="B60" s="53" t="s">
        <v>241</v>
      </c>
      <c r="C60" s="36">
        <f>IF($B$60="","",COUNTIFS(tblVerifyStudy[Appraiser],$B$60,tblVerifyStudy[Range],"&gt;=0"))</f>
        <v>5</v>
      </c>
      <c r="D60" s="37">
        <f>IF($B$60="","",IF($C$60=0,"",AVERAGEIFS(tblVerifyStudy[Mean],tblVerifyStudy[Appraiser],$B$60,tblVerifyStudy[Range],"&gt;=0")))</f>
        <v>2.492</v>
      </c>
      <c r="E60" s="37">
        <f>IF($B$60="","",IF($C$60=0,"",AVERAGEIFS(tblVerifyStudy[Range],tblVerifyStudy[Appraiser],$B$60)))</f>
        <v>0.02</v>
      </c>
    </row>
    <row r="61" spans="2:12">
      <c r="B61" s="53" t="s">
        <v>245</v>
      </c>
      <c r="C61" s="36">
        <f>IF($B$61="","",COUNTIFS(tblVerifyStudy[Appraiser],$B$61,tblVerifyStudy[Range],"&gt;=0"))</f>
        <v/>
      </c>
      <c r="D61" s="37">
        <f>IF($B$61="","",IF($C$61=0,"",AVERAGEIFS(tblVerifyStudy[Mean],tblVerifyStudy[Appraiser],$B$61,tblVerifyStudy[Range],"&gt;=0")))</f>
        <v/>
      </c>
      <c r="E61" s="37">
        <f>IF($B$61="","",IF($C$61=0,"",AVERAGEIFS(tblVerifyStudy[Range],tblVerifyStudy[Appraiser],$B$61)))</f>
        <v/>
      </c>
    </row>
    <row r="63" spans="2:12">
      <c r="B63" s="33" t="s">
        <v>246</v>
      </c>
      <c r="C63" s="33"/>
      <c r="D63" s="33"/>
      <c r="E63" s="33"/>
      <c r="F63" s="33"/>
      <c r="G63" s="33"/>
      <c r="H63" s="33"/>
      <c r="I63" s="33"/>
      <c r="J63" s="33"/>
      <c r="K63" s="33"/>
      <c r="L63" s="33"/>
    </row>
    <row r="64" spans="2:12" ht="20" customHeight="1">
      <c r="B64" s="52" t="s">
        <v>109</v>
      </c>
      <c r="C64" s="34" t="s">
        <v>152</v>
      </c>
      <c r="D64" s="34" t="s">
        <v>153</v>
      </c>
    </row>
    <row r="65" spans="2:12">
      <c r="B65" s="61">
        <v>1</v>
      </c>
      <c r="C65" s="36">
        <f>IF($B$65&gt;$E$29,0,COUNTIFS(tblVerifyStudy[Part no.],$B$65,tblVerifyStudy[Range],"&gt;=0"))</f>
        <v>2</v>
      </c>
      <c r="D65" s="37">
        <f>IF($C$65=0,"",AVERAGEIFS(tblVerifyStudy[Mean],tblVerifyStudy[Part no.],$B$65,tblVerifyStudy[Range],"&gt;=0"))</f>
        <v>2.5025</v>
      </c>
    </row>
    <row r="66" spans="2:12">
      <c r="B66" s="61">
        <f>$B$65+1</f>
        <v>2</v>
      </c>
      <c r="C66" s="36">
        <f>IF($B$66&gt;$E$29,0,COUNTIFS(tblVerifyStudy[Part no.],$B$66,tblVerifyStudy[Range],"&gt;=0"))</f>
        <v>2</v>
      </c>
      <c r="D66" s="37">
        <f>IF($C$66=0,"",AVERAGEIFS(tblVerifyStudy[Mean],tblVerifyStudy[Part no.],$B$66,tblVerifyStudy[Range],"&gt;=0"))</f>
        <v>2.7175</v>
      </c>
    </row>
    <row r="67" spans="2:12">
      <c r="B67" s="61">
        <f>$B$66+1</f>
        <v>3</v>
      </c>
      <c r="C67" s="36">
        <f>IF($B$67&gt;$E$29,0,COUNTIFS(tblVerifyStudy[Part no.],$B$67,tblVerifyStudy[Range],"&gt;=0"))</f>
        <v>2</v>
      </c>
      <c r="D67" s="37">
        <f>IF($C$67=0,"",AVERAGEIFS(tblVerifyStudy[Mean],tblVerifyStudy[Part no.],$B$67,tblVerifyStudy[Range],"&gt;=0"))</f>
        <v>2.1725</v>
      </c>
    </row>
    <row r="68" spans="2:12">
      <c r="B68" s="61">
        <f>$B$67+1</f>
        <v>4</v>
      </c>
      <c r="C68" s="36">
        <f>IF($B$68&gt;$E$29,0,COUNTIFS(tblVerifyStudy[Part no.],$B$68,tblVerifyStudy[Range],"&gt;=0"))</f>
        <v>2</v>
      </c>
      <c r="D68" s="37">
        <f>IF($C$68=0,"",AVERAGEIFS(tblVerifyStudy[Mean],tblVerifyStudy[Part no.],$B$68,tblVerifyStudy[Range],"&gt;=0"))</f>
        <v>2.64</v>
      </c>
    </row>
    <row r="69" spans="2:12">
      <c r="B69" s="61">
        <f>$B$68+1</f>
        <v>5</v>
      </c>
      <c r="C69" s="36">
        <f>IF($B$69&gt;$E$29,0,COUNTIFS(tblVerifyStudy[Part no.],$B$69,tblVerifyStudy[Range],"&gt;=0"))</f>
        <v>2</v>
      </c>
      <c r="D69" s="37">
        <f>IF($C$69=0,"",AVERAGEIFS(tblVerifyStudy[Mean],tblVerifyStudy[Part no.],$B$69,tblVerifyStudy[Range],"&gt;=0"))</f>
        <v>2.3475</v>
      </c>
    </row>
    <row r="70" spans="2:12">
      <c r="B70" s="61">
        <f>$B$69+1</f>
        <v>6</v>
      </c>
      <c r="C70" s="36">
        <f>IF($B$70&gt;$E$29,0,COUNTIFS(tblVerifyStudy[Part no.],$B$70,tblVerifyStudy[Range],"&gt;=0"))</f>
        <v>0</v>
      </c>
      <c r="D70" s="37">
        <f>IF($C$70=0,"",AVERAGEIFS(tblVerifyStudy[Mean],tblVerifyStudy[Part no.],$B$70,tblVerifyStudy[Range],"&gt;=0"))</f>
        <v/>
      </c>
    </row>
    <row r="71" spans="2:12">
      <c r="B71" s="61">
        <f>$B$70+1</f>
        <v>7</v>
      </c>
      <c r="C71" s="36">
        <f>IF($B$71&gt;$E$29,0,COUNTIFS(tblVerifyStudy[Part no.],$B$71,tblVerifyStudy[Range],"&gt;=0"))</f>
        <v>0</v>
      </c>
      <c r="D71" s="37">
        <f>IF($C$71=0,"",AVERAGEIFS(tblVerifyStudy[Mean],tblVerifyStudy[Part no.],$B$71,tblVerifyStudy[Range],"&gt;=0"))</f>
        <v/>
      </c>
    </row>
    <row r="72" spans="2:12">
      <c r="B72" s="61">
        <f>$B$71+1</f>
        <v>8</v>
      </c>
      <c r="C72" s="36">
        <f>IF($B$72&gt;$E$29,0,COUNTIFS(tblVerifyStudy[Part no.],$B$72,tblVerifyStudy[Range],"&gt;=0"))</f>
        <v>0</v>
      </c>
      <c r="D72" s="37">
        <f>IF($C$72=0,"",AVERAGEIFS(tblVerifyStudy[Mean],tblVerifyStudy[Part no.],$B$72,tblVerifyStudy[Range],"&gt;=0"))</f>
        <v/>
      </c>
    </row>
    <row r="73" spans="2:12">
      <c r="B73" s="61">
        <f>$B$72+1</f>
        <v>9</v>
      </c>
      <c r="C73" s="36">
        <f>IF($B$73&gt;$E$29,0,COUNTIFS(tblVerifyStudy[Part no.],$B$73,tblVerifyStudy[Range],"&gt;=0"))</f>
        <v>0</v>
      </c>
      <c r="D73" s="37">
        <f>IF($C$73=0,"",AVERAGEIFS(tblVerifyStudy[Mean],tblVerifyStudy[Part no.],$B$73,tblVerifyStudy[Range],"&gt;=0"))</f>
        <v/>
      </c>
    </row>
    <row r="74" spans="2:12">
      <c r="B74" s="61">
        <f>$B$73+1</f>
        <v>10</v>
      </c>
      <c r="C74" s="36">
        <f>IF($B$74&gt;$E$29,0,COUNTIFS(tblVerifyStudy[Part no.],$B$74,tblVerifyStudy[Range],"&gt;=0"))</f>
        <v>0</v>
      </c>
      <c r="D74" s="37">
        <f>IF($C$74=0,"",AVERAGEIFS(tblVerifyStudy[Mean],tblVerifyStudy[Part no.],$B$74,tblVerifyStudy[Range],"&gt;=0"))</f>
        <v/>
      </c>
    </row>
    <row r="76" spans="2:12">
      <c r="B76" s="33" t="s">
        <v>242</v>
      </c>
      <c r="C76" s="33"/>
      <c r="D76" s="33"/>
      <c r="E76" s="33"/>
      <c r="F76" s="33"/>
      <c r="G76" s="33"/>
      <c r="H76" s="33"/>
      <c r="I76" s="33"/>
      <c r="J76" s="33"/>
      <c r="K76" s="33"/>
      <c r="L76" s="33"/>
    </row>
    <row r="77" spans="2:12">
      <c r="B77" s="27" t="s">
        <v>123</v>
      </c>
      <c r="C77" s="27"/>
      <c r="D77" s="27"/>
      <c r="E77" s="37">
        <f>IF(COUNT($D$59:$D$61)&lt;2,"",MAX($D$59:$D$61)-MIN($D$59:$D$61))</f>
        <v>0.032</v>
      </c>
      <c r="F77" s="7" t="str">
        <f>UnitLabel</f>
        <v>mm</v>
      </c>
    </row>
    <row r="78" spans="2:12">
      <c r="B78" s="27" t="s">
        <v>129</v>
      </c>
      <c r="C78" s="27"/>
      <c r="D78" s="27"/>
      <c r="E78" s="37">
        <f>IF(COUNT($D$65:$D$74)&lt;2,"",MAX($D$65:$D$74)-MIN($D$65:$D$74))</f>
        <v>0.545</v>
      </c>
      <c r="F78" s="7" t="str">
        <f>UnitLabel</f>
        <v>mm</v>
      </c>
    </row>
    <row r="79" spans="2:12">
      <c r="B79" s="27" t="s">
        <v>130</v>
      </c>
      <c r="C79" s="27"/>
      <c r="D79" s="27"/>
      <c r="E79" s="37">
        <f>IF(N($E$54)=0,"",$E$54*$E$32)</f>
        <v>0.017724</v>
      </c>
      <c r="F79" s="7" t="str">
        <f>UnitLabel</f>
        <v>mm</v>
      </c>
    </row>
    <row r="80" spans="2:12">
      <c r="B80" s="27" t="s">
        <v>132</v>
      </c>
      <c r="C80" s="27"/>
      <c r="D80" s="27"/>
      <c r="E80" s="37">
        <f>IF(OR(N($E$79)=0,N($E$77)=0),0,SQRT(MAX(0,($E$77*$E$33)^2-$E$79^2/($E$29*$E$28))))</f>
        <v>0.0219220474007334</v>
      </c>
      <c r="F80" s="7" t="str">
        <f>UnitLabel</f>
        <v>mm</v>
      </c>
    </row>
    <row r="81" spans="2:6">
      <c r="B81" s="17" t="s">
        <v>134</v>
      </c>
      <c r="C81" s="17"/>
      <c r="D81" s="17"/>
      <c r="E81" s="55">
        <f>IF(N($E$79)=0,"",SQRT($E$79^2+$E$80^2))</f>
        <v>0.0281907136880215</v>
      </c>
      <c r="F81" s="7" t="str">
        <f>UnitLabel</f>
        <v>mm</v>
      </c>
    </row>
    <row r="82" spans="2:6">
      <c r="B82" s="27" t="s">
        <v>136</v>
      </c>
      <c r="C82" s="27"/>
      <c r="D82" s="27"/>
      <c r="E82" s="37">
        <f>IF(N($E$78)=0,"",$E$78*$E$34)</f>
        <v>0.219635</v>
      </c>
      <c r="F82" s="7" t="str">
        <f>UnitLabel</f>
        <v>mm</v>
      </c>
    </row>
    <row r="83" spans="2:6">
      <c r="B83" s="27" t="s">
        <v>138</v>
      </c>
      <c r="C83" s="27"/>
      <c r="D83" s="27"/>
      <c r="E83" s="37">
        <f>IF(OR(N($E$81)=0,N($E$82)=0),"",SQRT($E$81^2+$E$82^2))</f>
        <v>0.221436784575734</v>
      </c>
      <c r="F83" s="7" t="str">
        <f>UnitLabel</f>
        <v>mm</v>
      </c>
    </row>
    <row r="84" spans="2:6">
      <c r="B84" s="17" t="s">
        <v>140</v>
      </c>
      <c r="C84" s="17"/>
      <c r="D84" s="17"/>
      <c r="E84" s="56">
        <f>IF(N($E$83)=0,"",$E$81/$E$83)</f>
        <v>0.127308178458398</v>
      </c>
      <c r="F84" s="7" t="s">
        <v>141</v>
      </c>
    </row>
    <row r="85" spans="2:6">
      <c r="B85" s="17" t="s">
        <v>142</v>
      </c>
      <c r="C85" s="17"/>
      <c r="D85" s="17"/>
      <c r="E85" s="56">
        <f>IF(OR(N($E$81)=0,$E$30&lt;=0),"",$E$31*$E$81/$E$30)</f>
        <v>0.338288564256258</v>
      </c>
      <c r="F85" s="7" t="s">
        <v>141</v>
      </c>
    </row>
    <row r="86" spans="2:6">
      <c r="B86" s="27" t="s">
        <v>143</v>
      </c>
      <c r="C86" s="27"/>
      <c r="D86" s="27"/>
      <c r="E86" s="57">
        <f>IF(N($E$81)=0,"",1.41*$E$82/$E$81)</f>
        <v>10.9853675017667</v>
      </c>
      <c r="F86" s="7" t="s">
        <v>100</v>
      </c>
    </row>
    <row r="87" spans="2:6">
      <c r="B87" s="17" t="s">
        <v>144</v>
      </c>
      <c r="C87" s="17"/>
      <c r="D87" s="17"/>
      <c r="E87" s="58">
        <f>IF(N($E$81)=0,"",INT($E$86))</f>
        <v>10</v>
      </c>
      <c r="F87" s="7" t="s">
        <v>145</v>
      </c>
    </row>
    <row r="88" spans="2:6">
      <c r="B88" s="27" t="s">
        <v>146</v>
      </c>
      <c r="C88" s="27"/>
      <c r="D88" s="27"/>
      <c r="E88" s="39" t="str">
        <f>IF(N($E$81)=0,"",IF($E$79&gt;=$E$80,"Repeatability (equipment)","Reproducibility (appraisers)"))</f>
        <v>Reproducibility (appraisers)</v>
      </c>
      <c r="F88" s="7"/>
    </row>
  </sheetData>
  <sheetProtection sheet="1" formatColumns="0" formatRows="0"/>
  <mergeCells count="50">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B24:L24"/>
    <mergeCell ref="B26:L26"/>
    <mergeCell ref="B27:F27"/>
    <mergeCell ref="B28:D28"/>
    <mergeCell ref="B29:D29"/>
    <mergeCell ref="B30:D30"/>
    <mergeCell ref="B31:D31"/>
    <mergeCell ref="B32:D32"/>
    <mergeCell ref="B33:D33"/>
    <mergeCell ref="B34:D34"/>
    <mergeCell ref="B35:D35"/>
    <mergeCell ref="B37:L37"/>
    <mergeCell ref="B53:L53"/>
    <mergeCell ref="B54:D54"/>
    <mergeCell ref="B55:D55"/>
    <mergeCell ref="B57:L57"/>
    <mergeCell ref="B63:L63"/>
    <mergeCell ref="B76:L76"/>
    <mergeCell ref="B77:D77"/>
    <mergeCell ref="B78:D78"/>
    <mergeCell ref="B79:D79"/>
    <mergeCell ref="B80:D80"/>
    <mergeCell ref="B81:D81"/>
    <mergeCell ref="B82:D82"/>
    <mergeCell ref="B83:D83"/>
    <mergeCell ref="B84:D84"/>
    <mergeCell ref="B85:D85"/>
    <mergeCell ref="B86:D86"/>
    <mergeCell ref="B87:D87"/>
    <mergeCell ref="B88:D8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40:I51">
    <cfRule type="expression" dxfId="3" priority="41">
      <formula>$I40="OK"</formula>
    </cfRule>
    <cfRule type="expression" dxfId="1" priority="42">
      <formula>AND($I40&lt;&gt;"",$I40&lt;&gt;"OK")</formula>
    </cfRule>
  </conditionalFormatting>
  <conditionalFormatting sqref="K11:K2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Gage R&amp;&amp;R Study&amp;R&amp;8&amp;A</oddHeader>
    <oddFooter>&amp;L&amp;8mfgcalcs.com - free manufacturing templates&amp;R&amp;8Page &amp;P of &amp;N</oddFooter>
  </headerFooter>
  <rowBreaks count="3" manualBreakCount="3">
    <brk id="26" max="16383" man="1"/>
    <brk id="56" max="16383" man="1"/>
    <brk id="75"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45</vt:i4>
      </vt:variant>
    </vt:vector>
  </HeadingPairs>
  <TitlesOfParts>
    <vt:vector size="51" baseType="lpstr">
      <vt:lpstr>Start Here</vt:lpstr>
      <vt:lpstr>Setup</vt:lpstr>
      <vt:lpstr>Study</vt:lpstr>
      <vt:lpstr>Dashboard</vt:lpstr>
      <vt:lpstr>Method</vt:lpstr>
      <vt:lpstr>Verify</vt:lpstr>
      <vt:lpstr>AcceptPct</vt:lpstr>
      <vt:lpstr>AV</vt:lpstr>
      <vt:lpstr>CharName</vt:lpstr>
      <vt:lpstr>ConstD4</vt:lpstr>
      <vt:lpstr>ConstK1</vt:lpstr>
      <vt:lpstr>ConstK2</vt:lpstr>
      <vt:lpstr>ConstK3</vt:lpstr>
      <vt:lpstr>EV</vt:lpstr>
      <vt:lpstr>GageName</vt:lpstr>
      <vt:lpstr>GRR</vt:lpstr>
      <vt:lpstr>KpiNdc</vt:lpstr>
      <vt:lpstr>KpiPctGrr</vt:lpstr>
      <vt:lpstr>KpiPctTol</vt:lpstr>
      <vt:lpstr>KpiSource</vt:lpstr>
      <vt:lpstr>MinNdc</vt:lpstr>
      <vt:lpstr>NApp</vt:lpstr>
      <vt:lpstr>Ndc</vt:lpstr>
      <vt:lpstr>NdcRaw</vt:lpstr>
      <vt:lpstr>Parts</vt:lpstr>
      <vt:lpstr>PctGRR</vt:lpstr>
      <vt:lpstr>PctTol</vt:lpstr>
      <vt:lpstr>PlantName</vt:lpstr>
      <vt:lpstr>Dashboard!Print_Area</vt:lpstr>
      <vt:lpstr>Method!Print_Area</vt:lpstr>
      <vt:lpstr>Setup!Print_Area</vt:lpstr>
      <vt:lpstr>'Start Here'!Print_Area</vt:lpstr>
      <vt:lpstr>Study!Print_Area</vt:lpstr>
      <vt:lpstr>Verify!Print_Area</vt:lpstr>
      <vt:lpstr>Method!Print_Titles</vt:lpstr>
      <vt:lpstr>Study!Print_Titles</vt:lpstr>
      <vt:lpstr>PV</vt:lpstr>
      <vt:lpstr>RBarBar</vt:lpstr>
      <vt:lpstr>RejectPct</vt:lpstr>
      <vt:lpstr>Rp</vt:lpstr>
      <vt:lpstr>SelfCheck</vt:lpstr>
      <vt:lpstr>SelfCheckSummary</vt:lpstr>
      <vt:lpstr>SetupCheck</vt:lpstr>
      <vt:lpstr>Source</vt:lpstr>
      <vt:lpstr>SpreadMult</vt:lpstr>
      <vt:lpstr>Tolerance</vt:lpstr>
      <vt:lpstr>Trials</vt:lpstr>
      <vt:lpstr>TV</vt:lpstr>
      <vt:lpstr>UCLR</vt:lpstr>
      <vt:lpstr>UnitLabel</vt:lpstr>
      <vt:lpstr>XDiff</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Gage R&amp;R Study - free Excel template from MFG Calcs</dc:title>
  <dc:subject>Enter a crossed gage study (parts x appraisers x trials) and get repeatability, reproducibility, % GRR of study variation and tolerance, and ndc.</dc:subject>
  <dc:creator>MFG Calcs</dc:creator>
  <cp:keywords>gage R&amp;R, gauge R&amp;R, MSA, measurement system analysis, repeatability, reproducibility, ndc, average and range method</cp:keywords>
  <dc:description>https://www.mfgcalcs.com/templates/gage-rr-study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gage-rr-study</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study</vt:lpwstr>
  </property>
  <property fmtid="{D5CDD505-2E9C-101B-9397-08002B2CF9AE}" pid="6" name="Template URL">
    <vt:lpwstr>https://www.mfgcalcs.com/templates/gage-rr-study</vt:lpwstr>
  </property>
  <property fmtid="{D5CDD505-2E9C-101B-9397-08002B2CF9AE}" pid="7" name="Template sheet roles">
    <vt:lpwstr>Start Here=start;Setup=setup;Study=work;Dashboard=dashboard;Method=method;Verify=verify</vt:lpwstr>
  </property>
</Properties>
</file>