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Styles" sheetId="3" r:id="rId3"/>
    <sheet name="Dashboard" sheetId="4" r:id="rId4"/>
    <sheet name="Method" sheetId="5" r:id="rId5"/>
    <sheet name="Verify" sheetId="6" r:id="rId6"/>
  </sheets>
  <definedNames>
    <definedName name="Cpm">Setup!$C$8</definedName>
    <definedName name="Currency">Setup!$C$7</definedName>
    <definedName name="Handling">Setup!$C$9</definedName>
    <definedName name="KpiBelow">Dashboard!$D$5</definedName>
    <definedName name="KpiFabric">Dashboard!$G$5</definedName>
    <definedName name="KpiHours">Dashboard!$J$5</definedName>
    <definedName name="KpiMargin">Dashboard!$B$5</definedName>
    <definedName name="PlantName">Setup!$C$6</definedName>
    <definedName name="_xlnm.Print_Area" localSheetId="3">Dashboard!$A$1:$L$58</definedName>
    <definedName name="_xlnm.Print_Area" localSheetId="4">Method!$A$1:$D$56</definedName>
    <definedName name="_xlnm.Print_Area" localSheetId="1">Setup!$A$1:$E$12</definedName>
    <definedName name="_xlnm.Print_Area" localSheetId="0">'Start Here'!$A$1:$F$56</definedName>
    <definedName name="_xlnm.Print_Area" localSheetId="2">Styles!$A$1:$Z$16</definedName>
    <definedName name="_xlnm.Print_Area" localSheetId="5">Verify!$A$1:$Z$40</definedName>
    <definedName name="_xlnm.Print_Titles" localSheetId="4">Method!$1:$2</definedName>
    <definedName name="_xlnm.Print_Titles" localSheetId="2">Styles!$1:$6</definedName>
    <definedName name="SelfCheck">Verify!$D$4</definedName>
    <definedName name="SelfCheckSummary">Verify!$F$4</definedName>
    <definedName name="TargetMargin">Setup!$C$10</definedName>
  </definedNames>
  <calcPr calcId="124519" fullCalcOnLoad="1"/>
</workbook>
</file>

<file path=xl/sharedStrings.xml><?xml version="1.0" encoding="utf-8"?>
<sst xmlns="http://schemas.openxmlformats.org/spreadsheetml/2006/main" count="407" uniqueCount="228">
  <si>
    <t>Garment Costing Sheet</t>
  </si>
  <si>
    <t>Read this first: what the workbook does and how to use it.</t>
  </si>
  <si>
    <t>mfgcalcs.com</t>
  </si>
  <si>
    <t>Cost every garment style to an FOB price from fabric consumption, trims, wash, packing, SAM and line efficiency, and check each style's margin against your target.</t>
  </si>
  <si>
    <t>For: Garment manufacturers, merchandisers, costing and industrial engineers, and apparel buyers checking factory costings.</t>
  </si>
  <si>
    <t>Version 1.0.0  ·  updated 15 October 2026</t>
  </si>
  <si>
    <t>Quick start</t>
  </si>
  <si>
    <t>1.</t>
  </si>
  <si>
    <t>On Setup, type your currency, the sewing line's cost per minute, handling cost per garment and your target margin.</t>
  </si>
  <si>
    <t>2.</t>
  </si>
  <si>
    <t>On Styles, add one row per style: order quantity, fabric unit, consumption with wastage, and the fabric price in the same unit.</t>
  </si>
  <si>
    <t>3.</t>
  </si>
  <si>
    <t>Add trims, embellishment and wash, packing, SAM, line efficiency and the FOB price.</t>
  </si>
  <si>
    <t>4.</t>
  </si>
  <si>
    <t>Read garment cost, margin and status; the Check column names anything missing or impossible.</t>
  </si>
  <si>
    <t>5.</t>
  </si>
  <si>
    <t>Open the Dashboard: margin against target, where each style's cost goes and the sewing hours the order book needs.</t>
  </si>
  <si>
    <t>What is in this workbook</t>
  </si>
  <si>
    <t>Start Here</t>
  </si>
  <si>
    <t>Setup</t>
  </si>
  <si>
    <t>Currency, sewing cost per minute, handling per garment and your target margin.</t>
  </si>
  <si>
    <t>Styles</t>
  </si>
  <si>
    <t>One row per style: order, fabric, trims, wash, packing, SAM, efficiency and FOB price.</t>
  </si>
  <si>
    <t>Dashboard</t>
  </si>
  <si>
    <t>Margin against target, where each style's cost goes, and the sewing hours the order book needs.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</si>
  <si>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</si>
  <si>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</si>
  <si>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</si>
  <si>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</si>
  <si>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</si>
  <si>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</si>
  <si>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</si>
  <si>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</si>
  <si>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</si>
  <si>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</si>
  <si>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</si>
  <si>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</si>
  <si>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</si>
  <si>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</si>
  <si>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</si>
  <si>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</si>
  <si>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</si>
  <si>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</si>
  <si>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</si>
  <si>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</si>
  <si>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Garment SAM Labor Cost Calculator on mfgcalcs.com</t>
  </si>
  <si>
    <t>Latest version</t>
  </si>
  <si>
    <t>mfgcalcs.com/templates/garment-costing-sheet</t>
  </si>
  <si>
    <t>More free templates</t>
  </si>
  <si>
    <t>mfgcalcs.com/templates</t>
  </si>
  <si>
    <t>Version</t>
  </si>
  <si>
    <t>1.0.0 (updated 15 October 2026)</t>
  </si>
  <si>
    <t>About the example data</t>
  </si>
  <si>
    <t>Every number already in this workbook is example data for Meridian Apparel, a fictional business invented for this template, so the dashboard and charts show something meaningful on day one. It costs ten styles for one season (T-shirts, polo, shirts, jeans, chinos, hoodie, dress, leggings and a padded jacket); fabric prices, SAMs, rates and FOB prices are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</si>
  <si>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</si>
  <si>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</si>
  <si>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</si>
  <si>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</si>
  <si>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</si>
  <si>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</si>
  <si>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</si>
  <si>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</si>
  <si>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Rates and targets</t>
  </si>
  <si>
    <t>Company or factory</t>
  </si>
  <si>
    <t>Meridian Apparel (example)</t>
  </si>
  <si>
    <t>Currency label</t>
  </si>
  <si>
    <t>USD</t>
  </si>
  <si>
    <t>Sewing cost per minute (CPM)</t>
  </si>
  <si>
    <t>Line setup and bundle handling</t>
  </si>
  <si>
    <t>Target margin on FOB price</t>
  </si>
  <si>
    <t>CPM and handling are examples. Line efficiency is per style on Styles: output minutes (SAM x pieces) / paid minutes of the line. Margin is on FOB price: a 12% margin is a 13.6% markup on cost. 'Near target' means within 5% of the target (11.4% to 12% against 12%).</t>
  </si>
  <si>
    <t>Style</t>
  </si>
  <si>
    <t>Description</t>
  </si>
  <si>
    <t>Order qty</t>
  </si>
  <si>
    <t>Fabric unit</t>
  </si>
  <si>
    <t>Consumption</t>
  </si>
  <si>
    <t>Wastage</t>
  </si>
  <si>
    <t>Fabric price</t>
  </si>
  <si>
    <t>Trims</t>
  </si>
  <si>
    <t>Embellishment and wash</t>
  </si>
  <si>
    <t>Packing</t>
  </si>
  <si>
    <t>SAM</t>
  </si>
  <si>
    <t>Line efficiency</t>
  </si>
  <si>
    <t>FOB price</t>
  </si>
  <si>
    <t>Fabric cost</t>
  </si>
  <si>
    <t>Effective minutes</t>
  </si>
  <si>
    <t>CM cost</t>
  </si>
  <si>
    <t>Garment cost</t>
  </si>
  <si>
    <t>Margin</t>
  </si>
  <si>
    <t>Margin status</t>
  </si>
  <si>
    <t>Order cost</t>
  </si>
  <si>
    <t>Order value</t>
  </si>
  <si>
    <t>Order margin</t>
  </si>
  <si>
    <t>Sewing hours</t>
  </si>
  <si>
    <t>Check</t>
  </si>
  <si>
    <t>Notes</t>
  </si>
  <si>
    <t>Example data for Meridian Apparel (fictional). Replace it with your own: select the example rows, right-click, Delete &gt; Table Rows. Yellow = you type; blue = calculated; Check names any problem.</t>
  </si>
  <si>
    <t>pcs</t>
  </si>
  <si>
    <t>unit/pc</t>
  </si>
  <si>
    <t>%</t>
  </si>
  <si>
    <t>min/pc</t>
  </si>
  <si>
    <t>% of FOB</t>
  </si>
  <si>
    <t>h</t>
  </si>
  <si>
    <t>MA-T101</t>
  </si>
  <si>
    <t>Crew-neck T-shirt</t>
  </si>
  <si>
    <t>kg</t>
  </si>
  <si>
    <t/>
  </si>
  <si>
    <t>MA-P201</t>
  </si>
  <si>
    <t>Pique polo shirt</t>
  </si>
  <si>
    <t>MA-S301</t>
  </si>
  <si>
    <t>Oxford shirt</t>
  </si>
  <si>
    <t>m</t>
  </si>
  <si>
    <t>MA-J401</t>
  </si>
  <si>
    <t>Five-pocket jeans</t>
  </si>
  <si>
    <t>yd</t>
  </si>
  <si>
    <t>MA-C501</t>
  </si>
  <si>
    <t>Chino trousers</t>
  </si>
  <si>
    <t>MA-H601</t>
  </si>
  <si>
    <t>Pullover hoodie</t>
  </si>
  <si>
    <t>MA-D701</t>
  </si>
  <si>
    <t>Shirt dress</t>
  </si>
  <si>
    <t>MA-L801</t>
  </si>
  <si>
    <t>Leggings</t>
  </si>
  <si>
    <t>MA-W901</t>
  </si>
  <si>
    <t>Padded jacket</t>
  </si>
  <si>
    <t>Shell, lining and wadding in trims</t>
  </si>
  <si>
    <t>MA-K111</t>
  </si>
  <si>
    <t>Kids T-shirt</t>
  </si>
  <si>
    <t>WEIGHTED MARGIN ON FOB</t>
  </si>
  <si>
    <t>STYLES BELOW TARGET MARGIN</t>
  </si>
  <si>
    <t>FABRIC SHARE OF COST</t>
  </si>
  <si>
    <t>SEWING HOURS NEEDED</t>
  </si>
  <si>
    <t>Margin status on Styles</t>
  </si>
  <si>
    <t>Fabric cost / order cost, costed styles</t>
  </si>
  <si>
    <t>Effective minutes x order qty / 60</t>
  </si>
  <si>
    <t>By style: garment cost, FOB price, margin and sewing hours</t>
  </si>
  <si>
    <t>Target margin</t>
  </si>
  <si>
    <t>Chart data: share of garment cost by element</t>
  </si>
  <si>
    <t>Fabric</t>
  </si>
  <si>
    <t>CM</t>
  </si>
  <si>
    <t>The Dashboard shows the first 10 styles. The tiles cover every style; to chart more, extend the By style and chart data blocks (see Method).</t>
  </si>
  <si>
    <t>What this workbook calculates</t>
  </si>
  <si>
    <t>An FOB costing adds what goes into the garment (fabric with its wastage, trims, embellishment or wash, packing) and what it costs to sew: the standard minutes (SAM) at the line's cost per minute, divided by the line's real efficiency, plus handling. Each style is a row on Styles. Fabric is costed in the unit you buy it in (m, yd or kg): consumption and price are in the same unit, so nothing is converted.</t>
  </si>
  <si>
    <t>Calculations</t>
  </si>
  <si>
    <t>Quantity</t>
  </si>
  <si>
    <t>How it is calculated</t>
  </si>
  <si>
    <t>Units</t>
  </si>
  <si>
    <t>Consumption x (1 + wastage) x fabric price (same fabric unit).</t>
  </si>
  <si>
    <t>currency/pc</t>
  </si>
  <si>
    <t>SAM / line efficiency: paid line minutes per piece.</t>
  </si>
  <si>
    <t>SAM x cost per minute / line efficiency + setup and bundle handling.</t>
  </si>
  <si>
    <t>Fabric + trims + embellishment and wash + packing + CM cost.</t>
  </si>
  <si>
    <t>Margin and status</t>
  </si>
  <si>
    <t>(FOB price - garment cost) / FOB price. On target at or above target, Near target within 5% of it, else Below target.</t>
  </si>
  <si>
    <t>Order cost, value, margin</t>
  </si>
  <si>
    <t>Garment cost, FOB price and their difference, each x order qty.</t>
  </si>
  <si>
    <t>currency</t>
  </si>
  <si>
    <t>Effective minutes x order qty / 60.</t>
  </si>
  <si>
    <t>Weighted margin</t>
  </si>
  <si>
    <t>Sum of order margin / sum of order value over priced styles (not an average of percentages).</t>
  </si>
  <si>
    <t>Fabric share of cost</t>
  </si>
  <si>
    <t>Sum of fabric cost x order qty / sum of order cost, over the styles that have an order cost.</t>
  </si>
  <si>
    <t>Assumptions</t>
  </si>
  <si>
    <t>Line efficiency is the style's own: SAM x pieces / paid minutes. Below 100% the line pays for minutes that produce nothing, so CM rises as efficiency falls.</t>
  </si>
  <si>
    <t>The cost per minute is the same on every line; if overhead is not in your CPM, add it to handling or to the FOB margin target.</t>
  </si>
  <si>
    <t>Wastage is a share of marker consumption; consumption already reflects the marker efficiency.</t>
  </si>
  <si>
    <t>FOB price is per piece at the factory's port; freight, duty and buying commission are outside the costing.</t>
  </si>
  <si>
    <t>Limitations</t>
  </si>
  <si>
    <t>No size-ratio or colourway breakdown: use the order's average consumption and SAM, or one row per size group.</t>
  </si>
  <si>
    <t>Cutting and finishing SAM are inside the sewing SAM only if your bulletin includes them; otherwise add them or raise handling.</t>
  </si>
  <si>
    <t>The Dashboard's style blocks have 10 slots; a warning appears when the table is longer. The tiles cover every style.</t>
  </si>
  <si>
    <t>Exchange rates, payment terms and testing fees are not modelled.</t>
  </si>
  <si>
    <t>Agreement with the live calculator</t>
  </si>
  <si>
    <t>The live Garment SAM Labor Cost calculator computes direct labour per garment = SAM x cost per minute / (efficiency / 100) + setup and bundle handling, and effective minutes = SAM / efficiency. The CM cost and Effective minutes columns here are those quantities, with the cost per minute and handling from Setup. The build runs the calculator's own example (18 SAM, 0.14 per minute, 65% efficiency, 0.30 handling: 4.18 per garment) and example style MA-J401 through its engine. Fabric, trims, wash, packing and the margin check are this workbook's additions.</t>
  </si>
  <si>
    <t>Open the Garment SAM Labor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</si>
  <si>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</si>
  <si>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</si>
  <si>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Standard allowed minutes from predetermined motion time systems such as GSD (General Sewing Data) or from time study, as described in ILO, Introduction to Work Study (4th ed., Kanawaty).</t>
  </si>
  <si>
    <t>Line efficiency = output minutes / input minutes, as defined in apparel industrial engineering practice (e.g. Jana and Tiwari, Industrial Engineering in Apparel Manufacturing).</t>
  </si>
  <si>
    <t>1 yd = 0.9144 m exactly (NIST SP 811), for converting consumption if your marker and fabric quote use different units.</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</si>
  <si>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</si>
  <si>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</si>
  <si>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</si>
  <si>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</si>
  <si>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</si>
  <si>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</si>
  <si>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</si>
  <si>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</si>
  <si>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</si>
  <si>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</si>
  <si>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</si>
  <si>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</si>
  <si>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</si>
  <si>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</si>
  <si>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</si>
  <si>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</si>
  <si>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T-1: CM cost (calculator: 4.1769)</t>
  </si>
  <si>
    <t>T-1: effective minutes (calculator: 27.69)</t>
  </si>
  <si>
    <t>T-1: fabric cost with 5% wastage</t>
  </si>
  <si>
    <t>T-1: garment cost</t>
  </si>
  <si>
    <t>T-1: margin on an 11.00 FOB price</t>
  </si>
  <si>
    <t>T-1: margin status against 12%</t>
  </si>
  <si>
    <t>Below target</t>
  </si>
  <si>
    <t>exact</t>
  </si>
  <si>
    <t>T-1: sewing hours for 1,000 pieces</t>
  </si>
  <si>
    <t>T-2: CM cost at 100% efficiency</t>
  </si>
  <si>
    <t>T-2: garment cost</t>
  </si>
  <si>
    <t>T-2: order margin</t>
  </si>
  <si>
    <t>T-2: margin status</t>
  </si>
  <si>
    <t>On target</t>
  </si>
  <si>
    <t>T-3: Check names the missing SAM</t>
  </si>
  <si>
    <t>Missing sam</t>
  </si>
  <si>
    <t>Weighted margin (Dashboard formula)</t>
  </si>
  <si>
    <t>Fabric share of cost (Dashboard formula)</t>
  </si>
  <si>
    <t>Styles below target (Dashboard formula)</t>
  </si>
  <si>
    <t>Fixed test inputs</t>
  </si>
  <si>
    <t>White cells are fixed test inputs; blue cells are the workbook's formulas evaluated on them.</t>
  </si>
  <si>
    <t>Parameters</t>
  </si>
  <si>
    <t>Sewing cost per minute</t>
  </si>
  <si>
    <t>Handling per garment</t>
  </si>
  <si>
    <t>Test table: Styles</t>
  </si>
  <si>
    <t>T-1</t>
  </si>
  <si>
    <t>Calculator example</t>
  </si>
  <si>
    <t>T-2</t>
  </si>
  <si>
    <t>Knit, 100% efficiency</t>
  </si>
  <si>
    <t>T-3</t>
  </si>
  <si>
    <t>Missing SAM</t>
  </si>
  <si>
    <t>Check speaks</t>
  </si>
</sst>
</file>

<file path=xl/styles.xml><?xml version="1.0" encoding="utf-8"?>
<styleSheet xmlns="http://schemas.openxmlformats.org/spreadsheetml/2006/main">
  <numFmts count="7">
    <numFmt numFmtId="164" formatCode="#,##0.0000"/>
    <numFmt numFmtId="165" formatCode="0.0%"/>
    <numFmt numFmtId="166" formatCode="#,##0"/>
    <numFmt numFmtId="167" formatCode="#,##0.000"/>
    <numFmt numFmtId="168" formatCode="#,##0.00"/>
    <numFmt numFmtId="169" formatCode="&quot;Target &quot;0.0%"/>
    <numFmt numFmtId="170"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sz val="9"/>
      <color rgb="FF8A4A06"/>
      <name val="Calibri"/>
      <family val="2"/>
      <scheme val="minor"/>
    </font>
    <font>
      <i/>
      <sz val="9"/>
      <color rgb="FF6B7280"/>
      <name val="Calibri"/>
      <family val="2"/>
      <scheme val="minor"/>
    </font>
    <font>
      <b/>
      <sz val="10"/>
      <color rgb="FFFFFFFF"/>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0"/>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1">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7" borderId="2" xfId="0" applyFont="1" applyFill="1" applyBorder="1" applyAlignment="1">
      <alignment vertical="center" wrapText="1"/>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168" fontId="10" fillId="4" borderId="3" xfId="0" applyNumberFormat="1" applyFont="1" applyFill="1" applyBorder="1" applyAlignment="1">
      <alignment vertical="center"/>
    </xf>
    <xf numFmtId="168" fontId="9"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6" fontId="10" fillId="4" borderId="3" xfId="0" applyNumberFormat="1" applyFont="1" applyFill="1" applyBorder="1" applyAlignment="1">
      <alignment vertical="center"/>
    </xf>
    <xf numFmtId="0" fontId="20" fillId="4" borderId="3" xfId="0" applyFont="1" applyFill="1" applyBorder="1" applyAlignment="1">
      <alignment vertical="center"/>
    </xf>
    <xf numFmtId="0" fontId="21"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169" fontId="22" fillId="9" borderId="7" xfId="0" applyNumberFormat="1" applyFont="1" applyFill="1" applyBorder="1" applyAlignment="1">
      <alignment horizontal="left" vertical="center"/>
    </xf>
    <xf numFmtId="0" fontId="22" fillId="9" borderId="7" xfId="0" applyFont="1" applyFill="1" applyBorder="1" applyAlignment="1">
      <alignment vertical="center"/>
    </xf>
    <xf numFmtId="0" fontId="21" fillId="9" borderId="8" xfId="0" applyFont="1" applyFill="1" applyBorder="1" applyAlignment="1">
      <alignment vertical="center"/>
    </xf>
    <xf numFmtId="0" fontId="23" fillId="0" borderId="0" xfId="0" applyFont="1" applyAlignment="1">
      <alignment vertical="center"/>
    </xf>
    <xf numFmtId="0" fontId="19" fillId="2" borderId="5" xfId="0" applyFont="1" applyFill="1" applyBorder="1" applyAlignment="1">
      <alignment horizontal="left" vertical="center" wrapText="1"/>
    </xf>
    <xf numFmtId="0" fontId="9" fillId="0" borderId="9" xfId="0" applyFont="1" applyBorder="1" applyAlignment="1">
      <alignment vertical="center"/>
    </xf>
    <xf numFmtId="0" fontId="10" fillId="0" borderId="9" xfId="0" applyFont="1" applyBorder="1" applyAlignment="1">
      <alignment vertical="center"/>
    </xf>
    <xf numFmtId="165" fontId="10" fillId="0" borderId="9" xfId="0" applyNumberFormat="1" applyFont="1" applyBorder="1" applyAlignment="1">
      <alignment vertical="center"/>
    </xf>
    <xf numFmtId="0" fontId="10" fillId="4" borderId="3" xfId="0"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9" fillId="0" borderId="9" xfId="0" applyNumberFormat="1" applyFont="1" applyBorder="1" applyAlignment="1">
      <alignment horizontal="center" vertical="center"/>
    </xf>
    <xf numFmtId="164" fontId="10" fillId="0" borderId="9" xfId="0" applyNumberFormat="1" applyFont="1" applyBorder="1" applyAlignment="1">
      <alignment vertical="center"/>
    </xf>
    <xf numFmtId="164" fontId="10" fillId="4" borderId="3" xfId="0" applyNumberFormat="1" applyFont="1" applyFill="1" applyBorder="1" applyAlignment="1">
      <alignment vertical="center"/>
    </xf>
    <xf numFmtId="170" fontId="10" fillId="4" borderId="3" xfId="0" applyNumberFormat="1" applyFont="1" applyFill="1" applyBorder="1" applyAlignment="1">
      <alignment vertical="center"/>
    </xf>
    <xf numFmtId="170" fontId="10" fillId="0" borderId="9" xfId="0" applyNumberFormat="1" applyFont="1" applyBorder="1" applyAlignment="1">
      <alignment vertical="center"/>
    </xf>
    <xf numFmtId="167" fontId="10" fillId="0" borderId="9" xfId="0" applyNumberFormat="1" applyFont="1" applyBorder="1" applyAlignment="1">
      <alignment vertical="center"/>
    </xf>
    <xf numFmtId="167" fontId="10" fillId="4" borderId="3" xfId="0" applyNumberFormat="1" applyFont="1" applyFill="1" applyBorder="1" applyAlignment="1">
      <alignment vertical="center"/>
    </xf>
    <xf numFmtId="168" fontId="10" fillId="0" borderId="9" xfId="0" applyNumberFormat="1" applyFont="1" applyBorder="1" applyAlignment="1">
      <alignment vertical="center"/>
    </xf>
    <xf numFmtId="166"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the cost of each garment goes</a:t>
            </a:r>
          </a:p>
        </c:rich>
      </c:tx>
      <c:layout/>
    </c:title>
    <c:plotArea>
      <c:layout/>
      <c:barChart>
        <c:barDir val="bar"/>
        <c:grouping val="stacked"/>
        <c:ser>
          <c:idx val="0"/>
          <c:order val="0"/>
          <c:tx>
            <c:v>Fabric</c:v>
          </c:tx>
          <c:spPr>
            <a:solidFill>
              <a:srgbClr val="3B64D8"/>
            </a:solidFill>
            <a:ln w="9525">
              <a:solidFill>
                <a:srgbClr val="FFFFFF"/>
              </a:solidFill>
            </a:ln>
          </c:spPr>
          <c:cat>
            <c:strRef>
              <c:f>Dashboard!$B$45:$B$54</c:f>
              <c:strCache>
                <c:ptCount val="10"/>
                <c:pt idx="0">
                  <c:v>MA-T101</c:v>
                </c:pt>
                <c:pt idx="1">
                  <c:v>MA-P201</c:v>
                </c:pt>
                <c:pt idx="2">
                  <c:v>MA-S301</c:v>
                </c:pt>
                <c:pt idx="3">
                  <c:v>MA-J401</c:v>
                </c:pt>
                <c:pt idx="4">
                  <c:v>MA-C501</c:v>
                </c:pt>
                <c:pt idx="5">
                  <c:v>MA-H601</c:v>
                </c:pt>
                <c:pt idx="6">
                  <c:v>MA-D701</c:v>
                </c:pt>
                <c:pt idx="7">
                  <c:v>MA-L801</c:v>
                </c:pt>
                <c:pt idx="8">
                  <c:v>MA-W901</c:v>
                </c:pt>
                <c:pt idx="9">
                  <c:v>MA-K111</c:v>
                </c:pt>
              </c:strCache>
            </c:strRef>
          </c:cat>
          <c:val>
            <c:numRef>
              <c:f>Dashboard!$C$45:$C$54</c:f>
              <c:numCache>
                <c:formatCode>General</c:formatCode>
                <c:ptCount val="10"/>
                <c:pt idx="0">
                  <c:v>0.466824269081829</c:v>
                </c:pt>
                <c:pt idx="1">
                  <c:v>0.426892837600438</c:v>
                </c:pt>
                <c:pt idx="2">
                  <c:v>0.573028640156356</c:v>
                </c:pt>
                <c:pt idx="3">
                  <c:v>0.474631941575864</c:v>
                </c:pt>
                <c:pt idx="4">
                  <c:v>0.451725565019191</c:v>
                </c:pt>
                <c:pt idx="5">
                  <c:v>0.514617716969898</c:v>
                </c:pt>
                <c:pt idx="6">
                  <c:v>0.575779382065508</c:v>
                </c:pt>
                <c:pt idx="7">
                  <c:v>0.586908556018632</c:v>
                </c:pt>
                <c:pt idx="8">
                  <c:v>0.311634835880354</c:v>
                </c:pt>
                <c:pt idx="9">
                  <c:v>0.364855071711418</c:v>
                </c:pt>
              </c:numCache>
            </c:numRef>
          </c:val>
        </c:ser>
        <c:ser>
          <c:idx val="1"/>
          <c:order val="1"/>
          <c:tx>
            <c:v>Trims</c:v>
          </c:tx>
          <c:spPr>
            <a:solidFill>
              <a:srgbClr val="E8702A"/>
            </a:solidFill>
            <a:ln w="9525">
              <a:solidFill>
                <a:srgbClr val="FFFFFF"/>
              </a:solidFill>
            </a:ln>
          </c:spPr>
          <c:cat>
            <c:strRef>
              <c:f>Dashboard!$B$45:$B$54</c:f>
              <c:strCache>
                <c:ptCount val="10"/>
                <c:pt idx="0">
                  <c:v>MA-T101</c:v>
                </c:pt>
                <c:pt idx="1">
                  <c:v>MA-P201</c:v>
                </c:pt>
                <c:pt idx="2">
                  <c:v>MA-S301</c:v>
                </c:pt>
                <c:pt idx="3">
                  <c:v>MA-J401</c:v>
                </c:pt>
                <c:pt idx="4">
                  <c:v>MA-C501</c:v>
                </c:pt>
                <c:pt idx="5">
                  <c:v>MA-H601</c:v>
                </c:pt>
                <c:pt idx="6">
                  <c:v>MA-D701</c:v>
                </c:pt>
                <c:pt idx="7">
                  <c:v>MA-L801</c:v>
                </c:pt>
                <c:pt idx="8">
                  <c:v>MA-W901</c:v>
                </c:pt>
                <c:pt idx="9">
                  <c:v>MA-K111</c:v>
                </c:pt>
              </c:strCache>
            </c:strRef>
          </c:cat>
          <c:val>
            <c:numRef>
              <c:f>Dashboard!$D$45:$D$54</c:f>
              <c:numCache>
                <c:formatCode>General</c:formatCode>
                <c:ptCount val="10"/>
                <c:pt idx="0">
                  <c:v>0.0453403524749251</c:v>
                </c:pt>
                <c:pt idx="1">
                  <c:v>0.0755983065979322</c:v>
                </c:pt>
                <c:pt idx="2">
                  <c:v>0.0437760611272999</c:v>
                </c:pt>
                <c:pt idx="3">
                  <c:v>0.0624960731077058</c:v>
                </c:pt>
                <c:pt idx="4">
                  <c:v>0.0719594687406118</c:v>
                </c:pt>
                <c:pt idx="5">
                  <c:v>0.061031512923375</c:v>
                </c:pt>
                <c:pt idx="6">
                  <c:v>0.034819749762065</c:v>
                </c:pt>
                <c:pt idx="7">
                  <c:v>0.0286017814823895</c:v>
                </c:pt>
                <c:pt idx="8">
                  <c:v>0.133906901226922</c:v>
                </c:pt>
                <c:pt idx="9">
                  <c:v>0.0536425358314835</c:v>
                </c:pt>
              </c:numCache>
            </c:numRef>
          </c:val>
        </c:ser>
        <c:ser>
          <c:idx val="2"/>
          <c:order val="2"/>
          <c:tx>
            <c:v>Embellishment and wash</c:v>
          </c:tx>
          <c:spPr>
            <a:solidFill>
              <a:srgbClr val="1BA37A"/>
            </a:solidFill>
            <a:ln w="9525">
              <a:solidFill>
                <a:srgbClr val="FFFFFF"/>
              </a:solidFill>
            </a:ln>
          </c:spPr>
          <c:cat>
            <c:strRef>
              <c:f>Dashboard!$B$45:$B$54</c:f>
              <c:strCache>
                <c:ptCount val="10"/>
                <c:pt idx="0">
                  <c:v>MA-T101</c:v>
                </c:pt>
                <c:pt idx="1">
                  <c:v>MA-P201</c:v>
                </c:pt>
                <c:pt idx="2">
                  <c:v>MA-S301</c:v>
                </c:pt>
                <c:pt idx="3">
                  <c:v>MA-J401</c:v>
                </c:pt>
                <c:pt idx="4">
                  <c:v>MA-C501</c:v>
                </c:pt>
                <c:pt idx="5">
                  <c:v>MA-H601</c:v>
                </c:pt>
                <c:pt idx="6">
                  <c:v>MA-D701</c:v>
                </c:pt>
                <c:pt idx="7">
                  <c:v>MA-L801</c:v>
                </c:pt>
                <c:pt idx="8">
                  <c:v>MA-W901</c:v>
                </c:pt>
                <c:pt idx="9">
                  <c:v>MA-K111</c:v>
                </c:pt>
              </c:strCache>
            </c:strRef>
          </c:cat>
          <c:val>
            <c:numRef>
              <c:f>Dashboard!$E$45:$E$54</c:f>
              <c:numCache>
                <c:formatCode>General</c:formatCode>
                <c:ptCount val="10"/>
                <c:pt idx="0">
                  <c:v>0.0944590676560939</c:v>
                </c:pt>
                <c:pt idx="1">
                  <c:v>0.0323992742562567</c:v>
                </c:pt>
                <c:pt idx="2">
                  <c:v>0</c:v>
                </c:pt>
                <c:pt idx="3">
                  <c:v>0.0808772710805605</c:v>
                </c:pt>
                <c:pt idx="4">
                  <c:v>0.0308397723174051</c:v>
                </c:pt>
                <c:pt idx="5">
                  <c:v>0.0443865548533637</c:v>
                </c:pt>
                <c:pt idx="6">
                  <c:v>0</c:v>
                </c:pt>
                <c:pt idx="7">
                  <c:v>0</c:v>
                </c:pt>
                <c:pt idx="8">
                  <c:v>0</c:v>
                </c:pt>
                <c:pt idx="9">
                  <c:v>0.107285071662967</c:v>
                </c:pt>
              </c:numCache>
            </c:numRef>
          </c:val>
        </c:ser>
        <c:ser>
          <c:idx val="3"/>
          <c:order val="3"/>
          <c:tx>
            <c:v>Packing</c:v>
          </c:tx>
          <c:spPr>
            <a:solidFill>
              <a:srgbClr val="E0A100"/>
            </a:solidFill>
            <a:ln w="9525">
              <a:solidFill>
                <a:srgbClr val="FFFFFF"/>
              </a:solidFill>
            </a:ln>
          </c:spPr>
          <c:cat>
            <c:strRef>
              <c:f>Dashboard!$B$45:$B$54</c:f>
              <c:strCache>
                <c:ptCount val="10"/>
                <c:pt idx="0">
                  <c:v>MA-T101</c:v>
                </c:pt>
                <c:pt idx="1">
                  <c:v>MA-P201</c:v>
                </c:pt>
                <c:pt idx="2">
                  <c:v>MA-S301</c:v>
                </c:pt>
                <c:pt idx="3">
                  <c:v>MA-J401</c:v>
                </c:pt>
                <c:pt idx="4">
                  <c:v>MA-C501</c:v>
                </c:pt>
                <c:pt idx="5">
                  <c:v>MA-H601</c:v>
                </c:pt>
                <c:pt idx="6">
                  <c:v>MA-D701</c:v>
                </c:pt>
                <c:pt idx="7">
                  <c:v>MA-L801</c:v>
                </c:pt>
                <c:pt idx="8">
                  <c:v>MA-W901</c:v>
                </c:pt>
                <c:pt idx="9">
                  <c:v>MA-K111</c:v>
                </c:pt>
              </c:strCache>
            </c:strRef>
          </c:cat>
          <c:val>
            <c:numRef>
              <c:f>Dashboard!$F$45:$F$54</c:f>
              <c:numCache>
                <c:formatCode>General</c:formatCode>
                <c:ptCount val="10"/>
                <c:pt idx="0">
                  <c:v>0.0377836270624376</c:v>
                </c:pt>
                <c:pt idx="1">
                  <c:v>0.0259194194050053</c:v>
                </c:pt>
                <c:pt idx="2">
                  <c:v>0.01751042445092</c:v>
                </c:pt>
                <c:pt idx="3">
                  <c:v>0.0147049583782837</c:v>
                </c:pt>
                <c:pt idx="4">
                  <c:v>0.018503863390443</c:v>
                </c:pt>
                <c:pt idx="5">
                  <c:v>0.0166449580700114</c:v>
                </c:pt>
                <c:pt idx="6">
                  <c:v>0.0116065832540217</c:v>
                </c:pt>
                <c:pt idx="7">
                  <c:v>0.0228814251859116</c:v>
                </c:pt>
                <c:pt idx="8">
                  <c:v>0.0188306579850359</c:v>
                </c:pt>
                <c:pt idx="9">
                  <c:v>0.0429140286651868</c:v>
                </c:pt>
              </c:numCache>
            </c:numRef>
          </c:val>
        </c:ser>
        <c:ser>
          <c:idx val="4"/>
          <c:order val="4"/>
          <c:tx>
            <c:v>CM</c:v>
          </c:tx>
          <c:spPr>
            <a:solidFill>
              <a:srgbClr val="D0558A"/>
            </a:solidFill>
            <a:ln w="9525">
              <a:solidFill>
                <a:srgbClr val="FFFFFF"/>
              </a:solidFill>
            </a:ln>
          </c:spPr>
          <c:cat>
            <c:strRef>
              <c:f>Dashboard!$B$45:$B$54</c:f>
              <c:strCache>
                <c:ptCount val="10"/>
                <c:pt idx="0">
                  <c:v>MA-T101</c:v>
                </c:pt>
                <c:pt idx="1">
                  <c:v>MA-P201</c:v>
                </c:pt>
                <c:pt idx="2">
                  <c:v>MA-S301</c:v>
                </c:pt>
                <c:pt idx="3">
                  <c:v>MA-J401</c:v>
                </c:pt>
                <c:pt idx="4">
                  <c:v>MA-C501</c:v>
                </c:pt>
                <c:pt idx="5">
                  <c:v>MA-H601</c:v>
                </c:pt>
                <c:pt idx="6">
                  <c:v>MA-D701</c:v>
                </c:pt>
                <c:pt idx="7">
                  <c:v>MA-L801</c:v>
                </c:pt>
                <c:pt idx="8">
                  <c:v>MA-W901</c:v>
                </c:pt>
                <c:pt idx="9">
                  <c:v>MA-K111</c:v>
                </c:pt>
              </c:strCache>
            </c:strRef>
          </c:cat>
          <c:val>
            <c:numRef>
              <c:f>Dashboard!$G$45:$G$54</c:f>
              <c:numCache>
                <c:formatCode>General</c:formatCode>
                <c:ptCount val="10"/>
                <c:pt idx="0">
                  <c:v>0.355592683724715</c:v>
                </c:pt>
                <c:pt idx="1">
                  <c:v>0.439190162140368</c:v>
                </c:pt>
                <c:pt idx="2">
                  <c:v>0.365684874265424</c:v>
                </c:pt>
                <c:pt idx="3">
                  <c:v>0.367289755857586</c:v>
                </c:pt>
                <c:pt idx="4">
                  <c:v>0.426971330532349</c:v>
                </c:pt>
                <c:pt idx="5">
                  <c:v>0.363319257183352</c:v>
                </c:pt>
                <c:pt idx="6">
                  <c:v>0.377794284918406</c:v>
                </c:pt>
                <c:pt idx="7">
                  <c:v>0.361608237313067</c:v>
                </c:pt>
                <c:pt idx="8">
                  <c:v>0.535627604907688</c:v>
                </c:pt>
                <c:pt idx="9">
                  <c:v>0.431303292128944</c:v>
                </c:pt>
              </c:numCache>
            </c:numRef>
          </c:val>
        </c:ser>
        <c:gapWidth val="5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Margin on FOB price by style</a:t>
            </a:r>
          </a:p>
        </c:rich>
      </c:tx>
      <c:layout/>
    </c:title>
    <c:plotArea>
      <c:layout/>
      <c:barChart>
        <c:barDir val="col"/>
        <c:grouping val="clustered"/>
        <c:ser>
          <c:idx val="0"/>
          <c:order val="0"/>
          <c:tx>
            <c:v>Margin</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Dashboard!$B$31:$B$40</c:f>
              <c:strCache>
                <c:ptCount val="10"/>
                <c:pt idx="0">
                  <c:v>MA-T101</c:v>
                </c:pt>
                <c:pt idx="1">
                  <c:v>MA-P201</c:v>
                </c:pt>
                <c:pt idx="2">
                  <c:v>MA-S301</c:v>
                </c:pt>
                <c:pt idx="3">
                  <c:v>MA-J401</c:v>
                </c:pt>
                <c:pt idx="4">
                  <c:v>MA-C501</c:v>
                </c:pt>
                <c:pt idx="5">
                  <c:v>MA-H601</c:v>
                </c:pt>
                <c:pt idx="6">
                  <c:v>MA-D701</c:v>
                </c:pt>
                <c:pt idx="7">
                  <c:v>MA-L801</c:v>
                </c:pt>
                <c:pt idx="8">
                  <c:v>MA-W901</c:v>
                </c:pt>
                <c:pt idx="9">
                  <c:v>MA-K111</c:v>
                </c:pt>
              </c:strCache>
            </c:strRef>
          </c:cat>
          <c:val>
            <c:numRef>
              <c:f>Dashboard!$H$31:$H$40</c:f>
              <c:numCache>
                <c:formatCode>General</c:formatCode>
                <c:ptCount val="10"/>
                <c:pt idx="0">
                  <c:v>0.132246218931782</c:v>
                </c:pt>
                <c:pt idx="1">
                  <c:v>0.126465408805031</c:v>
                </c:pt>
                <c:pt idx="2">
                  <c:v>0.128848228043143</c:v>
                </c:pt>
                <c:pt idx="3">
                  <c:v>0.116827626918536</c:v>
                </c:pt>
                <c:pt idx="4">
                  <c:v>0.123630785958372</c:v>
                </c:pt>
                <c:pt idx="5">
                  <c:v>0.13348673740053</c:v>
                </c:pt>
                <c:pt idx="6">
                  <c:v>0.0634999999999999</c:v>
                </c:pt>
                <c:pt idx="7">
                  <c:v>0.125928571428571</c:v>
                </c:pt>
                <c:pt idx="8">
                  <c:v>0.0628549019607843</c:v>
                </c:pt>
                <c:pt idx="9">
                  <c:v>0.132933833458365</c:v>
                </c:pt>
              </c:numCache>
            </c:numRef>
          </c:val>
        </c:ser>
        <c:gapWidth val="60"/>
        <c:overlap val="-10"/>
        <c:axId val="50020001"/>
        <c:axId val="50020002"/>
      </c:barChart>
      <c:lineChart>
        <c:grouping val="standard"/>
        <c:ser>
          <c:idx val="1"/>
          <c:order val="1"/>
          <c:tx>
            <c:v>Target margin</c:v>
          </c:tx>
          <c:spPr>
            <a:ln w="19050">
              <a:solidFill>
                <a:srgbClr val="4A5361"/>
              </a:solidFill>
              <a:prstDash val="dash"/>
            </a:ln>
          </c:spPr>
          <c:marker>
            <c:symbol val="none"/>
          </c:marker>
          <c:cat>
            <c:strRef>
              <c:f>Dashboard!$B$31:$B$40</c:f>
              <c:strCache>
                <c:ptCount val="10"/>
                <c:pt idx="0">
                  <c:v>MA-T101</c:v>
                </c:pt>
                <c:pt idx="1">
                  <c:v>MA-P201</c:v>
                </c:pt>
                <c:pt idx="2">
                  <c:v>MA-S301</c:v>
                </c:pt>
                <c:pt idx="3">
                  <c:v>MA-J401</c:v>
                </c:pt>
                <c:pt idx="4">
                  <c:v>MA-C501</c:v>
                </c:pt>
                <c:pt idx="5">
                  <c:v>MA-H601</c:v>
                </c:pt>
                <c:pt idx="6">
                  <c:v>MA-D701</c:v>
                </c:pt>
                <c:pt idx="7">
                  <c:v>MA-L801</c:v>
                </c:pt>
                <c:pt idx="8">
                  <c:v>MA-W901</c:v>
                </c:pt>
                <c:pt idx="9">
                  <c:v>MA-K111</c:v>
                </c:pt>
              </c:strCache>
            </c:strRef>
          </c:cat>
          <c:val>
            <c:numRef>
              <c:f>Dashboard!$I$31:$I$40</c:f>
              <c:numCache>
                <c:formatCode>General</c:formatCode>
                <c:ptCount val="10"/>
                <c:pt idx="0">
                  <c:v>0.12</c:v>
                </c:pt>
                <c:pt idx="1">
                  <c:v>0.12</c:v>
                </c:pt>
                <c:pt idx="2">
                  <c:v>0.12</c:v>
                </c:pt>
                <c:pt idx="3">
                  <c:v>0.12</c:v>
                </c:pt>
                <c:pt idx="4">
                  <c:v>0.12</c:v>
                </c:pt>
                <c:pt idx="5">
                  <c:v>0.12</c:v>
                </c:pt>
                <c:pt idx="6">
                  <c:v>0.12</c:v>
                </c:pt>
                <c:pt idx="7">
                  <c:v>0.12</c:v>
                </c:pt>
                <c:pt idx="8">
                  <c:v>0.12</c:v>
                </c:pt>
                <c:pt idx="9">
                  <c:v>0.12</c:v>
                </c:pt>
              </c:numCache>
            </c:numRef>
          </c:val>
        </c:ser>
        <c:marker val="1"/>
        <c:axId val="50020001"/>
        <c:axId val="50020002"/>
      </c:lineChart>
      <c:catAx>
        <c:axId val="50020001"/>
        <c:scaling>
          <c:orientation val="minMax"/>
        </c:scaling>
        <c:axPos val="b"/>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9</xdr:row>
      <xdr:rowOff>38100</xdr:rowOff>
    </xdr:from>
    <xdr:to>
      <xdr:col>5</xdr:col>
      <xdr:colOff>676275</xdr:colOff>
      <xdr:row>25</xdr:row>
      <xdr:rowOff>152400</xdr:rowOff>
    </xdr:to>
    <xdr:graphicFrame macro="">
      <xdr:nvGraphicFramePr>
        <xdr:cNvPr id="2" name="Chart 1" descr="Stacked bar chart of each style's garment cost split into shares of fabric, trims, embellishment and wash, packing and cut-make; fabric is the largest share for most style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9</xdr:row>
      <xdr:rowOff>38100</xdr:rowOff>
    </xdr:from>
    <xdr:to>
      <xdr:col>11</xdr:col>
      <xdr:colOff>676275</xdr:colOff>
      <xdr:row>25</xdr:row>
      <xdr:rowOff>152400</xdr:rowOff>
    </xdr:to>
    <xdr:graphicFrame macro="">
      <xdr:nvGraphicFramePr>
        <xdr:cNvPr id="3" name="Chart 2" descr="Column chart of each style's margin on FOB price with the target margin as a dashed line; styles below the line miss the targe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Styles" displayName="tblStyles" ref="B6:Z16" totalsRowShown="0">
  <autoFilter ref="B6:Z16"/>
  <tableColumns count="25">
    <tableColumn id="1" name="Style"/>
    <tableColumn id="2" name="Description"/>
    <tableColumn id="3" name="Order qty"/>
    <tableColumn id="4" name="Fabric unit"/>
    <tableColumn id="5" name="Consumption"/>
    <tableColumn id="6" name="Wastage"/>
    <tableColumn id="7" name="Fabric price"/>
    <tableColumn id="8" name="Trims"/>
    <tableColumn id="9" name="Embellishment and wash"/>
    <tableColumn id="10" name="Packing"/>
    <tableColumn id="11" name="SAM"/>
    <tableColumn id="12" name="Line efficiency"/>
    <tableColumn id="13" name="FOB price"/>
    <tableColumn id="14" name="Fabric cost">
      <calculatedColumnFormula>IF(tblStyles[[#This Row],[Style]]="","",tblStyles[[#This Row],[Consumption]]*(1+tblStyles[[#This Row],[Wastage]])*tblStyles[[#This Row],[Fabric price]])</calculatedColumnFormula>
    </tableColumn>
    <tableColumn id="15" name="Effective minutes">
      <calculatedColumnFormula>IF(tblStyles[[#This Row],[Style]]="","",IF(AND(tblStyles[[#This Row],[Line efficiency]]&gt;0,N(tblStyles[[#This Row],[SAM]])&gt;0),tblStyles[[#This Row],[SAM]]/tblStyles[[#This Row],[Line efficiency]],""))</calculatedColumnFormula>
    </tableColumn>
    <tableColumn id="16" name="CM cost">
      <calculatedColumnFormula>IF(tblStyles[[#This Row],[Style]]="","",IF(AND(tblStyles[[#This Row],[Line efficiency]]&gt;0,N(tblStyles[[#This Row],[SAM]])&gt;0),tblStyles[[#This Row],[SAM]]*Cpm/tblStyles[[#This Row],[Line efficiency]]+Handling,""))</calculatedColumnFormula>
    </tableColumn>
    <tableColumn id="17" name="Garment cost">
      <calculatedColumnFormula>IF(tblStyles[[#This Row],[Style]]="","",IFERROR(tblStyles[[#This Row],[Fabric cost]]+tblStyles[[#This Row],[Trims]]+tblStyles[[#This Row],[Embellishment and wash]]+tblStyles[[#This Row],[Packing]]+tblStyles[[#This Row],[CM cost]],""))</calculatedColumnFormula>
    </tableColumn>
    <tableColumn id="18" name="Margin">
      <calculatedColumnFormula>IF(tblStyles[[#This Row],[Style]]="","",IF(AND(tblStyles[[#This Row],[FOB price]]&gt;0,ISNUMBER(tblStyles[[#This Row],[Garment cost]])),(tblStyles[[#This Row],[FOB price]]-tblStyles[[#This Row],[Garment cost]])/tblStyles[[#This Row],[FOB price]],""))</calculatedColumnFormula>
    </tableColumn>
    <tableColumn id="19" name="Margin status">
      <calculatedColumnFormula>IF(NOT(ISNUMBER(tblStyles[[#This Row],[Margin]])),"",IF(tblStyles[[#This Row],[Margin]]&gt;=TargetMargin,"On target",IF(tblStyles[[#This Row],[Margin]]&gt;=TargetMargin*(1-0.05),"Near target","Below target")))</calculatedColumnFormula>
    </tableColumn>
    <tableColumn id="20" name="Order cost">
      <calculatedColumnFormula>IF(tblStyles[[#This Row],[Style]]="","",IFERROR(tblStyles[[#This Row],[Garment cost]]*tblStyles[[#This Row],[Order qty]],""))</calculatedColumnFormula>
    </tableColumn>
    <tableColumn id="21" name="Order value">
      <calculatedColumnFormula>IF(tblStyles[[#This Row],[Style]]="","",IF(tblStyles[[#This Row],[FOB price]]&gt;0,tblStyles[[#This Row],[FOB price]]*tblStyles[[#This Row],[Order qty]],""))</calculatedColumnFormula>
    </tableColumn>
    <tableColumn id="22" name="Order margin">
      <calculatedColumnFormula>IF(tblStyles[[#This Row],[Style]]="","",IF(AND(tblStyles[[#This Row],[FOB price]]&gt;0,ISNUMBER(tblStyles[[#This Row],[Order cost]])),tblStyles[[#This Row],[Order value]]-tblStyles[[#This Row],[Order cost]],""))</calculatedColumnFormula>
    </tableColumn>
    <tableColumn id="23" name="Sewing hours">
      <calculatedColumnFormula>IF(tblStyles[[#This Row],[Style]]="","",IFERROR(tblStyles[[#This Row],[Effective minutes]]*tblStyles[[#This Row],[Order qty]]/60,""))</calculatedColumnFormula>
    </tableColumn>
    <tableColumn id="24" name="Check">
      <calculatedColumnFormula>IF(tblStyles[[#This Row],[Style]]="","",IF(tblStyles[[#This Row],[Order qty]]="","Missing order qty",IF(tblStyles[[#This Row],[Fabric unit]]="","Missing fabric unit",IF(tblStyles[[#This Row],[Consumption]]="","Missing consumption",IF(tblStyles[[#This Row],[Fabric price]]="","Missing fabric price",IF(tblStyles[[#This Row],[SAM]]="","Missing sam",IF(tblStyles[[#This Row],[Line efficiency]]="","Missing line efficiency",IF(COUNTIF(tblStyles[Style],tblStyles[[#This Row],[Style]])&gt;1,"Duplicate style","OK"))))))))</calculatedColumnFormula>
    </tableColumn>
    <tableColumn id="25" name="Notes"/>
  </tableColumns>
  <tableStyleInfo name="TableStyleLight1" showFirstColumn="0" showLastColumn="0" showRowStripes="0" showColumnStripes="0"/>
</table>
</file>

<file path=xl/tables/table2.xml><?xml version="1.0" encoding="utf-8"?>
<table xmlns="http://schemas.openxmlformats.org/spreadsheetml/2006/main" id="2" name="tblVerifyStyles" displayName="tblVerifyStyles" ref="B37:Z40" totalsRowShown="0">
  <tableColumns count="25">
    <tableColumn id="1" name="Style"/>
    <tableColumn id="2" name="Description"/>
    <tableColumn id="3" name="Order qty"/>
    <tableColumn id="4" name="Fabric unit"/>
    <tableColumn id="5" name="Consumption"/>
    <tableColumn id="6" name="Wastage"/>
    <tableColumn id="7" name="Fabric price"/>
    <tableColumn id="8" name="Trims"/>
    <tableColumn id="9" name="Embellishment and wash"/>
    <tableColumn id="10" name="Packing"/>
    <tableColumn id="11" name="SAM"/>
    <tableColumn id="12" name="Line efficiency"/>
    <tableColumn id="13" name="FOB price"/>
    <tableColumn id="14" name="Fabric cost">
      <calculatedColumnFormula>IF(tblVerifyStyles[[#This Row],[Style]]="","",tblVerifyStyles[[#This Row],[Consumption]]*(1+tblVerifyStyles[[#This Row],[Wastage]])*tblVerifyStyles[[#This Row],[Fabric price]])</calculatedColumnFormula>
    </tableColumn>
    <tableColumn id="15" name="Effective minutes">
      <calculatedColumnFormula>IF(tblVerifyStyles[[#This Row],[Style]]="","",IF(AND(tblVerifyStyles[[#This Row],[Line efficiency]]&gt;0,N(tblVerifyStyles[[#This Row],[SAM]])&gt;0),tblVerifyStyles[[#This Row],[SAM]]/tblVerifyStyles[[#This Row],[Line efficiency]],""))</calculatedColumnFormula>
    </tableColumn>
    <tableColumn id="16" name="CM cost">
      <calculatedColumnFormula>IF(tblVerifyStyles[[#This Row],[Style]]="","",IF(AND(tblVerifyStyles[[#This Row],[Line efficiency]]&gt;0,N(tblVerifyStyles[[#This Row],[SAM]])&gt;0),tblVerifyStyles[[#This Row],[SAM]]*$E$31/tblVerifyStyles[[#This Row],[Line efficiency]]+$E$32,""))</calculatedColumnFormula>
    </tableColumn>
    <tableColumn id="17" name="Garment cost">
      <calculatedColumnFormula>IF(tblVerifyStyles[[#This Row],[Style]]="","",IFERROR(tblVerifyStyles[[#This Row],[Fabric cost]]+tblVerifyStyles[[#This Row],[Trims]]+tblVerifyStyles[[#This Row],[Embellishment and wash]]+tblVerifyStyles[[#This Row],[Packing]]+tblVerifyStyles[[#This Row],[CM cost]],""))</calculatedColumnFormula>
    </tableColumn>
    <tableColumn id="18" name="Margin">
      <calculatedColumnFormula>IF(tblVerifyStyles[[#This Row],[Style]]="","",IF(AND(tblVerifyStyles[[#This Row],[FOB price]]&gt;0,ISNUMBER(tblVerifyStyles[[#This Row],[Garment cost]])),(tblVerifyStyles[[#This Row],[FOB price]]-tblVerifyStyles[[#This Row],[Garment cost]])/tblVerifyStyles[[#This Row],[FOB price]],""))</calculatedColumnFormula>
    </tableColumn>
    <tableColumn id="19" name="Margin status">
      <calculatedColumnFormula>IF(NOT(ISNUMBER(tblVerifyStyles[[#This Row],[Margin]])),"",IF(tblVerifyStyles[[#This Row],[Margin]]&gt;=$E$33,"On target",IF(tblVerifyStyles[[#This Row],[Margin]]&gt;=$E$33*(1-0.05),"Near target","Below target")))</calculatedColumnFormula>
    </tableColumn>
    <tableColumn id="20" name="Order cost">
      <calculatedColumnFormula>IF(tblVerifyStyles[[#This Row],[Style]]="","",IFERROR(tblVerifyStyles[[#This Row],[Garment cost]]*tblVerifyStyles[[#This Row],[Order qty]],""))</calculatedColumnFormula>
    </tableColumn>
    <tableColumn id="21" name="Order value">
      <calculatedColumnFormula>IF(tblVerifyStyles[[#This Row],[Style]]="","",IF(tblVerifyStyles[[#This Row],[FOB price]]&gt;0,tblVerifyStyles[[#This Row],[FOB price]]*tblVerifyStyles[[#This Row],[Order qty]],""))</calculatedColumnFormula>
    </tableColumn>
    <tableColumn id="22" name="Order margin">
      <calculatedColumnFormula>IF(tblVerifyStyles[[#This Row],[Style]]="","",IF(AND(tblVerifyStyles[[#This Row],[FOB price]]&gt;0,ISNUMBER(tblVerifyStyles[[#This Row],[Order cost]])),tblVerifyStyles[[#This Row],[Order value]]-tblVerifyStyles[[#This Row],[Order cost]],""))</calculatedColumnFormula>
    </tableColumn>
    <tableColumn id="23" name="Sewing hours">
      <calculatedColumnFormula>IF(tblVerifyStyles[[#This Row],[Style]]="","",IFERROR(tblVerifyStyles[[#This Row],[Effective minutes]]*tblVerifyStyles[[#This Row],[Order qty]]/60,""))</calculatedColumnFormula>
    </tableColumn>
    <tableColumn id="24" name="Check">
      <calculatedColumnFormula>IF(tblVerifyStyles[[#This Row],[Style]]="","",IF(tblVerifyStyles[[#This Row],[Order qty]]="","Missing order qty",IF(tblVerifyStyles[[#This Row],[Fabric unit]]="","Missing fabric unit",IF(tblVerifyStyles[[#This Row],[Consumption]]="","Missing consumption",IF(tblVerifyStyles[[#This Row],[Fabric price]]="","Missing fabric price",IF(tblVerifyStyles[[#This Row],[SAM]]="","Missing sam",IF(tblVerifyStyles[[#This Row],[Line efficiency]]="","Missing line efficiency",IF(COUNTIF(tblVerifyStyles[Style],tblVerifyStyles[[#This Row],[Style]])&gt;1,"Duplicate style","OK"))))))))</calculatedColumnFormula>
    </tableColumn>
    <tableColumn id="25"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arment-costing-sheet" TargetMode="External"/><Relationship Id="rId2" Type="http://schemas.openxmlformats.org/officeDocument/2006/relationships/hyperlink" Target="https://www.mfgcalcs.com/calculators/textiles-apparel-soft-goods-manufacturing/garment-sam-labor-cost?utm_source=mfgcalcs-template&amp;utm_medium=xlsx&amp;utm_campaign=garment-costing-sheet" TargetMode="External"/><Relationship Id="rId3" Type="http://schemas.openxmlformats.org/officeDocument/2006/relationships/hyperlink" Target="https://www.mfgcalcs.com/templates/garment-costing-sheet?utm_source=mfgcalcs-template&amp;utm_medium=xlsx&amp;utm_campaign=garment-costing-sheet" TargetMode="External"/><Relationship Id="rId4" Type="http://schemas.openxmlformats.org/officeDocument/2006/relationships/hyperlink" Target="https://www.mfgcalcs.com/templates?utm_source=mfgcalcs-template&amp;utm_medium=xlsx&amp;utm_campaign=garment-costing-shee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arment-costing-shee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arment-costing-sheet" TargetMode="External"/><Relationship Id="rId2"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arment-costing-sheet"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arment-costing-sheet" TargetMode="External"/><Relationship Id="rId2" Type="http://schemas.openxmlformats.org/officeDocument/2006/relationships/hyperlink" Target="https://www.mfgcalcs.com/calculators/textiles-apparel-soft-goods-manufacturing/garment-sam-labor-cost?utm_source=mfgcalcs-template&amp;utm_medium=xlsx&amp;utm_campaign=garment-costing-shee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arment-costing-sheet" TargetMode="External"/><Relationship Id="rId2"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16.2"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15 of 15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Styles!A1" tooltip="Go to Styles" display="Styles"/>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Garment Costing Sheet&amp;R&amp;8&amp;A</oddHeader>
    <oddFooter>&amp;L&amp;8mfgcalcs.com - free manufacturing templates&amp;R&amp;8Page &amp;P of &amp;N</oddFooter>
  </headerFooter>
  <rowBreaks count="1" manualBreakCount="1">
    <brk id="34"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12"/>
  <sheetViews>
    <sheetView showGridLines="0" workbookViewId="0"/>
  </sheetViews>
  <sheetFormatPr defaultRowHeight="15"/>
  <cols>
    <col min="1" max="1" width="2.7109375" customWidth="1"/>
    <col min="2" max="2" width="40.7109375" customWidth="1"/>
    <col min="3" max="3" width="14.7109375" customWidth="1"/>
    <col min="4" max="4" width="22.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62</v>
      </c>
      <c r="C4" s="8"/>
      <c r="D4" s="8"/>
    </row>
    <row r="5" spans="1:5" ht="5" customHeight="1"/>
    <row r="6" spans="1:5">
      <c r="B6" s="27" t="s">
        <v>63</v>
      </c>
      <c r="C6" s="28" t="s">
        <v>64</v>
      </c>
      <c r="D6" s="28"/>
    </row>
    <row r="7" spans="1:5">
      <c r="B7" s="27" t="s">
        <v>65</v>
      </c>
      <c r="C7" s="28" t="s">
        <v>66</v>
      </c>
      <c r="D7" s="28"/>
    </row>
    <row r="8" spans="1:5">
      <c r="B8" s="27" t="s">
        <v>67</v>
      </c>
      <c r="C8" s="29">
        <v>0.08500000000000001</v>
      </c>
      <c r="D8" s="7" t="str">
        <f>Currency&amp;"/min"</f>
        <v>USD/min</v>
      </c>
    </row>
    <row r="9" spans="1:5">
      <c r="B9" s="27" t="s">
        <v>68</v>
      </c>
      <c r="C9" s="29">
        <v>0.05</v>
      </c>
      <c r="D9" s="7" t="str">
        <f>Currency&amp;"/garment"</f>
        <v>USD/garment</v>
      </c>
    </row>
    <row r="10" spans="1:5">
      <c r="B10" s="27" t="s">
        <v>69</v>
      </c>
      <c r="C10" s="30">
        <v>0.12</v>
      </c>
      <c r="D10" s="7"/>
    </row>
    <row r="12" spans="1:5" ht="48.6" customHeight="1">
      <c r="B12" s="25" t="s">
        <v>70</v>
      </c>
      <c r="C12" s="25"/>
      <c r="D12" s="25"/>
    </row>
  </sheetData>
  <mergeCells count="7">
    <mergeCell ref="A1:E1"/>
    <mergeCell ref="B2:C2"/>
    <mergeCell ref="D2:E2"/>
    <mergeCell ref="B4:D4"/>
    <mergeCell ref="C6:D6"/>
    <mergeCell ref="C7:D7"/>
    <mergeCell ref="B12:D12"/>
  </mergeCells>
  <dataValidations count="5">
    <dataValidation type="textLength" allowBlank="1" showInputMessage="1" showErrorMessage="1" errorTitle="Check this entry" error="Text up to 80 characters." promptTitle="Company or factory" prompt="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EUR, GBP, INR, BDT. No exchange rate is applied. Text up to 12 characters." sqref="C7">
      <formula1>0</formula1>
      <formula2>12</formula2>
    </dataValidation>
    <dataValidation type="decimal" allowBlank="1" showInputMessage="1" showErrorMessage="1" errorTitle="Check this entry" error="Enter a number from 0 to 100." promptTitle="Sewing cost per minute (CPM)" prompt="Cost of one paid minute of the sewing line: operators, helpers and supervisors with benefits, plus factory overhead if you cost that way. Line cost per month / (operators x paid minutes per month). Enter a number from 0 to 100." sqref="C8">
      <formula1>0</formula1>
      <formula2>100</formula2>
    </dataValidation>
    <dataValidation type="decimal" allowBlank="1" showInputMessage="1" showErrorMessage="1" errorTitle="Check this entry" error="Enter a number from 0 to 100." promptTitle="Line setup and bundle handling" prompt="Cutting-room bundling, line setup and feeding per garment that SAM does not cover. Enter a number from 0 to 100." sqref="C9">
      <formula1>0</formula1>
      <formula2>100</formula2>
    </dataValidation>
    <dataValidation type="decimal" allowBlank="1" showInputMessage="1" showErrorMessage="1" errorTitle="Check this entry" error="Enter a percentage from 0% to 95% (type 85% or 0.85)." promptTitle="Target margin on FOB price" prompt="Your own target: margin = (FOB price - garment cost) / FOB price. No industry benchmark is assumed. Enter a percentage from 0% to 95% (type 85% or 0.85)." sqref="C10">
      <formula1>0</formula1>
      <formula2>0.95</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Garment Costing Sheet&amp;R&amp;8&amp;A</oddHeader>
    <oddFooter>&amp;L&amp;8mfgcalcs.com - free manufacturing templates&amp;R&amp;8Page &amp;P of &amp;N</oddFooter>
  </headerFooter>
</worksheet>
</file>

<file path=xl/worksheets/sheet3.xml><?xml version="1.0" encoding="utf-8"?>
<worksheet xmlns="http://schemas.openxmlformats.org/spreadsheetml/2006/main" xmlns:r="http://schemas.openxmlformats.org/officeDocument/2006/relationships">
  <sheetPr>
    <tabColor rgb="FF3B64D8"/>
    <pageSetUpPr fitToPage="1"/>
  </sheetPr>
  <dimension ref="A1:Z16"/>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9.7109375" customWidth="1"/>
    <col min="3" max="3" width="17.7109375" customWidth="1"/>
    <col min="4" max="4" width="8.7109375" customWidth="1"/>
    <col min="5" max="5" width="7.7109375" customWidth="1"/>
    <col min="6" max="6" width="12.28515625" customWidth="1"/>
    <col min="7" max="7" width="8.28515625" customWidth="1"/>
    <col min="8" max="8" width="9.28515625" customWidth="1"/>
    <col min="9" max="9" width="8.28515625" customWidth="1"/>
    <col min="10" max="10" width="14.7109375" customWidth="1"/>
    <col min="11" max="11" width="8.28515625" customWidth="1"/>
    <col min="12" max="12" width="7.7109375" customWidth="1"/>
    <col min="13" max="15" width="8.7109375" customWidth="1"/>
    <col min="16" max="16" width="9.28515625" customWidth="1"/>
    <col min="17" max="17" width="8.7109375" customWidth="1"/>
    <col min="18" max="18" width="9.28515625" customWidth="1"/>
    <col min="19" max="19" width="8.7109375" customWidth="1"/>
    <col min="20" max="20" width="11.7109375" customWidth="1"/>
    <col min="21" max="23" width="10.28515625" customWidth="1"/>
    <col min="24" max="24" width="8.7109375" customWidth="1"/>
    <col min="25" max="26" width="20.7109375" customWidth="1"/>
  </cols>
  <sheetData>
    <row r="1" spans="1:26" ht="30" customHeight="1">
      <c r="A1" s="1" t="s">
        <v>0</v>
      </c>
      <c r="B1" s="1"/>
      <c r="C1" s="1"/>
      <c r="D1" s="1"/>
      <c r="E1" s="1"/>
      <c r="F1" s="1"/>
      <c r="G1" s="1"/>
      <c r="H1" s="1"/>
      <c r="I1" s="1"/>
      <c r="J1" s="1"/>
      <c r="K1" s="1"/>
      <c r="L1" s="1"/>
      <c r="M1" s="1"/>
      <c r="N1" s="1"/>
      <c r="O1" s="1"/>
      <c r="P1" s="1"/>
      <c r="Q1" s="1"/>
      <c r="R1" s="1"/>
      <c r="S1" s="1"/>
      <c r="T1" s="1"/>
      <c r="U1" s="1"/>
      <c r="V1" s="1"/>
      <c r="W1" s="1"/>
      <c r="X1" s="1"/>
      <c r="Y1" s="1"/>
      <c r="Z1" s="1"/>
    </row>
    <row r="2" spans="1:26" ht="21" customHeight="1">
      <c r="B2" s="2" t="s">
        <v>22</v>
      </c>
      <c r="C2" s="2"/>
      <c r="D2" s="2"/>
      <c r="E2" s="2"/>
      <c r="F2" s="2"/>
      <c r="G2" s="2"/>
      <c r="H2" s="2"/>
      <c r="I2" s="2"/>
      <c r="J2" s="2"/>
      <c r="K2" s="2"/>
      <c r="L2" s="2"/>
      <c r="M2" s="2"/>
      <c r="N2" s="2"/>
      <c r="O2" s="2"/>
      <c r="P2" s="2"/>
      <c r="Q2" s="2"/>
      <c r="R2" s="2"/>
      <c r="S2" s="2"/>
      <c r="T2" s="2"/>
      <c r="U2" s="2"/>
      <c r="V2" s="2"/>
      <c r="W2" s="2"/>
      <c r="X2" s="2"/>
      <c r="Y2" s="2"/>
      <c r="Z2" s="3" t="s">
        <v>2</v>
      </c>
    </row>
    <row r="3" spans="1:26" ht="6" customHeight="1"/>
    <row r="4" spans="1:26" ht="18" customHeight="1">
      <c r="B4" s="31" t="s">
        <v>96</v>
      </c>
      <c r="C4" s="31"/>
      <c r="D4" s="31"/>
      <c r="E4" s="31"/>
      <c r="F4" s="31"/>
      <c r="G4" s="31"/>
      <c r="H4" s="31"/>
      <c r="I4" s="31"/>
      <c r="J4" s="31"/>
      <c r="K4" s="31"/>
      <c r="L4" s="31"/>
      <c r="M4" s="31"/>
      <c r="N4" s="31"/>
      <c r="O4" s="31"/>
      <c r="P4" s="31"/>
      <c r="Q4" s="31"/>
      <c r="R4" s="31"/>
      <c r="S4" s="31"/>
      <c r="T4" s="31"/>
      <c r="U4" s="31"/>
      <c r="V4" s="31"/>
      <c r="W4" s="31"/>
      <c r="X4" s="31"/>
      <c r="Y4" s="31"/>
      <c r="Z4" s="31"/>
    </row>
    <row r="5" spans="1:26" ht="14" customHeight="1">
      <c r="B5" s="32"/>
      <c r="C5" s="32"/>
      <c r="D5" s="32" t="s">
        <v>97</v>
      </c>
      <c r="E5" s="32"/>
      <c r="F5" s="32" t="s">
        <v>98</v>
      </c>
      <c r="G5" s="32" t="s">
        <v>99</v>
      </c>
      <c r="H5" s="32" t="str">
        <f>Currency&amp;"/unit"</f>
        <v>USD/unit</v>
      </c>
      <c r="I5" s="32" t="str">
        <f>Currency&amp;"/pc"</f>
        <v>USD/pc</v>
      </c>
      <c r="J5" s="32" t="str">
        <f>Currency&amp;"/pc"</f>
        <v>USD/pc</v>
      </c>
      <c r="K5" s="32" t="str">
        <f>Currency&amp;"/pc"</f>
        <v>USD/pc</v>
      </c>
      <c r="L5" s="32" t="s">
        <v>100</v>
      </c>
      <c r="M5" s="32" t="s">
        <v>99</v>
      </c>
      <c r="N5" s="32" t="str">
        <f>Currency&amp;"/pc"</f>
        <v>USD/pc</v>
      </c>
      <c r="O5" s="32" t="str">
        <f>Currency&amp;"/pc"</f>
        <v>USD/pc</v>
      </c>
      <c r="P5" s="32" t="s">
        <v>100</v>
      </c>
      <c r="Q5" s="32" t="str">
        <f>Currency&amp;"/pc"</f>
        <v>USD/pc</v>
      </c>
      <c r="R5" s="32" t="str">
        <f>Currency&amp;"/pc"</f>
        <v>USD/pc</v>
      </c>
      <c r="S5" s="32" t="s">
        <v>101</v>
      </c>
      <c r="T5" s="32"/>
      <c r="U5" s="32" t="str">
        <f>Currency</f>
        <v>USD</v>
      </c>
      <c r="V5" s="32" t="str">
        <f>Currency</f>
        <v>USD</v>
      </c>
      <c r="W5" s="32" t="str">
        <f>Currency</f>
        <v>USD</v>
      </c>
      <c r="X5" s="32" t="s">
        <v>102</v>
      </c>
      <c r="Y5" s="32"/>
      <c r="Z5" s="32"/>
    </row>
    <row r="6" spans="1:26" ht="32" customHeight="1">
      <c r="B6" s="33" t="s">
        <v>71</v>
      </c>
      <c r="C6" s="33" t="s">
        <v>72</v>
      </c>
      <c r="D6" s="33" t="s">
        <v>73</v>
      </c>
      <c r="E6" s="33" t="s">
        <v>74</v>
      </c>
      <c r="F6" s="33" t="s">
        <v>75</v>
      </c>
      <c r="G6" s="33" t="s">
        <v>76</v>
      </c>
      <c r="H6" s="33" t="s">
        <v>77</v>
      </c>
      <c r="I6" s="33" t="s">
        <v>78</v>
      </c>
      <c r="J6" s="33" t="s">
        <v>79</v>
      </c>
      <c r="K6" s="33" t="s">
        <v>80</v>
      </c>
      <c r="L6" s="33" t="s">
        <v>81</v>
      </c>
      <c r="M6" s="33" t="s">
        <v>82</v>
      </c>
      <c r="N6" s="33" t="s">
        <v>83</v>
      </c>
      <c r="O6" s="33" t="s">
        <v>84</v>
      </c>
      <c r="P6" s="33" t="s">
        <v>85</v>
      </c>
      <c r="Q6" s="33" t="s">
        <v>86</v>
      </c>
      <c r="R6" s="33" t="s">
        <v>87</v>
      </c>
      <c r="S6" s="33" t="s">
        <v>88</v>
      </c>
      <c r="T6" s="33" t="s">
        <v>89</v>
      </c>
      <c r="U6" s="33" t="s">
        <v>90</v>
      </c>
      <c r="V6" s="33" t="s">
        <v>91</v>
      </c>
      <c r="W6" s="33" t="s">
        <v>92</v>
      </c>
      <c r="X6" s="33" t="s">
        <v>93</v>
      </c>
      <c r="Y6" s="33" t="s">
        <v>94</v>
      </c>
      <c r="Z6" s="33" t="s">
        <v>95</v>
      </c>
    </row>
    <row r="7" spans="1:26">
      <c r="B7" s="28" t="s">
        <v>103</v>
      </c>
      <c r="C7" s="28" t="s">
        <v>104</v>
      </c>
      <c r="D7" s="34">
        <v>6000</v>
      </c>
      <c r="E7" s="28" t="s">
        <v>105</v>
      </c>
      <c r="F7" s="35">
        <v>0.22</v>
      </c>
      <c r="G7" s="30">
        <v>0.08</v>
      </c>
      <c r="H7" s="36">
        <v>5.2</v>
      </c>
      <c r="I7" s="36">
        <v>0.12</v>
      </c>
      <c r="J7" s="36">
        <v>0.25</v>
      </c>
      <c r="K7" s="36">
        <v>0.1</v>
      </c>
      <c r="L7" s="36">
        <v>6.5</v>
      </c>
      <c r="M7" s="30">
        <v>0.62</v>
      </c>
      <c r="N7" s="36">
        <v>3.05</v>
      </c>
      <c r="O7" s="37">
        <f>IF(tblStyles[[#This Row],[Style]]="","",tblStyles[[#This Row],[Consumption]]*(1+tblStyles[[#This Row],[Wastage]])*tblStyles[[#This Row],[Fabric price]])</f>
        <v>1.23552</v>
      </c>
      <c r="P7" s="37">
        <f>IF(tblStyles[[#This Row],[Style]]="","",IF(AND(tblStyles[[#This Row],[Line efficiency]]&gt;0,N(tblStyles[[#This Row],[SAM]])&gt;0),tblStyles[[#This Row],[SAM]]/tblStyles[[#This Row],[Line efficiency]],""))</f>
        <v>10.4838709677419</v>
      </c>
      <c r="Q7" s="37">
        <f>IF(tblStyles[[#This Row],[Style]]="","",IF(AND(tblStyles[[#This Row],[Line efficiency]]&gt;0,N(tblStyles[[#This Row],[SAM]])&gt;0),tblStyles[[#This Row],[SAM]]*Cpm/tblStyles[[#This Row],[Line efficiency]]+Handling,""))</f>
        <v>0.941129032258065</v>
      </c>
      <c r="R7" s="38">
        <f>IF(tblStyles[[#This Row],[Style]]="","",IFERROR(tblStyles[[#This Row],[Fabric cost]]+tblStyles[[#This Row],[Trims]]+tblStyles[[#This Row],[Embellishment and wash]]+tblStyles[[#This Row],[Packing]]+tblStyles[[#This Row],[CM cost]],""))</f>
        <v>2.64664903225806</v>
      </c>
      <c r="S7" s="39">
        <f>IF(tblStyles[[#This Row],[Style]]="","",IF(AND(tblStyles[[#This Row],[FOB price]]&gt;0,ISNUMBER(tblStyles[[#This Row],[Garment cost]])),(tblStyles[[#This Row],[FOB price]]-tblStyles[[#This Row],[Garment cost]])/tblStyles[[#This Row],[FOB price]],""))</f>
        <v>0.132246218931782</v>
      </c>
      <c r="T7" s="40" t="str">
        <f>IF(NOT(ISNUMBER(tblStyles[[#This Row],[Margin]])),"",IF(tblStyles[[#This Row],[Margin]]&gt;=TargetMargin,"On target",IF(tblStyles[[#This Row],[Margin]]&gt;=TargetMargin*(1-0.05),"Near target","Below target")))</f>
        <v>On target</v>
      </c>
      <c r="U7" s="41">
        <f>IF(tblStyles[[#This Row],[Style]]="","",IFERROR(tblStyles[[#This Row],[Garment cost]]*tblStyles[[#This Row],[Order qty]],""))</f>
        <v>15879.8941935484</v>
      </c>
      <c r="V7" s="41">
        <f>IF(tblStyles[[#This Row],[Style]]="","",IF(tblStyles[[#This Row],[FOB price]]&gt;0,tblStyles[[#This Row],[FOB price]]*tblStyles[[#This Row],[Order qty]],""))</f>
        <v>18300</v>
      </c>
      <c r="W7" s="41">
        <f>IF(tblStyles[[#This Row],[Style]]="","",IF(AND(tblStyles[[#This Row],[FOB price]]&gt;0,ISNUMBER(tblStyles[[#This Row],[Order cost]])),tblStyles[[#This Row],[Order value]]-tblStyles[[#This Row],[Order cost]],""))</f>
        <v>2420.10580645161</v>
      </c>
      <c r="X7" s="41">
        <f>IF(tblStyles[[#This Row],[Style]]="","",IFERROR(tblStyles[[#This Row],[Effective minutes]]*tblStyles[[#This Row],[Order qty]]/60,""))</f>
        <v>1048.38709677419</v>
      </c>
      <c r="Y7" s="42" t="str">
        <f>IF(tblStyles[[#This Row],[Style]]="","",IF(tblStyles[[#This Row],[Order qty]]="","Missing order qty",IF(tblStyles[[#This Row],[Fabric unit]]="","Missing fabric unit",IF(tblStyles[[#This Row],[Consumption]]="","Missing consumption",IF(tblStyles[[#This Row],[Fabric price]]="","Missing fabric price",IF(tblStyles[[#This Row],[SAM]]="","Missing sam",IF(tblStyles[[#This Row],[Line efficiency]]="","Missing line efficiency",IF(COUNTIF(tblStyles[Style],tblStyles[[#This Row],[Style]])&gt;1,"Duplicate style","OK"))))))))</f>
        <v>OK</v>
      </c>
      <c r="Z7" s="28" t="s">
        <v>106</v>
      </c>
    </row>
    <row r="8" spans="1:26">
      <c r="B8" s="28" t="s">
        <v>107</v>
      </c>
      <c r="C8" s="28" t="s">
        <v>108</v>
      </c>
      <c r="D8" s="34">
        <v>3000</v>
      </c>
      <c r="E8" s="28" t="s">
        <v>105</v>
      </c>
      <c r="F8" s="35">
        <v>0.3</v>
      </c>
      <c r="G8" s="30">
        <v>0.08</v>
      </c>
      <c r="H8" s="36">
        <v>6.1</v>
      </c>
      <c r="I8" s="36">
        <v>0.35</v>
      </c>
      <c r="J8" s="36">
        <v>0.15</v>
      </c>
      <c r="K8" s="36">
        <v>0.12</v>
      </c>
      <c r="L8" s="36">
        <v>14</v>
      </c>
      <c r="M8" s="30">
        <v>0.6</v>
      </c>
      <c r="N8" s="36">
        <v>5.3</v>
      </c>
      <c r="O8" s="37">
        <f>IF(tblStyles[[#This Row],[Style]]="","",tblStyles[[#This Row],[Consumption]]*(1+tblStyles[[#This Row],[Wastage]])*tblStyles[[#This Row],[Fabric price]])</f>
        <v>1.9764</v>
      </c>
      <c r="P8" s="37">
        <f>IF(tblStyles[[#This Row],[Style]]="","",IF(AND(tblStyles[[#This Row],[Line efficiency]]&gt;0,N(tblStyles[[#This Row],[SAM]])&gt;0),tblStyles[[#This Row],[SAM]]/tblStyles[[#This Row],[Line efficiency]],""))</f>
        <v>23.3333333333333</v>
      </c>
      <c r="Q8" s="37">
        <f>IF(tblStyles[[#This Row],[Style]]="","",IF(AND(tblStyles[[#This Row],[Line efficiency]]&gt;0,N(tblStyles[[#This Row],[SAM]])&gt;0),tblStyles[[#This Row],[SAM]]*Cpm/tblStyles[[#This Row],[Line efficiency]]+Handling,""))</f>
        <v>2.03333333333333</v>
      </c>
      <c r="R8" s="38">
        <f>IF(tblStyles[[#This Row],[Style]]="","",IFERROR(tblStyles[[#This Row],[Fabric cost]]+tblStyles[[#This Row],[Trims]]+tblStyles[[#This Row],[Embellishment and wash]]+tblStyles[[#This Row],[Packing]]+tblStyles[[#This Row],[CM cost]],""))</f>
        <v>4.62973333333333</v>
      </c>
      <c r="S8" s="39">
        <f>IF(tblStyles[[#This Row],[Style]]="","",IF(AND(tblStyles[[#This Row],[FOB price]]&gt;0,ISNUMBER(tblStyles[[#This Row],[Garment cost]])),(tblStyles[[#This Row],[FOB price]]-tblStyles[[#This Row],[Garment cost]])/tblStyles[[#This Row],[FOB price]],""))</f>
        <v>0.126465408805031</v>
      </c>
      <c r="T8" s="40" t="str">
        <f>IF(NOT(ISNUMBER(tblStyles[[#This Row],[Margin]])),"",IF(tblStyles[[#This Row],[Margin]]&gt;=TargetMargin,"On target",IF(tblStyles[[#This Row],[Margin]]&gt;=TargetMargin*(1-0.05),"Near target","Below target")))</f>
        <v>On target</v>
      </c>
      <c r="U8" s="41">
        <f>IF(tblStyles[[#This Row],[Style]]="","",IFERROR(tblStyles[[#This Row],[Garment cost]]*tblStyles[[#This Row],[Order qty]],""))</f>
        <v>13889.2</v>
      </c>
      <c r="V8" s="41">
        <f>IF(tblStyles[[#This Row],[Style]]="","",IF(tblStyles[[#This Row],[FOB price]]&gt;0,tblStyles[[#This Row],[FOB price]]*tblStyles[[#This Row],[Order qty]],""))</f>
        <v>15900</v>
      </c>
      <c r="W8" s="41">
        <f>IF(tblStyles[[#This Row],[Style]]="","",IF(AND(tblStyles[[#This Row],[FOB price]]&gt;0,ISNUMBER(tblStyles[[#This Row],[Order cost]])),tblStyles[[#This Row],[Order value]]-tblStyles[[#This Row],[Order cost]],""))</f>
        <v>2010.8</v>
      </c>
      <c r="X8" s="41">
        <f>IF(tblStyles[[#This Row],[Style]]="","",IFERROR(tblStyles[[#This Row],[Effective minutes]]*tblStyles[[#This Row],[Order qty]]/60,""))</f>
        <v>1166.66666666667</v>
      </c>
      <c r="Y8" s="42" t="str">
        <f>IF(tblStyles[[#This Row],[Style]]="","",IF(tblStyles[[#This Row],[Order qty]]="","Missing order qty",IF(tblStyles[[#This Row],[Fabric unit]]="","Missing fabric unit",IF(tblStyles[[#This Row],[Consumption]]="","Missing consumption",IF(tblStyles[[#This Row],[Fabric price]]="","Missing fabric price",IF(tblStyles[[#This Row],[SAM]]="","Missing sam",IF(tblStyles[[#This Row],[Line efficiency]]="","Missing line efficiency",IF(COUNTIF(tblStyles[Style],tblStyles[[#This Row],[Style]])&gt;1,"Duplicate style","OK"))))))))</f>
        <v>OK</v>
      </c>
      <c r="Z8" s="28" t="s">
        <v>106</v>
      </c>
    </row>
    <row r="9" spans="1:26">
      <c r="B9" s="28" t="s">
        <v>109</v>
      </c>
      <c r="C9" s="28" t="s">
        <v>110</v>
      </c>
      <c r="D9" s="34">
        <v>2500</v>
      </c>
      <c r="E9" s="28" t="s">
        <v>111</v>
      </c>
      <c r="F9" s="35">
        <v>1.65</v>
      </c>
      <c r="G9" s="30">
        <v>0.05</v>
      </c>
      <c r="H9" s="36">
        <v>3.4</v>
      </c>
      <c r="I9" s="36">
        <v>0.45</v>
      </c>
      <c r="J9" s="36">
        <v>0</v>
      </c>
      <c r="K9" s="36">
        <v>0.18</v>
      </c>
      <c r="L9" s="36">
        <v>24</v>
      </c>
      <c r="M9" s="30">
        <v>0.55</v>
      </c>
      <c r="N9" s="36">
        <v>11.8</v>
      </c>
      <c r="O9" s="37">
        <f>IF(tblStyles[[#This Row],[Style]]="","",tblStyles[[#This Row],[Consumption]]*(1+tblStyles[[#This Row],[Wastage]])*tblStyles[[#This Row],[Fabric price]])</f>
        <v>5.8905</v>
      </c>
      <c r="P9" s="37">
        <f>IF(tblStyles[[#This Row],[Style]]="","",IF(AND(tblStyles[[#This Row],[Line efficiency]]&gt;0,N(tblStyles[[#This Row],[SAM]])&gt;0),tblStyles[[#This Row],[SAM]]/tblStyles[[#This Row],[Line efficiency]],""))</f>
        <v>43.6363636363636</v>
      </c>
      <c r="Q9" s="37">
        <f>IF(tblStyles[[#This Row],[Style]]="","",IF(AND(tblStyles[[#This Row],[Line efficiency]]&gt;0,N(tblStyles[[#This Row],[SAM]])&gt;0),tblStyles[[#This Row],[SAM]]*Cpm/tblStyles[[#This Row],[Line efficiency]]+Handling,""))</f>
        <v>3.75909090909091</v>
      </c>
      <c r="R9" s="38">
        <f>IF(tblStyles[[#This Row],[Style]]="","",IFERROR(tblStyles[[#This Row],[Fabric cost]]+tblStyles[[#This Row],[Trims]]+tblStyles[[#This Row],[Embellishment and wash]]+tblStyles[[#This Row],[Packing]]+tblStyles[[#This Row],[CM cost]],""))</f>
        <v>10.2795909090909</v>
      </c>
      <c r="S9" s="39">
        <f>IF(tblStyles[[#This Row],[Style]]="","",IF(AND(tblStyles[[#This Row],[FOB price]]&gt;0,ISNUMBER(tblStyles[[#This Row],[Garment cost]])),(tblStyles[[#This Row],[FOB price]]-tblStyles[[#This Row],[Garment cost]])/tblStyles[[#This Row],[FOB price]],""))</f>
        <v>0.128848228043143</v>
      </c>
      <c r="T9" s="40" t="str">
        <f>IF(NOT(ISNUMBER(tblStyles[[#This Row],[Margin]])),"",IF(tblStyles[[#This Row],[Margin]]&gt;=TargetMargin,"On target",IF(tblStyles[[#This Row],[Margin]]&gt;=TargetMargin*(1-0.05),"Near target","Below target")))</f>
        <v>On target</v>
      </c>
      <c r="U9" s="41">
        <f>IF(tblStyles[[#This Row],[Style]]="","",IFERROR(tblStyles[[#This Row],[Garment cost]]*tblStyles[[#This Row],[Order qty]],""))</f>
        <v>25698.9772727273</v>
      </c>
      <c r="V9" s="41">
        <f>IF(tblStyles[[#This Row],[Style]]="","",IF(tblStyles[[#This Row],[FOB price]]&gt;0,tblStyles[[#This Row],[FOB price]]*tblStyles[[#This Row],[Order qty]],""))</f>
        <v>29500</v>
      </c>
      <c r="W9" s="41">
        <f>IF(tblStyles[[#This Row],[Style]]="","",IF(AND(tblStyles[[#This Row],[FOB price]]&gt;0,ISNUMBER(tblStyles[[#This Row],[Order cost]])),tblStyles[[#This Row],[Order value]]-tblStyles[[#This Row],[Order cost]],""))</f>
        <v>3801.02272727273</v>
      </c>
      <c r="X9" s="41">
        <f>IF(tblStyles[[#This Row],[Style]]="","",IFERROR(tblStyles[[#This Row],[Effective minutes]]*tblStyles[[#This Row],[Order qty]]/60,""))</f>
        <v>1818.18181818182</v>
      </c>
      <c r="Y9" s="42" t="str">
        <f>IF(tblStyles[[#This Row],[Style]]="","",IF(tblStyles[[#This Row],[Order qty]]="","Missing order qty",IF(tblStyles[[#This Row],[Fabric unit]]="","Missing fabric unit",IF(tblStyles[[#This Row],[Consumption]]="","Missing consumption",IF(tblStyles[[#This Row],[Fabric price]]="","Missing fabric price",IF(tblStyles[[#This Row],[SAM]]="","Missing sam",IF(tblStyles[[#This Row],[Line efficiency]]="","Missing line efficiency",IF(COUNTIF(tblStyles[Style],tblStyles[[#This Row],[Style]])&gt;1,"Duplicate style","OK"))))))))</f>
        <v>OK</v>
      </c>
      <c r="Z9" s="28" t="s">
        <v>106</v>
      </c>
    </row>
    <row r="10" spans="1:26">
      <c r="B10" s="28" t="s">
        <v>112</v>
      </c>
      <c r="C10" s="28" t="s">
        <v>113</v>
      </c>
      <c r="D10" s="34">
        <v>4000</v>
      </c>
      <c r="E10" s="28" t="s">
        <v>114</v>
      </c>
      <c r="F10" s="35">
        <v>1.45</v>
      </c>
      <c r="G10" s="30">
        <v>0.06</v>
      </c>
      <c r="H10" s="36">
        <v>4.2</v>
      </c>
      <c r="I10" s="36">
        <v>0.85</v>
      </c>
      <c r="J10" s="36">
        <v>1.1</v>
      </c>
      <c r="K10" s="36">
        <v>0.2</v>
      </c>
      <c r="L10" s="36">
        <v>32</v>
      </c>
      <c r="M10" s="30">
        <v>0.55</v>
      </c>
      <c r="N10" s="36">
        <v>15.4</v>
      </c>
      <c r="O10" s="37">
        <f>IF(tblStyles[[#This Row],[Style]]="","",tblStyles[[#This Row],[Consumption]]*(1+tblStyles[[#This Row],[Wastage]])*tblStyles[[#This Row],[Fabric price]])</f>
        <v>6.4554</v>
      </c>
      <c r="P10" s="37">
        <f>IF(tblStyles[[#This Row],[Style]]="","",IF(AND(tblStyles[[#This Row],[Line efficiency]]&gt;0,N(tblStyles[[#This Row],[SAM]])&gt;0),tblStyles[[#This Row],[SAM]]/tblStyles[[#This Row],[Line efficiency]],""))</f>
        <v>58.1818181818182</v>
      </c>
      <c r="Q10" s="37">
        <f>IF(tblStyles[[#This Row],[Style]]="","",IF(AND(tblStyles[[#This Row],[Line efficiency]]&gt;0,N(tblStyles[[#This Row],[SAM]])&gt;0),tblStyles[[#This Row],[SAM]]*Cpm/tblStyles[[#This Row],[Line efficiency]]+Handling,""))</f>
        <v>4.99545454545455</v>
      </c>
      <c r="R10" s="38">
        <f>IF(tblStyles[[#This Row],[Style]]="","",IFERROR(tblStyles[[#This Row],[Fabric cost]]+tblStyles[[#This Row],[Trims]]+tblStyles[[#This Row],[Embellishment and wash]]+tblStyles[[#This Row],[Packing]]+tblStyles[[#This Row],[CM cost]],""))</f>
        <v>13.6008545454545</v>
      </c>
      <c r="S10" s="39">
        <f>IF(tblStyles[[#This Row],[Style]]="","",IF(AND(tblStyles[[#This Row],[FOB price]]&gt;0,ISNUMBER(tblStyles[[#This Row],[Garment cost]])),(tblStyles[[#This Row],[FOB price]]-tblStyles[[#This Row],[Garment cost]])/tblStyles[[#This Row],[FOB price]],""))</f>
        <v>0.116827626918536</v>
      </c>
      <c r="T10" s="40" t="str">
        <f>IF(NOT(ISNUMBER(tblStyles[[#This Row],[Margin]])),"",IF(tblStyles[[#This Row],[Margin]]&gt;=TargetMargin,"On target",IF(tblStyles[[#This Row],[Margin]]&gt;=TargetMargin*(1-0.05),"Near target","Below target")))</f>
        <v>Near target</v>
      </c>
      <c r="U10" s="41">
        <f>IF(tblStyles[[#This Row],[Style]]="","",IFERROR(tblStyles[[#This Row],[Garment cost]]*tblStyles[[#This Row],[Order qty]],""))</f>
        <v>54403.4181818182</v>
      </c>
      <c r="V10" s="41">
        <f>IF(tblStyles[[#This Row],[Style]]="","",IF(tblStyles[[#This Row],[FOB price]]&gt;0,tblStyles[[#This Row],[FOB price]]*tblStyles[[#This Row],[Order qty]],""))</f>
        <v>61600</v>
      </c>
      <c r="W10" s="41">
        <f>IF(tblStyles[[#This Row],[Style]]="","",IF(AND(tblStyles[[#This Row],[FOB price]]&gt;0,ISNUMBER(tblStyles[[#This Row],[Order cost]])),tblStyles[[#This Row],[Order value]]-tblStyles[[#This Row],[Order cost]],""))</f>
        <v>7196.58181818182</v>
      </c>
      <c r="X10" s="41">
        <f>IF(tblStyles[[#This Row],[Style]]="","",IFERROR(tblStyles[[#This Row],[Effective minutes]]*tblStyles[[#This Row],[Order qty]]/60,""))</f>
        <v>3878.78787878788</v>
      </c>
      <c r="Y10" s="42" t="str">
        <f>IF(tblStyles[[#This Row],[Style]]="","",IF(tblStyles[[#This Row],[Order qty]]="","Missing order qty",IF(tblStyles[[#This Row],[Fabric unit]]="","Missing fabric unit",IF(tblStyles[[#This Row],[Consumption]]="","Missing consumption",IF(tblStyles[[#This Row],[Fabric price]]="","Missing fabric price",IF(tblStyles[[#This Row],[SAM]]="","Missing sam",IF(tblStyles[[#This Row],[Line efficiency]]="","Missing line efficiency",IF(COUNTIF(tblStyles[Style],tblStyles[[#This Row],[Style]])&gt;1,"Duplicate style","OK"))))))))</f>
        <v>OK</v>
      </c>
      <c r="Z10" s="28" t="s">
        <v>106</v>
      </c>
    </row>
    <row r="11" spans="1:26">
      <c r="B11" s="28" t="s">
        <v>115</v>
      </c>
      <c r="C11" s="28" t="s">
        <v>116</v>
      </c>
      <c r="D11" s="34">
        <v>2000</v>
      </c>
      <c r="E11" s="28" t="s">
        <v>111</v>
      </c>
      <c r="F11" s="35">
        <v>1.35</v>
      </c>
      <c r="G11" s="30">
        <v>0.05</v>
      </c>
      <c r="H11" s="36">
        <v>3.1</v>
      </c>
      <c r="I11" s="36">
        <v>0.7</v>
      </c>
      <c r="J11" s="36">
        <v>0.3</v>
      </c>
      <c r="K11" s="36">
        <v>0.18</v>
      </c>
      <c r="L11" s="36">
        <v>28</v>
      </c>
      <c r="M11" s="30">
        <v>0.58</v>
      </c>
      <c r="N11" s="36">
        <v>11.1</v>
      </c>
      <c r="O11" s="37">
        <f>IF(tblStyles[[#This Row],[Style]]="","",tblStyles[[#This Row],[Consumption]]*(1+tblStyles[[#This Row],[Wastage]])*tblStyles[[#This Row],[Fabric price]])</f>
        <v>4.39425</v>
      </c>
      <c r="P11" s="37">
        <f>IF(tblStyles[[#This Row],[Style]]="","",IF(AND(tblStyles[[#This Row],[Line efficiency]]&gt;0,N(tblStyles[[#This Row],[SAM]])&gt;0),tblStyles[[#This Row],[SAM]]/tblStyles[[#This Row],[Line efficiency]],""))</f>
        <v>48.2758620689655</v>
      </c>
      <c r="Q11" s="37">
        <f>IF(tblStyles[[#This Row],[Style]]="","",IF(AND(tblStyles[[#This Row],[Line efficiency]]&gt;0,N(tblStyles[[#This Row],[SAM]])&gt;0),tblStyles[[#This Row],[SAM]]*Cpm/tblStyles[[#This Row],[Line efficiency]]+Handling,""))</f>
        <v>4.15344827586207</v>
      </c>
      <c r="R11" s="38">
        <f>IF(tblStyles[[#This Row],[Style]]="","",IFERROR(tblStyles[[#This Row],[Fabric cost]]+tblStyles[[#This Row],[Trims]]+tblStyles[[#This Row],[Embellishment and wash]]+tblStyles[[#This Row],[Packing]]+tblStyles[[#This Row],[CM cost]],""))</f>
        <v>9.72769827586207</v>
      </c>
      <c r="S11" s="39">
        <f>IF(tblStyles[[#This Row],[Style]]="","",IF(AND(tblStyles[[#This Row],[FOB price]]&gt;0,ISNUMBER(tblStyles[[#This Row],[Garment cost]])),(tblStyles[[#This Row],[FOB price]]-tblStyles[[#This Row],[Garment cost]])/tblStyles[[#This Row],[FOB price]],""))</f>
        <v>0.123630785958372</v>
      </c>
      <c r="T11" s="40" t="str">
        <f>IF(NOT(ISNUMBER(tblStyles[[#This Row],[Margin]])),"",IF(tblStyles[[#This Row],[Margin]]&gt;=TargetMargin,"On target",IF(tblStyles[[#This Row],[Margin]]&gt;=TargetMargin*(1-0.05),"Near target","Below target")))</f>
        <v>On target</v>
      </c>
      <c r="U11" s="41">
        <f>IF(tblStyles[[#This Row],[Style]]="","",IFERROR(tblStyles[[#This Row],[Garment cost]]*tblStyles[[#This Row],[Order qty]],""))</f>
        <v>19455.3965517241</v>
      </c>
      <c r="V11" s="41">
        <f>IF(tblStyles[[#This Row],[Style]]="","",IF(tblStyles[[#This Row],[FOB price]]&gt;0,tblStyles[[#This Row],[FOB price]]*tblStyles[[#This Row],[Order qty]],""))</f>
        <v>22200</v>
      </c>
      <c r="W11" s="41">
        <f>IF(tblStyles[[#This Row],[Style]]="","",IF(AND(tblStyles[[#This Row],[FOB price]]&gt;0,ISNUMBER(tblStyles[[#This Row],[Order cost]])),tblStyles[[#This Row],[Order value]]-tblStyles[[#This Row],[Order cost]],""))</f>
        <v>2744.60344827586</v>
      </c>
      <c r="X11" s="41">
        <f>IF(tblStyles[[#This Row],[Style]]="","",IFERROR(tblStyles[[#This Row],[Effective minutes]]*tblStyles[[#This Row],[Order qty]]/60,""))</f>
        <v>1609.19540229885</v>
      </c>
      <c r="Y11" s="42" t="str">
        <f>IF(tblStyles[[#This Row],[Style]]="","",IF(tblStyles[[#This Row],[Order qty]]="","Missing order qty",IF(tblStyles[[#This Row],[Fabric unit]]="","Missing fabric unit",IF(tblStyles[[#This Row],[Consumption]]="","Missing consumption",IF(tblStyles[[#This Row],[Fabric price]]="","Missing fabric price",IF(tblStyles[[#This Row],[SAM]]="","Missing sam",IF(tblStyles[[#This Row],[Line efficiency]]="","Missing line efficiency",IF(COUNTIF(tblStyles[Style],tblStyles[[#This Row],[Style]])&gt;1,"Duplicate style","OK"))))))))</f>
        <v>OK</v>
      </c>
      <c r="Z11" s="28" t="s">
        <v>106</v>
      </c>
    </row>
    <row r="12" spans="1:26">
      <c r="B12" s="28" t="s">
        <v>117</v>
      </c>
      <c r="C12" s="28" t="s">
        <v>118</v>
      </c>
      <c r="D12" s="34">
        <v>2500</v>
      </c>
      <c r="E12" s="28" t="s">
        <v>105</v>
      </c>
      <c r="F12" s="35">
        <v>0.62</v>
      </c>
      <c r="G12" s="30">
        <v>0.1</v>
      </c>
      <c r="H12" s="36">
        <v>6.8</v>
      </c>
      <c r="I12" s="36">
        <v>0.55</v>
      </c>
      <c r="J12" s="36">
        <v>0.4</v>
      </c>
      <c r="K12" s="36">
        <v>0.15</v>
      </c>
      <c r="L12" s="36">
        <v>22</v>
      </c>
      <c r="M12" s="30">
        <v>0.58</v>
      </c>
      <c r="N12" s="36">
        <v>10.4</v>
      </c>
      <c r="O12" s="37">
        <f>IF(tblStyles[[#This Row],[Style]]="","",tblStyles[[#This Row],[Consumption]]*(1+tblStyles[[#This Row],[Wastage]])*tblStyles[[#This Row],[Fabric price]])</f>
        <v>4.6376</v>
      </c>
      <c r="P12" s="37">
        <f>IF(tblStyles[[#This Row],[Style]]="","",IF(AND(tblStyles[[#This Row],[Line efficiency]]&gt;0,N(tblStyles[[#This Row],[SAM]])&gt;0),tblStyles[[#This Row],[SAM]]/tblStyles[[#This Row],[Line efficiency]],""))</f>
        <v>37.9310344827586</v>
      </c>
      <c r="Q12" s="37">
        <f>IF(tblStyles[[#This Row],[Style]]="","",IF(AND(tblStyles[[#This Row],[Line efficiency]]&gt;0,N(tblStyles[[#This Row],[SAM]])&gt;0),tblStyles[[#This Row],[SAM]]*Cpm/tblStyles[[#This Row],[Line efficiency]]+Handling,""))</f>
        <v>3.27413793103448</v>
      </c>
      <c r="R12" s="38">
        <f>IF(tblStyles[[#This Row],[Style]]="","",IFERROR(tblStyles[[#This Row],[Fabric cost]]+tblStyles[[#This Row],[Trims]]+tblStyles[[#This Row],[Embellishment and wash]]+tblStyles[[#This Row],[Packing]]+tblStyles[[#This Row],[CM cost]],""))</f>
        <v>9.01173793103448</v>
      </c>
      <c r="S12" s="39">
        <f>IF(tblStyles[[#This Row],[Style]]="","",IF(AND(tblStyles[[#This Row],[FOB price]]&gt;0,ISNUMBER(tblStyles[[#This Row],[Garment cost]])),(tblStyles[[#This Row],[FOB price]]-tblStyles[[#This Row],[Garment cost]])/tblStyles[[#This Row],[FOB price]],""))</f>
        <v>0.13348673740053</v>
      </c>
      <c r="T12" s="40" t="str">
        <f>IF(NOT(ISNUMBER(tblStyles[[#This Row],[Margin]])),"",IF(tblStyles[[#This Row],[Margin]]&gt;=TargetMargin,"On target",IF(tblStyles[[#This Row],[Margin]]&gt;=TargetMargin*(1-0.05),"Near target","Below target")))</f>
        <v>On target</v>
      </c>
      <c r="U12" s="41">
        <f>IF(tblStyles[[#This Row],[Style]]="","",IFERROR(tblStyles[[#This Row],[Garment cost]]*tblStyles[[#This Row],[Order qty]],""))</f>
        <v>22529.3448275862</v>
      </c>
      <c r="V12" s="41">
        <f>IF(tblStyles[[#This Row],[Style]]="","",IF(tblStyles[[#This Row],[FOB price]]&gt;0,tblStyles[[#This Row],[FOB price]]*tblStyles[[#This Row],[Order qty]],""))</f>
        <v>26000</v>
      </c>
      <c r="W12" s="41">
        <f>IF(tblStyles[[#This Row],[Style]]="","",IF(AND(tblStyles[[#This Row],[FOB price]]&gt;0,ISNUMBER(tblStyles[[#This Row],[Order cost]])),tblStyles[[#This Row],[Order value]]-tblStyles[[#This Row],[Order cost]],""))</f>
        <v>3470.65517241379</v>
      </c>
      <c r="X12" s="41">
        <f>IF(tblStyles[[#This Row],[Style]]="","",IFERROR(tblStyles[[#This Row],[Effective minutes]]*tblStyles[[#This Row],[Order qty]]/60,""))</f>
        <v>1580.45977011494</v>
      </c>
      <c r="Y12" s="42" t="str">
        <f>IF(tblStyles[[#This Row],[Style]]="","",IF(tblStyles[[#This Row],[Order qty]]="","Missing order qty",IF(tblStyles[[#This Row],[Fabric unit]]="","Missing fabric unit",IF(tblStyles[[#This Row],[Consumption]]="","Missing consumption",IF(tblStyles[[#This Row],[Fabric price]]="","Missing fabric price",IF(tblStyles[[#This Row],[SAM]]="","Missing sam",IF(tblStyles[[#This Row],[Line efficiency]]="","Missing line efficiency",IF(COUNTIF(tblStyles[Style],tblStyles[[#This Row],[Style]])&gt;1,"Duplicate style","OK"))))))))</f>
        <v>OK</v>
      </c>
      <c r="Z12" s="28" t="s">
        <v>106</v>
      </c>
    </row>
    <row r="13" spans="1:26">
      <c r="B13" s="28" t="s">
        <v>119</v>
      </c>
      <c r="C13" s="28" t="s">
        <v>120</v>
      </c>
      <c r="D13" s="34">
        <v>1200</v>
      </c>
      <c r="E13" s="28" t="s">
        <v>111</v>
      </c>
      <c r="F13" s="35">
        <v>2.6</v>
      </c>
      <c r="G13" s="30">
        <v>0.06</v>
      </c>
      <c r="H13" s="36">
        <v>3.6</v>
      </c>
      <c r="I13" s="36">
        <v>0.6</v>
      </c>
      <c r="J13" s="36">
        <v>0</v>
      </c>
      <c r="K13" s="36">
        <v>0.2</v>
      </c>
      <c r="L13" s="36">
        <v>38</v>
      </c>
      <c r="M13" s="30">
        <v>0.5</v>
      </c>
      <c r="N13" s="36">
        <v>18.4</v>
      </c>
      <c r="O13" s="37">
        <f>IF(tblStyles[[#This Row],[Style]]="","",tblStyles[[#This Row],[Consumption]]*(1+tblStyles[[#This Row],[Wastage]])*tblStyles[[#This Row],[Fabric price]])</f>
        <v>9.9216</v>
      </c>
      <c r="P13" s="37">
        <f>IF(tblStyles[[#This Row],[Style]]="","",IF(AND(tblStyles[[#This Row],[Line efficiency]]&gt;0,N(tblStyles[[#This Row],[SAM]])&gt;0),tblStyles[[#This Row],[SAM]]/tblStyles[[#This Row],[Line efficiency]],""))</f>
        <v>76</v>
      </c>
      <c r="Q13" s="37">
        <f>IF(tblStyles[[#This Row],[Style]]="","",IF(AND(tblStyles[[#This Row],[Line efficiency]]&gt;0,N(tblStyles[[#This Row],[SAM]])&gt;0),tblStyles[[#This Row],[SAM]]*Cpm/tblStyles[[#This Row],[Line efficiency]]+Handling,""))</f>
        <v>6.51</v>
      </c>
      <c r="R13" s="38">
        <f>IF(tblStyles[[#This Row],[Style]]="","",IFERROR(tblStyles[[#This Row],[Fabric cost]]+tblStyles[[#This Row],[Trims]]+tblStyles[[#This Row],[Embellishment and wash]]+tblStyles[[#This Row],[Packing]]+tblStyles[[#This Row],[CM cost]],""))</f>
        <v>17.2316</v>
      </c>
      <c r="S13" s="39">
        <f>IF(tblStyles[[#This Row],[Style]]="","",IF(AND(tblStyles[[#This Row],[FOB price]]&gt;0,ISNUMBER(tblStyles[[#This Row],[Garment cost]])),(tblStyles[[#This Row],[FOB price]]-tblStyles[[#This Row],[Garment cost]])/tblStyles[[#This Row],[FOB price]],""))</f>
        <v>0.0634999999999999</v>
      </c>
      <c r="T13" s="40" t="str">
        <f>IF(NOT(ISNUMBER(tblStyles[[#This Row],[Margin]])),"",IF(tblStyles[[#This Row],[Margin]]&gt;=TargetMargin,"On target",IF(tblStyles[[#This Row],[Margin]]&gt;=TargetMargin*(1-0.05),"Near target","Below target")))</f>
        <v>Below target</v>
      </c>
      <c r="U13" s="41">
        <f>IF(tblStyles[[#This Row],[Style]]="","",IFERROR(tblStyles[[#This Row],[Garment cost]]*tblStyles[[#This Row],[Order qty]],""))</f>
        <v>20677.92</v>
      </c>
      <c r="V13" s="41">
        <f>IF(tblStyles[[#This Row],[Style]]="","",IF(tblStyles[[#This Row],[FOB price]]&gt;0,tblStyles[[#This Row],[FOB price]]*tblStyles[[#This Row],[Order qty]],""))</f>
        <v>22080</v>
      </c>
      <c r="W13" s="41">
        <f>IF(tblStyles[[#This Row],[Style]]="","",IF(AND(tblStyles[[#This Row],[FOB price]]&gt;0,ISNUMBER(tblStyles[[#This Row],[Order cost]])),tblStyles[[#This Row],[Order value]]-tblStyles[[#This Row],[Order cost]],""))</f>
        <v>1402.08</v>
      </c>
      <c r="X13" s="41">
        <f>IF(tblStyles[[#This Row],[Style]]="","",IFERROR(tblStyles[[#This Row],[Effective minutes]]*tblStyles[[#This Row],[Order qty]]/60,""))</f>
        <v>1520</v>
      </c>
      <c r="Y13" s="42" t="str">
        <f>IF(tblStyles[[#This Row],[Style]]="","",IF(tblStyles[[#This Row],[Order qty]]="","Missing order qty",IF(tblStyles[[#This Row],[Fabric unit]]="","Missing fabric unit",IF(tblStyles[[#This Row],[Consumption]]="","Missing consumption",IF(tblStyles[[#This Row],[Fabric price]]="","Missing fabric price",IF(tblStyles[[#This Row],[SAM]]="","Missing sam",IF(tblStyles[[#This Row],[Line efficiency]]="","Missing line efficiency",IF(COUNTIF(tblStyles[Style],tblStyles[[#This Row],[Style]])&gt;1,"Duplicate style","OK"))))))))</f>
        <v>OK</v>
      </c>
      <c r="Z13" s="28" t="s">
        <v>106</v>
      </c>
    </row>
    <row r="14" spans="1:26">
      <c r="B14" s="28" t="s">
        <v>121</v>
      </c>
      <c r="C14" s="28" t="s">
        <v>122</v>
      </c>
      <c r="D14" s="34">
        <v>5000</v>
      </c>
      <c r="E14" s="28" t="s">
        <v>105</v>
      </c>
      <c r="F14" s="35">
        <v>0.2</v>
      </c>
      <c r="G14" s="30">
        <v>0.08</v>
      </c>
      <c r="H14" s="36">
        <v>9.5</v>
      </c>
      <c r="I14" s="36">
        <v>0.1</v>
      </c>
      <c r="J14" s="36">
        <v>0</v>
      </c>
      <c r="K14" s="36">
        <v>0.08</v>
      </c>
      <c r="L14" s="36">
        <v>9</v>
      </c>
      <c r="M14" s="30">
        <v>0.63</v>
      </c>
      <c r="N14" s="36">
        <v>4</v>
      </c>
      <c r="O14" s="37">
        <f>IF(tblStyles[[#This Row],[Style]]="","",tblStyles[[#This Row],[Consumption]]*(1+tblStyles[[#This Row],[Wastage]])*tblStyles[[#This Row],[Fabric price]])</f>
        <v>2.052</v>
      </c>
      <c r="P14" s="37">
        <f>IF(tblStyles[[#This Row],[Style]]="","",IF(AND(tblStyles[[#This Row],[Line efficiency]]&gt;0,N(tblStyles[[#This Row],[SAM]])&gt;0),tblStyles[[#This Row],[SAM]]/tblStyles[[#This Row],[Line efficiency]],""))</f>
        <v>14.2857142857143</v>
      </c>
      <c r="Q14" s="37">
        <f>IF(tblStyles[[#This Row],[Style]]="","",IF(AND(tblStyles[[#This Row],[Line efficiency]]&gt;0,N(tblStyles[[#This Row],[SAM]])&gt;0),tblStyles[[#This Row],[SAM]]*Cpm/tblStyles[[#This Row],[Line efficiency]]+Handling,""))</f>
        <v>1.26428571428571</v>
      </c>
      <c r="R14" s="38">
        <f>IF(tblStyles[[#This Row],[Style]]="","",IFERROR(tblStyles[[#This Row],[Fabric cost]]+tblStyles[[#This Row],[Trims]]+tblStyles[[#This Row],[Embellishment and wash]]+tblStyles[[#This Row],[Packing]]+tblStyles[[#This Row],[CM cost]],""))</f>
        <v>3.49628571428571</v>
      </c>
      <c r="S14" s="39">
        <f>IF(tblStyles[[#This Row],[Style]]="","",IF(AND(tblStyles[[#This Row],[FOB price]]&gt;0,ISNUMBER(tblStyles[[#This Row],[Garment cost]])),(tblStyles[[#This Row],[FOB price]]-tblStyles[[#This Row],[Garment cost]])/tblStyles[[#This Row],[FOB price]],""))</f>
        <v>0.125928571428571</v>
      </c>
      <c r="T14" s="40" t="str">
        <f>IF(NOT(ISNUMBER(tblStyles[[#This Row],[Margin]])),"",IF(tblStyles[[#This Row],[Margin]]&gt;=TargetMargin,"On target",IF(tblStyles[[#This Row],[Margin]]&gt;=TargetMargin*(1-0.05),"Near target","Below target")))</f>
        <v>On target</v>
      </c>
      <c r="U14" s="41">
        <f>IF(tblStyles[[#This Row],[Style]]="","",IFERROR(tblStyles[[#This Row],[Garment cost]]*tblStyles[[#This Row],[Order qty]],""))</f>
        <v>17481.4285714286</v>
      </c>
      <c r="V14" s="41">
        <f>IF(tblStyles[[#This Row],[Style]]="","",IF(tblStyles[[#This Row],[FOB price]]&gt;0,tblStyles[[#This Row],[FOB price]]*tblStyles[[#This Row],[Order qty]],""))</f>
        <v>20000</v>
      </c>
      <c r="W14" s="41">
        <f>IF(tblStyles[[#This Row],[Style]]="","",IF(AND(tblStyles[[#This Row],[FOB price]]&gt;0,ISNUMBER(tblStyles[[#This Row],[Order cost]])),tblStyles[[#This Row],[Order value]]-tblStyles[[#This Row],[Order cost]],""))</f>
        <v>2518.57142857143</v>
      </c>
      <c r="X14" s="41">
        <f>IF(tblStyles[[#This Row],[Style]]="","",IFERROR(tblStyles[[#This Row],[Effective minutes]]*tblStyles[[#This Row],[Order qty]]/60,""))</f>
        <v>1190.47619047619</v>
      </c>
      <c r="Y14" s="42" t="str">
        <f>IF(tblStyles[[#This Row],[Style]]="","",IF(tblStyles[[#This Row],[Order qty]]="","Missing order qty",IF(tblStyles[[#This Row],[Fabric unit]]="","Missing fabric unit",IF(tblStyles[[#This Row],[Consumption]]="","Missing consumption",IF(tblStyles[[#This Row],[Fabric price]]="","Missing fabric price",IF(tblStyles[[#This Row],[SAM]]="","Missing sam",IF(tblStyles[[#This Row],[Line efficiency]]="","Missing line efficiency",IF(COUNTIF(tblStyles[Style],tblStyles[[#This Row],[Style]])&gt;1,"Duplicate style","OK"))))))))</f>
        <v>OK</v>
      </c>
      <c r="Z14" s="28" t="s">
        <v>106</v>
      </c>
    </row>
    <row r="15" spans="1:26">
      <c r="B15" s="28" t="s">
        <v>123</v>
      </c>
      <c r="C15" s="28" t="s">
        <v>124</v>
      </c>
      <c r="D15" s="34">
        <v>800</v>
      </c>
      <c r="E15" s="28" t="s">
        <v>111</v>
      </c>
      <c r="F15" s="35">
        <v>2.4</v>
      </c>
      <c r="G15" s="30">
        <v>0.07000000000000001</v>
      </c>
      <c r="H15" s="36">
        <v>2.9</v>
      </c>
      <c r="I15" s="36">
        <v>3.2</v>
      </c>
      <c r="J15" s="36">
        <v>0</v>
      </c>
      <c r="K15" s="36">
        <v>0.45</v>
      </c>
      <c r="L15" s="36">
        <v>75</v>
      </c>
      <c r="M15" s="30">
        <v>0.5</v>
      </c>
      <c r="N15" s="36">
        <v>25.5</v>
      </c>
      <c r="O15" s="37">
        <f>IF(tblStyles[[#This Row],[Style]]="","",tblStyles[[#This Row],[Consumption]]*(1+tblStyles[[#This Row],[Wastage]])*tblStyles[[#This Row],[Fabric price]])</f>
        <v>7.4472</v>
      </c>
      <c r="P15" s="37">
        <f>IF(tblStyles[[#This Row],[Style]]="","",IF(AND(tblStyles[[#This Row],[Line efficiency]]&gt;0,N(tblStyles[[#This Row],[SAM]])&gt;0),tblStyles[[#This Row],[SAM]]/tblStyles[[#This Row],[Line efficiency]],""))</f>
        <v>150</v>
      </c>
      <c r="Q15" s="37">
        <f>IF(tblStyles[[#This Row],[Style]]="","",IF(AND(tblStyles[[#This Row],[Line efficiency]]&gt;0,N(tblStyles[[#This Row],[SAM]])&gt;0),tblStyles[[#This Row],[SAM]]*Cpm/tblStyles[[#This Row],[Line efficiency]]+Handling,""))</f>
        <v>12.8</v>
      </c>
      <c r="R15" s="38">
        <f>IF(tblStyles[[#This Row],[Style]]="","",IFERROR(tblStyles[[#This Row],[Fabric cost]]+tblStyles[[#This Row],[Trims]]+tblStyles[[#This Row],[Embellishment and wash]]+tblStyles[[#This Row],[Packing]]+tblStyles[[#This Row],[CM cost]],""))</f>
        <v>23.8972</v>
      </c>
      <c r="S15" s="39">
        <f>IF(tblStyles[[#This Row],[Style]]="","",IF(AND(tblStyles[[#This Row],[FOB price]]&gt;0,ISNUMBER(tblStyles[[#This Row],[Garment cost]])),(tblStyles[[#This Row],[FOB price]]-tblStyles[[#This Row],[Garment cost]])/tblStyles[[#This Row],[FOB price]],""))</f>
        <v>0.0628549019607843</v>
      </c>
      <c r="T15" s="40" t="str">
        <f>IF(NOT(ISNUMBER(tblStyles[[#This Row],[Margin]])),"",IF(tblStyles[[#This Row],[Margin]]&gt;=TargetMargin,"On target",IF(tblStyles[[#This Row],[Margin]]&gt;=TargetMargin*(1-0.05),"Near target","Below target")))</f>
        <v>Below target</v>
      </c>
      <c r="U15" s="41">
        <f>IF(tblStyles[[#This Row],[Style]]="","",IFERROR(tblStyles[[#This Row],[Garment cost]]*tblStyles[[#This Row],[Order qty]],""))</f>
        <v>19117.76</v>
      </c>
      <c r="V15" s="41">
        <f>IF(tblStyles[[#This Row],[Style]]="","",IF(tblStyles[[#This Row],[FOB price]]&gt;0,tblStyles[[#This Row],[FOB price]]*tblStyles[[#This Row],[Order qty]],""))</f>
        <v>20400</v>
      </c>
      <c r="W15" s="41">
        <f>IF(tblStyles[[#This Row],[Style]]="","",IF(AND(tblStyles[[#This Row],[FOB price]]&gt;0,ISNUMBER(tblStyles[[#This Row],[Order cost]])),tblStyles[[#This Row],[Order value]]-tblStyles[[#This Row],[Order cost]],""))</f>
        <v>1282.24</v>
      </c>
      <c r="X15" s="41">
        <f>IF(tblStyles[[#This Row],[Style]]="","",IFERROR(tblStyles[[#This Row],[Effective minutes]]*tblStyles[[#This Row],[Order qty]]/60,""))</f>
        <v>2000</v>
      </c>
      <c r="Y15" s="42" t="str">
        <f>IF(tblStyles[[#This Row],[Style]]="","",IF(tblStyles[[#This Row],[Order qty]]="","Missing order qty",IF(tblStyles[[#This Row],[Fabric unit]]="","Missing fabric unit",IF(tblStyles[[#This Row],[Consumption]]="","Missing consumption",IF(tblStyles[[#This Row],[Fabric price]]="","Missing fabric price",IF(tblStyles[[#This Row],[SAM]]="","Missing sam",IF(tblStyles[[#This Row],[Line efficiency]]="","Missing line efficiency",IF(COUNTIF(tblStyles[Style],tblStyles[[#This Row],[Style]])&gt;1,"Duplicate style","OK"))))))))</f>
        <v>OK</v>
      </c>
      <c r="Z15" s="28" t="s">
        <v>125</v>
      </c>
    </row>
    <row r="16" spans="1:26">
      <c r="B16" s="28" t="s">
        <v>126</v>
      </c>
      <c r="C16" s="28" t="s">
        <v>127</v>
      </c>
      <c r="D16" s="34">
        <v>8000</v>
      </c>
      <c r="E16" s="28" t="s">
        <v>105</v>
      </c>
      <c r="F16" s="35">
        <v>0.12</v>
      </c>
      <c r="G16" s="30">
        <v>0.09</v>
      </c>
      <c r="H16" s="36">
        <v>5.2</v>
      </c>
      <c r="I16" s="36">
        <v>0.1</v>
      </c>
      <c r="J16" s="36">
        <v>0.2</v>
      </c>
      <c r="K16" s="36">
        <v>0.08</v>
      </c>
      <c r="L16" s="36">
        <v>5.5</v>
      </c>
      <c r="M16" s="30">
        <v>0.62</v>
      </c>
      <c r="N16" s="36">
        <v>2.15</v>
      </c>
      <c r="O16" s="37">
        <f>IF(tblStyles[[#This Row],[Style]]="","",tblStyles[[#This Row],[Consumption]]*(1+tblStyles[[#This Row],[Wastage]])*tblStyles[[#This Row],[Fabric price]])</f>
        <v>0.68016</v>
      </c>
      <c r="P16" s="37">
        <f>IF(tblStyles[[#This Row],[Style]]="","",IF(AND(tblStyles[[#This Row],[Line efficiency]]&gt;0,N(tblStyles[[#This Row],[SAM]])&gt;0),tblStyles[[#This Row],[SAM]]/tblStyles[[#This Row],[Line efficiency]],""))</f>
        <v>8.87096774193548</v>
      </c>
      <c r="Q16" s="37">
        <f>IF(tblStyles[[#This Row],[Style]]="","",IF(AND(tblStyles[[#This Row],[Line efficiency]]&gt;0,N(tblStyles[[#This Row],[SAM]])&gt;0),tblStyles[[#This Row],[SAM]]*Cpm/tblStyles[[#This Row],[Line efficiency]]+Handling,""))</f>
        <v>0.804032258064516</v>
      </c>
      <c r="R16" s="38">
        <f>IF(tblStyles[[#This Row],[Style]]="","",IFERROR(tblStyles[[#This Row],[Fabric cost]]+tblStyles[[#This Row],[Trims]]+tblStyles[[#This Row],[Embellishment and wash]]+tblStyles[[#This Row],[Packing]]+tblStyles[[#This Row],[CM cost]],""))</f>
        <v>1.86419225806452</v>
      </c>
      <c r="S16" s="39">
        <f>IF(tblStyles[[#This Row],[Style]]="","",IF(AND(tblStyles[[#This Row],[FOB price]]&gt;0,ISNUMBER(tblStyles[[#This Row],[Garment cost]])),(tblStyles[[#This Row],[FOB price]]-tblStyles[[#This Row],[Garment cost]])/tblStyles[[#This Row],[FOB price]],""))</f>
        <v>0.132933833458365</v>
      </c>
      <c r="T16" s="40" t="str">
        <f>IF(NOT(ISNUMBER(tblStyles[[#This Row],[Margin]])),"",IF(tblStyles[[#This Row],[Margin]]&gt;=TargetMargin,"On target",IF(tblStyles[[#This Row],[Margin]]&gt;=TargetMargin*(1-0.05),"Near target","Below target")))</f>
        <v>On target</v>
      </c>
      <c r="U16" s="41">
        <f>IF(tblStyles[[#This Row],[Style]]="","",IFERROR(tblStyles[[#This Row],[Garment cost]]*tblStyles[[#This Row],[Order qty]],""))</f>
        <v>14913.5380645161</v>
      </c>
      <c r="V16" s="41">
        <f>IF(tblStyles[[#This Row],[Style]]="","",IF(tblStyles[[#This Row],[FOB price]]&gt;0,tblStyles[[#This Row],[FOB price]]*tblStyles[[#This Row],[Order qty]],""))</f>
        <v>17200</v>
      </c>
      <c r="W16" s="41">
        <f>IF(tblStyles[[#This Row],[Style]]="","",IF(AND(tblStyles[[#This Row],[FOB price]]&gt;0,ISNUMBER(tblStyles[[#This Row],[Order cost]])),tblStyles[[#This Row],[Order value]]-tblStyles[[#This Row],[Order cost]],""))</f>
        <v>2286.46193548387</v>
      </c>
      <c r="X16" s="41">
        <f>IF(tblStyles[[#This Row],[Style]]="","",IFERROR(tblStyles[[#This Row],[Effective minutes]]*tblStyles[[#This Row],[Order qty]]/60,""))</f>
        <v>1182.79569892473</v>
      </c>
      <c r="Y16" s="42" t="str">
        <f>IF(tblStyles[[#This Row],[Style]]="","",IF(tblStyles[[#This Row],[Order qty]]="","Missing order qty",IF(tblStyles[[#This Row],[Fabric unit]]="","Missing fabric unit",IF(tblStyles[[#This Row],[Consumption]]="","Missing consumption",IF(tblStyles[[#This Row],[Fabric price]]="","Missing fabric price",IF(tblStyles[[#This Row],[SAM]]="","Missing sam",IF(tblStyles[[#This Row],[Line efficiency]]="","Missing line efficiency",IF(COUNTIF(tblStyles[Style],tblStyles[[#This Row],[Style]])&gt;1,"Duplicate style","OK"))))))))</f>
        <v>OK</v>
      </c>
      <c r="Z16" s="28" t="s">
        <v>106</v>
      </c>
    </row>
  </sheetData>
  <mergeCells count="3">
    <mergeCell ref="A1:Z1"/>
    <mergeCell ref="B2:Y2"/>
    <mergeCell ref="B4:Z4"/>
  </mergeCells>
  <conditionalFormatting sqref="S7:S516">
    <cfRule type="expression" dxfId="3" priority="1" stopIfTrue="1">
      <formula>AND(ISNUMBER(S7),S7&gt;=(TargetMargin))</formula>
    </cfRule>
    <cfRule type="expression" dxfId="4" priority="2" stopIfTrue="1">
      <formula>AND(ISNUMBER(S7),S7&gt;=(TargetMargin)*(1-0.05))</formula>
    </cfRule>
    <cfRule type="expression" dxfId="5" priority="3">
      <formula>ISNUMBER(S7)</formula>
    </cfRule>
  </conditionalFormatting>
  <conditionalFormatting sqref="T7:T516">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Y7:Y516">
    <cfRule type="expression" dxfId="3" priority="24">
      <formula>$Y7="OK"</formula>
    </cfRule>
    <cfRule type="expression" dxfId="1" priority="25">
      <formula>AND($Y7&lt;&gt;"",$Y7&lt;&gt;"OK")</formula>
    </cfRule>
  </conditionalFormatting>
  <dataValidations count="14">
    <dataValidation type="textLength" allowBlank="1" showInputMessage="1" showErrorMessage="1" errorTitle="Check this entry" error="Text up to 30 characters." promptTitle="Style" prompt="Text up to 30 characters." sqref="B7:B516">
      <formula1>0</formula1>
      <formula2>30</formula2>
    </dataValidation>
    <dataValidation type="textLength" allowBlank="1" showInputMessage="1" showErrorMessage="1" errorTitle="Check this entry" error="Text up to 60 characters." promptTitle="Description" prompt="Text up to 60 characters." sqref="C7:C516">
      <formula1>0</formula1>
      <formula2>60</formula2>
    </dataValidation>
    <dataValidation type="whole" allowBlank="1" showInputMessage="1" showErrorMessage="1" errorTitle="Check this entry" error="Enter a whole number from 1 to 100,000,000." promptTitle="Order qty" prompt="Pieces in the order or season forecast. Enter a whole number from 1 to 100,000,000." sqref="D7:D516">
      <formula1>1</formula1>
      <formula2>100000000</formula2>
    </dataValidation>
    <dataValidation type="list" allowBlank="1" showInputMessage="1" showErrorMessage="1" errorTitle="Check this entry" error="Pick one of: m, yd, kg." promptTitle="Fabric unit" prompt="The unit of both consumption and fabric price: m or yd for wovens, kg for knits. It labels the row; nothing is converted. Pick one of: m, yd, kg." sqref="E7:E516">
      <formula1>"m,yd,kg"</formula1>
    </dataValidation>
    <dataValidation type="decimal" allowBlank="1" showInputMessage="1" showErrorMessage="1" errorTitle="Check this entry" error="Enter a number from 0 to 1,000." promptTitle="Consumption" prompt="Marker consumption per piece in the fabric unit, before wastage. Enter a number from 0 to 1,000." sqref="F7:F516">
      <formula1>0</formula1>
      <formula2>1000</formula2>
    </dataValidation>
    <dataValidation type="decimal" allowBlank="1" showInputMessage="1" showErrorMessage="1" errorTitle="Check this entry" error="Enter a percentage from 0% to 100% (type 85% or 0.85)." promptTitle="Wastage" prompt="Cutting, end-of-roll, shrinkage and shade-band allowance on top of the marker consumption. Enter a percentage from 0% to 100% (type 85% or 0.85)." sqref="G7:G516">
      <formula1>0</formula1>
      <formula2>1</formula2>
    </dataValidation>
    <dataValidation type="decimal" allowBlank="1" showInputMessage="1" showErrorMessage="1" errorTitle="Check this entry" error="Enter a number from 0 to 100,000." promptTitle="Fabric price" prompt="Price per fabric unit delivered to the factory. Enter a number from 0 to 100,000." sqref="H7:H516">
      <formula1>0</formula1>
      <formula2>100000.0</formula2>
    </dataValidation>
    <dataValidation type="decimal" allowBlank="1" showInputMessage="1" showErrorMessage="1" errorTitle="Check this entry" error="Enter a number from 0 to 100,000." promptTitle="Trims" prompt="Thread, labels, buttons, zips, interlining, tags and other accessories per piece. Enter a number from 0 to 100,000." sqref="I7:I516">
      <formula1>0</formula1>
      <formula2>100000.0</formula2>
    </dataValidation>
    <dataValidation type="decimal" allowBlank="1" showInputMessage="1" showErrorMessage="1" errorTitle="Check this entry" error="Enter a number from 0 to 100,000." promptTitle="Embellishment and wash" prompt="Print, embroidery, garment wash or dye per piece. Enter a number from 0 to 100,000." sqref="J7:J516">
      <formula1>0</formula1>
      <formula2>100000.0</formula2>
    </dataValidation>
    <dataValidation type="decimal" allowBlank="1" showInputMessage="1" showErrorMessage="1" errorTitle="Check this entry" error="Enter a number from 0 to 100,000." promptTitle="Packing" prompt="Polybag, hangtag, carton share and packing labour per piece. Enter a number from 0 to 100,000." sqref="K7:K516">
      <formula1>0</formula1>
      <formula2>100000.0</formula2>
    </dataValidation>
    <dataValidation type="decimal" allowBlank="1" showInputMessage="1" showErrorMessage="1" errorTitle="Check this entry" error="Enter a number from 0 to 1,000." promptTitle="SAM" prompt="Standard allowed minutes to sew one piece, from your operation bulletin. Enter a number from 0 to 1,000." sqref="L7:L516">
      <formula1>0</formula1>
      <formula2>1000</formula2>
    </dataValidation>
    <dataValidation type="decimal" allowBlank="1" showInputMessage="1" showErrorMessage="1" errorTitle="Check this entry" error="Enter a percentage from 5% to 120% (type 85% or 0.85)." promptTitle="Line efficiency" prompt="SAM x pieces / paid line minutes for this style, from your own line records. Enter a percentage from 5% to 120% (type 85% or 0.85)." sqref="M7:M516">
      <formula1>0.05</formula1>
      <formula2>1.2</formula2>
    </dataValidation>
    <dataValidation type="decimal" allowBlank="1" showInputMessage="1" showErrorMessage="1" errorTitle="Check this entry" error="Enter a number from 0 to 1,000,000." promptTitle="FOB price" prompt="Price per piece free on board. Leave blank if not priced yet. Enter a number from 0 to 1,000,000." sqref="N7:N516">
      <formula1>0</formula1>
      <formula2>1000000.0</formula2>
    </dataValidation>
    <dataValidation type="textLength" allowBlank="1" showInputMessage="1" showErrorMessage="1" errorTitle="Check this entry" error="Text up to 255 characters." promptTitle="Notes" prompt="Text up to 255 characters." sqref="Z7:Z516">
      <formula1>0</formula1>
      <formula2>255</formula2>
    </dataValidation>
  </dataValidations>
  <hyperlinks>
    <hyperlink ref="Z2" r:id="rId1" tooltip="Free manufacturing calculators and templates"/>
  </hyperlinks>
  <pageMargins left="0.4" right="0.4" top="0.7" bottom="0.65" header="0.3" footer="0.3"/>
  <pageSetup fitToHeight="0" orientation="landscape"/>
  <headerFooter>
    <oddHeader>&amp;L&amp;8MFG Calcs - Garment Costing Sheet&amp;R&amp;8&amp;A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58"/>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ht="18" customHeight="1" x14ac:dyDescent="0.25">
      <c r="B4" s="43" t="s">
        <v>128</v>
      </c>
      <c r="C4" s="43"/>
      <c r="D4" s="43" t="s">
        <v>129</v>
      </c>
      <c r="E4" s="43"/>
      <c r="F4" s="43"/>
      <c r="G4" s="43" t="s">
        <v>130</v>
      </c>
      <c r="H4" s="43"/>
      <c r="I4" s="43"/>
      <c r="J4" s="43" t="s">
        <v>131</v>
      </c>
      <c r="K4" s="43"/>
      <c r="L4" s="43"/>
    </row>
    <row r="5" spans="1:12" ht="21" customHeight="1" x14ac:dyDescent="0.25">
      <c r="B5" s="44">
        <f>IF((SUM(tblStyles[Order value]))=0,"",(SUM(tblStyles[Order margin]))/(SUM(tblStyles[Order value])))</f>
        <v>0.115068814032116</v>
      </c>
      <c r="C5" s="44"/>
      <c r="D5" s="45">
        <f>COUNTIF(tblStyles[Margin status],"Below target")</f>
        <v>2</v>
      </c>
      <c r="E5" s="45"/>
      <c r="F5" s="45"/>
      <c r="G5" s="44">
        <f>IF((SUM(tblStyles[Order cost]))=0,"",(SUMPRODUCT(tblStyles[Fabric cost],tblStyles[Order qty],--ISNUMBER(tblStyles[Order cost])))/(SUM(tblStyles[Order cost])))</f>
        <v>0.481317263265039</v>
      </c>
      <c r="H5" s="44"/>
      <c r="I5" s="44"/>
      <c r="J5" s="45">
        <f>SUM(tblStyles[Sewing hours])</f>
        <v>16994.9505222253</v>
      </c>
      <c r="K5" s="45"/>
      <c r="L5" s="45"/>
    </row>
    <row r="6" spans="1:12" ht="21" customHeight="1" x14ac:dyDescent="0.25">
      <c r="B6" s="44"/>
      <c r="C6" s="44"/>
      <c r="D6" s="45"/>
      <c r="E6" s="45"/>
      <c r="F6" s="45"/>
      <c r="G6" s="44"/>
      <c r="H6" s="44"/>
      <c r="I6" s="44"/>
      <c r="J6" s="45"/>
      <c r="K6" s="45"/>
      <c r="L6" s="45"/>
    </row>
    <row r="7" spans="1:12" x14ac:dyDescent="0.25">
      <c r="B7" s="46">
        <f>TargetMargin</f>
        <v>0.12</v>
      </c>
      <c r="C7" s="46"/>
      <c r="D7" s="47" t="s">
        <v>132</v>
      </c>
      <c r="E7" s="47"/>
      <c r="F7" s="47"/>
      <c r="G7" s="47" t="s">
        <v>133</v>
      </c>
      <c r="H7" s="47"/>
      <c r="I7" s="47"/>
      <c r="J7" s="47" t="s">
        <v>134</v>
      </c>
      <c r="K7" s="47"/>
      <c r="L7" s="47"/>
    </row>
    <row r="8" spans="1:12" ht="18" customHeight="1" x14ac:dyDescent="0.25">
      <c r="B8" s="48" t="str">
        <f>IF(NOT(ISNUMBER(KpiMargin)),"No data",IF(KpiMargin&gt;=(TargetMargin),"On target",IF(KpiMargin&gt;=(TargetMargin)*(1-0.05),"Near target","Below target")))</f>
        <v>Near target</v>
      </c>
      <c r="C8" s="48"/>
      <c r="D8" s="48"/>
      <c r="E8" s="48"/>
      <c r="F8" s="48"/>
      <c r="G8" s="48"/>
      <c r="H8" s="48"/>
      <c r="I8" s="48"/>
      <c r="J8" s="48"/>
      <c r="K8" s="48"/>
      <c r="L8" s="48"/>
    </row>
    <row r="28" spans="2:12" x14ac:dyDescent="0.25">
      <c r="B28" s="49" t="s">
        <v>135</v>
      </c>
      <c r="C28" s="49"/>
      <c r="D28" s="49"/>
      <c r="E28" s="49"/>
      <c r="F28" s="49"/>
      <c r="G28" s="49"/>
      <c r="H28" s="49"/>
      <c r="I28" s="49"/>
      <c r="J28" s="49"/>
      <c r="K28" s="49"/>
      <c r="L28" s="49"/>
    </row>
    <row r="29" spans="2:12" ht="32" customHeight="1" x14ac:dyDescent="0.25">
      <c r="B29" s="50" t="s">
        <v>71</v>
      </c>
      <c r="C29" s="33" t="s">
        <v>72</v>
      </c>
      <c r="D29" s="33"/>
      <c r="E29" s="33" t="s">
        <v>73</v>
      </c>
      <c r="F29" s="33" t="s">
        <v>87</v>
      </c>
      <c r="G29" s="33" t="s">
        <v>83</v>
      </c>
      <c r="H29" s="33" t="s">
        <v>88</v>
      </c>
      <c r="I29" s="33" t="s">
        <v>136</v>
      </c>
      <c r="J29" s="33" t="s">
        <v>89</v>
      </c>
      <c r="K29" s="33" t="s">
        <v>92</v>
      </c>
      <c r="L29" s="33" t="s">
        <v>93</v>
      </c>
    </row>
    <row r="30" spans="2:12" ht="14" customHeight="1" x14ac:dyDescent="0.25">
      <c r="B30" s="32"/>
      <c r="C30" s="32"/>
      <c r="D30" s="32"/>
      <c r="E30" s="32" t="s">
        <v>97</v>
      </c>
      <c r="F30" s="32" t="str">
        <f>Currency&amp;"/pc"</f>
        <v>USD/pc</v>
      </c>
      <c r="G30" s="32" t="str">
        <f>Currency&amp;"/pc"</f>
        <v>USD/pc</v>
      </c>
      <c r="H30" s="32" t="s">
        <v>101</v>
      </c>
      <c r="I30" s="32" t="s">
        <v>99</v>
      </c>
      <c r="J30" s="32"/>
      <c r="K30" s="32" t="str">
        <f>Currency</f>
        <v>USD</v>
      </c>
      <c r="L30" s="32" t="s">
        <v>102</v>
      </c>
    </row>
    <row r="31" spans="2:12" x14ac:dyDescent="0.25">
      <c r="B31" s="51" t="str">
        <f>IFERROR(INDEX(tblStyles[Style],1)&amp;"","")</f>
        <v>MA-T101</v>
      </c>
      <c r="C31" s="52" t="str">
        <f>IF($B$31="","",IFERROR(INDEX(tblStyles[Description],MATCH($B$31,tblStyles[Style],0)),""))</f>
        <v>Crew-neck T-shirt</v>
      </c>
      <c r="D31" s="52"/>
      <c r="E31" s="41">
        <f>IF($B$31="","",IFERROR(INDEX(tblStyles[Order qty],MATCH($B$31,tblStyles[Style],0)),""))</f>
        <v>6000</v>
      </c>
      <c r="F31" s="37">
        <f>IF($B$31="","",IFERROR(INDEX(tblStyles[Garment cost],MATCH($B$31,tblStyles[Style],0)),""))</f>
        <v>2.64664903225806</v>
      </c>
      <c r="G31" s="37">
        <f>IF($B$31="","",IFERROR(INDEX(tblStyles[FOB price],MATCH($B$31,tblStyles[Style],0)),""))</f>
        <v>3.05</v>
      </c>
      <c r="H31" s="39">
        <f>IF($B$31="","",IFERROR(INDEX(tblStyles[Margin],MATCH($B$31,tblStyles[Style],0)),""))</f>
        <v>0.132246218931782</v>
      </c>
      <c r="I31" s="53">
        <f>TargetMargin</f>
        <v>0.12</v>
      </c>
      <c r="J31" s="54" t="str">
        <f>IF($B$31="","",IFERROR(INDEX(tblStyles[Margin status],MATCH($B$31,tblStyles[Style],0)),""))</f>
        <v>On target</v>
      </c>
      <c r="K31" s="41">
        <f>IF($B$31="","",IFERROR(INDEX(tblStyles[Order margin],MATCH($B$31,tblStyles[Style],0)),""))</f>
        <v>2420.10580645161</v>
      </c>
      <c r="L31" s="41">
        <f>IF($B$31="","",IFERROR(INDEX(tblStyles[Sewing hours],MATCH($B$31,tblStyles[Style],0)),""))</f>
        <v>1048.38709677419</v>
      </c>
    </row>
    <row r="32" spans="2:12" x14ac:dyDescent="0.25">
      <c r="B32" s="51" t="str">
        <f>IFERROR(INDEX(tblStyles[Style],2)&amp;"","")</f>
        <v>MA-P201</v>
      </c>
      <c r="C32" s="52" t="str">
        <f>IF($B$32="","",IFERROR(INDEX(tblStyles[Description],MATCH($B$32,tblStyles[Style],0)),""))</f>
        <v>Pique polo shirt</v>
      </c>
      <c r="D32" s="52"/>
      <c r="E32" s="41">
        <f>IF($B$32="","",IFERROR(INDEX(tblStyles[Order qty],MATCH($B$32,tblStyles[Style],0)),""))</f>
        <v>3000</v>
      </c>
      <c r="F32" s="37">
        <f>IF($B$32="","",IFERROR(INDEX(tblStyles[Garment cost],MATCH($B$32,tblStyles[Style],0)),""))</f>
        <v>4.62973333333333</v>
      </c>
      <c r="G32" s="37">
        <f>IF($B$32="","",IFERROR(INDEX(tblStyles[FOB price],MATCH($B$32,tblStyles[Style],0)),""))</f>
        <v>5.3</v>
      </c>
      <c r="H32" s="39">
        <f>IF($B$32="","",IFERROR(INDEX(tblStyles[Margin],MATCH($B$32,tblStyles[Style],0)),""))</f>
        <v>0.126465408805031</v>
      </c>
      <c r="I32" s="53">
        <f>TargetMargin</f>
        <v>0.12</v>
      </c>
      <c r="J32" s="54" t="str">
        <f>IF($B$32="","",IFERROR(INDEX(tblStyles[Margin status],MATCH($B$32,tblStyles[Style],0)),""))</f>
        <v>On target</v>
      </c>
      <c r="K32" s="41">
        <f>IF($B$32="","",IFERROR(INDEX(tblStyles[Order margin],MATCH($B$32,tblStyles[Style],0)),""))</f>
        <v>2010.8</v>
      </c>
      <c r="L32" s="41">
        <f>IF($B$32="","",IFERROR(INDEX(tblStyles[Sewing hours],MATCH($B$32,tblStyles[Style],0)),""))</f>
        <v>1166.66666666667</v>
      </c>
    </row>
    <row r="33" spans="2:12" x14ac:dyDescent="0.25">
      <c r="B33" s="51" t="str">
        <f>IFERROR(INDEX(tblStyles[Style],3)&amp;"","")</f>
        <v>MA-S301</v>
      </c>
      <c r="C33" s="52" t="str">
        <f>IF($B$33="","",IFERROR(INDEX(tblStyles[Description],MATCH($B$33,tblStyles[Style],0)),""))</f>
        <v>Oxford shirt</v>
      </c>
      <c r="D33" s="52"/>
      <c r="E33" s="41">
        <f>IF($B$33="","",IFERROR(INDEX(tblStyles[Order qty],MATCH($B$33,tblStyles[Style],0)),""))</f>
        <v>2500</v>
      </c>
      <c r="F33" s="37">
        <f>IF($B$33="","",IFERROR(INDEX(tblStyles[Garment cost],MATCH($B$33,tblStyles[Style],0)),""))</f>
        <v>10.2795909090909</v>
      </c>
      <c r="G33" s="37">
        <f>IF($B$33="","",IFERROR(INDEX(tblStyles[FOB price],MATCH($B$33,tblStyles[Style],0)),""))</f>
        <v>11.8</v>
      </c>
      <c r="H33" s="39">
        <f>IF($B$33="","",IFERROR(INDEX(tblStyles[Margin],MATCH($B$33,tblStyles[Style],0)),""))</f>
        <v>0.128848228043143</v>
      </c>
      <c r="I33" s="53">
        <f>TargetMargin</f>
        <v>0.12</v>
      </c>
      <c r="J33" s="54" t="str">
        <f>IF($B$33="","",IFERROR(INDEX(tblStyles[Margin status],MATCH($B$33,tblStyles[Style],0)),""))</f>
        <v>On target</v>
      </c>
      <c r="K33" s="41">
        <f>IF($B$33="","",IFERROR(INDEX(tblStyles[Order margin],MATCH($B$33,tblStyles[Style],0)),""))</f>
        <v>3801.02272727273</v>
      </c>
      <c r="L33" s="41">
        <f>IF($B$33="","",IFERROR(INDEX(tblStyles[Sewing hours],MATCH($B$33,tblStyles[Style],0)),""))</f>
        <v>1818.18181818182</v>
      </c>
    </row>
    <row r="34" spans="2:12" x14ac:dyDescent="0.25">
      <c r="B34" s="51" t="str">
        <f>IFERROR(INDEX(tblStyles[Style],4)&amp;"","")</f>
        <v>MA-J401</v>
      </c>
      <c r="C34" s="52" t="str">
        <f>IF($B$34="","",IFERROR(INDEX(tblStyles[Description],MATCH($B$34,tblStyles[Style],0)),""))</f>
        <v>Five-pocket jeans</v>
      </c>
      <c r="D34" s="52"/>
      <c r="E34" s="41">
        <f>IF($B$34="","",IFERROR(INDEX(tblStyles[Order qty],MATCH($B$34,tblStyles[Style],0)),""))</f>
        <v>4000</v>
      </c>
      <c r="F34" s="37">
        <f>IF($B$34="","",IFERROR(INDEX(tblStyles[Garment cost],MATCH($B$34,tblStyles[Style],0)),""))</f>
        <v>13.6008545454545</v>
      </c>
      <c r="G34" s="37">
        <f>IF($B$34="","",IFERROR(INDEX(tblStyles[FOB price],MATCH($B$34,tblStyles[Style],0)),""))</f>
        <v>15.4</v>
      </c>
      <c r="H34" s="39">
        <f>IF($B$34="","",IFERROR(INDEX(tblStyles[Margin],MATCH($B$34,tblStyles[Style],0)),""))</f>
        <v>0.116827626918536</v>
      </c>
      <c r="I34" s="53">
        <f>TargetMargin</f>
        <v>0.12</v>
      </c>
      <c r="J34" s="54" t="str">
        <f>IF($B$34="","",IFERROR(INDEX(tblStyles[Margin status],MATCH($B$34,tblStyles[Style],0)),""))</f>
        <v>Near target</v>
      </c>
      <c r="K34" s="41">
        <f>IF($B$34="","",IFERROR(INDEX(tblStyles[Order margin],MATCH($B$34,tblStyles[Style],0)),""))</f>
        <v>7196.58181818182</v>
      </c>
      <c r="L34" s="41">
        <f>IF($B$34="","",IFERROR(INDEX(tblStyles[Sewing hours],MATCH($B$34,tblStyles[Style],0)),""))</f>
        <v>3878.78787878788</v>
      </c>
    </row>
    <row r="35" spans="2:12" x14ac:dyDescent="0.25">
      <c r="B35" s="51" t="str">
        <f>IFERROR(INDEX(tblStyles[Style],5)&amp;"","")</f>
        <v>MA-C501</v>
      </c>
      <c r="C35" s="52" t="str">
        <f>IF($B$35="","",IFERROR(INDEX(tblStyles[Description],MATCH($B$35,tblStyles[Style],0)),""))</f>
        <v>Chino trousers</v>
      </c>
      <c r="D35" s="52"/>
      <c r="E35" s="41">
        <f>IF($B$35="","",IFERROR(INDEX(tblStyles[Order qty],MATCH($B$35,tblStyles[Style],0)),""))</f>
        <v>2000</v>
      </c>
      <c r="F35" s="37">
        <f>IF($B$35="","",IFERROR(INDEX(tblStyles[Garment cost],MATCH($B$35,tblStyles[Style],0)),""))</f>
        <v>9.72769827586207</v>
      </c>
      <c r="G35" s="37">
        <f>IF($B$35="","",IFERROR(INDEX(tblStyles[FOB price],MATCH($B$35,tblStyles[Style],0)),""))</f>
        <v>11.1</v>
      </c>
      <c r="H35" s="39">
        <f>IF($B$35="","",IFERROR(INDEX(tblStyles[Margin],MATCH($B$35,tblStyles[Style],0)),""))</f>
        <v>0.123630785958372</v>
      </c>
      <c r="I35" s="53">
        <f>TargetMargin</f>
        <v>0.12</v>
      </c>
      <c r="J35" s="54" t="str">
        <f>IF($B$35="","",IFERROR(INDEX(tblStyles[Margin status],MATCH($B$35,tblStyles[Style],0)),""))</f>
        <v>On target</v>
      </c>
      <c r="K35" s="41">
        <f>IF($B$35="","",IFERROR(INDEX(tblStyles[Order margin],MATCH($B$35,tblStyles[Style],0)),""))</f>
        <v>2744.60344827586</v>
      </c>
      <c r="L35" s="41">
        <f>IF($B$35="","",IFERROR(INDEX(tblStyles[Sewing hours],MATCH($B$35,tblStyles[Style],0)),""))</f>
        <v>1609.19540229885</v>
      </c>
    </row>
    <row r="36" spans="2:12" x14ac:dyDescent="0.25">
      <c r="B36" s="51" t="str">
        <f>IFERROR(INDEX(tblStyles[Style],6)&amp;"","")</f>
        <v>MA-H601</v>
      </c>
      <c r="C36" s="52" t="str">
        <f>IF($B$36="","",IFERROR(INDEX(tblStyles[Description],MATCH($B$36,tblStyles[Style],0)),""))</f>
        <v>Pullover hoodie</v>
      </c>
      <c r="D36" s="52"/>
      <c r="E36" s="41">
        <f>IF($B$36="","",IFERROR(INDEX(tblStyles[Order qty],MATCH($B$36,tblStyles[Style],0)),""))</f>
        <v>2500</v>
      </c>
      <c r="F36" s="37">
        <f>IF($B$36="","",IFERROR(INDEX(tblStyles[Garment cost],MATCH($B$36,tblStyles[Style],0)),""))</f>
        <v>9.01173793103448</v>
      </c>
      <c r="G36" s="37">
        <f>IF($B$36="","",IFERROR(INDEX(tblStyles[FOB price],MATCH($B$36,tblStyles[Style],0)),""))</f>
        <v>10.4</v>
      </c>
      <c r="H36" s="39">
        <f>IF($B$36="","",IFERROR(INDEX(tblStyles[Margin],MATCH($B$36,tblStyles[Style],0)),""))</f>
        <v>0.13348673740053</v>
      </c>
      <c r="I36" s="53">
        <f>TargetMargin</f>
        <v>0.12</v>
      </c>
      <c r="J36" s="54" t="str">
        <f>IF($B$36="","",IFERROR(INDEX(tblStyles[Margin status],MATCH($B$36,tblStyles[Style],0)),""))</f>
        <v>On target</v>
      </c>
      <c r="K36" s="41">
        <f>IF($B$36="","",IFERROR(INDEX(tblStyles[Order margin],MATCH($B$36,tblStyles[Style],0)),""))</f>
        <v>3470.65517241379</v>
      </c>
      <c r="L36" s="41">
        <f>IF($B$36="","",IFERROR(INDEX(tblStyles[Sewing hours],MATCH($B$36,tblStyles[Style],0)),""))</f>
        <v>1580.45977011494</v>
      </c>
    </row>
    <row r="37" spans="2:12" x14ac:dyDescent="0.25">
      <c r="B37" s="51" t="str">
        <f>IFERROR(INDEX(tblStyles[Style],7)&amp;"","")</f>
        <v>MA-D701</v>
      </c>
      <c r="C37" s="52" t="str">
        <f>IF($B$37="","",IFERROR(INDEX(tblStyles[Description],MATCH($B$37,tblStyles[Style],0)),""))</f>
        <v>Shirt dress</v>
      </c>
      <c r="D37" s="52"/>
      <c r="E37" s="41">
        <f>IF($B$37="","",IFERROR(INDEX(tblStyles[Order qty],MATCH($B$37,tblStyles[Style],0)),""))</f>
        <v>1200</v>
      </c>
      <c r="F37" s="37">
        <f>IF($B$37="","",IFERROR(INDEX(tblStyles[Garment cost],MATCH($B$37,tblStyles[Style],0)),""))</f>
        <v>17.2316</v>
      </c>
      <c r="G37" s="37">
        <f>IF($B$37="","",IFERROR(INDEX(tblStyles[FOB price],MATCH($B$37,tblStyles[Style],0)),""))</f>
        <v>18.4</v>
      </c>
      <c r="H37" s="39">
        <f>IF($B$37="","",IFERROR(INDEX(tblStyles[Margin],MATCH($B$37,tblStyles[Style],0)),""))</f>
        <v>0.0634999999999999</v>
      </c>
      <c r="I37" s="53">
        <f>TargetMargin</f>
        <v>0.12</v>
      </c>
      <c r="J37" s="54" t="str">
        <f>IF($B$37="","",IFERROR(INDEX(tblStyles[Margin status],MATCH($B$37,tblStyles[Style],0)),""))</f>
        <v>Below target</v>
      </c>
      <c r="K37" s="41">
        <f>IF($B$37="","",IFERROR(INDEX(tblStyles[Order margin],MATCH($B$37,tblStyles[Style],0)),""))</f>
        <v>1402.08</v>
      </c>
      <c r="L37" s="41">
        <f>IF($B$37="","",IFERROR(INDEX(tblStyles[Sewing hours],MATCH($B$37,tblStyles[Style],0)),""))</f>
        <v>1520</v>
      </c>
    </row>
    <row r="38" spans="2:12" x14ac:dyDescent="0.25">
      <c r="B38" s="51" t="str">
        <f>IFERROR(INDEX(tblStyles[Style],8)&amp;"","")</f>
        <v>MA-L801</v>
      </c>
      <c r="C38" s="52" t="str">
        <f>IF($B$38="","",IFERROR(INDEX(tblStyles[Description],MATCH($B$38,tblStyles[Style],0)),""))</f>
        <v>Leggings</v>
      </c>
      <c r="D38" s="52"/>
      <c r="E38" s="41">
        <f>IF($B$38="","",IFERROR(INDEX(tblStyles[Order qty],MATCH($B$38,tblStyles[Style],0)),""))</f>
        <v>5000</v>
      </c>
      <c r="F38" s="37">
        <f>IF($B$38="","",IFERROR(INDEX(tblStyles[Garment cost],MATCH($B$38,tblStyles[Style],0)),""))</f>
        <v>3.49628571428571</v>
      </c>
      <c r="G38" s="37">
        <f>IF($B$38="","",IFERROR(INDEX(tblStyles[FOB price],MATCH($B$38,tblStyles[Style],0)),""))</f>
        <v>4</v>
      </c>
      <c r="H38" s="39">
        <f>IF($B$38="","",IFERROR(INDEX(tblStyles[Margin],MATCH($B$38,tblStyles[Style],0)),""))</f>
        <v>0.125928571428571</v>
      </c>
      <c r="I38" s="53">
        <f>TargetMargin</f>
        <v>0.12</v>
      </c>
      <c r="J38" s="54" t="str">
        <f>IF($B$38="","",IFERROR(INDEX(tblStyles[Margin status],MATCH($B$38,tblStyles[Style],0)),""))</f>
        <v>On target</v>
      </c>
      <c r="K38" s="41">
        <f>IF($B$38="","",IFERROR(INDEX(tblStyles[Order margin],MATCH($B$38,tblStyles[Style],0)),""))</f>
        <v>2518.57142857143</v>
      </c>
      <c r="L38" s="41">
        <f>IF($B$38="","",IFERROR(INDEX(tblStyles[Sewing hours],MATCH($B$38,tblStyles[Style],0)),""))</f>
        <v>1190.47619047619</v>
      </c>
    </row>
    <row r="39" spans="2:12" x14ac:dyDescent="0.25">
      <c r="B39" s="51" t="str">
        <f>IFERROR(INDEX(tblStyles[Style],9)&amp;"","")</f>
        <v>MA-W901</v>
      </c>
      <c r="C39" s="52" t="str">
        <f>IF($B$39="","",IFERROR(INDEX(tblStyles[Description],MATCH($B$39,tblStyles[Style],0)),""))</f>
        <v>Padded jacket</v>
      </c>
      <c r="D39" s="52"/>
      <c r="E39" s="41">
        <f>IF($B$39="","",IFERROR(INDEX(tblStyles[Order qty],MATCH($B$39,tblStyles[Style],0)),""))</f>
        <v>800</v>
      </c>
      <c r="F39" s="37">
        <f>IF($B$39="","",IFERROR(INDEX(tblStyles[Garment cost],MATCH($B$39,tblStyles[Style],0)),""))</f>
        <v>23.8972</v>
      </c>
      <c r="G39" s="37">
        <f>IF($B$39="","",IFERROR(INDEX(tblStyles[FOB price],MATCH($B$39,tblStyles[Style],0)),""))</f>
        <v>25.5</v>
      </c>
      <c r="H39" s="39">
        <f>IF($B$39="","",IFERROR(INDEX(tblStyles[Margin],MATCH($B$39,tblStyles[Style],0)),""))</f>
        <v>0.0628549019607843</v>
      </c>
      <c r="I39" s="53">
        <f>TargetMargin</f>
        <v>0.12</v>
      </c>
      <c r="J39" s="54" t="str">
        <f>IF($B$39="","",IFERROR(INDEX(tblStyles[Margin status],MATCH($B$39,tblStyles[Style],0)),""))</f>
        <v>Below target</v>
      </c>
      <c r="K39" s="41">
        <f>IF($B$39="","",IFERROR(INDEX(tblStyles[Order margin],MATCH($B$39,tblStyles[Style],0)),""))</f>
        <v>1282.24</v>
      </c>
      <c r="L39" s="41">
        <f>IF($B$39="","",IFERROR(INDEX(tblStyles[Sewing hours],MATCH($B$39,tblStyles[Style],0)),""))</f>
        <v>2000</v>
      </c>
    </row>
    <row r="40" spans="2:12" x14ac:dyDescent="0.25">
      <c r="B40" s="51" t="str">
        <f>IFERROR(INDEX(tblStyles[Style],10)&amp;"","")</f>
        <v>MA-K111</v>
      </c>
      <c r="C40" s="52" t="str">
        <f>IF($B$40="","",IFERROR(INDEX(tblStyles[Description],MATCH($B$40,tblStyles[Style],0)),""))</f>
        <v>Kids T-shirt</v>
      </c>
      <c r="D40" s="52"/>
      <c r="E40" s="41">
        <f>IF($B$40="","",IFERROR(INDEX(tblStyles[Order qty],MATCH($B$40,tblStyles[Style],0)),""))</f>
        <v>8000</v>
      </c>
      <c r="F40" s="37">
        <f>IF($B$40="","",IFERROR(INDEX(tblStyles[Garment cost],MATCH($B$40,tblStyles[Style],0)),""))</f>
        <v>1.86419225806452</v>
      </c>
      <c r="G40" s="37">
        <f>IF($B$40="","",IFERROR(INDEX(tblStyles[FOB price],MATCH($B$40,tblStyles[Style],0)),""))</f>
        <v>2.15</v>
      </c>
      <c r="H40" s="39">
        <f>IF($B$40="","",IFERROR(INDEX(tblStyles[Margin],MATCH($B$40,tblStyles[Style],0)),""))</f>
        <v>0.132933833458365</v>
      </c>
      <c r="I40" s="53">
        <f>TargetMargin</f>
        <v>0.12</v>
      </c>
      <c r="J40" s="54" t="str">
        <f>IF($B$40="","",IFERROR(INDEX(tblStyles[Margin status],MATCH($B$40,tblStyles[Style],0)),""))</f>
        <v>On target</v>
      </c>
      <c r="K40" s="41">
        <f>IF($B$40="","",IFERROR(INDEX(tblStyles[Order margin],MATCH($B$40,tblStyles[Style],0)),""))</f>
        <v>2286.46193548387</v>
      </c>
      <c r="L40" s="41">
        <f>IF($B$40="","",IFERROR(INDEX(tblStyles[Sewing hours],MATCH($B$40,tblStyles[Style],0)),""))</f>
        <v>1182.79569892473</v>
      </c>
    </row>
    <row r="42" spans="2:12" x14ac:dyDescent="0.25">
      <c r="B42" s="49" t="s">
        <v>137</v>
      </c>
      <c r="C42" s="49"/>
      <c r="D42" s="49"/>
      <c r="E42" s="49"/>
      <c r="F42" s="49"/>
      <c r="G42" s="49"/>
    </row>
    <row r="43" spans="2:12" ht="32" customHeight="1" x14ac:dyDescent="0.25">
      <c r="B43" s="50" t="s">
        <v>71</v>
      </c>
      <c r="C43" s="33" t="s">
        <v>138</v>
      </c>
      <c r="D43" s="33" t="s">
        <v>78</v>
      </c>
      <c r="E43" s="33" t="s">
        <v>79</v>
      </c>
      <c r="F43" s="33" t="s">
        <v>80</v>
      </c>
      <c r="G43" s="33" t="s">
        <v>139</v>
      </c>
    </row>
    <row r="44" spans="2:12" ht="14" customHeight="1" x14ac:dyDescent="0.25">
      <c r="B44" s="32"/>
      <c r="C44" s="32" t="s">
        <v>99</v>
      </c>
      <c r="D44" s="32" t="s">
        <v>99</v>
      </c>
      <c r="E44" s="32" t="s">
        <v>99</v>
      </c>
      <c r="F44" s="32" t="s">
        <v>99</v>
      </c>
      <c r="G44" s="32" t="s">
        <v>99</v>
      </c>
    </row>
    <row r="45" spans="2:12" x14ac:dyDescent="0.25">
      <c r="B45" s="51" t="str">
        <f>IFERROR(INDEX(tblStyles[Style],1)&amp;"","")</f>
        <v>MA-T101</v>
      </c>
      <c r="C45" s="39">
        <f>IF($B$45="","",IFERROR(INDEX(tblStyles[Fabric cost],MATCH($B$45,tblStyles[Style],0))/INDEX(tblStyles[Garment cost],MATCH($B$45,tblStyles[Style],0)),""))</f>
        <v>0.466824269081829</v>
      </c>
      <c r="D45" s="39">
        <f>IF($B$45="","",IFERROR(INDEX(tblStyles[Trims],MATCH($B$45,tblStyles[Style],0))/INDEX(tblStyles[Garment cost],MATCH($B$45,tblStyles[Style],0)),""))</f>
        <v>0.0453403524749251</v>
      </c>
      <c r="E45" s="39">
        <f>IF($B$45="","",IFERROR(INDEX(tblStyles[Embellishment and wash],MATCH($B$45,tblStyles[Style],0))/INDEX(tblStyles[Garment cost],MATCH($B$45,tblStyles[Style],0)),""))</f>
        <v>0.0944590676560939</v>
      </c>
      <c r="F45" s="39">
        <f>IF($B$45="","",IFERROR(INDEX(tblStyles[Packing],MATCH($B$45,tblStyles[Style],0))/INDEX(tblStyles[Garment cost],MATCH($B$45,tblStyles[Style],0)),""))</f>
        <v>0.0377836270624376</v>
      </c>
      <c r="G45" s="39">
        <f>IF($B$45="","",IFERROR(INDEX(tblStyles[CM cost],MATCH($B$45,tblStyles[Style],0))/INDEX(tblStyles[Garment cost],MATCH($B$45,tblStyles[Style],0)),""))</f>
        <v>0.355592683724715</v>
      </c>
    </row>
    <row r="46" spans="2:12" x14ac:dyDescent="0.25">
      <c r="B46" s="51" t="str">
        <f>IFERROR(INDEX(tblStyles[Style],2)&amp;"","")</f>
        <v>MA-P201</v>
      </c>
      <c r="C46" s="39">
        <f>IF($B$46="","",IFERROR(INDEX(tblStyles[Fabric cost],MATCH($B$46,tblStyles[Style],0))/INDEX(tblStyles[Garment cost],MATCH($B$46,tblStyles[Style],0)),""))</f>
        <v>0.426892837600438</v>
      </c>
      <c r="D46" s="39">
        <f>IF($B$46="","",IFERROR(INDEX(tblStyles[Trims],MATCH($B$46,tblStyles[Style],0))/INDEX(tblStyles[Garment cost],MATCH($B$46,tblStyles[Style],0)),""))</f>
        <v>0.0755983065979322</v>
      </c>
      <c r="E46" s="39">
        <f>IF($B$46="","",IFERROR(INDEX(tblStyles[Embellishment and wash],MATCH($B$46,tblStyles[Style],0))/INDEX(tblStyles[Garment cost],MATCH($B$46,tblStyles[Style],0)),""))</f>
        <v>0.0323992742562567</v>
      </c>
      <c r="F46" s="39">
        <f>IF($B$46="","",IFERROR(INDEX(tblStyles[Packing],MATCH($B$46,tblStyles[Style],0))/INDEX(tblStyles[Garment cost],MATCH($B$46,tblStyles[Style],0)),""))</f>
        <v>0.0259194194050053</v>
      </c>
      <c r="G46" s="39">
        <f>IF($B$46="","",IFERROR(INDEX(tblStyles[CM cost],MATCH($B$46,tblStyles[Style],0))/INDEX(tblStyles[Garment cost],MATCH($B$46,tblStyles[Style],0)),""))</f>
        <v>0.439190162140368</v>
      </c>
    </row>
    <row r="47" spans="2:12" x14ac:dyDescent="0.25">
      <c r="B47" s="51" t="str">
        <f>IFERROR(INDEX(tblStyles[Style],3)&amp;"","")</f>
        <v>MA-S301</v>
      </c>
      <c r="C47" s="39">
        <f>IF($B$47="","",IFERROR(INDEX(tblStyles[Fabric cost],MATCH($B$47,tblStyles[Style],0))/INDEX(tblStyles[Garment cost],MATCH($B$47,tblStyles[Style],0)),""))</f>
        <v>0.573028640156356</v>
      </c>
      <c r="D47" s="39">
        <f>IF($B$47="","",IFERROR(INDEX(tblStyles[Trims],MATCH($B$47,tblStyles[Style],0))/INDEX(tblStyles[Garment cost],MATCH($B$47,tblStyles[Style],0)),""))</f>
        <v>0.0437760611272999</v>
      </c>
      <c r="E47" s="39">
        <f>IF($B$47="","",IFERROR(INDEX(tblStyles[Embellishment and wash],MATCH($B$47,tblStyles[Style],0))/INDEX(tblStyles[Garment cost],MATCH($B$47,tblStyles[Style],0)),""))</f>
        <v>0</v>
      </c>
      <c r="F47" s="39">
        <f>IF($B$47="","",IFERROR(INDEX(tblStyles[Packing],MATCH($B$47,tblStyles[Style],0))/INDEX(tblStyles[Garment cost],MATCH($B$47,tblStyles[Style],0)),""))</f>
        <v>0.01751042445092</v>
      </c>
      <c r="G47" s="39">
        <f>IF($B$47="","",IFERROR(INDEX(tblStyles[CM cost],MATCH($B$47,tblStyles[Style],0))/INDEX(tblStyles[Garment cost],MATCH($B$47,tblStyles[Style],0)),""))</f>
        <v>0.365684874265424</v>
      </c>
    </row>
    <row r="48" spans="2:12" x14ac:dyDescent="0.25">
      <c r="B48" s="51" t="str">
        <f>IFERROR(INDEX(tblStyles[Style],4)&amp;"","")</f>
        <v>MA-J401</v>
      </c>
      <c r="C48" s="39">
        <f>IF($B$48="","",IFERROR(INDEX(tblStyles[Fabric cost],MATCH($B$48,tblStyles[Style],0))/INDEX(tblStyles[Garment cost],MATCH($B$48,tblStyles[Style],0)),""))</f>
        <v>0.474631941575864</v>
      </c>
      <c r="D48" s="39">
        <f>IF($B$48="","",IFERROR(INDEX(tblStyles[Trims],MATCH($B$48,tblStyles[Style],0))/INDEX(tblStyles[Garment cost],MATCH($B$48,tblStyles[Style],0)),""))</f>
        <v>0.0624960731077058</v>
      </c>
      <c r="E48" s="39">
        <f>IF($B$48="","",IFERROR(INDEX(tblStyles[Embellishment and wash],MATCH($B$48,tblStyles[Style],0))/INDEX(tblStyles[Garment cost],MATCH($B$48,tblStyles[Style],0)),""))</f>
        <v>0.0808772710805605</v>
      </c>
      <c r="F48" s="39">
        <f>IF($B$48="","",IFERROR(INDEX(tblStyles[Packing],MATCH($B$48,tblStyles[Style],0))/INDEX(tblStyles[Garment cost],MATCH($B$48,tblStyles[Style],0)),""))</f>
        <v>0.0147049583782837</v>
      </c>
      <c r="G48" s="39">
        <f>IF($B$48="","",IFERROR(INDEX(tblStyles[CM cost],MATCH($B$48,tblStyles[Style],0))/INDEX(tblStyles[Garment cost],MATCH($B$48,tblStyles[Style],0)),""))</f>
        <v>0.367289755857586</v>
      </c>
    </row>
    <row r="49" spans="2:12" x14ac:dyDescent="0.25">
      <c r="B49" s="51" t="str">
        <f>IFERROR(INDEX(tblStyles[Style],5)&amp;"","")</f>
        <v>MA-C501</v>
      </c>
      <c r="C49" s="39">
        <f>IF($B$49="","",IFERROR(INDEX(tblStyles[Fabric cost],MATCH($B$49,tblStyles[Style],0))/INDEX(tblStyles[Garment cost],MATCH($B$49,tblStyles[Style],0)),""))</f>
        <v>0.451725565019191</v>
      </c>
      <c r="D49" s="39">
        <f>IF($B$49="","",IFERROR(INDEX(tblStyles[Trims],MATCH($B$49,tblStyles[Style],0))/INDEX(tblStyles[Garment cost],MATCH($B$49,tblStyles[Style],0)),""))</f>
        <v>0.0719594687406118</v>
      </c>
      <c r="E49" s="39">
        <f>IF($B$49="","",IFERROR(INDEX(tblStyles[Embellishment and wash],MATCH($B$49,tblStyles[Style],0))/INDEX(tblStyles[Garment cost],MATCH($B$49,tblStyles[Style],0)),""))</f>
        <v>0.0308397723174051</v>
      </c>
      <c r="F49" s="39">
        <f>IF($B$49="","",IFERROR(INDEX(tblStyles[Packing],MATCH($B$49,tblStyles[Style],0))/INDEX(tblStyles[Garment cost],MATCH($B$49,tblStyles[Style],0)),""))</f>
        <v>0.018503863390443</v>
      </c>
      <c r="G49" s="39">
        <f>IF($B$49="","",IFERROR(INDEX(tblStyles[CM cost],MATCH($B$49,tblStyles[Style],0))/INDEX(tblStyles[Garment cost],MATCH($B$49,tblStyles[Style],0)),""))</f>
        <v>0.426971330532349</v>
      </c>
    </row>
    <row r="50" spans="2:12" x14ac:dyDescent="0.25">
      <c r="B50" s="51" t="str">
        <f>IFERROR(INDEX(tblStyles[Style],6)&amp;"","")</f>
        <v>MA-H601</v>
      </c>
      <c r="C50" s="39">
        <f>IF($B$50="","",IFERROR(INDEX(tblStyles[Fabric cost],MATCH($B$50,tblStyles[Style],0))/INDEX(tblStyles[Garment cost],MATCH($B$50,tblStyles[Style],0)),""))</f>
        <v>0.514617716969898</v>
      </c>
      <c r="D50" s="39">
        <f>IF($B$50="","",IFERROR(INDEX(tblStyles[Trims],MATCH($B$50,tblStyles[Style],0))/INDEX(tblStyles[Garment cost],MATCH($B$50,tblStyles[Style],0)),""))</f>
        <v>0.061031512923375</v>
      </c>
      <c r="E50" s="39">
        <f>IF($B$50="","",IFERROR(INDEX(tblStyles[Embellishment and wash],MATCH($B$50,tblStyles[Style],0))/INDEX(tblStyles[Garment cost],MATCH($B$50,tblStyles[Style],0)),""))</f>
        <v>0.0443865548533637</v>
      </c>
      <c r="F50" s="39">
        <f>IF($B$50="","",IFERROR(INDEX(tblStyles[Packing],MATCH($B$50,tblStyles[Style],0))/INDEX(tblStyles[Garment cost],MATCH($B$50,tblStyles[Style],0)),""))</f>
        <v>0.0166449580700114</v>
      </c>
      <c r="G50" s="39">
        <f>IF($B$50="","",IFERROR(INDEX(tblStyles[CM cost],MATCH($B$50,tblStyles[Style],0))/INDEX(tblStyles[Garment cost],MATCH($B$50,tblStyles[Style],0)),""))</f>
        <v>0.363319257183352</v>
      </c>
    </row>
    <row r="51" spans="2:12" x14ac:dyDescent="0.25">
      <c r="B51" s="51" t="str">
        <f>IFERROR(INDEX(tblStyles[Style],7)&amp;"","")</f>
        <v>MA-D701</v>
      </c>
      <c r="C51" s="39">
        <f>IF($B$51="","",IFERROR(INDEX(tblStyles[Fabric cost],MATCH($B$51,tblStyles[Style],0))/INDEX(tblStyles[Garment cost],MATCH($B$51,tblStyles[Style],0)),""))</f>
        <v>0.575779382065508</v>
      </c>
      <c r="D51" s="39">
        <f>IF($B$51="","",IFERROR(INDEX(tblStyles[Trims],MATCH($B$51,tblStyles[Style],0))/INDEX(tblStyles[Garment cost],MATCH($B$51,tblStyles[Style],0)),""))</f>
        <v>0.034819749762065</v>
      </c>
      <c r="E51" s="39">
        <f>IF($B$51="","",IFERROR(INDEX(tblStyles[Embellishment and wash],MATCH($B$51,tblStyles[Style],0))/INDEX(tblStyles[Garment cost],MATCH($B$51,tblStyles[Style],0)),""))</f>
        <v>0</v>
      </c>
      <c r="F51" s="39">
        <f>IF($B$51="","",IFERROR(INDEX(tblStyles[Packing],MATCH($B$51,tblStyles[Style],0))/INDEX(tblStyles[Garment cost],MATCH($B$51,tblStyles[Style],0)),""))</f>
        <v>0.0116065832540217</v>
      </c>
      <c r="G51" s="39">
        <f>IF($B$51="","",IFERROR(INDEX(tblStyles[CM cost],MATCH($B$51,tblStyles[Style],0))/INDEX(tblStyles[Garment cost],MATCH($B$51,tblStyles[Style],0)),""))</f>
        <v>0.377794284918406</v>
      </c>
    </row>
    <row r="52" spans="2:12" x14ac:dyDescent="0.25">
      <c r="B52" s="51" t="str">
        <f>IFERROR(INDEX(tblStyles[Style],8)&amp;"","")</f>
        <v>MA-L801</v>
      </c>
      <c r="C52" s="39">
        <f>IF($B$52="","",IFERROR(INDEX(tblStyles[Fabric cost],MATCH($B$52,tblStyles[Style],0))/INDEX(tblStyles[Garment cost],MATCH($B$52,tblStyles[Style],0)),""))</f>
        <v>0.586908556018632</v>
      </c>
      <c r="D52" s="39">
        <f>IF($B$52="","",IFERROR(INDEX(tblStyles[Trims],MATCH($B$52,tblStyles[Style],0))/INDEX(tblStyles[Garment cost],MATCH($B$52,tblStyles[Style],0)),""))</f>
        <v>0.0286017814823895</v>
      </c>
      <c r="E52" s="39">
        <f>IF($B$52="","",IFERROR(INDEX(tblStyles[Embellishment and wash],MATCH($B$52,tblStyles[Style],0))/INDEX(tblStyles[Garment cost],MATCH($B$52,tblStyles[Style],0)),""))</f>
        <v>0</v>
      </c>
      <c r="F52" s="39">
        <f>IF($B$52="","",IFERROR(INDEX(tblStyles[Packing],MATCH($B$52,tblStyles[Style],0))/INDEX(tblStyles[Garment cost],MATCH($B$52,tblStyles[Style],0)),""))</f>
        <v>0.0228814251859116</v>
      </c>
      <c r="G52" s="39">
        <f>IF($B$52="","",IFERROR(INDEX(tblStyles[CM cost],MATCH($B$52,tblStyles[Style],0))/INDEX(tblStyles[Garment cost],MATCH($B$52,tblStyles[Style],0)),""))</f>
        <v>0.361608237313067</v>
      </c>
    </row>
    <row r="53" spans="2:12" x14ac:dyDescent="0.25">
      <c r="B53" s="51" t="str">
        <f>IFERROR(INDEX(tblStyles[Style],9)&amp;"","")</f>
        <v>MA-W901</v>
      </c>
      <c r="C53" s="39">
        <f>IF($B$53="","",IFERROR(INDEX(tblStyles[Fabric cost],MATCH($B$53,tblStyles[Style],0))/INDEX(tblStyles[Garment cost],MATCH($B$53,tblStyles[Style],0)),""))</f>
        <v>0.311634835880354</v>
      </c>
      <c r="D53" s="39">
        <f>IF($B$53="","",IFERROR(INDEX(tblStyles[Trims],MATCH($B$53,tblStyles[Style],0))/INDEX(tblStyles[Garment cost],MATCH($B$53,tblStyles[Style],0)),""))</f>
        <v>0.133906901226922</v>
      </c>
      <c r="E53" s="39">
        <f>IF($B$53="","",IFERROR(INDEX(tblStyles[Embellishment and wash],MATCH($B$53,tblStyles[Style],0))/INDEX(tblStyles[Garment cost],MATCH($B$53,tblStyles[Style],0)),""))</f>
        <v>0</v>
      </c>
      <c r="F53" s="39">
        <f>IF($B$53="","",IFERROR(INDEX(tblStyles[Packing],MATCH($B$53,tblStyles[Style],0))/INDEX(tblStyles[Garment cost],MATCH($B$53,tblStyles[Style],0)),""))</f>
        <v>0.0188306579850359</v>
      </c>
      <c r="G53" s="39">
        <f>IF($B$53="","",IFERROR(INDEX(tblStyles[CM cost],MATCH($B$53,tblStyles[Style],0))/INDEX(tblStyles[Garment cost],MATCH($B$53,tblStyles[Style],0)),""))</f>
        <v>0.535627604907688</v>
      </c>
    </row>
    <row r="54" spans="2:12" x14ac:dyDescent="0.25">
      <c r="B54" s="51" t="str">
        <f>IFERROR(INDEX(tblStyles[Style],10)&amp;"","")</f>
        <v>MA-K111</v>
      </c>
      <c r="C54" s="39">
        <f>IF($B$54="","",IFERROR(INDEX(tblStyles[Fabric cost],MATCH($B$54,tblStyles[Style],0))/INDEX(tblStyles[Garment cost],MATCH($B$54,tblStyles[Style],0)),""))</f>
        <v>0.364855071711418</v>
      </c>
      <c r="D54" s="39">
        <f>IF($B$54="","",IFERROR(INDEX(tblStyles[Trims],MATCH($B$54,tblStyles[Style],0))/INDEX(tblStyles[Garment cost],MATCH($B$54,tblStyles[Style],0)),""))</f>
        <v>0.0536425358314835</v>
      </c>
      <c r="E54" s="39">
        <f>IF($B$54="","",IFERROR(INDEX(tblStyles[Embellishment and wash],MATCH($B$54,tblStyles[Style],0))/INDEX(tblStyles[Garment cost],MATCH($B$54,tblStyles[Style],0)),""))</f>
        <v>0.107285071662967</v>
      </c>
      <c r="F54" s="39">
        <f>IF($B$54="","",IFERROR(INDEX(tblStyles[Packing],MATCH($B$54,tblStyles[Style],0))/INDEX(tblStyles[Garment cost],MATCH($B$54,tblStyles[Style],0)),""))</f>
        <v>0.0429140286651868</v>
      </c>
      <c r="G54" s="39">
        <f>IF($B$54="","",IFERROR(INDEX(tblStyles[CM cost],MATCH($B$54,tblStyles[Style],0))/INDEX(tblStyles[Garment cost],MATCH($B$54,tblStyles[Style],0)),""))</f>
        <v>0.431303292128944</v>
      </c>
    </row>
    <row r="56" spans="2:12" ht="8" customHeight="1" x14ac:dyDescent="0.25"/>
    <row r="57" spans="2:12" x14ac:dyDescent="0.25">
      <c r="B57" s="21" t="s">
        <v>140</v>
      </c>
      <c r="C57" s="21"/>
      <c r="D57" s="21"/>
      <c r="E57" s="21"/>
      <c r="F57" s="21"/>
      <c r="G57" s="21"/>
      <c r="H57" s="21"/>
      <c r="I57" s="21"/>
      <c r="J57" s="21"/>
      <c r="K57" s="21"/>
      <c r="L57" s="21"/>
    </row>
    <row r="58" spans="2:12" x14ac:dyDescent="0.25">
      <c r="B58" s="55">
        <f>IF(COUNTA(tblStyles[Style])&gt;10,"Styles lists more than 10 styles: the charts and the By style table show the first 10.","")</f>
        <v/>
      </c>
      <c r="C58" s="55"/>
      <c r="D58" s="55"/>
      <c r="E58" s="55"/>
      <c r="F58" s="55"/>
      <c r="G58" s="55"/>
      <c r="H58" s="55"/>
      <c r="I58" s="55"/>
      <c r="J58" s="55"/>
      <c r="K58" s="55"/>
      <c r="L58" s="55"/>
    </row>
  </sheetData>
  <sheetProtection sheet="1" formatColumns="0" formatRows="0"/>
  <mergeCells count="35">
    <mergeCell ref="A1:L1"/>
    <mergeCell ref="B2:J2"/>
    <mergeCell ref="K2:L2"/>
    <mergeCell ref="B4:C4"/>
    <mergeCell ref="B5:C6"/>
    <mergeCell ref="B7:C7"/>
    <mergeCell ref="B8:C8"/>
    <mergeCell ref="D4:F4"/>
    <mergeCell ref="D5:F6"/>
    <mergeCell ref="D7:F7"/>
    <mergeCell ref="D8:F8"/>
    <mergeCell ref="G4:I4"/>
    <mergeCell ref="G5:I6"/>
    <mergeCell ref="G7:I7"/>
    <mergeCell ref="G8:I8"/>
    <mergeCell ref="J4:L4"/>
    <mergeCell ref="J5:L6"/>
    <mergeCell ref="J7:L7"/>
    <mergeCell ref="J8:L8"/>
    <mergeCell ref="B28:L28"/>
    <mergeCell ref="C29:D29"/>
    <mergeCell ref="C30:D30"/>
    <mergeCell ref="C31:D31"/>
    <mergeCell ref="C32:D32"/>
    <mergeCell ref="C33:D33"/>
    <mergeCell ref="C34:D34"/>
    <mergeCell ref="C35:D35"/>
    <mergeCell ref="C36:D36"/>
    <mergeCell ref="C37:D37"/>
    <mergeCell ref="C38:D38"/>
    <mergeCell ref="C39:D39"/>
    <mergeCell ref="C40:D40"/>
    <mergeCell ref="B42:G42"/>
    <mergeCell ref="B57:L57"/>
    <mergeCell ref="B58:L58"/>
  </mergeCells>
  <conditionalFormatting sqref="B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H31:H40">
    <cfRule type="expression" dxfId="3" priority="21" stopIfTrue="1">
      <formula>AND(ISNUMBER(H31),H31&gt;=(TargetMargin))</formula>
    </cfRule>
    <cfRule type="expression" dxfId="4" priority="22" stopIfTrue="1">
      <formula>AND(ISNUMBER(H31),H31&gt;=(TargetMargin)*(1-0.05))</formula>
    </cfRule>
    <cfRule type="expression" dxfId="5" priority="23">
      <formula>ISNUMBER(H31)</formula>
    </cfRule>
  </conditionalFormatting>
  <conditionalFormatting sqref="J31:J40">
    <cfRule type="cellIs" dxfId="0" priority="24" operator="equal">
      <formula>"On target"</formula>
    </cfRule>
    <cfRule type="cellIs" dxfId="0" priority="25" operator="equal">
      <formula>"PASS"</formula>
    </cfRule>
    <cfRule type="cellIs" dxfId="0" priority="26" operator="equal">
      <formula>"OK"</formula>
    </cfRule>
    <cfRule type="cellIs" dxfId="0" priority="27" operator="equal">
      <formula>"Within limits"</formula>
    </cfRule>
    <cfRule type="cellIs" dxfId="0" priority="28" operator="equal">
      <formula>"Under capacity"</formula>
    </cfRule>
    <cfRule type="cellIs" dxfId="0" priority="29" operator="equal">
      <formula>"Complete"</formula>
    </cfRule>
    <cfRule type="cellIs" dxfId="0" priority="30" operator="equal">
      <formula>"Yes"</formula>
    </cfRule>
    <cfRule type="cellIs" dxfId="1" priority="31" operator="equal">
      <formula>"Near target"</formula>
    </cfRule>
    <cfRule type="cellIs" dxfId="1" priority="32" operator="equal">
      <formula>"Check"</formula>
    </cfRule>
    <cfRule type="cellIs" dxfId="1" priority="33" operator="equal">
      <formula>"Due soon"</formula>
    </cfRule>
    <cfRule type="cellIs" dxfId="1" priority="34" operator="equal">
      <formula>"Near capacity"</formula>
    </cfRule>
    <cfRule type="cellIs" dxfId="1" priority="35" operator="equal">
      <formula>"In progress"</formula>
    </cfRule>
    <cfRule type="cellIs" dxfId="1" priority="36" operator="equal">
      <formula>"Partial"</formula>
    </cfRule>
    <cfRule type="cellIs" dxfId="2" priority="37" operator="equal">
      <formula>"Below target"</formula>
    </cfRule>
    <cfRule type="cellIs" dxfId="2" priority="38" operator="equal">
      <formula>"Above target"</formula>
    </cfRule>
    <cfRule type="cellIs" dxfId="2" priority="39" operator="equal">
      <formula>"FAIL"</formula>
    </cfRule>
    <cfRule type="cellIs" dxfId="2" priority="40" operator="equal">
      <formula>"Over capacity"</formula>
    </cfRule>
    <cfRule type="cellIs" dxfId="2" priority="41" operator="equal">
      <formula>"Overdue"</formula>
    </cfRule>
    <cfRule type="cellIs" dxfId="2" priority="42" operator="equal">
      <formula>"Out of limits"</formula>
    </cfRule>
    <cfRule type="cellIs" dxfId="2" priority="43" operator="equal">
      <formula>"No"</formula>
    </cfRule>
  </conditionalFormatting>
  <conditionalFormatting sqref="L31:L40">
    <cfRule type="dataBar" priority="44">
      <dataBar>
        <cfvo type="num" val="0"/>
        <cfvo type="max"/>
        <color rgb="FFA8BDF0"/>
      </dataBar>
      <extLst>
        <ext xmlns:x14="http://schemas.microsoft.com/office/spreadsheetml/2009/9/main" uri="{B025F937-C7B1-47D3-B67F-A62EFF666E3E}">
          <x14:id>{DA7ABA51-AAAA-BBBB-0004-000000000001}</x14:id>
        </ext>
      </extLst>
    </cfRule>
  </conditionalFormatting>
  <hyperlinks>
    <hyperlink ref="K2" r:id="rId1" tooltip="Free manufacturing calculators and templates"/>
  </hyperlinks>
  <pageMargins left="0.4" right="0.4" top="0.7" bottom="0.65" header="0.3" footer="0.3"/>
  <pageSetup fitToHeight="0" orientation="landscape"/>
  <headerFooter>
    <oddHeader>&amp;L&amp;8MFG Calcs - Garment Costing Sheet&amp;R&amp;8&amp;A</oddHeader>
    <oddFooter>&amp;L&amp;8mfgcalcs.com - free manufacturing templates&amp;R&amp;8Page &amp;P of &amp;N</oddFooter>
  </headerFooter>
  <rowBreaks count="2" manualBreakCount="2">
    <brk id="27" max="16383" man="1"/>
    <brk id="41"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L31:L40</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6"/>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141</v>
      </c>
      <c r="C4" s="8"/>
      <c r="D4" s="8"/>
    </row>
    <row r="5" spans="1:4" ht="5" customHeight="1"/>
    <row r="6" spans="1:4" ht="42.6" customHeight="1">
      <c r="B6" s="10" t="s">
        <v>142</v>
      </c>
      <c r="C6" s="10"/>
      <c r="D6" s="10"/>
    </row>
    <row r="8" spans="1:4" ht="21" customHeight="1">
      <c r="B8" s="8" t="s">
        <v>143</v>
      </c>
      <c r="C8" s="8"/>
      <c r="D8" s="8"/>
    </row>
    <row r="9" spans="1:4" ht="5" customHeight="1"/>
    <row r="10" spans="1:4" ht="20" customHeight="1">
      <c r="B10" s="50" t="s">
        <v>144</v>
      </c>
      <c r="C10" s="50" t="s">
        <v>145</v>
      </c>
      <c r="D10" s="33" t="s">
        <v>146</v>
      </c>
    </row>
    <row r="11" spans="1:4" ht="17.2" customHeight="1">
      <c r="B11" s="56" t="s">
        <v>84</v>
      </c>
      <c r="C11" s="57" t="s">
        <v>147</v>
      </c>
      <c r="D11" s="58" t="s">
        <v>148</v>
      </c>
    </row>
    <row r="12" spans="1:4" ht="17.2" customHeight="1">
      <c r="B12" s="56" t="s">
        <v>85</v>
      </c>
      <c r="C12" s="57" t="s">
        <v>149</v>
      </c>
      <c r="D12" s="58" t="s">
        <v>100</v>
      </c>
    </row>
    <row r="13" spans="1:4" ht="17.2" customHeight="1">
      <c r="B13" s="56" t="s">
        <v>86</v>
      </c>
      <c r="C13" s="57" t="s">
        <v>150</v>
      </c>
      <c r="D13" s="58" t="s">
        <v>148</v>
      </c>
    </row>
    <row r="14" spans="1:4" ht="17.2" customHeight="1">
      <c r="B14" s="56" t="s">
        <v>87</v>
      </c>
      <c r="C14" s="57" t="s">
        <v>151</v>
      </c>
      <c r="D14" s="58" t="s">
        <v>148</v>
      </c>
    </row>
    <row r="15" spans="1:4" ht="30.4" customHeight="1">
      <c r="B15" s="56" t="s">
        <v>152</v>
      </c>
      <c r="C15" s="57" t="s">
        <v>153</v>
      </c>
      <c r="D15" s="58" t="s">
        <v>99</v>
      </c>
    </row>
    <row r="16" spans="1:4" ht="17.2" customHeight="1">
      <c r="B16" s="56" t="s">
        <v>154</v>
      </c>
      <c r="C16" s="57" t="s">
        <v>155</v>
      </c>
      <c r="D16" s="58" t="s">
        <v>156</v>
      </c>
    </row>
    <row r="17" spans="2:4" ht="17.2" customHeight="1">
      <c r="B17" s="56" t="s">
        <v>93</v>
      </c>
      <c r="C17" s="57" t="s">
        <v>157</v>
      </c>
      <c r="D17" s="58" t="s">
        <v>102</v>
      </c>
    </row>
    <row r="18" spans="2:4" ht="30.4" customHeight="1">
      <c r="B18" s="56" t="s">
        <v>158</v>
      </c>
      <c r="C18" s="57" t="s">
        <v>159</v>
      </c>
      <c r="D18" s="58" t="s">
        <v>99</v>
      </c>
    </row>
    <row r="19" spans="2:4" ht="30.4" customHeight="1">
      <c r="B19" s="56" t="s">
        <v>160</v>
      </c>
      <c r="C19" s="57" t="s">
        <v>161</v>
      </c>
      <c r="D19" s="58" t="s">
        <v>99</v>
      </c>
    </row>
    <row r="21" spans="2:4" ht="21" customHeight="1">
      <c r="B21" s="8" t="s">
        <v>162</v>
      </c>
      <c r="C21" s="8"/>
      <c r="D21" s="8"/>
    </row>
    <row r="22" spans="2:4" ht="5" customHeight="1"/>
    <row r="23" spans="2:4" ht="29.4" customHeight="1">
      <c r="B23" s="26" t="s">
        <v>55</v>
      </c>
      <c r="C23" s="10" t="s">
        <v>163</v>
      </c>
      <c r="D23" s="10"/>
    </row>
    <row r="24" spans="2:4" ht="29.4" customHeight="1">
      <c r="B24" s="26" t="s">
        <v>55</v>
      </c>
      <c r="C24" s="10" t="s">
        <v>164</v>
      </c>
      <c r="D24" s="10"/>
    </row>
    <row r="25" spans="2:4" ht="16.2" customHeight="1">
      <c r="B25" s="26" t="s">
        <v>55</v>
      </c>
      <c r="C25" s="10" t="s">
        <v>165</v>
      </c>
      <c r="D25" s="10"/>
    </row>
    <row r="26" spans="2:4" ht="29.4" customHeight="1">
      <c r="B26" s="26" t="s">
        <v>55</v>
      </c>
      <c r="C26" s="10" t="s">
        <v>166</v>
      </c>
      <c r="D26" s="10"/>
    </row>
    <row r="28" spans="2:4" ht="21" customHeight="1">
      <c r="B28" s="8" t="s">
        <v>167</v>
      </c>
      <c r="C28" s="8"/>
      <c r="D28" s="8"/>
    </row>
    <row r="29" spans="2:4" ht="5" customHeight="1"/>
    <row r="30" spans="2:4" ht="29.4" customHeight="1">
      <c r="B30" s="26" t="s">
        <v>55</v>
      </c>
      <c r="C30" s="10" t="s">
        <v>168</v>
      </c>
      <c r="D30" s="10"/>
    </row>
    <row r="31" spans="2:4" ht="29.4" customHeight="1">
      <c r="B31" s="26" t="s">
        <v>55</v>
      </c>
      <c r="C31" s="10" t="s">
        <v>169</v>
      </c>
      <c r="D31" s="10"/>
    </row>
    <row r="32" spans="2:4" ht="29.4" customHeight="1">
      <c r="B32" s="26" t="s">
        <v>55</v>
      </c>
      <c r="C32" s="10" t="s">
        <v>170</v>
      </c>
      <c r="D32" s="10"/>
    </row>
    <row r="33" spans="2:4" ht="16.2" customHeight="1">
      <c r="B33" s="26" t="s">
        <v>55</v>
      </c>
      <c r="C33" s="10" t="s">
        <v>171</v>
      </c>
      <c r="D33" s="10"/>
    </row>
    <row r="35" spans="2:4" ht="21" customHeight="1">
      <c r="B35" s="8" t="s">
        <v>172</v>
      </c>
      <c r="C35" s="8"/>
      <c r="D35" s="8"/>
    </row>
    <row r="36" spans="2:4" ht="5" customHeight="1"/>
    <row r="37" spans="2:4" ht="69" customHeight="1">
      <c r="B37" s="10" t="s">
        <v>173</v>
      </c>
      <c r="C37" s="10"/>
      <c r="D37" s="10"/>
    </row>
    <row r="38" spans="2:4">
      <c r="B38" s="24" t="s">
        <v>174</v>
      </c>
      <c r="C38" s="24"/>
      <c r="D38" s="24"/>
    </row>
    <row r="40" spans="2:4" ht="21" customHeight="1">
      <c r="B40" s="8" t="s">
        <v>42</v>
      </c>
      <c r="C40" s="8"/>
      <c r="D40" s="8"/>
    </row>
    <row r="41" spans="2:4" ht="5" customHeight="1"/>
    <row r="42" spans="2:4" ht="42.6" customHeight="1">
      <c r="B42" s="10" t="s">
        <v>175</v>
      </c>
      <c r="C42" s="10"/>
      <c r="D42" s="10"/>
    </row>
    <row r="44" spans="2:4" ht="21" customHeight="1">
      <c r="B44" s="8" t="s">
        <v>176</v>
      </c>
      <c r="C44" s="8"/>
      <c r="D44" s="8"/>
    </row>
    <row r="45" spans="2:4" ht="5" customHeight="1"/>
    <row r="46" spans="2:4" ht="29.4" customHeight="1">
      <c r="B46" s="26" t="s">
        <v>55</v>
      </c>
      <c r="C46" s="10" t="s">
        <v>177</v>
      </c>
      <c r="D46" s="10"/>
    </row>
    <row r="47" spans="2:4" ht="29.4" customHeight="1">
      <c r="B47" s="26" t="s">
        <v>55</v>
      </c>
      <c r="C47" s="10" t="s">
        <v>178</v>
      </c>
      <c r="D47" s="10"/>
    </row>
    <row r="48" spans="2:4" ht="29.4" customHeight="1">
      <c r="B48" s="26" t="s">
        <v>55</v>
      </c>
      <c r="C48" s="10" t="s">
        <v>179</v>
      </c>
      <c r="D48" s="10"/>
    </row>
    <row r="49" spans="2:4">
      <c r="B49" s="21" t="s">
        <v>180</v>
      </c>
      <c r="C49" s="21"/>
      <c r="D49" s="21"/>
    </row>
    <row r="51" spans="2:4" ht="21" customHeight="1">
      <c r="B51" s="8" t="s">
        <v>181</v>
      </c>
      <c r="C51" s="8"/>
      <c r="D51" s="8"/>
    </row>
    <row r="52" spans="2:4" ht="5" customHeight="1"/>
    <row r="53" spans="2:4">
      <c r="B53" s="50" t="s">
        <v>50</v>
      </c>
      <c r="C53" s="50" t="s">
        <v>182</v>
      </c>
      <c r="D53" s="33" t="s">
        <v>183</v>
      </c>
    </row>
    <row r="54" spans="2:4" ht="16.2" customHeight="1">
      <c r="B54" s="52" t="s">
        <v>184</v>
      </c>
      <c r="C54" s="59" t="s">
        <v>185</v>
      </c>
      <c r="D54" s="60" t="s">
        <v>186</v>
      </c>
    </row>
    <row r="56" spans="2:4">
      <c r="B56" s="21" t="s">
        <v>61</v>
      </c>
      <c r="C56" s="21"/>
      <c r="D56" s="21"/>
    </row>
  </sheetData>
  <sheetProtection sheet="1" formatColumns="0" formatRows="0"/>
  <mergeCells count="27">
    <mergeCell ref="A1:D1"/>
    <mergeCell ref="B2:C2"/>
    <mergeCell ref="B4:D4"/>
    <mergeCell ref="B6:D6"/>
    <mergeCell ref="B8:D8"/>
    <mergeCell ref="B21:D21"/>
    <mergeCell ref="C23:D23"/>
    <mergeCell ref="C24:D24"/>
    <mergeCell ref="C25:D25"/>
    <mergeCell ref="C26:D26"/>
    <mergeCell ref="B28:D28"/>
    <mergeCell ref="C30:D30"/>
    <mergeCell ref="C31:D31"/>
    <mergeCell ref="C32:D32"/>
    <mergeCell ref="C33:D33"/>
    <mergeCell ref="B35:D35"/>
    <mergeCell ref="B37:D37"/>
    <mergeCell ref="B38:D38"/>
    <mergeCell ref="B40:D40"/>
    <mergeCell ref="B42:D42"/>
    <mergeCell ref="B44:D44"/>
    <mergeCell ref="C46:D46"/>
    <mergeCell ref="C47:D47"/>
    <mergeCell ref="C48:D48"/>
    <mergeCell ref="B49:D49"/>
    <mergeCell ref="B51:D51"/>
    <mergeCell ref="B56:D56"/>
  </mergeCells>
  <hyperlinks>
    <hyperlink ref="D2" r:id="rId1" tooltip="Free manufacturing calculators and templates"/>
    <hyperlink ref="B38" r:id="rId2"/>
  </hyperlinks>
  <printOptions horizontalCentered="1"/>
  <pageMargins left="0.4" right="0.4" top="0.7" bottom="0.65" header="0.3" footer="0.3"/>
  <pageSetup fitToHeight="0" orientation="portrait"/>
  <headerFooter>
    <oddHeader>&amp;L&amp;8MFG Calcs - Garment Costing Sheet&amp;R&amp;8&amp;A</oddHeader>
    <oddFooter>&amp;L&amp;8mfgcalcs.com - free manufacturing templates&amp;R&amp;8Page &amp;P of &amp;N</oddFooter>
  </headerFooter>
  <rowBreaks count="1" manualBreakCount="1">
    <brk id="27"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Z40"/>
  <sheetViews>
    <sheetView showGridLines="0" workbookViewId="0"/>
  </sheetViews>
  <sheetFormatPr defaultRowHeight="15"/>
  <cols>
    <col min="1" max="1" width="2.7109375" customWidth="1"/>
    <col min="2" max="19" width="12.7109375" customWidth="1"/>
    <col min="20" max="20" width="11.7109375" customWidth="1"/>
    <col min="21" max="23" width="10.28515625" customWidth="1"/>
    <col min="24" max="24" width="8.7109375" customWidth="1"/>
    <col min="25" max="26" width="20.7109375" customWidth="1"/>
  </cols>
  <sheetData>
    <row r="1" spans="1:26" ht="30" customHeight="1">
      <c r="A1" s="1" t="s">
        <v>0</v>
      </c>
      <c r="B1" s="1"/>
      <c r="C1" s="1"/>
      <c r="D1" s="1"/>
      <c r="E1" s="1"/>
      <c r="F1" s="1"/>
      <c r="G1" s="1"/>
      <c r="H1" s="1"/>
      <c r="I1" s="1"/>
      <c r="J1" s="1"/>
      <c r="K1" s="1"/>
      <c r="L1" s="1"/>
      <c r="M1" s="1"/>
      <c r="N1" s="1"/>
      <c r="O1" s="1"/>
      <c r="P1" s="1"/>
      <c r="Q1" s="1"/>
      <c r="R1" s="1"/>
      <c r="S1" s="1"/>
      <c r="T1" s="1"/>
      <c r="U1" s="1"/>
      <c r="V1" s="1"/>
      <c r="W1" s="1"/>
      <c r="X1" s="1"/>
      <c r="Y1" s="1"/>
      <c r="Z1" s="1"/>
    </row>
    <row r="2" spans="1:26" ht="21" customHeight="1">
      <c r="B2" s="2" t="s">
        <v>28</v>
      </c>
      <c r="C2" s="2"/>
      <c r="D2" s="2"/>
      <c r="E2" s="2"/>
      <c r="F2" s="2"/>
      <c r="G2" s="2"/>
      <c r="H2" s="2"/>
      <c r="I2" s="2"/>
      <c r="J2" s="2"/>
      <c r="K2" s="2"/>
      <c r="L2" s="2"/>
      <c r="M2" s="2"/>
      <c r="N2" s="2"/>
      <c r="O2" s="2"/>
      <c r="P2" s="2"/>
      <c r="Q2" s="2"/>
      <c r="R2" s="2"/>
      <c r="S2" s="2"/>
      <c r="T2" s="2"/>
      <c r="U2" s="2"/>
      <c r="V2" s="2"/>
      <c r="W2" s="2"/>
      <c r="X2" s="2"/>
      <c r="Y2" s="2"/>
      <c r="Z2" s="3" t="s">
        <v>2</v>
      </c>
    </row>
    <row r="3" spans="1:26" ht="6" customHeight="1"/>
    <row r="4" spans="1:26" ht="30" customHeight="1">
      <c r="B4" s="61" t="s">
        <v>187</v>
      </c>
      <c r="C4" s="61"/>
      <c r="D4" s="22" t="str">
        <f>IF(COUNTIF($K$11:$K$25,"PASS")=15,"PASS","FAIL")</f>
        <v>PASS</v>
      </c>
      <c r="E4" s="22"/>
      <c r="F4" s="23" t="str">
        <f>COUNTIF($K$11:$K$25,"PASS")&amp;" of 15 checks pass"</f>
        <v>15 of 15 checks pass</v>
      </c>
      <c r="G4" s="23"/>
      <c r="H4" s="23"/>
      <c r="I4" s="23"/>
      <c r="J4" s="23"/>
    </row>
    <row r="6" spans="1:26" ht="29.4" customHeight="1">
      <c r="B6" s="10" t="s">
        <v>188</v>
      </c>
      <c r="C6" s="10"/>
      <c r="D6" s="10"/>
      <c r="E6" s="10"/>
      <c r="F6" s="10"/>
      <c r="G6" s="10"/>
      <c r="H6" s="10"/>
      <c r="I6" s="10"/>
      <c r="J6" s="10"/>
      <c r="K6" s="10"/>
      <c r="L6" s="10"/>
    </row>
    <row r="8" spans="1:26" ht="21" customHeight="1">
      <c r="B8" s="8" t="s">
        <v>189</v>
      </c>
      <c r="C8" s="8"/>
      <c r="D8" s="8"/>
      <c r="E8" s="8"/>
      <c r="F8" s="8"/>
      <c r="G8" s="8"/>
      <c r="H8" s="8"/>
      <c r="I8" s="8"/>
      <c r="J8" s="8"/>
      <c r="K8" s="8"/>
      <c r="L8" s="8"/>
    </row>
    <row r="9" spans="1:26" ht="5" customHeight="1"/>
    <row r="10" spans="1:26" ht="30" customHeight="1">
      <c r="B10" s="33" t="s">
        <v>190</v>
      </c>
      <c r="C10" s="50" t="s">
        <v>94</v>
      </c>
      <c r="D10" s="50"/>
      <c r="E10" s="50"/>
      <c r="F10" s="50"/>
      <c r="G10" s="33" t="s">
        <v>191</v>
      </c>
      <c r="H10" s="33" t="s">
        <v>192</v>
      </c>
      <c r="I10" s="33" t="s">
        <v>193</v>
      </c>
      <c r="J10" s="33" t="s">
        <v>194</v>
      </c>
      <c r="K10" s="33" t="s">
        <v>195</v>
      </c>
    </row>
    <row r="11" spans="1:26" ht="16.2" customHeight="1">
      <c r="B11" s="62">
        <v>1</v>
      </c>
      <c r="C11" s="59" t="s">
        <v>196</v>
      </c>
      <c r="D11" s="59"/>
      <c r="E11" s="59"/>
      <c r="F11" s="59"/>
      <c r="G11" s="63">
        <v>4.176923076923077</v>
      </c>
      <c r="H11" s="64">
        <f>$Q$38</f>
        <v>4.17692307692308</v>
      </c>
      <c r="I11" s="65">
        <f>IF(AND(ISNUMBER($G$11),ISNUMBER($H$11)),ABS($H$11-$G$11),"")</f>
        <v>0</v>
      </c>
      <c r="J11" s="66">
        <v>1E-09</v>
      </c>
      <c r="K11" s="40" t="str">
        <f>IF(AND(ISNUMBER($G$11),ISNUMBER($H$11)),IF(ABS($H$11-$G$11)&lt;=$J$11,"PASS","FAIL"),"FAIL")</f>
        <v>PASS</v>
      </c>
    </row>
    <row r="12" spans="1:26" ht="16.2" customHeight="1">
      <c r="B12" s="62">
        <v>2</v>
      </c>
      <c r="C12" s="59" t="s">
        <v>197</v>
      </c>
      <c r="D12" s="59"/>
      <c r="E12" s="59"/>
      <c r="F12" s="59"/>
      <c r="G12" s="67">
        <v>27.69230769230769</v>
      </c>
      <c r="H12" s="68">
        <f>$P$38</f>
        <v>27.6923076923077</v>
      </c>
      <c r="I12" s="65">
        <f>IF(AND(ISNUMBER($G$12),ISNUMBER($H$12)),ABS($H$12-$G$12),"")</f>
        <v>0</v>
      </c>
      <c r="J12" s="66">
        <v>1E-09</v>
      </c>
      <c r="K12" s="40" t="str">
        <f>IF(AND(ISNUMBER($G$12),ISNUMBER($H$12)),IF(ABS($H$12-$G$12)&lt;=$J$12,"PASS","FAIL"),"FAIL")</f>
        <v>PASS</v>
      </c>
    </row>
    <row r="13" spans="1:26" ht="16.2" customHeight="1">
      <c r="B13" s="62">
        <v>3</v>
      </c>
      <c r="C13" s="59" t="s">
        <v>198</v>
      </c>
      <c r="D13" s="59"/>
      <c r="E13" s="59"/>
      <c r="F13" s="59"/>
      <c r="G13" s="63">
        <v>4.725000000000001</v>
      </c>
      <c r="H13" s="64">
        <f>$O$38</f>
        <v>4.725</v>
      </c>
      <c r="I13" s="65">
        <f>IF(AND(ISNUMBER($G$13),ISNUMBER($H$13)),ABS($H$13-$G$13),"")</f>
        <v>0</v>
      </c>
      <c r="J13" s="66">
        <v>1E-09</v>
      </c>
      <c r="K13" s="40" t="str">
        <f>IF(AND(ISNUMBER($G$13),ISNUMBER($H$13)),IF(ABS($H$13-$G$13)&lt;=$J$13,"PASS","FAIL"),"FAIL")</f>
        <v>PASS</v>
      </c>
    </row>
    <row r="14" spans="1:26" ht="16.2" customHeight="1">
      <c r="B14" s="62">
        <v>4</v>
      </c>
      <c r="C14" s="59" t="s">
        <v>199</v>
      </c>
      <c r="D14" s="59"/>
      <c r="E14" s="59"/>
      <c r="F14" s="59"/>
      <c r="G14" s="63">
        <v>10.10192307692308</v>
      </c>
      <c r="H14" s="64">
        <f>$R$38</f>
        <v>10.1019230769231</v>
      </c>
      <c r="I14" s="65">
        <f>IF(AND(ISNUMBER($G$14),ISNUMBER($H$14)),ABS($H$14-$G$14),"")</f>
        <v>0</v>
      </c>
      <c r="J14" s="66">
        <v>1E-09</v>
      </c>
      <c r="K14" s="40" t="str">
        <f>IF(AND(ISNUMBER($G$14),ISNUMBER($H$14)),IF(ABS($H$14-$G$14)&lt;=$J$14,"PASS","FAIL"),"FAIL")</f>
        <v>PASS</v>
      </c>
    </row>
    <row r="15" spans="1:26" ht="16.2" customHeight="1">
      <c r="B15" s="62">
        <v>5</v>
      </c>
      <c r="C15" s="59" t="s">
        <v>200</v>
      </c>
      <c r="D15" s="59"/>
      <c r="E15" s="59"/>
      <c r="F15" s="59"/>
      <c r="G15" s="53">
        <v>0.08164335664335648</v>
      </c>
      <c r="H15" s="39">
        <f>$S$38</f>
        <v>0.0816433566433565</v>
      </c>
      <c r="I15" s="65">
        <f>IF(AND(ISNUMBER($G$15),ISNUMBER($H$15)),ABS($H$15-$G$15),"")</f>
        <v>0</v>
      </c>
      <c r="J15" s="66">
        <v>1E-09</v>
      </c>
      <c r="K15" s="40" t="str">
        <f>IF(AND(ISNUMBER($G$15),ISNUMBER($H$15)),IF(ABS($H$15-$G$15)&lt;=$J$15,"PASS","FAIL"),"FAIL")</f>
        <v>PASS</v>
      </c>
    </row>
    <row r="16" spans="1:26" ht="16.2" customHeight="1">
      <c r="B16" s="62">
        <v>6</v>
      </c>
      <c r="C16" s="59" t="s">
        <v>201</v>
      </c>
      <c r="D16" s="59"/>
      <c r="E16" s="59"/>
      <c r="F16" s="59"/>
      <c r="G16" s="52" t="s">
        <v>202</v>
      </c>
      <c r="H16" s="54" t="str">
        <f>$T$38</f>
        <v>Below target</v>
      </c>
      <c r="I16" s="54"/>
      <c r="J16" s="60" t="s">
        <v>203</v>
      </c>
      <c r="K16" s="40" t="str">
        <f>IF($H$16&amp;""=$G$16&amp;"","PASS","FAIL")</f>
        <v>PASS</v>
      </c>
    </row>
    <row r="17" spans="2:12" ht="16.2" customHeight="1">
      <c r="B17" s="62">
        <v>7</v>
      </c>
      <c r="C17" s="59" t="s">
        <v>204</v>
      </c>
      <c r="D17" s="59"/>
      <c r="E17" s="59"/>
      <c r="F17" s="59"/>
      <c r="G17" s="67">
        <v>461.5384615384615</v>
      </c>
      <c r="H17" s="68">
        <f>$X$38</f>
        <v>461.538461538462</v>
      </c>
      <c r="I17" s="65">
        <f>IF(AND(ISNUMBER($G$17),ISNUMBER($H$17)),ABS($H$17-$G$17),"")</f>
        <v>0</v>
      </c>
      <c r="J17" s="66">
        <v>1E-09</v>
      </c>
      <c r="K17" s="40" t="str">
        <f>IF(AND(ISNUMBER($G$17),ISNUMBER($H$17)),IF(ABS($H$17-$G$17)&lt;=$J$17,"PASS","FAIL"),"FAIL")</f>
        <v>PASS</v>
      </c>
    </row>
    <row r="18" spans="2:12" ht="16.2" customHeight="1">
      <c r="B18" s="62">
        <v>8</v>
      </c>
      <c r="C18" s="59" t="s">
        <v>205</v>
      </c>
      <c r="D18" s="59"/>
      <c r="E18" s="59"/>
      <c r="F18" s="59"/>
      <c r="G18" s="63">
        <v>1.7</v>
      </c>
      <c r="H18" s="64">
        <f>$Q$39</f>
        <v>1.7</v>
      </c>
      <c r="I18" s="65">
        <f>IF(AND(ISNUMBER($G$18),ISNUMBER($H$18)),ABS($H$18-$G$18),"")</f>
        <v>0</v>
      </c>
      <c r="J18" s="66">
        <v>1E-09</v>
      </c>
      <c r="K18" s="40" t="str">
        <f>IF(AND(ISNUMBER($G$18),ISNUMBER($H$18)),IF(ABS($H$18-$G$18)&lt;=$J$18,"PASS","FAIL"),"FAIL")</f>
        <v>PASS</v>
      </c>
    </row>
    <row r="19" spans="2:12" ht="16.2" customHeight="1">
      <c r="B19" s="62">
        <v>9</v>
      </c>
      <c r="C19" s="59" t="s">
        <v>206</v>
      </c>
      <c r="D19" s="59"/>
      <c r="E19" s="59"/>
      <c r="F19" s="59"/>
      <c r="G19" s="63">
        <v>3.550000000000001</v>
      </c>
      <c r="H19" s="64">
        <f>$R$39</f>
        <v>3.55</v>
      </c>
      <c r="I19" s="65">
        <f>IF(AND(ISNUMBER($G$19),ISNUMBER($H$19)),ABS($H$19-$G$19),"")</f>
        <v>0</v>
      </c>
      <c r="J19" s="66">
        <v>1E-09</v>
      </c>
      <c r="K19" s="40" t="str">
        <f>IF(AND(ISNUMBER($G$19),ISNUMBER($H$19)),IF(ABS($H$19-$G$19)&lt;=$J$19,"PASS","FAIL"),"FAIL")</f>
        <v>PASS</v>
      </c>
    </row>
    <row r="20" spans="2:12" ht="16.2" customHeight="1">
      <c r="B20" s="62">
        <v>10</v>
      </c>
      <c r="C20" s="59" t="s">
        <v>207</v>
      </c>
      <c r="D20" s="59"/>
      <c r="E20" s="59"/>
      <c r="F20" s="59"/>
      <c r="G20" s="69">
        <v>1559.999999999999</v>
      </c>
      <c r="H20" s="37">
        <f>$W$39</f>
        <v>1560</v>
      </c>
      <c r="I20" s="65">
        <f>IF(AND(ISNUMBER($G$20),ISNUMBER($H$20)),ABS($H$20-$G$20),"")</f>
        <v>0</v>
      </c>
      <c r="J20" s="66">
        <v>1E-06</v>
      </c>
      <c r="K20" s="40" t="str">
        <f>IF(AND(ISNUMBER($G$20),ISNUMBER($H$20)),IF(ABS($H$20-$G$20)&lt;=$J$20,"PASS","FAIL"),"FAIL")</f>
        <v>PASS</v>
      </c>
    </row>
    <row r="21" spans="2:12" ht="16.2" customHeight="1">
      <c r="B21" s="62">
        <v>11</v>
      </c>
      <c r="C21" s="59" t="s">
        <v>208</v>
      </c>
      <c r="D21" s="59"/>
      <c r="E21" s="59"/>
      <c r="F21" s="59"/>
      <c r="G21" s="52" t="s">
        <v>209</v>
      </c>
      <c r="H21" s="54" t="str">
        <f>$T$39</f>
        <v>On target</v>
      </c>
      <c r="I21" s="54"/>
      <c r="J21" s="60" t="s">
        <v>203</v>
      </c>
      <c r="K21" s="40" t="str">
        <f>IF($H$21&amp;""=$G$21&amp;"","PASS","FAIL")</f>
        <v>PASS</v>
      </c>
    </row>
    <row r="22" spans="2:12" ht="16.2" customHeight="1">
      <c r="B22" s="62">
        <v>12</v>
      </c>
      <c r="C22" s="59" t="s">
        <v>210</v>
      </c>
      <c r="D22" s="59"/>
      <c r="E22" s="59"/>
      <c r="F22" s="59"/>
      <c r="G22" s="52" t="s">
        <v>211</v>
      </c>
      <c r="H22" s="54" t="str">
        <f>$Y$40</f>
        <v>Missing sam</v>
      </c>
      <c r="I22" s="54"/>
      <c r="J22" s="60" t="s">
        <v>203</v>
      </c>
      <c r="K22" s="40" t="str">
        <f>IF($H$22&amp;""=$G$22&amp;"","PASS","FAIL")</f>
        <v>PASS</v>
      </c>
    </row>
    <row r="23" spans="2:12" ht="16.2" customHeight="1">
      <c r="B23" s="62">
        <v>13</v>
      </c>
      <c r="C23" s="59" t="s">
        <v>212</v>
      </c>
      <c r="D23" s="59"/>
      <c r="E23" s="59"/>
      <c r="F23" s="59"/>
      <c r="G23" s="53">
        <v>0.116607064662093</v>
      </c>
      <c r="H23" s="39">
        <f>IF((SUM(tblVerifyStyles[Order value]))=0,"",(SUM(tblVerifyStyles[Order margin]))/(SUM(tblVerifyStyles[Order value])))</f>
        <v>0.116607064662093</v>
      </c>
      <c r="I23" s="65">
        <f>IF(AND(ISNUMBER($G$23),ISNUMBER($H$23)),ABS($H$23-$G$23),"")</f>
        <v>0</v>
      </c>
      <c r="J23" s="66">
        <v>1E-09</v>
      </c>
      <c r="K23" s="40" t="str">
        <f>IF(AND(ISNUMBER($G$23),ISNUMBER($H$23)),IF(ABS($H$23-$G$23)&lt;=$J$23,"PASS","FAIL"),"FAIL")</f>
        <v>PASS</v>
      </c>
    </row>
    <row r="24" spans="2:12" ht="16.2" customHeight="1">
      <c r="B24" s="62">
        <v>14</v>
      </c>
      <c r="C24" s="59" t="s">
        <v>213</v>
      </c>
      <c r="D24" s="59"/>
      <c r="E24" s="59"/>
      <c r="F24" s="59"/>
      <c r="G24" s="53">
        <v>0.4663857735919202</v>
      </c>
      <c r="H24" s="39">
        <f>IF((SUM(tblVerifyStyles[Order cost]))=0,"",(SUMPRODUCT(tblVerifyStyles[Fabric cost],tblVerifyStyles[Order qty],--ISNUMBER(tblVerifyStyles[Order cost])))/(SUM(tblVerifyStyles[Order cost])))</f>
        <v>0.46638577359192</v>
      </c>
      <c r="I24" s="65">
        <f>IF(AND(ISNUMBER($G$24),ISNUMBER($H$24)),ABS($H$24-$G$24),"")</f>
        <v>0</v>
      </c>
      <c r="J24" s="66">
        <v>1E-09</v>
      </c>
      <c r="K24" s="40" t="str">
        <f>IF(AND(ISNUMBER($G$24),ISNUMBER($H$24)),IF(ABS($H$24-$G$24)&lt;=$J$24,"PASS","FAIL"),"FAIL")</f>
        <v>PASS</v>
      </c>
    </row>
    <row r="25" spans="2:12" ht="16.2" customHeight="1">
      <c r="B25" s="62">
        <v>15</v>
      </c>
      <c r="C25" s="59" t="s">
        <v>214</v>
      </c>
      <c r="D25" s="59"/>
      <c r="E25" s="59"/>
      <c r="F25" s="59"/>
      <c r="G25" s="70">
        <v>1</v>
      </c>
      <c r="H25" s="41">
        <f>COUNTIF(tblVerifyStyles[Margin status],"Below target")</f>
        <v>1</v>
      </c>
      <c r="I25" s="65">
        <f>IF(AND(ISNUMBER($G$25),ISNUMBER($H$25)),ABS($H$25-$G$25),"")</f>
        <v>0</v>
      </c>
      <c r="J25" s="66">
        <v>1E-09</v>
      </c>
      <c r="K25" s="40" t="str">
        <f>IF(AND(ISNUMBER($G$25),ISNUMBER($H$25)),IF(ABS($H$25-$G$25)&lt;=$J$25,"PASS","FAIL"),"FAIL")</f>
        <v>PASS</v>
      </c>
    </row>
    <row r="27" spans="2:12" ht="21" customHeight="1">
      <c r="B27" s="8" t="s">
        <v>215</v>
      </c>
      <c r="C27" s="8"/>
      <c r="D27" s="8"/>
      <c r="E27" s="8"/>
      <c r="F27" s="8"/>
      <c r="G27" s="8"/>
      <c r="H27" s="8"/>
      <c r="I27" s="8"/>
      <c r="J27" s="8"/>
      <c r="K27" s="8"/>
      <c r="L27" s="8"/>
    </row>
    <row r="28" spans="2:12" ht="5" customHeight="1"/>
    <row r="29" spans="2:12">
      <c r="B29" s="21" t="s">
        <v>216</v>
      </c>
      <c r="C29" s="21"/>
      <c r="D29" s="21"/>
      <c r="E29" s="21"/>
      <c r="F29" s="21"/>
      <c r="G29" s="21"/>
      <c r="H29" s="21"/>
      <c r="I29" s="21"/>
      <c r="J29" s="21"/>
      <c r="K29" s="21"/>
      <c r="L29" s="21"/>
    </row>
    <row r="30" spans="2:12">
      <c r="B30" s="49" t="s">
        <v>217</v>
      </c>
      <c r="C30" s="49"/>
      <c r="D30" s="49"/>
      <c r="E30" s="49"/>
      <c r="F30" s="49"/>
    </row>
    <row r="31" spans="2:12">
      <c r="B31" s="27" t="s">
        <v>218</v>
      </c>
      <c r="C31" s="27"/>
      <c r="D31" s="27"/>
      <c r="E31" s="63">
        <v>0.14</v>
      </c>
      <c r="F31" s="7"/>
    </row>
    <row r="32" spans="2:12">
      <c r="B32" s="27" t="s">
        <v>219</v>
      </c>
      <c r="C32" s="27"/>
      <c r="D32" s="27"/>
      <c r="E32" s="63">
        <v>0.3</v>
      </c>
      <c r="F32" s="7"/>
    </row>
    <row r="33" spans="2:26">
      <c r="B33" s="27" t="s">
        <v>136</v>
      </c>
      <c r="C33" s="27"/>
      <c r="D33" s="27"/>
      <c r="E33" s="53">
        <v>0.12</v>
      </c>
      <c r="F33" s="7"/>
    </row>
    <row r="35" spans="2:26">
      <c r="B35" s="49" t="s">
        <v>220</v>
      </c>
      <c r="C35" s="49"/>
      <c r="D35" s="49"/>
      <c r="E35" s="49"/>
      <c r="F35" s="49"/>
      <c r="G35" s="49"/>
      <c r="H35" s="49"/>
      <c r="I35" s="49"/>
      <c r="J35" s="49"/>
      <c r="K35" s="49"/>
      <c r="L35" s="49"/>
    </row>
    <row r="36" spans="2:26" ht="14" customHeight="1">
      <c r="B36" s="32"/>
      <c r="C36" s="32"/>
      <c r="D36" s="32" t="s">
        <v>97</v>
      </c>
      <c r="E36" s="32"/>
      <c r="F36" s="32" t="s">
        <v>98</v>
      </c>
      <c r="G36" s="32" t="s">
        <v>99</v>
      </c>
      <c r="H36" s="32" t="str">
        <f>Currency&amp;"/unit"</f>
        <v>USD/unit</v>
      </c>
      <c r="I36" s="32" t="str">
        <f>Currency&amp;"/pc"</f>
        <v>USD/pc</v>
      </c>
      <c r="J36" s="32" t="str">
        <f>Currency&amp;"/pc"</f>
        <v>USD/pc</v>
      </c>
      <c r="K36" s="32" t="str">
        <f>Currency&amp;"/pc"</f>
        <v>USD/pc</v>
      </c>
      <c r="L36" s="32" t="s">
        <v>100</v>
      </c>
      <c r="M36" s="32" t="s">
        <v>99</v>
      </c>
      <c r="N36" s="32" t="str">
        <f>Currency&amp;"/pc"</f>
        <v>USD/pc</v>
      </c>
      <c r="O36" s="32" t="str">
        <f>Currency&amp;"/pc"</f>
        <v>USD/pc</v>
      </c>
      <c r="P36" s="32" t="s">
        <v>100</v>
      </c>
      <c r="Q36" s="32" t="str">
        <f>Currency&amp;"/pc"</f>
        <v>USD/pc</v>
      </c>
      <c r="R36" s="32" t="str">
        <f>Currency&amp;"/pc"</f>
        <v>USD/pc</v>
      </c>
      <c r="S36" s="32" t="s">
        <v>101</v>
      </c>
      <c r="T36" s="32"/>
      <c r="U36" s="32" t="str">
        <f>Currency</f>
        <v>USD</v>
      </c>
      <c r="V36" s="32" t="str">
        <f>Currency</f>
        <v>USD</v>
      </c>
      <c r="W36" s="32" t="str">
        <f>Currency</f>
        <v>USD</v>
      </c>
      <c r="X36" s="32" t="s">
        <v>102</v>
      </c>
      <c r="Y36" s="32"/>
      <c r="Z36" s="32"/>
    </row>
    <row r="37" spans="2:26" ht="32" customHeight="1">
      <c r="B37" s="33" t="s">
        <v>71</v>
      </c>
      <c r="C37" s="33" t="s">
        <v>72</v>
      </c>
      <c r="D37" s="33" t="s">
        <v>73</v>
      </c>
      <c r="E37" s="33" t="s">
        <v>74</v>
      </c>
      <c r="F37" s="33" t="s">
        <v>75</v>
      </c>
      <c r="G37" s="33" t="s">
        <v>76</v>
      </c>
      <c r="H37" s="33" t="s">
        <v>77</v>
      </c>
      <c r="I37" s="33" t="s">
        <v>78</v>
      </c>
      <c r="J37" s="33" t="s">
        <v>79</v>
      </c>
      <c r="K37" s="33" t="s">
        <v>80</v>
      </c>
      <c r="L37" s="33" t="s">
        <v>81</v>
      </c>
      <c r="M37" s="33" t="s">
        <v>82</v>
      </c>
      <c r="N37" s="33" t="s">
        <v>83</v>
      </c>
      <c r="O37" s="33" t="s">
        <v>84</v>
      </c>
      <c r="P37" s="33" t="s">
        <v>85</v>
      </c>
      <c r="Q37" s="33" t="s">
        <v>86</v>
      </c>
      <c r="R37" s="33" t="s">
        <v>87</v>
      </c>
      <c r="S37" s="33" t="s">
        <v>88</v>
      </c>
      <c r="T37" s="33" t="s">
        <v>89</v>
      </c>
      <c r="U37" s="33" t="s">
        <v>90</v>
      </c>
      <c r="V37" s="33" t="s">
        <v>91</v>
      </c>
      <c r="W37" s="33" t="s">
        <v>92</v>
      </c>
      <c r="X37" s="33" t="s">
        <v>93</v>
      </c>
      <c r="Y37" s="33" t="s">
        <v>94</v>
      </c>
      <c r="Z37" s="33" t="s">
        <v>95</v>
      </c>
    </row>
    <row r="38" spans="2:26">
      <c r="B38" s="52" t="s">
        <v>221</v>
      </c>
      <c r="C38" s="52" t="s">
        <v>222</v>
      </c>
      <c r="D38" s="70">
        <v>1000</v>
      </c>
      <c r="E38" s="52" t="s">
        <v>111</v>
      </c>
      <c r="F38" s="67">
        <v>1.5</v>
      </c>
      <c r="G38" s="53">
        <v>0.05</v>
      </c>
      <c r="H38" s="69">
        <v>3</v>
      </c>
      <c r="I38" s="69">
        <v>0.6</v>
      </c>
      <c r="J38" s="69">
        <v>0.4</v>
      </c>
      <c r="K38" s="69">
        <v>0.2</v>
      </c>
      <c r="L38" s="69">
        <v>18</v>
      </c>
      <c r="M38" s="53">
        <v>0.65</v>
      </c>
      <c r="N38" s="69">
        <v>11</v>
      </c>
      <c r="O38" s="37">
        <f>IF(tblVerifyStyles[[#This Row],[Style]]="","",tblVerifyStyles[[#This Row],[Consumption]]*(1+tblVerifyStyles[[#This Row],[Wastage]])*tblVerifyStyles[[#This Row],[Fabric price]])</f>
        <v>4.725</v>
      </c>
      <c r="P38" s="37">
        <f>IF(tblVerifyStyles[[#This Row],[Style]]="","",IF(AND(tblVerifyStyles[[#This Row],[Line efficiency]]&gt;0,N(tblVerifyStyles[[#This Row],[SAM]])&gt;0),tblVerifyStyles[[#This Row],[SAM]]/tblVerifyStyles[[#This Row],[Line efficiency]],""))</f>
        <v>27.6923076923077</v>
      </c>
      <c r="Q38" s="37">
        <f>IF(tblVerifyStyles[[#This Row],[Style]]="","",IF(AND(tblVerifyStyles[[#This Row],[Line efficiency]]&gt;0,N(tblVerifyStyles[[#This Row],[SAM]])&gt;0),tblVerifyStyles[[#This Row],[SAM]]*$E$31/tblVerifyStyles[[#This Row],[Line efficiency]]+$E$32,""))</f>
        <v>4.17692307692308</v>
      </c>
      <c r="R38" s="38">
        <f>IF(tblVerifyStyles[[#This Row],[Style]]="","",IFERROR(tblVerifyStyles[[#This Row],[Fabric cost]]+tblVerifyStyles[[#This Row],[Trims]]+tblVerifyStyles[[#This Row],[Embellishment and wash]]+tblVerifyStyles[[#This Row],[Packing]]+tblVerifyStyles[[#This Row],[CM cost]],""))</f>
        <v>10.1019230769231</v>
      </c>
      <c r="S38" s="39">
        <f>IF(tblVerifyStyles[[#This Row],[Style]]="","",IF(AND(tblVerifyStyles[[#This Row],[FOB price]]&gt;0,ISNUMBER(tblVerifyStyles[[#This Row],[Garment cost]])),(tblVerifyStyles[[#This Row],[FOB price]]-tblVerifyStyles[[#This Row],[Garment cost]])/tblVerifyStyles[[#This Row],[FOB price]],""))</f>
        <v>0.0816433566433565</v>
      </c>
      <c r="T38" s="40" t="str">
        <f>IF(NOT(ISNUMBER(tblVerifyStyles[[#This Row],[Margin]])),"",IF(tblVerifyStyles[[#This Row],[Margin]]&gt;=$E$33,"On target",IF(tblVerifyStyles[[#This Row],[Margin]]&gt;=$E$33*(1-0.05),"Near target","Below target")))</f>
        <v>Below target</v>
      </c>
      <c r="U38" s="41">
        <f>IF(tblVerifyStyles[[#This Row],[Style]]="","",IFERROR(tblVerifyStyles[[#This Row],[Garment cost]]*tblVerifyStyles[[#This Row],[Order qty]],""))</f>
        <v>10101.9230769231</v>
      </c>
      <c r="V38" s="41">
        <f>IF(tblVerifyStyles[[#This Row],[Style]]="","",IF(tblVerifyStyles[[#This Row],[FOB price]]&gt;0,tblVerifyStyles[[#This Row],[FOB price]]*tblVerifyStyles[[#This Row],[Order qty]],""))</f>
        <v>11000</v>
      </c>
      <c r="W38" s="41">
        <f>IF(tblVerifyStyles[[#This Row],[Style]]="","",IF(AND(tblVerifyStyles[[#This Row],[FOB price]]&gt;0,ISNUMBER(tblVerifyStyles[[#This Row],[Order cost]])),tblVerifyStyles[[#This Row],[Order value]]-tblVerifyStyles[[#This Row],[Order cost]],""))</f>
        <v>898.076923076922</v>
      </c>
      <c r="X38" s="41">
        <f>IF(tblVerifyStyles[[#This Row],[Style]]="","",IFERROR(tblVerifyStyles[[#This Row],[Effective minutes]]*tblVerifyStyles[[#This Row],[Order qty]]/60,""))</f>
        <v>461.538461538462</v>
      </c>
      <c r="Y38" s="42" t="str">
        <f>IF(tblVerifyStyles[[#This Row],[Style]]="","",IF(tblVerifyStyles[[#This Row],[Order qty]]="","Missing order qty",IF(tblVerifyStyles[[#This Row],[Fabric unit]]="","Missing fabric unit",IF(tblVerifyStyles[[#This Row],[Consumption]]="","Missing consumption",IF(tblVerifyStyles[[#This Row],[Fabric price]]="","Missing fabric price",IF(tblVerifyStyles[[#This Row],[SAM]]="","Missing sam",IF(tblVerifyStyles[[#This Row],[Line efficiency]]="","Missing line efficiency",IF(COUNTIF(tblVerifyStyles[Style],tblVerifyStyles[[#This Row],[Style]])&gt;1,"Duplicate style","OK"))))))))</f>
        <v>OK</v>
      </c>
      <c r="Z38" s="52" t="s">
        <v>106</v>
      </c>
    </row>
    <row r="39" spans="2:26">
      <c r="B39" s="52" t="s">
        <v>223</v>
      </c>
      <c r="C39" s="52" t="s">
        <v>224</v>
      </c>
      <c r="D39" s="70">
        <v>2400</v>
      </c>
      <c r="E39" s="52" t="s">
        <v>105</v>
      </c>
      <c r="F39" s="67">
        <v>0.25</v>
      </c>
      <c r="G39" s="53">
        <v>0.1</v>
      </c>
      <c r="H39" s="69">
        <v>6</v>
      </c>
      <c r="I39" s="69">
        <v>0.1</v>
      </c>
      <c r="J39" s="69">
        <v>0</v>
      </c>
      <c r="K39" s="69">
        <v>0.1</v>
      </c>
      <c r="L39" s="69">
        <v>10</v>
      </c>
      <c r="M39" s="53">
        <v>1</v>
      </c>
      <c r="N39" s="69">
        <v>4.2</v>
      </c>
      <c r="O39" s="37">
        <f>IF(tblVerifyStyles[[#This Row],[Style]]="","",tblVerifyStyles[[#This Row],[Consumption]]*(1+tblVerifyStyles[[#This Row],[Wastage]])*tblVerifyStyles[[#This Row],[Fabric price]])</f>
        <v>1.65</v>
      </c>
      <c r="P39" s="37">
        <f>IF(tblVerifyStyles[[#This Row],[Style]]="","",IF(AND(tblVerifyStyles[[#This Row],[Line efficiency]]&gt;0,N(tblVerifyStyles[[#This Row],[SAM]])&gt;0),tblVerifyStyles[[#This Row],[SAM]]/tblVerifyStyles[[#This Row],[Line efficiency]],""))</f>
        <v>10</v>
      </c>
      <c r="Q39" s="37">
        <f>IF(tblVerifyStyles[[#This Row],[Style]]="","",IF(AND(tblVerifyStyles[[#This Row],[Line efficiency]]&gt;0,N(tblVerifyStyles[[#This Row],[SAM]])&gt;0),tblVerifyStyles[[#This Row],[SAM]]*$E$31/tblVerifyStyles[[#This Row],[Line efficiency]]+$E$32,""))</f>
        <v>1.7</v>
      </c>
      <c r="R39" s="38">
        <f>IF(tblVerifyStyles[[#This Row],[Style]]="","",IFERROR(tblVerifyStyles[[#This Row],[Fabric cost]]+tblVerifyStyles[[#This Row],[Trims]]+tblVerifyStyles[[#This Row],[Embellishment and wash]]+tblVerifyStyles[[#This Row],[Packing]]+tblVerifyStyles[[#This Row],[CM cost]],""))</f>
        <v>3.55</v>
      </c>
      <c r="S39" s="39">
        <f>IF(tblVerifyStyles[[#This Row],[Style]]="","",IF(AND(tblVerifyStyles[[#This Row],[FOB price]]&gt;0,ISNUMBER(tblVerifyStyles[[#This Row],[Garment cost]])),(tblVerifyStyles[[#This Row],[FOB price]]-tblVerifyStyles[[#This Row],[Garment cost]])/tblVerifyStyles[[#This Row],[FOB price]],""))</f>
        <v>0.154761904761905</v>
      </c>
      <c r="T39" s="40" t="str">
        <f>IF(NOT(ISNUMBER(tblVerifyStyles[[#This Row],[Margin]])),"",IF(tblVerifyStyles[[#This Row],[Margin]]&gt;=$E$33,"On target",IF(tblVerifyStyles[[#This Row],[Margin]]&gt;=$E$33*(1-0.05),"Near target","Below target")))</f>
        <v>On target</v>
      </c>
      <c r="U39" s="41">
        <f>IF(tblVerifyStyles[[#This Row],[Style]]="","",IFERROR(tblVerifyStyles[[#This Row],[Garment cost]]*tblVerifyStyles[[#This Row],[Order qty]],""))</f>
        <v>8520</v>
      </c>
      <c r="V39" s="41">
        <f>IF(tblVerifyStyles[[#This Row],[Style]]="","",IF(tblVerifyStyles[[#This Row],[FOB price]]&gt;0,tblVerifyStyles[[#This Row],[FOB price]]*tblVerifyStyles[[#This Row],[Order qty]],""))</f>
        <v>10080</v>
      </c>
      <c r="W39" s="41">
        <f>IF(tblVerifyStyles[[#This Row],[Style]]="","",IF(AND(tblVerifyStyles[[#This Row],[FOB price]]&gt;0,ISNUMBER(tblVerifyStyles[[#This Row],[Order cost]])),tblVerifyStyles[[#This Row],[Order value]]-tblVerifyStyles[[#This Row],[Order cost]],""))</f>
        <v>1560</v>
      </c>
      <c r="X39" s="41">
        <f>IF(tblVerifyStyles[[#This Row],[Style]]="","",IFERROR(tblVerifyStyles[[#This Row],[Effective minutes]]*tblVerifyStyles[[#This Row],[Order qty]]/60,""))</f>
        <v>400</v>
      </c>
      <c r="Y39" s="42" t="str">
        <f>IF(tblVerifyStyles[[#This Row],[Style]]="","",IF(tblVerifyStyles[[#This Row],[Order qty]]="","Missing order qty",IF(tblVerifyStyles[[#This Row],[Fabric unit]]="","Missing fabric unit",IF(tblVerifyStyles[[#This Row],[Consumption]]="","Missing consumption",IF(tblVerifyStyles[[#This Row],[Fabric price]]="","Missing fabric price",IF(tblVerifyStyles[[#This Row],[SAM]]="","Missing sam",IF(tblVerifyStyles[[#This Row],[Line efficiency]]="","Missing line efficiency",IF(COUNTIF(tblVerifyStyles[Style],tblVerifyStyles[[#This Row],[Style]])&gt;1,"Duplicate style","OK"))))))))</f>
        <v>OK</v>
      </c>
      <c r="Z39" s="52" t="s">
        <v>106</v>
      </c>
    </row>
    <row r="40" spans="2:26">
      <c r="B40" s="52" t="s">
        <v>225</v>
      </c>
      <c r="C40" s="52" t="s">
        <v>226</v>
      </c>
      <c r="D40" s="70">
        <v>100</v>
      </c>
      <c r="E40" s="52" t="s">
        <v>114</v>
      </c>
      <c r="F40" s="67">
        <v>1.2</v>
      </c>
      <c r="G40" s="53">
        <v>0.05</v>
      </c>
      <c r="H40" s="69">
        <v>4</v>
      </c>
      <c r="I40" s="69">
        <v>0.5</v>
      </c>
      <c r="J40" s="69">
        <v>0</v>
      </c>
      <c r="K40" s="69">
        <v>0.2</v>
      </c>
      <c r="L40" s="69" t="s">
        <v>106</v>
      </c>
      <c r="M40" s="53">
        <v>0.6</v>
      </c>
      <c r="N40" s="69" t="s">
        <v>106</v>
      </c>
      <c r="O40" s="37">
        <f>IF(tblVerifyStyles[[#This Row],[Style]]="","",tblVerifyStyles[[#This Row],[Consumption]]*(1+tblVerifyStyles[[#This Row],[Wastage]])*tblVerifyStyles[[#This Row],[Fabric price]])</f>
        <v>5.04</v>
      </c>
      <c r="P40" s="37">
        <f>IF(tblVerifyStyles[[#This Row],[Style]]="","",IF(AND(tblVerifyStyles[[#This Row],[Line efficiency]]&gt;0,N(tblVerifyStyles[[#This Row],[SAM]])&gt;0),tblVerifyStyles[[#This Row],[SAM]]/tblVerifyStyles[[#This Row],[Line efficiency]],""))</f>
        <v/>
      </c>
      <c r="Q40" s="37">
        <f>IF(tblVerifyStyles[[#This Row],[Style]]="","",IF(AND(tblVerifyStyles[[#This Row],[Line efficiency]]&gt;0,N(tblVerifyStyles[[#This Row],[SAM]])&gt;0),tblVerifyStyles[[#This Row],[SAM]]*$E$31/tblVerifyStyles[[#This Row],[Line efficiency]]+$E$32,""))</f>
        <v/>
      </c>
      <c r="R40" s="38">
        <f>IF(tblVerifyStyles[[#This Row],[Style]]="","",IFERROR(tblVerifyStyles[[#This Row],[Fabric cost]]+tblVerifyStyles[[#This Row],[Trims]]+tblVerifyStyles[[#This Row],[Embellishment and wash]]+tblVerifyStyles[[#This Row],[Packing]]+tblVerifyStyles[[#This Row],[CM cost]],""))</f>
        <v/>
      </c>
      <c r="S40" s="39">
        <f>IF(tblVerifyStyles[[#This Row],[Style]]="","",IF(AND(tblVerifyStyles[[#This Row],[FOB price]]&gt;0,ISNUMBER(tblVerifyStyles[[#This Row],[Garment cost]])),(tblVerifyStyles[[#This Row],[FOB price]]-tblVerifyStyles[[#This Row],[Garment cost]])/tblVerifyStyles[[#This Row],[FOB price]],""))</f>
        <v/>
      </c>
      <c r="T40" s="40">
        <f>IF(NOT(ISNUMBER(tblVerifyStyles[[#This Row],[Margin]])),"",IF(tblVerifyStyles[[#This Row],[Margin]]&gt;=$E$33,"On target",IF(tblVerifyStyles[[#This Row],[Margin]]&gt;=$E$33*(1-0.05),"Near target","Below target")))</f>
        <v/>
      </c>
      <c r="U40" s="41">
        <f>IF(tblVerifyStyles[[#This Row],[Style]]="","",IFERROR(tblVerifyStyles[[#This Row],[Garment cost]]*tblVerifyStyles[[#This Row],[Order qty]],""))</f>
        <v/>
      </c>
      <c r="V40" s="41">
        <f>IF(tblVerifyStyles[[#This Row],[Style]]="","",IF(tblVerifyStyles[[#This Row],[FOB price]]&gt;0,tblVerifyStyles[[#This Row],[FOB price]]*tblVerifyStyles[[#This Row],[Order qty]],""))</f>
        <v/>
      </c>
      <c r="W40" s="41">
        <f>IF(tblVerifyStyles[[#This Row],[Style]]="","",IF(AND(tblVerifyStyles[[#This Row],[FOB price]]&gt;0,ISNUMBER(tblVerifyStyles[[#This Row],[Order cost]])),tblVerifyStyles[[#This Row],[Order value]]-tblVerifyStyles[[#This Row],[Order cost]],""))</f>
        <v/>
      </c>
      <c r="X40" s="41">
        <f>IF(tblVerifyStyles[[#This Row],[Style]]="","",IFERROR(tblVerifyStyles[[#This Row],[Effective minutes]]*tblVerifyStyles[[#This Row],[Order qty]]/60,""))</f>
        <v/>
      </c>
      <c r="Y40" s="42" t="str">
        <f>IF(tblVerifyStyles[[#This Row],[Style]]="","",IF(tblVerifyStyles[[#This Row],[Order qty]]="","Missing order qty",IF(tblVerifyStyles[[#This Row],[Fabric unit]]="","Missing fabric unit",IF(tblVerifyStyles[[#This Row],[Consumption]]="","Missing consumption",IF(tblVerifyStyles[[#This Row],[Fabric price]]="","Missing fabric price",IF(tblVerifyStyles[[#This Row],[SAM]]="","Missing sam",IF(tblVerifyStyles[[#This Row],[Line efficiency]]="","Missing line efficiency",IF(COUNTIF(tblVerifyStyles[Style],tblVerifyStyles[[#This Row],[Style]])&gt;1,"Duplicate style","OK"))))))))</f>
        <v>Missing sam</v>
      </c>
      <c r="Z40" s="52" t="s">
        <v>227</v>
      </c>
    </row>
  </sheetData>
  <sheetProtection sheet="1" formatColumns="0" formatRows="0"/>
  <mergeCells count="30">
    <mergeCell ref="A1:Z1"/>
    <mergeCell ref="B2:Y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B27:L27"/>
    <mergeCell ref="B29:L29"/>
    <mergeCell ref="B30:F30"/>
    <mergeCell ref="B31:D31"/>
    <mergeCell ref="B32:D32"/>
    <mergeCell ref="B33:D33"/>
    <mergeCell ref="B35:L35"/>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5">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Y38:Y40">
    <cfRule type="expression" dxfId="3" priority="41">
      <formula>$Y38="OK"</formula>
    </cfRule>
    <cfRule type="expression" dxfId="1" priority="42">
      <formula>AND($Y38&lt;&gt;"",$Y38&lt;&gt;"OK")</formula>
    </cfRule>
  </conditionalFormatting>
  <hyperlinks>
    <hyperlink ref="Z2" r:id="rId1" tooltip="Free manufacturing calculators and templates"/>
  </hyperlinks>
  <printOptions horizontalCentered="1"/>
  <pageMargins left="0.4" right="0.4" top="0.7" bottom="0.65" header="0.3" footer="0.3"/>
  <pageSetup fitToHeight="0" orientation="landscape"/>
  <headerFooter>
    <oddHeader>&amp;L&amp;8MFG Calcs - Garment Costing Sheet&amp;R&amp;8&amp;A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19</vt:i4>
      </vt:variant>
    </vt:vector>
  </HeadingPairs>
  <TitlesOfParts>
    <vt:vector size="25" baseType="lpstr">
      <vt:lpstr>Start Here</vt:lpstr>
      <vt:lpstr>Setup</vt:lpstr>
      <vt:lpstr>Styles</vt:lpstr>
      <vt:lpstr>Dashboard</vt:lpstr>
      <vt:lpstr>Method</vt:lpstr>
      <vt:lpstr>Verify</vt:lpstr>
      <vt:lpstr>Cpm</vt:lpstr>
      <vt:lpstr>Currency</vt:lpstr>
      <vt:lpstr>Handling</vt:lpstr>
      <vt:lpstr>KpiBelow</vt:lpstr>
      <vt:lpstr>KpiFabric</vt:lpstr>
      <vt:lpstr>KpiHours</vt:lpstr>
      <vt:lpstr>KpiMargin</vt:lpstr>
      <vt:lpstr>PlantName</vt:lpstr>
      <vt:lpstr>Dashboard!Print_Area</vt:lpstr>
      <vt:lpstr>Method!Print_Area</vt:lpstr>
      <vt:lpstr>Setup!Print_Area</vt:lpstr>
      <vt:lpstr>'Start Here'!Print_Area</vt:lpstr>
      <vt:lpstr>Styles!Print_Area</vt:lpstr>
      <vt:lpstr>Verify!Print_Area</vt:lpstr>
      <vt:lpstr>Method!Print_Titles</vt:lpstr>
      <vt:lpstr>Styles!Print_Titles</vt:lpstr>
      <vt:lpstr>SelfCheck</vt:lpstr>
      <vt:lpstr>SelfCheckSummary</vt:lpstr>
      <vt:lpstr>TargetMargin</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Garment Costing Sheet - free Excel template from MFG Calcs</dc:title>
  <dc:subject>Cost every garment style to an FOB price from fabric consumption, trims, wash, packing, SAM and line efficiency, and check each style's margin against your target.</dc:subject>
  <dc:creator>MFG Calcs</dc:creator>
  <cp:keywords>garment costing, FOB costing, cost per minute, SAM, CM cost, fabric consumption, apparel costing, line efficiency</cp:keywords>
  <dc:description>https://www.mfgcalcs.com/templates/garment-costing-sheet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garment-costing-sheet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https://www.mfgcalcs.com/templates/garment-costing-sheet</vt:lpwstr>
  </property>
  <property fmtid="{D5CDD505-2E9C-101B-9397-08002B2CF9AE}" pid="7" name="Template sheet roles">
    <vt:lpwstr>Start Here=start;Setup=setup;Styles=work;Dashboard=dashboard;Method=method;Verify=verify</vt:lpwstr>
  </property>
</Properties>
</file>