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Fuel and Refrigerants" sheetId="3" r:id="rId3"/>
    <sheet name="Electricity" sheetId="4" r:id="rId4"/>
    <sheet name="Dashboard" sheetId="5" r:id="rId5"/>
    <sheet name="Method" sheetId="6" r:id="rId6"/>
    <sheet name="Verify" sheetId="7" r:id="rId7"/>
  </sheets>
  <definedNames>
    <definedName name="BaseEmissions">Setup!$D$9</definedName>
    <definedName name="BaseYear">Setup!$D$8</definedName>
    <definedName name="CompanyName">Setup!$D$6</definedName>
    <definedName name="DashYear">Dashboard!$D$4</definedName>
    <definedName name="KpiInt">Dashboard!$D$30</definedName>
    <definedName name="KpiRed">Dashboard!$B$30</definedName>
    <definedName name="KpiS1">Dashboard!$B$8</definedName>
    <definedName name="KpiS2L">Dashboard!$D$8</definedName>
    <definedName name="KpiS2M">Dashboard!$G$8</definedName>
    <definedName name="KpiShare">Dashboard!$G$30</definedName>
    <definedName name="KpiTop">Dashboard!$J$30</definedName>
    <definedName name="KpiTotal">Dashboard!$J$8</definedName>
    <definedName name="OutputByYear">tblOutputByYear[Year]</definedName>
    <definedName name="OutputShown">Dashboard!$I$4</definedName>
    <definedName name="OutputUnit">Setup!$D$7</definedName>
    <definedName name="_xlnm.Print_Area" localSheetId="4">Dashboard!$A$1:$L$84</definedName>
    <definedName name="_xlnm.Print_Area" localSheetId="3">Electricity!$A$1:$L$29</definedName>
    <definedName name="_xlnm.Print_Area" localSheetId="2">'Fuel and Refrigerants'!$A$1:$K$83</definedName>
    <definedName name="_xlnm.Print_Area" localSheetId="5">Method!$A$1:$D$56</definedName>
    <definedName name="_xlnm.Print_Area" localSheetId="1">Setup!$A$1:$F$43</definedName>
    <definedName name="_xlnm.Print_Area" localSheetId="0">'Start Here'!$A$1:$F$57</definedName>
    <definedName name="_xlnm.Print_Area" localSheetId="6">Verify!$A$1:$L$56</definedName>
    <definedName name="_xlnm.Print_Titles" localSheetId="3">Electricity!$1:$5</definedName>
    <definedName name="_xlnm.Print_Titles" localSheetId="2">'Fuel and Refrigerants'!$1:$5</definedName>
    <definedName name="_xlnm.Print_Titles" localSheetId="5">Method!$1:$2</definedName>
    <definedName name="ReductionTarget">Setup!$D$10</definedName>
    <definedName name="SelfCheck">Verify!$D$4</definedName>
    <definedName name="SelfCheckSummary">Verify!$F$4</definedName>
    <definedName name="Sites">tblSites[Site]</definedName>
    <definedName name="Sources">tblSources[Source]</definedName>
    <definedName name="TargetIntensity">Setup!$D$11</definedName>
    <definedName name="YearOutput">IFERROR(INDEX(tblOutputByYear[Output],MATCH(DashYear,tblOutputByYear[Year],0)),0)</definedName>
    <definedName name="YEnd">DATE(DashYear,12,31)</definedName>
    <definedName name="YStart">DATE(DashYear,1,1)</definedName>
  </definedNames>
  <calcPr calcId="124519" fullCalcOnLoad="1"/>
</workbook>
</file>

<file path=xl/sharedStrings.xml><?xml version="1.0" encoding="utf-8"?>
<sst xmlns="http://schemas.openxmlformats.org/spreadsheetml/2006/main" count="741" uniqueCount="266">
  <si>
    <t>Scope 1 and 2 GHG Inventory</t>
  </si>
  <si>
    <t>Read this first: what the workbook does and how to use it.</t>
  </si>
  <si>
    <t>mfgcalcs.com</t>
  </si>
  <si>
    <t>Log fuel, refrigerant and electricity by month and site and get Scope 1, both Scope 2 inventories and progress to your target.</t>
  </si>
  <si>
    <t>For: EHS and sustainability managers, energy managers, plant controllers and owners of manufacturing sites who report Scope 1 and 2 emissions.</t>
  </si>
  <si>
    <t>Version 1.0.0  ·  updated 15 October 2026</t>
  </si>
  <si>
    <t>Quick start</t>
  </si>
  <si>
    <t>1.</t>
  </si>
  <si>
    <t>On Setup, type your company name and output unit, your base year and target, and replace the example sites and sources with your own emission factors and where each factor comes from.</t>
  </si>
  <si>
    <t>2.</t>
  </si>
  <si>
    <t>On Fuel and Refrigerants, add one row per month, site and source: fuel burned, refrigerant topped up or CO2 gas used, in the unit the Sources list shows.</t>
  </si>
  <si>
    <t>3.</t>
  </si>
  <si>
    <t>On Electricity, add one row per month and site: kWh purchased, and the kWh covered by certificates, a PPA or a green tariff with that contract's factor.</t>
  </si>
  <si>
    <t>4.</t>
  </si>
  <si>
    <t>Read the Check columns: anything other than OK names the problem in words.</t>
  </si>
  <si>
    <t>5.</t>
  </si>
  <si>
    <t>Open the Dashboard and type the reporting year at the top.</t>
  </si>
  <si>
    <t>What is in this workbook</t>
  </si>
  <si>
    <t>Start Here</t>
  </si>
  <si>
    <t>Setup</t>
  </si>
  <si>
    <t>Company, output unit, base year and target, sites with their grid factors, and the emission sources with their factors.</t>
  </si>
  <si>
    <t>Fuel and Refrigerants</t>
  </si>
  <si>
    <t>Scope 1: one row per month, site and source; the factor comes from the Sources list on Setup.</t>
  </si>
  <si>
    <t>Electricity</t>
  </si>
  <si>
    <t>Scope 2: one row per month and site, reported location-based and market-based.</t>
  </si>
  <si>
    <t>Dashboard</t>
  </si>
  <si>
    <t>Scope 1 and both Scope 2 inventories for the reporting year, against your base year and intensity target.</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</si>
  <si>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</si>
  <si>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</si>
  <si>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</si>
  <si>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</si>
  <si>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</si>
  <si>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</si>
  <si>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</si>
  <si>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</si>
  <si>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</si>
  <si>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</si>
  <si>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</si>
  <si>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</si>
  <si>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</si>
  <si>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</si>
  <si>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</si>
  <si>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</si>
  <si>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</si>
  <si>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</si>
  <si>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</si>
  <si>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</si>
  <si>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Scope 2 Dual Inventory Calculator on mfgcalcs.com</t>
  </si>
  <si>
    <t>Latest version</t>
  </si>
  <si>
    <t>mfgcalcs.com/templates/ghg-inventory</t>
  </si>
  <si>
    <t>More free templates</t>
  </si>
  <si>
    <t>mfgcalcs.com/templates</t>
  </si>
  <si>
    <t>Version</t>
  </si>
  <si>
    <t>1.0.0 (updated 15 October 2026)</t>
  </si>
  <si>
    <t>About the example data</t>
  </si>
  <si>
    <t>Every number already in this workbook is example data for Calder Valley Components, a fictional business invented for this template, so the dashboard and charts show something meaningful on day one. It covers a machining and heat-treatment plant and a finishing plant on two electricity grids for January to December 2025, generated from a fixed seed. Fuel and grid factors are example values, not any agency's published factors.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</si>
  <si>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</si>
  <si>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</si>
  <si>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</si>
  <si>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</si>
  <si>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</si>
  <si>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</si>
  <si>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</si>
  <si>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</si>
  <si>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Site</t>
  </si>
  <si>
    <t>Grid region</t>
  </si>
  <si>
    <t>Location factor (kg CO2e/kWh)</t>
  </si>
  <si>
    <t>Residual mix factor (kg CO2e/kWh)</t>
  </si>
  <si>
    <t>Factor source</t>
  </si>
  <si>
    <t>Source</t>
  </si>
  <si>
    <t>Category</t>
  </si>
  <si>
    <t>Activity unit</t>
  </si>
  <si>
    <t>Factor (kg CO2e/unit)</t>
  </si>
  <si>
    <t>Year</t>
  </si>
  <si>
    <t>Output</t>
  </si>
  <si>
    <t>Notes</t>
  </si>
  <si>
    <t>Company and targets</t>
  </si>
  <si>
    <t>Company or site group</t>
  </si>
  <si>
    <t>Calder Valley Components (example)</t>
  </si>
  <si>
    <t>Unit of output</t>
  </si>
  <si>
    <t>t</t>
  </si>
  <si>
    <t>Base year</t>
  </si>
  <si>
    <t>Base-year Scope 1 + 2 (market-based)</t>
  </si>
  <si>
    <t>t CO2e</t>
  </si>
  <si>
    <t>Reduction target vs base year</t>
  </si>
  <si>
    <t>Intensity target</t>
  </si>
  <si>
    <t>Targets are yours to set; nothing here assumes a benchmark. 'Near target' means within 5% of the target. Every emission factor below is typed by you with its source; the example fuel and grid factors are illustrative values only.</t>
  </si>
  <si>
    <t>Sites and electricity factors</t>
  </si>
  <si>
    <t>Sites (example factors)</t>
  </si>
  <si>
    <t>One row per site. Location factor: the average emission factor of the grid the site draws from, for the reporting year. Residual mix factor: the factor for electricity not covered by contracts, as published for your market; where no residual mix is published, the GHG Protocol Scope 2 Guidance falls back to the grid average, so type the location factor and say so.</t>
  </si>
  <si>
    <t>Main plant</t>
  </si>
  <si>
    <t>Grid A (example)</t>
  </si>
  <si>
    <t>Example only: replace with your source</t>
  </si>
  <si>
    <t>Finishing plant</t>
  </si>
  <si>
    <t>Grid B (example)</t>
  </si>
  <si>
    <t>Emission sources (Scope 1)</t>
  </si>
  <si>
    <t>Emission sources (example factors; GWPs from IPCC AR5)</t>
  </si>
  <si>
    <t>One row per fuel, refrigerant or process gas. Quantities on the log are typed in the activity unit shown here, and the factor converts them to kg CO2e. For refrigerants the factor is the gas's 100-year global warming potential (GWP) and the quantity is the kg topped up (a top-up replaces gas that leaked).</t>
  </si>
  <si>
    <t>Natural gas</t>
  </si>
  <si>
    <t>Stationary combustion</t>
  </si>
  <si>
    <t>kWh</t>
  </si>
  <si>
    <t>Diesel, generators</t>
  </si>
  <si>
    <t>L</t>
  </si>
  <si>
    <t>Diesel, company vans</t>
  </si>
  <si>
    <t>Mobile combustion</t>
  </si>
  <si>
    <t>LPG, forklifts</t>
  </si>
  <si>
    <t>kg</t>
  </si>
  <si>
    <t>R-410A refrigerant</t>
  </si>
  <si>
    <t>Fugitive emissions</t>
  </si>
  <si>
    <t>IPCC AR5 GWP-100, 50/50 R-32 (677) and R-125 (3170)</t>
  </si>
  <si>
    <t>R-134a refrigerant</t>
  </si>
  <si>
    <t>IPCC AR5 GWP-100</t>
  </si>
  <si>
    <t>CO2 shielding gas</t>
  </si>
  <si>
    <t>Process emissions</t>
  </si>
  <si>
    <t>CO2 has a GWP of 1 by definition</t>
  </si>
  <si>
    <t>Output by year</t>
  </si>
  <si>
    <t>Output by year (for intensity)</t>
  </si>
  <si>
    <t/>
  </si>
  <si>
    <t>Month</t>
  </si>
  <si>
    <t>Quantity</t>
  </si>
  <si>
    <t>Emissions (t CO2e)</t>
  </si>
  <si>
    <t>Check</t>
  </si>
  <si>
    <t>Example data for Calder Valley Components (fictional). Replace it with your own: select the example rows, right-click, Delete &gt; Table Rows. Keep several years here if you like; the Dashboard shows the year you pick.</t>
  </si>
  <si>
    <t>Quarterly load test</t>
  </si>
  <si>
    <t>Coolant chiller service top-up</t>
  </si>
  <si>
    <t>Paint-booth chiller leak found and repaired</t>
  </si>
  <si>
    <t>Purchased (kWh)</t>
  </si>
  <si>
    <t>Contractual (kWh)</t>
  </si>
  <si>
    <t>Contract factor (kg CO2e/kWh)</t>
  </si>
  <si>
    <t>Grid factor (kg CO2e/kWh)</t>
  </si>
  <si>
    <t>Residual factor (kg CO2e/kWh)</t>
  </si>
  <si>
    <t>Location-based (t CO2e)</t>
  </si>
  <si>
    <t>Market-based (t CO2e)</t>
  </si>
  <si>
    <t>Example data for Calder Valley Components (fictional): a solar PPA covers part of the main plant's electricity from July 2025. Replace it with your own: select the example rows, right-click, Delete &gt; Table Rows.</t>
  </si>
  <si>
    <t>Solar PPA, certificates retired monthly</t>
  </si>
  <si>
    <t>Two-week summer shutdown</t>
  </si>
  <si>
    <t>Reporting year</t>
  </si>
  <si>
    <t>Output in this year (Setup)</t>
  </si>
  <si>
    <t>SCOPE 1 (T CO2E)</t>
  </si>
  <si>
    <t>SCOPE 2 LOCATION-BASED (T CO2E)</t>
  </si>
  <si>
    <t>SCOPE 2 MARKET-BASED (T CO2E)</t>
  </si>
  <si>
    <t>SCOPE 1 + 2 MARKET-BASED (T CO2E)</t>
  </si>
  <si>
    <t>Fuel, refrigerant and process gas</t>
  </si>
  <si>
    <t>Purchased kWh x grid factor</t>
  </si>
  <si>
    <t>Contracts, then residual mix</t>
  </si>
  <si>
    <t>The total the target uses</t>
  </si>
  <si>
    <t>ELECTRICITY UNDER CONTRACTS</t>
  </si>
  <si>
    <t>LARGEST SCOPE 1 SOURCE</t>
  </si>
  <si>
    <t>Contractual kWh / purchased kWh</t>
  </si>
  <si>
    <t>Ranked by t CO2e, see the Pareto</t>
  </si>
  <si>
    <t>By month</t>
  </si>
  <si>
    <t>Scope 1 (t CO2e)</t>
  </si>
  <si>
    <t>Scope 2 location (t CO2e)</t>
  </si>
  <si>
    <t>Scope 2 market (t CO2e)</t>
  </si>
  <si>
    <t>Scope 1 + 2 market (t CO2e)</t>
  </si>
  <si>
    <t>Purchased (MWh)</t>
  </si>
  <si>
    <t>Under contracts</t>
  </si>
  <si>
    <t>By site</t>
  </si>
  <si>
    <t>Scope 1 by category</t>
  </si>
  <si>
    <t>Scope 1 by source (Pareto)</t>
  </si>
  <si>
    <t>Scope 1 category</t>
  </si>
  <si>
    <t>Share of Scope 1</t>
  </si>
  <si>
    <t>Rank</t>
  </si>
  <si>
    <t>Share</t>
  </si>
  <si>
    <t>Cumulative</t>
  </si>
  <si>
    <t>Helper: Source (list order)</t>
  </si>
  <si>
    <t>Helper: value (-1 = unused slot)</t>
  </si>
  <si>
    <t>Helper: rank, ties by list order</t>
  </si>
  <si>
    <t>%</t>
  </si>
  <si>
    <t>Total</t>
  </si>
  <si>
    <t>The Dashboard shows the 2 sites and 7 sources from the Setup lists. If you add more, extend the 'By site' and Pareto blocks (see Method) or they will not appear here; the totals still count them.</t>
  </si>
  <si>
    <t>What this workbook calculates</t>
  </si>
  <si>
    <t>A Scope 1 and 2 inventory adds up the greenhouse gases a company emits directly (Scope 1: fuel burned on site and in its vehicles, refrigerant leaks, process gases) and the emissions from the electricity it buys (Scope 2). Each activity amount is multiplied by an emission factor in kg CO2 equivalent per unit. Scope 2 is reported twice, as the GHG Protocol Scope 2 Guidance requires: location-based with the grid average, and market-based with the factors of the contracts the company holds and the residual mix for the rest.</t>
  </si>
  <si>
    <t>Calculations</t>
  </si>
  <si>
    <t>How it is calculated</t>
  </si>
  <si>
    <t>Units</t>
  </si>
  <si>
    <t>Scope 1 row emissions</t>
  </si>
  <si>
    <t>Quantity x factor of the source (Sources list) / 1000. Refrigerants: kg topped up x GWP.</t>
  </si>
  <si>
    <t>Location-based Scope 2</t>
  </si>
  <si>
    <t>Purchased kWh x the site's grid (location) factor / 1000.</t>
  </si>
  <si>
    <t>Market-based Scope 2</t>
  </si>
  <si>
    <t>(Contractual kWh x contract factor + (purchased - contractual kWh) x residual mix factor) / 1000.</t>
  </si>
  <si>
    <t>Scope 1 + 2 (market-based)</t>
  </si>
  <si>
    <t>Scope 1 + market-based Scope 2 for the reporting year: the total the reduction target uses.</t>
  </si>
  <si>
    <t>Reduction vs base year</t>
  </si>
  <si>
    <t>(Base-year emissions - Scope 1 + 2 market-based) / base-year emissions. Status against the target on Setup.</t>
  </si>
  <si>
    <t>Intensity</t>
  </si>
  <si>
    <t>Scope 1 + 2 market-based x 1000 / output of the reporting year (Output by year list).</t>
  </si>
  <si>
    <t>kg CO2e/unit</t>
  </si>
  <si>
    <t>Electricity under contracts</t>
  </si>
  <si>
    <t>Contractual kWh / purchased kWh for the year (or month, site).</t>
  </si>
  <si>
    <t>Roll-ups</t>
  </si>
  <si>
    <t>SUMIFS of the row results over months inside the reporting year, by month, site, Scope 1 category and source. The Pareto ranks sources with COUNTIF (helper columns AN:AP, hidden).</t>
  </si>
  <si>
    <t>Assumptions</t>
  </si>
  <si>
    <t>Operational control boundary: every site in the Sites list is fully inside the inventory (no equity share).</t>
  </si>
  <si>
    <t>One row per month, site and source; quantities are for the calendar month the row is dated (the 1st).</t>
  </si>
  <si>
    <t>A refrigerant top-up equals the gas that leaked since the last service (the mass-balance simplification).</t>
  </si>
  <si>
    <t>Contract factors apply only to kWh covered by instruments that meet the Scope 2 quality criteria; the rest takes the residual mix.</t>
  </si>
  <si>
    <t>Limitations</t>
  </si>
  <si>
    <t>Factors are typed by you; the example fuel and grid values are illustrative. Use one published source per factor and year.</t>
  </si>
  <si>
    <t>CO2e uses whatever the factor already includes (CO2, CH4, N2O); gases are not reported separately, and biogenic CO2 is not split out.</t>
  </si>
  <si>
    <t>Purchased steam, heat and cooling, and Scope 3, are not covered.</t>
  </si>
  <si>
    <t>The Dashboard has fixed blocks for 2 sites and 7 sources; longer lists need the blocks extended (a warning appears).</t>
  </si>
  <si>
    <t>Agreement with the live calculator</t>
  </si>
  <si>
    <t>The live Scope 2 Dual Inventory calculator computes one electricity purchase: location-based = kWh x location factor; market-based = contractual kWh x contract factor + remaining kWh x residual factor. Every Electricity row uses the same formulas, in tonnes instead of kg. The template's reference implementation is checked against the calculator's engine on its default example (2,400,000 kWh, 900,000 kWh contractual at 0.02, location 0.386, residual 0.45: 926,400 and 693,000 kg) and an example month on every build.</t>
  </si>
  <si>
    <t>Open the Scope 2 Dual Inventory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</si>
  <si>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</si>
  <si>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</si>
  <si>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WRI and WBCSD, The Greenhouse Gas Protocol: A Corporate Accounting and Reporting Standard (revised edition), and GHG Protocol Scope 2 Guidance (2015).</t>
  </si>
  <si>
    <t>IPCC Fifth Assessment Report (AR5), Working Group I, Chapter 8: 100-year global warming potentials (R-32 677, R-125 3170, HFC-134a 1300).</t>
  </si>
  <si>
    <t>ISO 14064-1:2018, Greenhouse gases: quantification and reporting at the organization level (named only).</t>
  </si>
  <si>
    <t>National factor sets to choose from: US EPA GHG Emission Factors Hub, UK government GHG conversion factors, India CEA CO2 baseline database, your grid operator or supplier.</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</si>
  <si>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</si>
  <si>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</si>
  <si>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</si>
  <si>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</si>
  <si>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</si>
  <si>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</si>
  <si>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</si>
  <si>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</si>
  <si>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</si>
  <si>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</si>
  <si>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</si>
  <si>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</si>
  <si>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</si>
  <si>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</si>
  <si>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</si>
  <si>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</si>
  <si>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Fuel row 1: Gas emissions</t>
  </si>
  <si>
    <t>Fuel row 2: R-410A emissions</t>
  </si>
  <si>
    <t>Fuel row 3: LPG emissions</t>
  </si>
  <si>
    <t>Fuel row 5: Check reports the unknown source</t>
  </si>
  <si>
    <t>Source not on Setup list</t>
  </si>
  <si>
    <t>exact</t>
  </si>
  <si>
    <t>Electricity row 1 (calculator example): location-based</t>
  </si>
  <si>
    <t>Electricity row 1 (calculator example): market-based</t>
  </si>
  <si>
    <t>Electricity row 2 (no contracts): location-based</t>
  </si>
  <si>
    <t>Electricity row 2 (no contracts): market-based</t>
  </si>
  <si>
    <t>Electricity row 3 (100% renewable contract): location-based</t>
  </si>
  <si>
    <t>Electricity row 3 (100% renewable contract): market-based</t>
  </si>
  <si>
    <t>Electricity row 4: Check reports contractual &gt; purchased</t>
  </si>
  <si>
    <t>Contractual kWh &gt; purchased</t>
  </si>
  <si>
    <t>Year 2025: Scope 1 (December 2024 and the unknown source left out)</t>
  </si>
  <si>
    <t>Year 2025: Scope 2 location-based</t>
  </si>
  <si>
    <t>Year 2025: Scope 2 market-based</t>
  </si>
  <si>
    <t>Year 2025: reduction vs a 2,000 t base year</t>
  </si>
  <si>
    <t>Year 2025: intensity per unit of output</t>
  </si>
  <si>
    <t>Year 2025: electricity under contracts</t>
  </si>
  <si>
    <t>Fixed test inputs</t>
  </si>
  <si>
    <t>White cells are fixed test inputs; blue cells are the workbook's formulas evaluated on them.</t>
  </si>
  <si>
    <t>Parameters</t>
  </si>
  <si>
    <t>Reporting year: first day</t>
  </si>
  <si>
    <t>Reporting year: last day</t>
  </si>
  <si>
    <t>Base-year emissions (t CO2e)</t>
  </si>
  <si>
    <t>Output in the reporting year</t>
  </si>
  <si>
    <t>Test table: Fuel</t>
  </si>
  <si>
    <t>S1</t>
  </si>
  <si>
    <t>Gas</t>
  </si>
  <si>
    <t>R-410A</t>
  </si>
  <si>
    <t>S2</t>
  </si>
  <si>
    <t>LPG</t>
  </si>
  <si>
    <t>Coal</t>
  </si>
  <si>
    <t>Test table: Elec</t>
  </si>
  <si>
    <t>Test table: Sites</t>
  </si>
  <si>
    <t>A</t>
  </si>
  <si>
    <t>B</t>
  </si>
</sst>
</file>

<file path=xl/styles.xml><?xml version="1.0" encoding="utf-8"?>
<styleSheet xmlns="http://schemas.openxmlformats.org/spreadsheetml/2006/main">
  <numFmts count="11">
    <numFmt numFmtId="164" formatCode="#,##0.0"/>
    <numFmt numFmtId="165" formatCode="0.0%"/>
    <numFmt numFmtId="166" formatCode="#,##0"/>
    <numFmt numFmtId="167" formatCode="#,##0.000"/>
    <numFmt numFmtId="168" formatCode="d mmm yyyy"/>
    <numFmt numFmtId="169" formatCode="#,##0.00"/>
    <numFmt numFmtId="170" formatCode="&quot;Target &quot;0.0%"/>
    <numFmt numFmtId="171" formatCode="&quot;Target &quot;#,##0"/>
    <numFmt numFmtId="172" formatCode="mmm yyyy"/>
    <numFmt numFmtId="173" formatCode="0.0E+00"/>
    <numFmt numFmtId="174" formatCode="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sz val="9"/>
      <color rgb="FF8A4A06"/>
      <name val="Calibri"/>
      <family val="2"/>
      <scheme val="minor"/>
    </font>
    <font>
      <b/>
      <sz val="10"/>
      <color rgb="FFFFFFFF"/>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2">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7" borderId="2" xfId="0" applyFont="1" applyFill="1" applyBorder="1" applyAlignment="1">
      <alignment vertical="center" wrapText="1"/>
    </xf>
    <xf numFmtId="0" fontId="19" fillId="2" borderId="5" xfId="0" applyFont="1" applyFill="1" applyBorder="1" applyAlignment="1">
      <alignment horizontal="center" vertical="center" wrapText="1"/>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167"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2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6" fontId="10" fillId="4" borderId="3" xfId="0" applyNumberFormat="1" applyFont="1" applyFill="1" applyBorder="1" applyAlignment="1">
      <alignment vertical="center"/>
    </xf>
    <xf numFmtId="0" fontId="21"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165"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0" fontId="24" fillId="9" borderId="7" xfId="0" applyFont="1" applyFill="1" applyBorder="1" applyAlignment="1">
      <alignment horizontal="left" vertical="center"/>
    </xf>
    <xf numFmtId="170" fontId="23"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0" fontId="19" fillId="2" borderId="5" xfId="0" applyFont="1" applyFill="1" applyBorder="1" applyAlignment="1">
      <alignment horizontal="left" vertical="center" wrapText="1"/>
    </xf>
    <xf numFmtId="172" fontId="9" fillId="0" borderId="9" xfId="0" applyNumberFormat="1" applyFont="1" applyBorder="1" applyAlignment="1">
      <alignment vertical="center"/>
    </xf>
    <xf numFmtId="164"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9" fillId="0" borderId="9" xfId="0" applyFont="1" applyBorder="1" applyAlignment="1">
      <alignment vertical="center"/>
    </xf>
    <xf numFmtId="0" fontId="21" fillId="0" borderId="0" xfId="0" applyFont="1" applyAlignment="1">
      <alignment horizontal="center" vertical="center"/>
    </xf>
    <xf numFmtId="166" fontId="9" fillId="0" borderId="9" xfId="0" applyNumberFormat="1" applyFont="1" applyBorder="1" applyAlignment="1">
      <alignment horizontal="center" vertical="center"/>
    </xf>
    <xf numFmtId="164" fontId="10" fillId="0" borderId="0" xfId="0" applyNumberFormat="1" applyFont="1" applyAlignment="1">
      <alignment vertical="center"/>
    </xf>
    <xf numFmtId="166" fontId="10" fillId="0" borderId="0" xfId="0" applyNumberFormat="1" applyFont="1" applyAlignment="1">
      <alignment vertical="center"/>
    </xf>
    <xf numFmtId="0" fontId="9" fillId="4" borderId="10" xfId="0" applyFont="1" applyFill="1" applyBorder="1" applyAlignment="1">
      <alignment vertical="center"/>
    </xf>
    <xf numFmtId="164"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7"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0" fontId="10" fillId="4" borderId="3" xfId="0" applyFont="1" applyFill="1" applyBorder="1" applyAlignment="1">
      <alignment horizontal="center" vertical="center"/>
    </xf>
    <xf numFmtId="174" fontId="10" fillId="0" borderId="9" xfId="0" applyNumberFormat="1" applyFont="1" applyBorder="1" applyAlignment="1">
      <alignment vertical="center"/>
    </xf>
    <xf numFmtId="174" fontId="10" fillId="4" borderId="3" xfId="0" applyNumberFormat="1" applyFont="1" applyFill="1" applyBorder="1" applyAlignment="1">
      <alignment vertical="center"/>
    </xf>
    <xf numFmtId="169" fontId="10" fillId="0" borderId="9" xfId="0" applyNumberFormat="1" applyFont="1" applyBorder="1" applyAlignment="1">
      <alignment vertical="center"/>
    </xf>
    <xf numFmtId="168" fontId="10" fillId="0" borderId="9" xfId="0" applyNumberFormat="1" applyFont="1" applyBorder="1" applyAlignment="1">
      <alignment vertical="center"/>
    </xf>
    <xf numFmtId="164"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Scope 1 and 2 by month (t CO2e, market-based)</a:t>
            </a:r>
          </a:p>
        </c:rich>
      </c:tx>
      <c:layout/>
    </c:title>
    <c:plotArea>
      <c:layout/>
      <c:barChart>
        <c:barDir val="col"/>
        <c:grouping val="stacked"/>
        <c:ser>
          <c:idx val="0"/>
          <c:order val="0"/>
          <c:tx>
            <c:v>Scope 1</c:v>
          </c:tx>
          <c:spPr>
            <a:solidFill>
              <a:srgbClr val="3B64D8"/>
            </a:solidFill>
            <a:ln w="9525">
              <a:solidFill>
                <a:srgbClr val="FFFFFF"/>
              </a:solidFill>
            </a:ln>
          </c:spPr>
          <c:cat>
            <c:numRef>
              <c:f>Dashboard!$B$53:$B$64</c:f>
              <c:numCache>
                <c:formatCode>General</c:formatCode>
                <c:ptCount val="12"/>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numCache>
            </c:numRef>
          </c:cat>
          <c:val>
            <c:numRef>
              <c:f>Dashboard!$C$53:$C$64</c:f>
              <c:numCache>
                <c:formatCode>General</c:formatCode>
                <c:ptCount val="12"/>
                <c:pt idx="0">
                  <c:v>75.6333</c:v>
                </c:pt>
                <c:pt idx="1">
                  <c:v>74.7415</c:v>
                </c:pt>
                <c:pt idx="2">
                  <c:v>69.1072</c:v>
                </c:pt>
                <c:pt idx="3">
                  <c:v>66.409</c:v>
                </c:pt>
                <c:pt idx="4">
                  <c:v>58.681</c:v>
                </c:pt>
                <c:pt idx="5">
                  <c:v>58.9863</c:v>
                </c:pt>
                <c:pt idx="6">
                  <c:v>58.8764</c:v>
                </c:pt>
                <c:pt idx="7">
                  <c:v>91.072</c:v>
                </c:pt>
                <c:pt idx="8">
                  <c:v>59.9401</c:v>
                </c:pt>
                <c:pt idx="9">
                  <c:v>63.9586</c:v>
                </c:pt>
                <c:pt idx="10">
                  <c:v>67.9045</c:v>
                </c:pt>
                <c:pt idx="11">
                  <c:v>71.7579</c:v>
                </c:pt>
              </c:numCache>
            </c:numRef>
          </c:val>
        </c:ser>
        <c:ser>
          <c:idx val="1"/>
          <c:order val="1"/>
          <c:tx>
            <c:v>Scope 2 market-based</c:v>
          </c:tx>
          <c:spPr>
            <a:solidFill>
              <a:srgbClr val="E8702A"/>
            </a:solidFill>
            <a:ln w="9525">
              <a:solidFill>
                <a:srgbClr val="FFFFFF"/>
              </a:solidFill>
            </a:ln>
          </c:spPr>
          <c:cat>
            <c:numRef>
              <c:f>Dashboard!$B$53:$B$64</c:f>
              <c:numCache>
                <c:formatCode>General</c:formatCode>
                <c:ptCount val="12"/>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numCache>
            </c:numRef>
          </c:cat>
          <c:val>
            <c:numRef>
              <c:f>Dashboard!$E$53:$E$64</c:f>
              <c:numCache>
                <c:formatCode>General</c:formatCode>
                <c:ptCount val="12"/>
                <c:pt idx="0">
                  <c:v>113.152</c:v>
                </c:pt>
                <c:pt idx="1">
                  <c:v>109.339</c:v>
                </c:pt>
                <c:pt idx="2">
                  <c:v>109.16</c:v>
                </c:pt>
                <c:pt idx="3">
                  <c:v>109.993</c:v>
                </c:pt>
                <c:pt idx="4">
                  <c:v>106.671</c:v>
                </c:pt>
                <c:pt idx="5">
                  <c:v>110.33</c:v>
                </c:pt>
                <c:pt idx="6">
                  <c:v>64.147</c:v>
                </c:pt>
                <c:pt idx="7">
                  <c:v>56.814</c:v>
                </c:pt>
                <c:pt idx="8">
                  <c:v>63.167</c:v>
                </c:pt>
                <c:pt idx="9">
                  <c:v>57.712</c:v>
                </c:pt>
                <c:pt idx="10">
                  <c:v>66.412</c:v>
                </c:pt>
                <c:pt idx="11">
                  <c:v>57.101</c:v>
                </c:pt>
              </c:numCache>
            </c:numRef>
          </c:val>
        </c:ser>
        <c:gapWidth val="60"/>
        <c:overlap val="100"/>
        <c:axId val="50010001"/>
        <c:axId val="50010002"/>
      </c:bar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Scope 2: location-based vs market-based (t CO2e)</a:t>
            </a:r>
          </a:p>
        </c:rich>
      </c:tx>
      <c:layout/>
    </c:title>
    <c:plotArea>
      <c:layout/>
      <c:barChart>
        <c:barDir val="col"/>
        <c:grouping val="clustered"/>
        <c:ser>
          <c:idx val="0"/>
          <c:order val="0"/>
          <c:tx>
            <c:v>Location-based</c:v>
          </c:tx>
          <c:spPr>
            <a:solidFill>
              <a:srgbClr val="6B7280"/>
            </a:solidFill>
            <a:ln w="9525">
              <a:solidFill>
                <a:srgbClr val="FFFFFF"/>
              </a:solidFill>
            </a:ln>
          </c:spPr>
          <c:cat>
            <c:numRef>
              <c:f>Dashboard!$B$53:$B$64</c:f>
              <c:numCache>
                <c:formatCode>General</c:formatCode>
                <c:ptCount val="12"/>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numCache>
            </c:numRef>
          </c:cat>
          <c:val>
            <c:numRef>
              <c:f>Dashboard!$D$53:$D$64</c:f>
              <c:numCache>
                <c:formatCode>General</c:formatCode>
                <c:ptCount val="12"/>
                <c:pt idx="0">
                  <c:v>94.1216</c:v>
                </c:pt>
                <c:pt idx="1">
                  <c:v>91.0718</c:v>
                </c:pt>
                <c:pt idx="2">
                  <c:v>90.6896</c:v>
                </c:pt>
                <c:pt idx="3">
                  <c:v>91.5514</c:v>
                </c:pt>
                <c:pt idx="4">
                  <c:v>88.6166</c:v>
                </c:pt>
                <c:pt idx="5">
                  <c:v>91.6932</c:v>
                </c:pt>
                <c:pt idx="6">
                  <c:v>92.4432</c:v>
                </c:pt>
                <c:pt idx="7">
                  <c:v>80.1602</c:v>
                </c:pt>
                <c:pt idx="8">
                  <c:v>93.05</c:v>
                </c:pt>
                <c:pt idx="9">
                  <c:v>90.7634</c:v>
                </c:pt>
                <c:pt idx="10">
                  <c:v>94.3284</c:v>
                </c:pt>
                <c:pt idx="11">
                  <c:v>89.8116</c:v>
                </c:pt>
              </c:numCache>
            </c:numRef>
          </c:val>
        </c:ser>
        <c:ser>
          <c:idx val="1"/>
          <c:order val="1"/>
          <c:tx>
            <c:v>Market-based</c:v>
          </c:tx>
          <c:spPr>
            <a:solidFill>
              <a:srgbClr val="E8702A"/>
            </a:solidFill>
            <a:ln w="9525">
              <a:solidFill>
                <a:srgbClr val="FFFFFF"/>
              </a:solidFill>
            </a:ln>
          </c:spPr>
          <c:cat>
            <c:numRef>
              <c:f>Dashboard!$B$53:$B$64</c:f>
              <c:numCache>
                <c:formatCode>General</c:formatCode>
                <c:ptCount val="12"/>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numCache>
            </c:numRef>
          </c:cat>
          <c:val>
            <c:numRef>
              <c:f>Dashboard!$E$53:$E$64</c:f>
              <c:numCache>
                <c:formatCode>General</c:formatCode>
                <c:ptCount val="12"/>
                <c:pt idx="0">
                  <c:v>113.152</c:v>
                </c:pt>
                <c:pt idx="1">
                  <c:v>109.339</c:v>
                </c:pt>
                <c:pt idx="2">
                  <c:v>109.16</c:v>
                </c:pt>
                <c:pt idx="3">
                  <c:v>109.993</c:v>
                </c:pt>
                <c:pt idx="4">
                  <c:v>106.671</c:v>
                </c:pt>
                <c:pt idx="5">
                  <c:v>110.33</c:v>
                </c:pt>
                <c:pt idx="6">
                  <c:v>64.147</c:v>
                </c:pt>
                <c:pt idx="7">
                  <c:v>56.814</c:v>
                </c:pt>
                <c:pt idx="8">
                  <c:v>63.167</c:v>
                </c:pt>
                <c:pt idx="9">
                  <c:v>57.712</c:v>
                </c:pt>
                <c:pt idx="10">
                  <c:v>66.412</c:v>
                </c:pt>
                <c:pt idx="11">
                  <c:v>57.101</c:v>
                </c:pt>
              </c:numCache>
            </c:numRef>
          </c:val>
        </c:ser>
        <c:gapWidth val="60"/>
        <c:overlap val="-10"/>
        <c:axId val="50020001"/>
        <c:axId val="50020002"/>
      </c:barChart>
      <c:catAx>
        <c:axId val="5002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Scope 1 by source (Pareto)</a:t>
            </a:r>
          </a:p>
        </c:rich>
      </c:tx>
      <c:layout/>
    </c:title>
    <c:plotArea>
      <c:layout/>
      <c:barChart>
        <c:barDir val="col"/>
        <c:grouping val="clustered"/>
        <c:ser>
          <c:idx val="0"/>
          <c:order val="0"/>
          <c:tx>
            <c:v>t CO2e</c:v>
          </c:tx>
          <c:spPr>
            <a:solidFill>
              <a:srgbClr val="3B64D8"/>
            </a:solidFill>
            <a:ln w="9525">
              <a:solidFill>
                <a:srgbClr val="FFFFFF"/>
              </a:solidFill>
            </a:ln>
          </c:spPr>
          <c:cat>
            <c:strRef>
              <c:f>Dashboard!$H$74:$H$80</c:f>
              <c:strCache>
                <c:ptCount val="7"/>
                <c:pt idx="0">
                  <c:v>Natural gas</c:v>
                </c:pt>
                <c:pt idx="1">
                  <c:v>LPG, forklifts</c:v>
                </c:pt>
                <c:pt idx="2">
                  <c:v>R-410A refrigerant</c:v>
                </c:pt>
                <c:pt idx="3">
                  <c:v>Diesel, company vans</c:v>
                </c:pt>
                <c:pt idx="4">
                  <c:v>R-134a refrigerant</c:v>
                </c:pt>
                <c:pt idx="5">
                  <c:v>CO2 shielding gas</c:v>
                </c:pt>
                <c:pt idx="6">
                  <c:v>Diesel, generators</c:v>
                </c:pt>
              </c:strCache>
            </c:strRef>
          </c:cat>
          <c:val>
            <c:numRef>
              <c:f>Dashboard!$J$74:$J$80</c:f>
              <c:numCache>
                <c:formatCode>General</c:formatCode>
                <c:ptCount val="7"/>
                <c:pt idx="0">
                  <c:v>698.2182</c:v>
                </c:pt>
                <c:pt idx="1">
                  <c:v>50.9208</c:v>
                </c:pt>
                <c:pt idx="2">
                  <c:v>30.784</c:v>
                </c:pt>
                <c:pt idx="3">
                  <c:v>26.068</c:v>
                </c:pt>
                <c:pt idx="4">
                  <c:v>5.2</c:v>
                </c:pt>
                <c:pt idx="5">
                  <c:v>4.6</c:v>
                </c:pt>
                <c:pt idx="6">
                  <c:v>1.2768</c:v>
                </c:pt>
              </c:numCache>
            </c:numRef>
          </c:val>
        </c:ser>
        <c:gapWidth val="40"/>
        <c:axId val="50030001"/>
        <c:axId val="5003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Dashboard!$H$74:$H$80</c:f>
              <c:strCache>
                <c:ptCount val="7"/>
                <c:pt idx="0">
                  <c:v>Natural gas</c:v>
                </c:pt>
                <c:pt idx="1">
                  <c:v>LPG, forklifts</c:v>
                </c:pt>
                <c:pt idx="2">
                  <c:v>R-410A refrigerant</c:v>
                </c:pt>
                <c:pt idx="3">
                  <c:v>Diesel, company vans</c:v>
                </c:pt>
                <c:pt idx="4">
                  <c:v>R-134a refrigerant</c:v>
                </c:pt>
                <c:pt idx="5">
                  <c:v>CO2 shielding gas</c:v>
                </c:pt>
                <c:pt idx="6">
                  <c:v>Diesel, generators</c:v>
                </c:pt>
              </c:strCache>
            </c:strRef>
          </c:cat>
          <c:val>
            <c:numRef>
              <c:f>Dashboard!$L$74:$L$80</c:f>
              <c:numCache>
                <c:formatCode>General</c:formatCode>
                <c:ptCount val="7"/>
                <c:pt idx="0">
                  <c:v>0.854541324477601</c:v>
                </c:pt>
                <c:pt idx="1">
                  <c:v>0.916862713228939</c:v>
                </c:pt>
                <c:pt idx="2">
                  <c:v>0.954538901178091</c:v>
                </c:pt>
                <c:pt idx="3">
                  <c:v>0.986443230292517</c:v>
                </c:pt>
                <c:pt idx="4">
                  <c:v>0.992807451229874</c:v>
                </c:pt>
                <c:pt idx="5">
                  <c:v>0.998437338982151</c:v>
                </c:pt>
                <c:pt idx="6">
                  <c:v>1</c:v>
                </c:pt>
              </c:numCache>
            </c:numRef>
          </c:val>
        </c:ser>
        <c:marker val="1"/>
        <c:axId val="60030001"/>
        <c:axId val="60030002"/>
      </c:line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valAx>
        <c:axId val="6003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30001"/>
        <c:crosses val="max"/>
        <c:crossBetween val="between"/>
        <c:majorUnit val="0.2"/>
      </c:valAx>
      <c:catAx>
        <c:axId val="60030001"/>
        <c:scaling>
          <c:orientation val="minMax"/>
        </c:scaling>
        <c:delete val="1"/>
        <c:axPos val="b"/>
        <c:tickLblPos val="none"/>
        <c:crossAx val="6003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By site (t CO2e, market-based)</a:t>
            </a:r>
          </a:p>
        </c:rich>
      </c:tx>
      <c:layout/>
    </c:title>
    <c:plotArea>
      <c:layout/>
      <c:barChart>
        <c:barDir val="bar"/>
        <c:grouping val="stacked"/>
        <c:ser>
          <c:idx val="0"/>
          <c:order val="0"/>
          <c:tx>
            <c:v>Scope 1</c:v>
          </c:tx>
          <c:spPr>
            <a:solidFill>
              <a:srgbClr val="3B64D8"/>
            </a:solidFill>
            <a:ln w="9525">
              <a:solidFill>
                <a:srgbClr val="FFFFFF"/>
              </a:solidFill>
            </a:ln>
          </c:spPr>
          <c:cat>
            <c:strRef>
              <c:f>Dashboard!$B$68:$B$69</c:f>
              <c:strCache>
                <c:ptCount val="2"/>
                <c:pt idx="0">
                  <c:v>Main plant</c:v>
                </c:pt>
                <c:pt idx="1">
                  <c:v>Finishing plant</c:v>
                </c:pt>
              </c:strCache>
            </c:strRef>
          </c:cat>
          <c:val>
            <c:numRef>
              <c:f>Dashboard!$C$68:$C$69</c:f>
              <c:numCache>
                <c:formatCode>General</c:formatCode>
                <c:ptCount val="2"/>
                <c:pt idx="0">
                  <c:v>573.6468</c:v>
                </c:pt>
                <c:pt idx="1">
                  <c:v>243.421</c:v>
                </c:pt>
              </c:numCache>
            </c:numRef>
          </c:val>
        </c:ser>
        <c:ser>
          <c:idx val="1"/>
          <c:order val="1"/>
          <c:tx>
            <c:v>Scope 2 market-based</c:v>
          </c:tx>
          <c:spPr>
            <a:solidFill>
              <a:srgbClr val="E8702A"/>
            </a:solidFill>
            <a:ln w="9525">
              <a:solidFill>
                <a:srgbClr val="FFFFFF"/>
              </a:solidFill>
            </a:ln>
          </c:spPr>
          <c:cat>
            <c:strRef>
              <c:f>Dashboard!$B$68:$B$69</c:f>
              <c:strCache>
                <c:ptCount val="2"/>
                <c:pt idx="0">
                  <c:v>Main plant</c:v>
                </c:pt>
                <c:pt idx="1">
                  <c:v>Finishing plant</c:v>
                </c:pt>
              </c:strCache>
            </c:strRef>
          </c:cat>
          <c:val>
            <c:numRef>
              <c:f>Dashboard!$E$68:$E$69</c:f>
              <c:numCache>
                <c:formatCode>General</c:formatCode>
                <c:ptCount val="2"/>
                <c:pt idx="0">
                  <c:v>773.235</c:v>
                </c:pt>
                <c:pt idx="1">
                  <c:v>250.763</c:v>
                </c:pt>
              </c:numCache>
            </c:numRef>
          </c:val>
        </c:ser>
        <c:gapWidth val="60"/>
        <c:overlap val="100"/>
        <c:axId val="50040001"/>
        <c:axId val="50040002"/>
      </c:barChart>
      <c:catAx>
        <c:axId val="5004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Stacked column chart of each month's Scope 1 and market-based Scope 2 emissions in tonnes of CO2 equivalent for the reporting yea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lustered column chart comparing each month's location-based and market-based Scope 2 emissions; the gap shows what contractual electricity changed."/>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Pareto chart of Scope 1 emissions by source, largest first, with the cumulative shar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Stacked horizontal bar chart of Scope 1 and market-based Scope 2 emissions for each site in the reporting yea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Sites" displayName="tblSites" ref="B19:F21" totalsRowShown="0">
  <autoFilter ref="B19:F21"/>
  <tableColumns count="5">
    <tableColumn id="1" name="Site"/>
    <tableColumn id="2" name="Grid region"/>
    <tableColumn id="3" name="Location factor (kg CO2e/kWh)"/>
    <tableColumn id="4" name="Residual mix factor (kg CO2e/kWh)"/>
    <tableColumn id="5" name="Factor source"/>
  </tableColumns>
  <tableStyleInfo name="TableStyleLight1" showFirstColumn="0" showLastColumn="0" showRowStripes="0" showColumnStripes="0"/>
</table>
</file>

<file path=xl/tables/table2.xml><?xml version="1.0" encoding="utf-8"?>
<table xmlns="http://schemas.openxmlformats.org/spreadsheetml/2006/main" id="2" name="tblSources" displayName="tblSources" ref="B27:F34" totalsRowShown="0">
  <autoFilter ref="B27:F34"/>
  <tableColumns count="5">
    <tableColumn id="1" name="Source"/>
    <tableColumn id="2" name="Category"/>
    <tableColumn id="3" name="Activity unit"/>
    <tableColumn id="4" name="Factor (kg CO2e/unit)"/>
    <tableColumn id="5" name="Factor source"/>
  </tableColumns>
  <tableStyleInfo name="TableStyleLight1" showFirstColumn="0" showLastColumn="0" showRowStripes="0" showColumnStripes="0"/>
</table>
</file>

<file path=xl/tables/table3.xml><?xml version="1.0" encoding="utf-8"?>
<table xmlns="http://schemas.openxmlformats.org/spreadsheetml/2006/main" id="3" name="tblOutputByYear" displayName="tblOutputByYear" ref="B39:D43" totalsRowShown="0">
  <autoFilter ref="B39:D43"/>
  <tableColumns count="3">
    <tableColumn id="1" name="Year"/>
    <tableColumn id="2" name="Output"/>
    <tableColumn id="3" name="Notes"/>
  </tableColumns>
  <tableStyleInfo name="TableStyleLight1" showFirstColumn="0" showLastColumn="0" showRowStripes="0" showColumnStripes="0"/>
</table>
</file>

<file path=xl/tables/table4.xml><?xml version="1.0" encoding="utf-8"?>
<table xmlns="http://schemas.openxmlformats.org/spreadsheetml/2006/main" id="4" name="tblFuel" displayName="tblFuel" ref="B5:K83" totalsRowShown="0">
  <autoFilter ref="B5:K83"/>
  <tableColumns count="10">
    <tableColumn id="1" name="Month"/>
    <tableColumn id="2" name="Site"/>
    <tableColumn id="3" name="Source"/>
    <tableColumn id="4" name="Quantity"/>
    <tableColumn id="5" name="Activity unit">
      <calculatedColumnFormula>IF(tblFuel[[#This Row],[Month]]="","",IFERROR(INDEX(tblSources[Activity unit],MATCH(tblFuel[[#This Row],[Source]],tblSources[Source],0)),""))</calculatedColumnFormula>
    </tableColumn>
    <tableColumn id="6" name="Category">
      <calculatedColumnFormula>IF(tblFuel[[#This Row],[Month]]="","",IFERROR(INDEX(tblSources[Category],MATCH(tblFuel[[#This Row],[Source]],tblSources[Source],0)),""))</calculatedColumnFormula>
    </tableColumn>
    <tableColumn id="7" name="Factor (kg CO2e/unit)">
      <calculatedColumnFormula>IF(tblFuel[[#This Row],[Month]]="","",IFERROR(INDEX(tblSources[Factor (kg CO2e/unit)],MATCH(tblFuel[[#This Row],[Source]],tblSources[Source],0)),""))</calculatedColumnFormula>
    </tableColumn>
    <tableColumn id="8" name="Emissions (t CO2e)">
      <calculatedColumnFormula>IF(tblFuel[[#This Row],[Month]]="","",IF(tblFuel[[#This Row],[Factor (kg CO2e/unit)]]="","",tblFuel[[#This Row],[Quantity]]*tblFuel[[#This Row],[Factor (kg CO2e/unit)]]/1000))</calculatedColumnFormula>
    </tableColumn>
    <tableColumn id="9" name="Check">
      <calculatedColumnFormula>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calculatedColumnFormula>
    </tableColumn>
    <tableColumn id="10" name="Notes"/>
  </tableColumns>
  <tableStyleInfo name="TableStyleLight1" showFirstColumn="0" showLastColumn="0" showRowStripes="0" showColumnStripes="0"/>
</table>
</file>

<file path=xl/tables/table5.xml><?xml version="1.0" encoding="utf-8"?>
<table xmlns="http://schemas.openxmlformats.org/spreadsheetml/2006/main" id="5" name="tblElec" displayName="tblElec" ref="B5:L29" totalsRowShown="0">
  <autoFilter ref="B5:L29"/>
  <tableColumns count="11">
    <tableColumn id="1" name="Month"/>
    <tableColumn id="2" name="Site"/>
    <tableColumn id="3" name="Purchased (kWh)"/>
    <tableColumn id="4" name="Contractual (kWh)"/>
    <tableColumn id="5" name="Contract factor (kg CO2e/kWh)"/>
    <tableColumn id="6" name="Grid factor (kg CO2e/kWh)">
      <calculatedColumnFormula>IF(tblElec[[#This Row],[Month]]="","",IFERROR(INDEX(tblSites[Location factor (kg CO2e/kWh)],MATCH(tblElec[[#This Row],[Site]],tblSites[Site],0)),""))</calculatedColumnFormula>
    </tableColumn>
    <tableColumn id="7" name="Residual factor (kg CO2e/kWh)">
      <calculatedColumnFormula>IF(tblElec[[#This Row],[Month]]="","",IFERROR(INDEX(tblSites[Residual mix factor (kg CO2e/kWh)],MATCH(tblElec[[#This Row],[Site]],tblSites[Site],0)),""))</calculatedColumnFormula>
    </tableColumn>
    <tableColumn id="8" name="Location-based (t CO2e)">
      <calculatedColumnFormula>IF(tblElec[[#This Row],[Month]]="","",IF(tblElec[[#This Row],[Grid factor (kg CO2e/kWh)]]="","",tblElec[[#This Row],[Purchased (kWh)]]*tblElec[[#This Row],[Grid factor (kg CO2e/kWh)]]/1000))</calculatedColumnFormula>
    </tableColumn>
    <tableColumn id="9" name="Market-based (t CO2e)">
      <calculatedColumnFormula>IF(tblElec[[#This Row],[Month]]="","",IF(tblElec[[#This Row],[Residual factor (kg CO2e/kWh)]]="","",(N(tblElec[[#This Row],[Contractual (kWh)]])*N(tblElec[[#This Row],[Contract factor (kg CO2e/kWh)]])+(tblElec[[#This Row],[Purchased (kWh)]]-N(tblElec[[#This Row],[Contractual (kWh)]]))*tblElec[[#This Row],[Residual factor (kg CO2e/kWh)]])/1000))</calculatedColumnFormula>
    </tableColumn>
    <tableColumn id="10" name="Check">
      <calculatedColumnFormula>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calculatedColumnFormula>
    </tableColumn>
    <tableColumn id="11" name="Notes"/>
  </tableColumns>
  <tableStyleInfo name="TableStyleLight1" showFirstColumn="0" showLastColumn="0" showRowStripes="0" showColumnStripes="0"/>
</table>
</file>

<file path=xl/tables/table6.xml><?xml version="1.0" encoding="utf-8"?>
<table xmlns="http://schemas.openxmlformats.org/spreadsheetml/2006/main" id="6" name="tblVerifyFuel" displayName="tblVerifyFuel" ref="B39:K44" totalsRowShown="0">
  <tableColumns count="10">
    <tableColumn id="1" name="Month"/>
    <tableColumn id="2" name="Site"/>
    <tableColumn id="3" name="Source"/>
    <tableColumn id="4" name="Quantity"/>
    <tableColumn id="5" name="Activity unit"/>
    <tableColumn id="6" name="Category"/>
    <tableColumn id="7" name="Factor (kg CO2e/unit)"/>
    <tableColumn id="8" name="Emissions (t CO2e)">
      <calculatedColumnFormula>IF(tblVerifyFuel[[#This Row],[Month]]="","",IF(tblVerifyFuel[[#This Row],[Factor (kg CO2e/unit)]]="","",tblVerifyFuel[[#This Row],[Quantity]]*tblVerifyFuel[[#This Row],[Factor (kg CO2e/unit)]]/1000))</calculatedColumnFormula>
    </tableColumn>
    <tableColumn id="9" name="Check">
      <calculatedColumnFormula>IF(tblVerifyFuel[[#This Row],[Month]]="","",IF(tblVerifyFuel[[#This Row],[Site]]="","Missing site",IF(tblVerifyFuel[[#This Row],[Source]]="","Missing source",IF(tblVerifyFuel[[#This Row],[Quantity]]="","Missing quantity",IF(tblVerifyFuel[[#This Row],[Factor (kg CO2e/unit)]]="","Source not on Setup list",IF(COUNTIFS(tblVerifySites[Site],tblVerifyFuel[[#This Row],[Site]])=0,"Site not on Setup list",IF(DAY(tblVerifyFuel[[#This Row],[Month]])&lt;&gt;1,"Use the 1st of the month",IF(COUNTIFS(tblVerifyFuel[Month],tblVerifyFuel[[#This Row],[Month]],tblVerifyFuel[Site],tblVerifyFuel[[#This Row],[Site]],tblVerifyFuel[Source],tblVerifyFuel[[#This Row],[Source]])&gt;1,"Duplicate month, site and source","OK"))))))))</calculatedColumnFormula>
    </tableColumn>
    <tableColumn id="10" name="Notes"/>
  </tableColumns>
  <tableStyleInfo name="TableStyleLight1" showFirstColumn="0" showLastColumn="0" showRowStripes="0" showColumnStripes="0"/>
</table>
</file>

<file path=xl/tables/table7.xml><?xml version="1.0" encoding="utf-8"?>
<table xmlns="http://schemas.openxmlformats.org/spreadsheetml/2006/main" id="7" name="tblVerifyElec" displayName="tblVerifyElec" ref="B47:L51" totalsRowShown="0">
  <tableColumns count="11">
    <tableColumn id="1" name="Month"/>
    <tableColumn id="2" name="Site"/>
    <tableColumn id="3" name="Purchased (kWh)"/>
    <tableColumn id="4" name="Contractual (kWh)"/>
    <tableColumn id="5" name="Contract factor (kg CO2e/kWh)"/>
    <tableColumn id="6" name="Grid factor (kg CO2e/kWh)"/>
    <tableColumn id="7" name="Residual factor (kg CO2e/kWh)"/>
    <tableColumn id="8" name="Location-based (t CO2e)">
      <calculatedColumnFormula>IF(tblVerifyElec[[#This Row],[Month]]="","",IF(tblVerifyElec[[#This Row],[Grid factor (kg CO2e/kWh)]]="","",tblVerifyElec[[#This Row],[Purchased (kWh)]]*tblVerifyElec[[#This Row],[Grid factor (kg CO2e/kWh)]]/1000))</calculatedColumnFormula>
    </tableColumn>
    <tableColumn id="9" name="Market-based (t CO2e)">
      <calculatedColumnFormula>IF(tblVerifyElec[[#This Row],[Month]]="","",IF(tblVerifyElec[[#This Row],[Residual factor (kg CO2e/kWh)]]="","",(N(tblVerifyElec[[#This Row],[Contractual (kWh)]])*N(tblVerifyElec[[#This Row],[Contract factor (kg CO2e/kWh)]])+(tblVerifyElec[[#This Row],[Purchased (kWh)]]-N(tblVerifyElec[[#This Row],[Contractual (kWh)]]))*tblVerifyElec[[#This Row],[Residual factor (kg CO2e/kWh)]])/1000))</calculatedColumnFormula>
    </tableColumn>
    <tableColumn id="10" name="Check">
      <calculatedColumnFormula>IF(tblVerifyElec[[#This Row],[Month]]="","",IF(tblVerifyElec[[#This Row],[Site]]="","Missing site",IF(tblVerifyElec[[#This Row],[Purchased (kWh)]]="","Missing purchased",IF(tblVerifyElec[[#This Row],[Residual factor (kg CO2e/kWh)]]="","Site not on Setup list",IF(DAY(tblVerifyElec[[#This Row],[Month]])&lt;&gt;1,"Use the 1st of the month",IF(N(tblVerifyElec[[#This Row],[Contractual (kWh)]])&gt;tblVerifyElec[[#This Row],[Purchased (kWh)]],"Contractual kWh &gt; purchased",IF(AND(N(tblVerifyElec[[#This Row],[Contractual (kWh)]])&gt;0,tblVerifyElec[[#This Row],[Contract factor (kg CO2e/kWh)]]=""),"Missing contract factor",IF(COUNTIFS(tblVerifyElec[Month],tblVerifyElec[[#This Row],[Month]],tblVerifyElec[Site],tblVerifyElec[[#This Row],[Site]])&gt;1,"Duplicate month and site","OK"))))))))</calculatedColumnFormula>
    </tableColumn>
    <tableColumn id="11" name="Notes"/>
  </tableColumns>
  <tableStyleInfo name="TableStyleLight1" showFirstColumn="0" showLastColumn="0" showRowStripes="0" showColumnStripes="0"/>
</table>
</file>

<file path=xl/tables/table8.xml><?xml version="1.0" encoding="utf-8"?>
<table xmlns="http://schemas.openxmlformats.org/spreadsheetml/2006/main" id="8" name="tblVerifySites" displayName="tblVerifySites" ref="B54:F56" totalsRowShown="0">
  <tableColumns count="5">
    <tableColumn id="1" name="Site"/>
    <tableColumn id="2" name="Grid region"/>
    <tableColumn id="3" name="Location factor (kg CO2e/kWh)"/>
    <tableColumn id="4" name="Residual mix factor (kg CO2e/kWh)"/>
    <tableColumn id="5" name="Factor sourc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hg-inventory" TargetMode="External"/><Relationship Id="rId2" Type="http://schemas.openxmlformats.org/officeDocument/2006/relationships/hyperlink" Target="https://www.mfgcalcs.com/calculators/energy-carbon-sustainability/scope-2-dual-inventory?utm_source=mfgcalcs-template&amp;utm_medium=xlsx&amp;utm_campaign=ghg-inventory" TargetMode="External"/><Relationship Id="rId3" Type="http://schemas.openxmlformats.org/officeDocument/2006/relationships/hyperlink" Target="https://www.mfgcalcs.com/templates/ghg-inventory?utm_source=mfgcalcs-template&amp;utm_medium=xlsx&amp;utm_campaign=ghg-inventory" TargetMode="External"/><Relationship Id="rId4" Type="http://schemas.openxmlformats.org/officeDocument/2006/relationships/hyperlink" Target="https://www.mfgcalcs.com/templates?utm_source=mfgcalcs-template&amp;utm_medium=xlsx&amp;utm_campaign=ghg-inventory"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hg-inventory"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hg-inventory"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hg-inventory" TargetMode="External"/><Relationship Id="rId2"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hg-inventory"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hg-inventory" TargetMode="External"/><Relationship Id="rId2" Type="http://schemas.openxmlformats.org/officeDocument/2006/relationships/hyperlink" Target="https://www.mfgcalcs.com/calculators/energy-carbon-sustainability/scope-2-dual-inventory?utm_source=mfgcalcs-template&amp;utm_medium=xlsx&amp;utm_campaign=ghg-inventory"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hg-inventory" TargetMode="External"/><Relationship Id="rId2" Type="http://schemas.openxmlformats.org/officeDocument/2006/relationships/table" Target="../tables/table6.xml"/><Relationship Id="rId3" Type="http://schemas.openxmlformats.org/officeDocument/2006/relationships/table" Target="../tables/table7.xml"/><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17 of 17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Fuel and Refrigerants'!A1" tooltip="Go to Fuel and Refrigerants" display="Fuel and Refrigerants"/>
    <hyperlink ref="C23" location="Electricity!A1" tooltip="Go to Electricity" display="Electricity"/>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Scope 1 and 2 GHG Inventory&amp;R&amp;8&amp;A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43"/>
  <sheetViews>
    <sheetView showGridLines="0" workbookViewId="0"/>
  </sheetViews>
  <sheetFormatPr defaultRowHeight="15"/>
  <cols>
    <col min="1" max="1" width="2.7109375" customWidth="1"/>
    <col min="2" max="2" width="30.7109375" customWidth="1"/>
    <col min="3" max="3" width="22.7109375" customWidth="1"/>
    <col min="4" max="4" width="16.7109375" customWidth="1"/>
    <col min="5" max="5" width="18.7109375" customWidth="1"/>
    <col min="6" max="6" width="40.7109375" customWidth="1"/>
  </cols>
  <sheetData>
    <row r="1" spans="1:6" ht="30" customHeight="1">
      <c r="A1" s="1" t="s">
        <v>0</v>
      </c>
      <c r="B1" s="1"/>
      <c r="C1" s="1"/>
      <c r="D1" s="1"/>
      <c r="E1" s="1"/>
      <c r="F1" s="1"/>
    </row>
    <row r="2" spans="1:6" ht="32.4" customHeight="1">
      <c r="B2" s="2" t="s">
        <v>20</v>
      </c>
      <c r="C2" s="2"/>
      <c r="D2" s="2"/>
      <c r="E2" s="2"/>
      <c r="F2" s="3" t="s">
        <v>2</v>
      </c>
    </row>
    <row r="3" spans="1:6" ht="6" customHeight="1"/>
    <row r="4" spans="1:6" ht="21" customHeight="1">
      <c r="B4" s="8" t="s">
        <v>76</v>
      </c>
      <c r="C4" s="8"/>
      <c r="D4" s="8"/>
      <c r="E4" s="8"/>
      <c r="F4" s="8"/>
    </row>
    <row r="5" spans="1:6" ht="5" customHeight="1"/>
    <row r="6" spans="1:6">
      <c r="B6" s="27" t="s">
        <v>77</v>
      </c>
      <c r="C6" s="27"/>
      <c r="D6" s="28" t="s">
        <v>78</v>
      </c>
      <c r="E6" s="28"/>
    </row>
    <row r="7" spans="1:6">
      <c r="B7" s="27" t="s">
        <v>79</v>
      </c>
      <c r="C7" s="27"/>
      <c r="D7" s="28" t="s">
        <v>80</v>
      </c>
      <c r="E7" s="28"/>
    </row>
    <row r="8" spans="1:6">
      <c r="B8" s="27" t="s">
        <v>81</v>
      </c>
      <c r="C8" s="27"/>
      <c r="D8" s="28">
        <v>2022</v>
      </c>
      <c r="E8" s="7"/>
    </row>
    <row r="9" spans="1:6">
      <c r="B9" s="27" t="s">
        <v>82</v>
      </c>
      <c r="C9" s="27"/>
      <c r="D9" s="29">
        <v>2150</v>
      </c>
      <c r="E9" s="7" t="s">
        <v>83</v>
      </c>
    </row>
    <row r="10" spans="1:6">
      <c r="B10" s="27" t="s">
        <v>84</v>
      </c>
      <c r="C10" s="27"/>
      <c r="D10" s="30">
        <v>0.2</v>
      </c>
      <c r="E10" s="7"/>
    </row>
    <row r="11" spans="1:6">
      <c r="B11" s="27" t="s">
        <v>85</v>
      </c>
      <c r="C11" s="27"/>
      <c r="D11" s="31">
        <v>350</v>
      </c>
      <c r="E11" s="7" t="str">
        <f>"kg CO2e/"&amp;OutputUnit</f>
        <v>kg CO2e/t</v>
      </c>
    </row>
    <row r="13" spans="1:6" ht="35.4" customHeight="1">
      <c r="B13" s="25" t="s">
        <v>86</v>
      </c>
      <c r="C13" s="25"/>
      <c r="D13" s="25"/>
      <c r="E13" s="25"/>
      <c r="F13" s="25"/>
    </row>
    <row r="15" spans="1:6" ht="21" customHeight="1">
      <c r="B15" s="8" t="s">
        <v>87</v>
      </c>
      <c r="C15" s="8"/>
      <c r="D15" s="8"/>
      <c r="E15" s="8"/>
      <c r="F15" s="8"/>
    </row>
    <row r="16" spans="1:6" ht="5" customHeight="1"/>
    <row r="17" spans="2:6">
      <c r="B17" s="32" t="s">
        <v>88</v>
      </c>
      <c r="C17" s="32"/>
      <c r="D17" s="32"/>
      <c r="E17" s="32"/>
      <c r="F17" s="32"/>
    </row>
    <row r="18" spans="2:6" ht="29.76" customHeight="1">
      <c r="B18" s="33" t="s">
        <v>89</v>
      </c>
      <c r="C18" s="33"/>
      <c r="D18" s="33"/>
      <c r="E18" s="33"/>
      <c r="F18" s="33"/>
    </row>
    <row r="19" spans="2:6" ht="45.5" customHeight="1">
      <c r="B19" s="34" t="s">
        <v>64</v>
      </c>
      <c r="C19" s="34" t="s">
        <v>65</v>
      </c>
      <c r="D19" s="34" t="s">
        <v>66</v>
      </c>
      <c r="E19" s="34" t="s">
        <v>67</v>
      </c>
      <c r="F19" s="34" t="s">
        <v>68</v>
      </c>
    </row>
    <row r="20" spans="2:6">
      <c r="B20" s="28" t="s">
        <v>90</v>
      </c>
      <c r="C20" s="28" t="s">
        <v>91</v>
      </c>
      <c r="D20" s="35">
        <v>0.386</v>
      </c>
      <c r="E20" s="35">
        <v>0.45</v>
      </c>
      <c r="F20" s="28" t="s">
        <v>92</v>
      </c>
    </row>
    <row r="21" spans="2:6">
      <c r="B21" s="28" t="s">
        <v>93</v>
      </c>
      <c r="C21" s="28" t="s">
        <v>94</v>
      </c>
      <c r="D21" s="35">
        <v>0.21</v>
      </c>
      <c r="E21" s="35">
        <v>0.29</v>
      </c>
      <c r="F21" s="28" t="s">
        <v>92</v>
      </c>
    </row>
    <row r="23" spans="2:6" ht="21" customHeight="1">
      <c r="B23" s="8" t="s">
        <v>95</v>
      </c>
      <c r="C23" s="8"/>
      <c r="D23" s="8"/>
      <c r="E23" s="8"/>
      <c r="F23" s="8"/>
    </row>
    <row r="24" spans="2:6" ht="5" customHeight="1"/>
    <row r="25" spans="2:6">
      <c r="B25" s="32" t="s">
        <v>96</v>
      </c>
      <c r="C25" s="32"/>
      <c r="D25" s="32"/>
      <c r="E25" s="32"/>
      <c r="F25" s="32"/>
    </row>
    <row r="26" spans="2:6" ht="29.76" customHeight="1">
      <c r="B26" s="33" t="s">
        <v>97</v>
      </c>
      <c r="C26" s="33"/>
      <c r="D26" s="33"/>
      <c r="E26" s="33"/>
      <c r="F26" s="33"/>
    </row>
    <row r="27" spans="2:6" ht="32" customHeight="1">
      <c r="B27" s="34" t="s">
        <v>69</v>
      </c>
      <c r="C27" s="34" t="s">
        <v>70</v>
      </c>
      <c r="D27" s="34" t="s">
        <v>71</v>
      </c>
      <c r="E27" s="34" t="s">
        <v>72</v>
      </c>
      <c r="F27" s="34" t="s">
        <v>68</v>
      </c>
    </row>
    <row r="28" spans="2:6">
      <c r="B28" s="28" t="s">
        <v>98</v>
      </c>
      <c r="C28" s="28" t="s">
        <v>99</v>
      </c>
      <c r="D28" s="28" t="s">
        <v>100</v>
      </c>
      <c r="E28" s="35">
        <v>0.183</v>
      </c>
      <c r="F28" s="28" t="s">
        <v>92</v>
      </c>
    </row>
    <row r="29" spans="2:6">
      <c r="B29" s="28" t="s">
        <v>101</v>
      </c>
      <c r="C29" s="28" t="s">
        <v>99</v>
      </c>
      <c r="D29" s="28" t="s">
        <v>102</v>
      </c>
      <c r="E29" s="35">
        <v>2.66</v>
      </c>
      <c r="F29" s="28" t="s">
        <v>92</v>
      </c>
    </row>
    <row r="30" spans="2:6">
      <c r="B30" s="28" t="s">
        <v>103</v>
      </c>
      <c r="C30" s="28" t="s">
        <v>104</v>
      </c>
      <c r="D30" s="28" t="s">
        <v>102</v>
      </c>
      <c r="E30" s="35">
        <v>2.66</v>
      </c>
      <c r="F30" s="28" t="s">
        <v>92</v>
      </c>
    </row>
    <row r="31" spans="2:6">
      <c r="B31" s="28" t="s">
        <v>105</v>
      </c>
      <c r="C31" s="28" t="s">
        <v>104</v>
      </c>
      <c r="D31" s="28" t="s">
        <v>106</v>
      </c>
      <c r="E31" s="35">
        <v>2.94</v>
      </c>
      <c r="F31" s="28" t="s">
        <v>92</v>
      </c>
    </row>
    <row r="32" spans="2:6">
      <c r="B32" s="28" t="s">
        <v>107</v>
      </c>
      <c r="C32" s="28" t="s">
        <v>108</v>
      </c>
      <c r="D32" s="28" t="s">
        <v>106</v>
      </c>
      <c r="E32" s="35">
        <v>1924</v>
      </c>
      <c r="F32" s="28" t="s">
        <v>109</v>
      </c>
    </row>
    <row r="33" spans="2:6">
      <c r="B33" s="28" t="s">
        <v>110</v>
      </c>
      <c r="C33" s="28" t="s">
        <v>108</v>
      </c>
      <c r="D33" s="28" t="s">
        <v>106</v>
      </c>
      <c r="E33" s="35">
        <v>1300</v>
      </c>
      <c r="F33" s="28" t="s">
        <v>111</v>
      </c>
    </row>
    <row r="34" spans="2:6">
      <c r="B34" s="28" t="s">
        <v>112</v>
      </c>
      <c r="C34" s="28" t="s">
        <v>113</v>
      </c>
      <c r="D34" s="28" t="s">
        <v>106</v>
      </c>
      <c r="E34" s="35">
        <v>1</v>
      </c>
      <c r="F34" s="28" t="s">
        <v>114</v>
      </c>
    </row>
    <row r="36" spans="2:6" ht="21" customHeight="1">
      <c r="B36" s="8" t="s">
        <v>115</v>
      </c>
      <c r="C36" s="8"/>
      <c r="D36" s="8"/>
      <c r="E36" s="8"/>
      <c r="F36" s="8"/>
    </row>
    <row r="37" spans="2:6" ht="5" customHeight="1"/>
    <row r="38" spans="2:6">
      <c r="B38" s="32" t="s">
        <v>116</v>
      </c>
      <c r="C38" s="32"/>
      <c r="D38" s="32"/>
    </row>
    <row r="39" spans="2:6" ht="20" customHeight="1">
      <c r="B39" s="34" t="s">
        <v>73</v>
      </c>
      <c r="C39" s="34" t="s">
        <v>74</v>
      </c>
      <c r="D39" s="34" t="s">
        <v>75</v>
      </c>
    </row>
    <row r="40" spans="2:6">
      <c r="B40" s="28">
        <v>2022</v>
      </c>
      <c r="C40" s="31">
        <v>4620</v>
      </c>
      <c r="D40" s="28" t="s">
        <v>81</v>
      </c>
    </row>
    <row r="41" spans="2:6">
      <c r="B41" s="28">
        <v>2023</v>
      </c>
      <c r="C41" s="31">
        <v>4710</v>
      </c>
      <c r="D41" s="28" t="s">
        <v>117</v>
      </c>
    </row>
    <row r="42" spans="2:6">
      <c r="B42" s="28">
        <v>2024</v>
      </c>
      <c r="C42" s="31">
        <v>4850</v>
      </c>
      <c r="D42" s="28" t="s">
        <v>117</v>
      </c>
    </row>
    <row r="43" spans="2:6">
      <c r="B43" s="28">
        <v>2025</v>
      </c>
      <c r="C43" s="31">
        <v>4900</v>
      </c>
      <c r="D43" s="28" t="s">
        <v>117</v>
      </c>
    </row>
  </sheetData>
  <mergeCells count="20">
    <mergeCell ref="A1:F1"/>
    <mergeCell ref="B2:E2"/>
    <mergeCell ref="B4:F4"/>
    <mergeCell ref="B6:C6"/>
    <mergeCell ref="D6:E6"/>
    <mergeCell ref="B7:C7"/>
    <mergeCell ref="D7:E7"/>
    <mergeCell ref="B8:C8"/>
    <mergeCell ref="B9:C9"/>
    <mergeCell ref="B10:C10"/>
    <mergeCell ref="B11:C11"/>
    <mergeCell ref="B13:F13"/>
    <mergeCell ref="B15:F15"/>
    <mergeCell ref="B17:F17"/>
    <mergeCell ref="B18:F18"/>
    <mergeCell ref="B23:F23"/>
    <mergeCell ref="B25:F25"/>
    <mergeCell ref="B26:F26"/>
    <mergeCell ref="B36:F36"/>
    <mergeCell ref="B38:D38"/>
  </mergeCells>
  <dataValidations count="19">
    <dataValidation type="textLength" allowBlank="1" showInputMessage="1" showErrorMessage="1" errorTitle="Check this entry" error="Text up to 80 characters." promptTitle="Company or site group" prompt="Text up to 80 characters." sqref="D6">
      <formula1>0</formula1>
      <formula2>80</formula2>
    </dataValidation>
    <dataValidation type="textLength" allowBlank="1" showInputMessage="1" showErrorMessage="1" errorTitle="Check this entry" error="Text up to 20 characters." promptTitle="Unit of output" prompt="What the Output by year list counts: t (tonnes shipped), parts, m2, kL... Intensity is kg CO2e per this unit. Text up to 20 characters." sqref="D7">
      <formula1>0</formula1>
      <formula2>20</formula2>
    </dataValidation>
    <dataValidation type="whole" allowBlank="1" showInputMessage="1" showErrorMessage="1" errorTitle="Check this entry" error="Enter a whole number from 1,990 to 2,100." promptTitle="Base year" prompt="The year your reduction target is measured from. Enter a whole number from 1,990 to 2,100." sqref="D8">
      <formula1>1990</formula1>
      <formula2>2100</formula2>
    </dataValidation>
    <dataValidation type="decimal" allowBlank="1" showInputMessage="1" showErrorMessage="1" errorTitle="Check this entry" error="Enter a number of at least 0." promptTitle="Base-year Scope 1 + 2 (market..." prompt="From your base-year inventory. Recalculate it if you change factors or site boundaries (GHG Protocol base-year recalculation). Enter a number of at least 0." sqref="D9">
      <formula1>0</formula1>
      <formula2>1000000000.0</formula2>
    </dataValidation>
    <dataValidation type="decimal" allowBlank="1" showInputMessage="1" showErrorMessage="1" errorTitle="Check this entry" error="Enter a percentage from 0% to 100% (type 85% or 0.85)." promptTitle="Reduction target vs base year" prompt="Your own committed target for the reporting year, e.g. 20% below the base year. Enter a percentage from 0% to 100% (type 85% or 0.85)." sqref="D10">
      <formula1>0</formula1>
      <formula2>1</formula2>
    </dataValidation>
    <dataValidation type="decimal" allowBlank="1" showInputMessage="1" showErrorMessage="1" errorTitle="Check this entry" error="Enter a number of at least 0." promptTitle="Intensity target" prompt="Your own target for Scope 1 + 2 (market-based) per unit of output. Enter a number of at least 0." sqref="D11">
      <formula1>0</formula1>
      <formula2>1000000000.0</formula2>
    </dataValidation>
    <dataValidation type="textLength" allowBlank="1" showInputMessage="1" showErrorMessage="1" errorTitle="Check this entry" error="Text up to 40 characters." promptTitle="Site" prompt="Text up to 40 characters." sqref="B20:B121">
      <formula1>0</formula1>
      <formula2>40</formula2>
    </dataValidation>
    <dataValidation type="textLength" allowBlank="1" showInputMessage="1" showErrorMessage="1" errorTitle="Check this entry" error="Text up to 60 characters." promptTitle="Grid region" prompt="Text up to 60 characters." sqref="C20:C121">
      <formula1>0</formula1>
      <formula2>60</formula2>
    </dataValidation>
    <dataValidation type="decimal" allowBlank="1" showInputMessage="1" showErrorMessage="1" errorTitle="Check this entry" error="Enter a number from 0 to 5." promptTitle="Location factor (kg CO2e/kWh)" prompt="Grid average emission factor for the site and year. Enter a number from 0 to 5." sqref="D20:D121">
      <formula1>0</formula1>
      <formula2>5</formula2>
    </dataValidation>
    <dataValidation type="decimal" allowBlank="1" showInputMessage="1" showErrorMessage="1" errorTitle="Check this entry" error="Enter a number from 0 to 5." promptTitle="Residual mix factor (kg CO2e/..." prompt="Residual mix (or grid average if none is published). Enter a number from 0 to 5." sqref="E20:E121">
      <formula1>0</formula1>
      <formula2>5</formula2>
    </dataValidation>
    <dataValidation type="textLength" allowBlank="1" showInputMessage="1" showErrorMessage="1" errorTitle="Check this entry" error="Text up to 160 characters." promptTitle="Factor source" prompt="Text up to 160 characters." sqref="F20:F121">
      <formula1>0</formula1>
      <formula2>160</formula2>
    </dataValidation>
    <dataValidation type="textLength" allowBlank="1" showInputMessage="1" showErrorMessage="1" errorTitle="Check this entry" error="Text up to 40 characters." promptTitle="Source" prompt="Text up to 40 characters." sqref="B28:B134">
      <formula1>0</formula1>
      <formula2>40</formula2>
    </dataValidation>
    <dataValidation type="list" allowBlank="1" showInputMessage="1" showErrorMessage="1" errorTitle="Check this entry" error="Pick one of: Stationary combustion, Mobile combustion, Fugitive emissions, Process emissions." promptTitle="Category" prompt="GHG Protocol Scope 1 category. Pick one of: Stationary combustion, Mobile combustion, Fugitive emissions, Process emissions." sqref="C28:C134">
      <formula1>"Stationary combustion,Mobile combustion,Fugitive emissions,Process emissions"</formula1>
    </dataValidation>
    <dataValidation type="textLength" allowBlank="1" showInputMessage="1" showErrorMessage="1" errorTitle="Check this entry" error="Text up to 12 characters." promptTitle="Activity unit" prompt="kWh, m3, L, kg, therm, MMBtu... the unit the log's quantity is typed in. Text up to 12 characters." sqref="D28:D134">
      <formula1>0</formula1>
      <formula2>12</formula2>
    </dataValidation>
    <dataValidation type="decimal" allowBlank="1" showInputMessage="1" showErrorMessage="1" errorTitle="Check this entry" error="Enter a number from 0 to 1,000,000." promptTitle="Factor (kg CO2e/unit)" prompt="kg CO2e per activity unit, from your chosen source. Enter a number from 0 to 1,000,000." sqref="E28:E134">
      <formula1>0</formula1>
      <formula2>1000000.0</formula2>
    </dataValidation>
    <dataValidation type="textLength" allowBlank="1" showInputMessage="1" showErrorMessage="1" errorTitle="Check this entry" error="Text up to 160 characters." promptTitle="Factor source" prompt="Text up to 160 characters." sqref="F28:F134">
      <formula1>0</formula1>
      <formula2>160</formula2>
    </dataValidation>
    <dataValidation type="whole" allowBlank="1" showInputMessage="1" showErrorMessage="1" errorTitle="Check this entry" error="Enter a whole number from 1,990 to 2,100." promptTitle="Year" prompt="Enter a whole number from 1,990 to 2,100." sqref="B40:B143">
      <formula1>1990</formula1>
      <formula2>2100</formula2>
    </dataValidation>
    <dataValidation type="decimal" allowBlank="1" showInputMessage="1" showErrorMessage="1" errorTitle="Check this entry" error="Enter a number of at least 0." promptTitle="Output" prompt="Output in the unit set above (good product shipped or made). Enter a number of at least 0." sqref="C40:C143">
      <formula1>0</formula1>
      <formula2>1000000000000.0</formula2>
    </dataValidation>
    <dataValidation type="textLength" allowBlank="1" showInputMessage="1" showErrorMessage="1" errorTitle="Check this entry" error="Text up to 120 characters." promptTitle="Notes" prompt="Text up to 120 characters." sqref="D40:D143">
      <formula1>0</formula1>
      <formula2>120</formula2>
    </dataValidation>
  </dataValidations>
  <hyperlinks>
    <hyperlink ref="F2" r:id="rId1" tooltip="Free manufacturing calculators and templates"/>
  </hyperlinks>
  <pageMargins left="0.4" right="0.4" top="0.7" bottom="0.65" header="0.3" footer="0.3"/>
  <pageSetup fitToHeight="0" orientation="landscape"/>
  <headerFooter>
    <oddHeader>&amp;L&amp;8MFG Calcs - Scope 1 and 2 GHG Inventory&amp;R&amp;8&amp;A</oddHeader>
    <oddFooter>&amp;L&amp;8mfgcalcs.com - free manufacturing templates&amp;R&amp;8Page &amp;P of &amp;N</oddFooter>
  </headerFooter>
  <rowBreaks count="1" manualBreakCount="1">
    <brk id="22"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K83"/>
  <sheetViews>
    <sheetView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2.7109375" customWidth="1"/>
    <col min="2" max="2" width="11.7109375" customWidth="1"/>
    <col min="3" max="3" width="15.7109375" customWidth="1"/>
    <col min="4" max="4" width="20.7109375" customWidth="1"/>
    <col min="5" max="5" width="11.7109375" customWidth="1"/>
    <col min="6" max="6" width="8.7109375" customWidth="1"/>
    <col min="7" max="7" width="19.7109375" customWidth="1"/>
    <col min="8" max="9" width="11.7109375" customWidth="1"/>
    <col min="10" max="10" width="26.7109375" customWidth="1"/>
    <col min="11" max="11" width="34.7109375" customWidth="1"/>
  </cols>
  <sheetData>
    <row r="1" spans="1:11" ht="30" customHeight="1" x14ac:dyDescent="0.25">
      <c r="A1" s="1" t="s">
        <v>0</v>
      </c>
      <c r="B1" s="1"/>
      <c r="C1" s="1"/>
      <c r="D1" s="1"/>
      <c r="E1" s="1"/>
      <c r="F1" s="1"/>
      <c r="G1" s="1"/>
      <c r="H1" s="1"/>
      <c r="I1" s="1"/>
      <c r="J1" s="1"/>
      <c r="K1" s="1"/>
    </row>
    <row r="2" spans="1:11" ht="21" customHeight="1" x14ac:dyDescent="0.25">
      <c r="B2" s="2" t="s">
        <v>22</v>
      </c>
      <c r="C2" s="2"/>
      <c r="D2" s="2"/>
      <c r="E2" s="2"/>
      <c r="F2" s="2"/>
      <c r="G2" s="2"/>
      <c r="H2" s="2"/>
      <c r="I2" s="2"/>
      <c r="J2" s="2"/>
      <c r="K2" s="3" t="s">
        <v>2</v>
      </c>
    </row>
    <row r="3" spans="1:11" ht="6" customHeight="1" x14ac:dyDescent="0.25"/>
    <row r="4" spans="1:11" ht="29.76" customHeight="1" x14ac:dyDescent="0.25">
      <c r="B4" s="33" t="s">
        <v>122</v>
      </c>
      <c r="C4" s="33"/>
      <c r="D4" s="33"/>
      <c r="E4" s="33"/>
      <c r="F4" s="33"/>
      <c r="G4" s="33"/>
      <c r="H4" s="33"/>
      <c r="I4" s="33"/>
      <c r="J4" s="33"/>
      <c r="K4" s="33"/>
    </row>
    <row r="5" spans="1:11" ht="32" customHeight="1" x14ac:dyDescent="0.25">
      <c r="B5" s="34" t="s">
        <v>118</v>
      </c>
      <c r="C5" s="34" t="s">
        <v>64</v>
      </c>
      <c r="D5" s="34" t="s">
        <v>69</v>
      </c>
      <c r="E5" s="34" t="s">
        <v>119</v>
      </c>
      <c r="F5" s="34" t="s">
        <v>71</v>
      </c>
      <c r="G5" s="34" t="s">
        <v>70</v>
      </c>
      <c r="H5" s="34" t="s">
        <v>72</v>
      </c>
      <c r="I5" s="34" t="s">
        <v>120</v>
      </c>
      <c r="J5" s="34" t="s">
        <v>121</v>
      </c>
      <c r="K5" s="34" t="s">
        <v>75</v>
      </c>
    </row>
    <row r="6" spans="1:11" x14ac:dyDescent="0.25">
      <c r="B6" s="36">
        <v>45658</v>
      </c>
      <c r="C6" s="28" t="s">
        <v>90</v>
      </c>
      <c r="D6" s="28" t="s">
        <v>98</v>
      </c>
      <c r="E6" s="31">
        <v>273900</v>
      </c>
      <c r="F6" s="37" t="str">
        <f>IF(tblFuel[[#This Row],[Month]]="","",IFERROR(INDEX(tblSources[Activity unit],MATCH(tblFuel[[#This Row],[Source]],tblSources[Source],0)),""))</f>
        <v>kWh</v>
      </c>
      <c r="G6" s="37" t="str">
        <f>IF(tblFuel[[#This Row],[Month]]="","",IFERROR(INDEX(tblSources[Category],MATCH(tblFuel[[#This Row],[Source]],tblSources[Source],0)),""))</f>
        <v>Stationary combustion</v>
      </c>
      <c r="H6" s="38">
        <f>IF(tblFuel[[#This Row],[Month]]="","",IFERROR(INDEX(tblSources[Factor (kg CO2e/unit)],MATCH(tblFuel[[#This Row],[Source]],tblSources[Source],0)),""))</f>
        <v>0.183</v>
      </c>
      <c r="I6" s="39">
        <f>IF(tblFuel[[#This Row],[Month]]="","",IF(tblFuel[[#This Row],[Factor (kg CO2e/unit)]]="","",tblFuel[[#This Row],[Quantity]]*tblFuel[[#This Row],[Factor (kg CO2e/unit)]]/1000))</f>
        <v>50.1237</v>
      </c>
      <c r="J6"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6" s="41" t="s">
        <v>117</v>
      </c>
    </row>
    <row r="7" spans="1:11" x14ac:dyDescent="0.25">
      <c r="B7" s="36">
        <v>45658</v>
      </c>
      <c r="C7" s="28" t="s">
        <v>93</v>
      </c>
      <c r="D7" s="28" t="s">
        <v>98</v>
      </c>
      <c r="E7" s="31">
        <v>102600</v>
      </c>
      <c r="F7" s="37" t="str">
        <f>IF(tblFuel[[#This Row],[Month]]="","",IFERROR(INDEX(tblSources[Activity unit],MATCH(tblFuel[[#This Row],[Source]],tblSources[Source],0)),""))</f>
        <v>kWh</v>
      </c>
      <c r="G7" s="37" t="str">
        <f>IF(tblFuel[[#This Row],[Month]]="","",IFERROR(INDEX(tblSources[Category],MATCH(tblFuel[[#This Row],[Source]],tblSources[Source],0)),""))</f>
        <v>Stationary combustion</v>
      </c>
      <c r="H7" s="38">
        <f>IF(tblFuel[[#This Row],[Month]]="","",IFERROR(INDEX(tblSources[Factor (kg CO2e/unit)],MATCH(tblFuel[[#This Row],[Source]],tblSources[Source],0)),""))</f>
        <v>0.183</v>
      </c>
      <c r="I7" s="39">
        <f>IF(tblFuel[[#This Row],[Month]]="","",IF(tblFuel[[#This Row],[Factor (kg CO2e/unit)]]="","",tblFuel[[#This Row],[Quantity]]*tblFuel[[#This Row],[Factor (kg CO2e/unit)]]/1000))</f>
        <v>18.7758</v>
      </c>
      <c r="J7"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7" s="41" t="s">
        <v>117</v>
      </c>
    </row>
    <row r="8" spans="1:11" x14ac:dyDescent="0.25">
      <c r="B8" s="36">
        <v>45658</v>
      </c>
      <c r="C8" s="28" t="s">
        <v>90</v>
      </c>
      <c r="D8" s="28" t="s">
        <v>103</v>
      </c>
      <c r="E8" s="31">
        <v>790</v>
      </c>
      <c r="F8" s="37" t="str">
        <f>IF(tblFuel[[#This Row],[Month]]="","",IFERROR(INDEX(tblSources[Activity unit],MATCH(tblFuel[[#This Row],[Source]],tblSources[Source],0)),""))</f>
        <v>L</v>
      </c>
      <c r="G8" s="37" t="str">
        <f>IF(tblFuel[[#This Row],[Month]]="","",IFERROR(INDEX(tblSources[Category],MATCH(tblFuel[[#This Row],[Source]],tblSources[Source],0)),""))</f>
        <v>Mobile combustion</v>
      </c>
      <c r="H8" s="38">
        <f>IF(tblFuel[[#This Row],[Month]]="","",IFERROR(INDEX(tblSources[Factor (kg CO2e/unit)],MATCH(tblFuel[[#This Row],[Source]],tblSources[Source],0)),""))</f>
        <v>2.66</v>
      </c>
      <c r="I8" s="39">
        <f>IF(tblFuel[[#This Row],[Month]]="","",IF(tblFuel[[#This Row],[Factor (kg CO2e/unit)]]="","",tblFuel[[#This Row],[Quantity]]*tblFuel[[#This Row],[Factor (kg CO2e/unit)]]/1000))</f>
        <v>2.1014</v>
      </c>
      <c r="J8"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8" s="41" t="s">
        <v>117</v>
      </c>
    </row>
    <row r="9" spans="1:11" x14ac:dyDescent="0.25">
      <c r="B9" s="36">
        <v>45658</v>
      </c>
      <c r="C9" s="28" t="s">
        <v>90</v>
      </c>
      <c r="D9" s="28" t="s">
        <v>105</v>
      </c>
      <c r="E9" s="31">
        <v>1100</v>
      </c>
      <c r="F9" s="37" t="str">
        <f>IF(tblFuel[[#This Row],[Month]]="","",IFERROR(INDEX(tblSources[Activity unit],MATCH(tblFuel[[#This Row],[Source]],tblSources[Source],0)),""))</f>
        <v>kg</v>
      </c>
      <c r="G9" s="37" t="str">
        <f>IF(tblFuel[[#This Row],[Month]]="","",IFERROR(INDEX(tblSources[Category],MATCH(tblFuel[[#This Row],[Source]],tblSources[Source],0)),""))</f>
        <v>Mobile combustion</v>
      </c>
      <c r="H9" s="38">
        <f>IF(tblFuel[[#This Row],[Month]]="","",IFERROR(INDEX(tblSources[Factor (kg CO2e/unit)],MATCH(tblFuel[[#This Row],[Source]],tblSources[Source],0)),""))</f>
        <v>2.94</v>
      </c>
      <c r="I9" s="39">
        <f>IF(tblFuel[[#This Row],[Month]]="","",IF(tblFuel[[#This Row],[Factor (kg CO2e/unit)]]="","",tblFuel[[#This Row],[Quantity]]*tblFuel[[#This Row],[Factor (kg CO2e/unit)]]/1000))</f>
        <v>3.234</v>
      </c>
      <c r="J9"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9" s="41" t="s">
        <v>117</v>
      </c>
    </row>
    <row r="10" spans="1:11" x14ac:dyDescent="0.25">
      <c r="B10" s="36">
        <v>45658</v>
      </c>
      <c r="C10" s="28" t="s">
        <v>93</v>
      </c>
      <c r="D10" s="28" t="s">
        <v>105</v>
      </c>
      <c r="E10" s="31">
        <v>360</v>
      </c>
      <c r="F10" s="37" t="str">
        <f>IF(tblFuel[[#This Row],[Month]]="","",IFERROR(INDEX(tblSources[Activity unit],MATCH(tblFuel[[#This Row],[Source]],tblSources[Source],0)),""))</f>
        <v>kg</v>
      </c>
      <c r="G10" s="37" t="str">
        <f>IF(tblFuel[[#This Row],[Month]]="","",IFERROR(INDEX(tblSources[Category],MATCH(tblFuel[[#This Row],[Source]],tblSources[Source],0)),""))</f>
        <v>Mobile combustion</v>
      </c>
      <c r="H10" s="38">
        <f>IF(tblFuel[[#This Row],[Month]]="","",IFERROR(INDEX(tblSources[Factor (kg CO2e/unit)],MATCH(tblFuel[[#This Row],[Source]],tblSources[Source],0)),""))</f>
        <v>2.94</v>
      </c>
      <c r="I10" s="39">
        <f>IF(tblFuel[[#This Row],[Month]]="","",IF(tblFuel[[#This Row],[Factor (kg CO2e/unit)]]="","",tblFuel[[#This Row],[Quantity]]*tblFuel[[#This Row],[Factor (kg CO2e/unit)]]/1000))</f>
        <v>1.0584</v>
      </c>
      <c r="J10"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10" s="41" t="s">
        <v>117</v>
      </c>
    </row>
    <row r="11" spans="1:11" x14ac:dyDescent="0.25">
      <c r="B11" s="36">
        <v>45658</v>
      </c>
      <c r="C11" s="28" t="s">
        <v>90</v>
      </c>
      <c r="D11" s="28" t="s">
        <v>112</v>
      </c>
      <c r="E11" s="31">
        <v>340</v>
      </c>
      <c r="F11" s="37" t="str">
        <f>IF(tblFuel[[#This Row],[Month]]="","",IFERROR(INDEX(tblSources[Activity unit],MATCH(tblFuel[[#This Row],[Source]],tblSources[Source],0)),""))</f>
        <v>kg</v>
      </c>
      <c r="G11" s="37" t="str">
        <f>IF(tblFuel[[#This Row],[Month]]="","",IFERROR(INDEX(tblSources[Category],MATCH(tblFuel[[#This Row],[Source]],tblSources[Source],0)),""))</f>
        <v>Process emissions</v>
      </c>
      <c r="H11" s="38">
        <f>IF(tblFuel[[#This Row],[Month]]="","",IFERROR(INDEX(tblSources[Factor (kg CO2e/unit)],MATCH(tblFuel[[#This Row],[Source]],tblSources[Source],0)),""))</f>
        <v>1</v>
      </c>
      <c r="I11" s="39">
        <f>IF(tblFuel[[#This Row],[Month]]="","",IF(tblFuel[[#This Row],[Factor (kg CO2e/unit)]]="","",tblFuel[[#This Row],[Quantity]]*tblFuel[[#This Row],[Factor (kg CO2e/unit)]]/1000))</f>
        <v>0.34</v>
      </c>
      <c r="J11"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11" s="41" t="s">
        <v>117</v>
      </c>
    </row>
    <row r="12" spans="1:11" x14ac:dyDescent="0.25">
      <c r="B12" s="36">
        <v>45689</v>
      </c>
      <c r="C12" s="28" t="s">
        <v>90</v>
      </c>
      <c r="D12" s="28" t="s">
        <v>98</v>
      </c>
      <c r="E12" s="31">
        <v>264500</v>
      </c>
      <c r="F12" s="37" t="str">
        <f>IF(tblFuel[[#This Row],[Month]]="","",IFERROR(INDEX(tblSources[Activity unit],MATCH(tblFuel[[#This Row],[Source]],tblSources[Source],0)),""))</f>
        <v>kWh</v>
      </c>
      <c r="G12" s="37" t="str">
        <f>IF(tblFuel[[#This Row],[Month]]="","",IFERROR(INDEX(tblSources[Category],MATCH(tblFuel[[#This Row],[Source]],tblSources[Source],0)),""))</f>
        <v>Stationary combustion</v>
      </c>
      <c r="H12" s="38">
        <f>IF(tblFuel[[#This Row],[Month]]="","",IFERROR(INDEX(tblSources[Factor (kg CO2e/unit)],MATCH(tblFuel[[#This Row],[Source]],tblSources[Source],0)),""))</f>
        <v>0.183</v>
      </c>
      <c r="I12" s="39">
        <f>IF(tblFuel[[#This Row],[Month]]="","",IF(tblFuel[[#This Row],[Factor (kg CO2e/unit)]]="","",tblFuel[[#This Row],[Quantity]]*tblFuel[[#This Row],[Factor (kg CO2e/unit)]]/1000))</f>
        <v>48.4035</v>
      </c>
      <c r="J12"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12" s="41" t="s">
        <v>117</v>
      </c>
    </row>
    <row r="13" spans="1:11" x14ac:dyDescent="0.25">
      <c r="B13" s="36">
        <v>45689</v>
      </c>
      <c r="C13" s="28" t="s">
        <v>93</v>
      </c>
      <c r="D13" s="28" t="s">
        <v>98</v>
      </c>
      <c r="E13" s="31">
        <v>106200</v>
      </c>
      <c r="F13" s="37" t="str">
        <f>IF(tblFuel[[#This Row],[Month]]="","",IFERROR(INDEX(tblSources[Activity unit],MATCH(tblFuel[[#This Row],[Source]],tblSources[Source],0)),""))</f>
        <v>kWh</v>
      </c>
      <c r="G13" s="37" t="str">
        <f>IF(tblFuel[[#This Row],[Month]]="","",IFERROR(INDEX(tblSources[Category],MATCH(tblFuel[[#This Row],[Source]],tblSources[Source],0)),""))</f>
        <v>Stationary combustion</v>
      </c>
      <c r="H13" s="38">
        <f>IF(tblFuel[[#This Row],[Month]]="","",IFERROR(INDEX(tblSources[Factor (kg CO2e/unit)],MATCH(tblFuel[[#This Row],[Source]],tblSources[Source],0)),""))</f>
        <v>0.183</v>
      </c>
      <c r="I13" s="39">
        <f>IF(tblFuel[[#This Row],[Month]]="","",IF(tblFuel[[#This Row],[Factor (kg CO2e/unit)]]="","",tblFuel[[#This Row],[Quantity]]*tblFuel[[#This Row],[Factor (kg CO2e/unit)]]/1000))</f>
        <v>19.4346</v>
      </c>
      <c r="J13"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13" s="41" t="s">
        <v>117</v>
      </c>
    </row>
    <row r="14" spans="1:11" x14ac:dyDescent="0.25">
      <c r="B14" s="36">
        <v>45689</v>
      </c>
      <c r="C14" s="28" t="s">
        <v>90</v>
      </c>
      <c r="D14" s="28" t="s">
        <v>103</v>
      </c>
      <c r="E14" s="31">
        <v>850</v>
      </c>
      <c r="F14" s="37" t="str">
        <f>IF(tblFuel[[#This Row],[Month]]="","",IFERROR(INDEX(tblSources[Activity unit],MATCH(tblFuel[[#This Row],[Source]],tblSources[Source],0)),""))</f>
        <v>L</v>
      </c>
      <c r="G14" s="37" t="str">
        <f>IF(tblFuel[[#This Row],[Month]]="","",IFERROR(INDEX(tblSources[Category],MATCH(tblFuel[[#This Row],[Source]],tblSources[Source],0)),""))</f>
        <v>Mobile combustion</v>
      </c>
      <c r="H14" s="38">
        <f>IF(tblFuel[[#This Row],[Month]]="","",IFERROR(INDEX(tblSources[Factor (kg CO2e/unit)],MATCH(tblFuel[[#This Row],[Source]],tblSources[Source],0)),""))</f>
        <v>2.66</v>
      </c>
      <c r="I14" s="39">
        <f>IF(tblFuel[[#This Row],[Month]]="","",IF(tblFuel[[#This Row],[Factor (kg CO2e/unit)]]="","",tblFuel[[#This Row],[Quantity]]*tblFuel[[#This Row],[Factor (kg CO2e/unit)]]/1000))</f>
        <v>2.261</v>
      </c>
      <c r="J14"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14" s="41" t="s">
        <v>117</v>
      </c>
    </row>
    <row r="15" spans="1:11" x14ac:dyDescent="0.25">
      <c r="B15" s="36">
        <v>45689</v>
      </c>
      <c r="C15" s="28" t="s">
        <v>90</v>
      </c>
      <c r="D15" s="28" t="s">
        <v>105</v>
      </c>
      <c r="E15" s="31">
        <v>1150</v>
      </c>
      <c r="F15" s="37" t="str">
        <f>IF(tblFuel[[#This Row],[Month]]="","",IFERROR(INDEX(tblSources[Activity unit],MATCH(tblFuel[[#This Row],[Source]],tblSources[Source],0)),""))</f>
        <v>kg</v>
      </c>
      <c r="G15" s="37" t="str">
        <f>IF(tblFuel[[#This Row],[Month]]="","",IFERROR(INDEX(tblSources[Category],MATCH(tblFuel[[#This Row],[Source]],tblSources[Source],0)),""))</f>
        <v>Mobile combustion</v>
      </c>
      <c r="H15" s="38">
        <f>IF(tblFuel[[#This Row],[Month]]="","",IFERROR(INDEX(tblSources[Factor (kg CO2e/unit)],MATCH(tblFuel[[#This Row],[Source]],tblSources[Source],0)),""))</f>
        <v>2.94</v>
      </c>
      <c r="I15" s="39">
        <f>IF(tblFuel[[#This Row],[Month]]="","",IF(tblFuel[[#This Row],[Factor (kg CO2e/unit)]]="","",tblFuel[[#This Row],[Quantity]]*tblFuel[[#This Row],[Factor (kg CO2e/unit)]]/1000))</f>
        <v>3.381</v>
      </c>
      <c r="J15"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15" s="41" t="s">
        <v>117</v>
      </c>
    </row>
    <row r="16" spans="1:11" x14ac:dyDescent="0.25">
      <c r="B16" s="36">
        <v>45689</v>
      </c>
      <c r="C16" s="28" t="s">
        <v>93</v>
      </c>
      <c r="D16" s="28" t="s">
        <v>105</v>
      </c>
      <c r="E16" s="31">
        <v>310</v>
      </c>
      <c r="F16" s="37" t="str">
        <f>IF(tblFuel[[#This Row],[Month]]="","",IFERROR(INDEX(tblSources[Activity unit],MATCH(tblFuel[[#This Row],[Source]],tblSources[Source],0)),""))</f>
        <v>kg</v>
      </c>
      <c r="G16" s="37" t="str">
        <f>IF(tblFuel[[#This Row],[Month]]="","",IFERROR(INDEX(tblSources[Category],MATCH(tblFuel[[#This Row],[Source]],tblSources[Source],0)),""))</f>
        <v>Mobile combustion</v>
      </c>
      <c r="H16" s="38">
        <f>IF(tblFuel[[#This Row],[Month]]="","",IFERROR(INDEX(tblSources[Factor (kg CO2e/unit)],MATCH(tblFuel[[#This Row],[Source]],tblSources[Source],0)),""))</f>
        <v>2.94</v>
      </c>
      <c r="I16" s="39">
        <f>IF(tblFuel[[#This Row],[Month]]="","",IF(tblFuel[[#This Row],[Factor (kg CO2e/unit)]]="","",tblFuel[[#This Row],[Quantity]]*tblFuel[[#This Row],[Factor (kg CO2e/unit)]]/1000))</f>
        <v>0.9114</v>
      </c>
      <c r="J16"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16" s="41" t="s">
        <v>117</v>
      </c>
    </row>
    <row r="17" spans="2:11" x14ac:dyDescent="0.25">
      <c r="B17" s="36">
        <v>45689</v>
      </c>
      <c r="C17" s="28" t="s">
        <v>90</v>
      </c>
      <c r="D17" s="28" t="s">
        <v>112</v>
      </c>
      <c r="E17" s="31">
        <v>350</v>
      </c>
      <c r="F17" s="37" t="str">
        <f>IF(tblFuel[[#This Row],[Month]]="","",IFERROR(INDEX(tblSources[Activity unit],MATCH(tblFuel[[#This Row],[Source]],tblSources[Source],0)),""))</f>
        <v>kg</v>
      </c>
      <c r="G17" s="37" t="str">
        <f>IF(tblFuel[[#This Row],[Month]]="","",IFERROR(INDEX(tblSources[Category],MATCH(tblFuel[[#This Row],[Source]],tblSources[Source],0)),""))</f>
        <v>Process emissions</v>
      </c>
      <c r="H17" s="38">
        <f>IF(tblFuel[[#This Row],[Month]]="","",IFERROR(INDEX(tblSources[Factor (kg CO2e/unit)],MATCH(tblFuel[[#This Row],[Source]],tblSources[Source],0)),""))</f>
        <v>1</v>
      </c>
      <c r="I17" s="39">
        <f>IF(tblFuel[[#This Row],[Month]]="","",IF(tblFuel[[#This Row],[Factor (kg CO2e/unit)]]="","",tblFuel[[#This Row],[Quantity]]*tblFuel[[#This Row],[Factor (kg CO2e/unit)]]/1000))</f>
        <v>0.35</v>
      </c>
      <c r="J17"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17" s="41" t="s">
        <v>117</v>
      </c>
    </row>
    <row r="18" spans="2:11" x14ac:dyDescent="0.25">
      <c r="B18" s="36">
        <v>45717</v>
      </c>
      <c r="C18" s="28" t="s">
        <v>90</v>
      </c>
      <c r="D18" s="28" t="s">
        <v>98</v>
      </c>
      <c r="E18" s="31">
        <v>240800</v>
      </c>
      <c r="F18" s="37" t="str">
        <f>IF(tblFuel[[#This Row],[Month]]="","",IFERROR(INDEX(tblSources[Activity unit],MATCH(tblFuel[[#This Row],[Source]],tblSources[Source],0)),""))</f>
        <v>kWh</v>
      </c>
      <c r="G18" s="37" t="str">
        <f>IF(tblFuel[[#This Row],[Month]]="","",IFERROR(INDEX(tblSources[Category],MATCH(tblFuel[[#This Row],[Source]],tblSources[Source],0)),""))</f>
        <v>Stationary combustion</v>
      </c>
      <c r="H18" s="38">
        <f>IF(tblFuel[[#This Row],[Month]]="","",IFERROR(INDEX(tblSources[Factor (kg CO2e/unit)],MATCH(tblFuel[[#This Row],[Source]],tblSources[Source],0)),""))</f>
        <v>0.183</v>
      </c>
      <c r="I18" s="39">
        <f>IF(tblFuel[[#This Row],[Month]]="","",IF(tblFuel[[#This Row],[Factor (kg CO2e/unit)]]="","",tblFuel[[#This Row],[Quantity]]*tblFuel[[#This Row],[Factor (kg CO2e/unit)]]/1000))</f>
        <v>44.0664</v>
      </c>
      <c r="J18"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18" s="41" t="s">
        <v>117</v>
      </c>
    </row>
    <row r="19" spans="2:11" x14ac:dyDescent="0.25">
      <c r="B19" s="36">
        <v>45717</v>
      </c>
      <c r="C19" s="28" t="s">
        <v>93</v>
      </c>
      <c r="D19" s="28" t="s">
        <v>98</v>
      </c>
      <c r="E19" s="31">
        <v>95600</v>
      </c>
      <c r="F19" s="37" t="str">
        <f>IF(tblFuel[[#This Row],[Month]]="","",IFERROR(INDEX(tblSources[Activity unit],MATCH(tblFuel[[#This Row],[Source]],tblSources[Source],0)),""))</f>
        <v>kWh</v>
      </c>
      <c r="G19" s="37" t="str">
        <f>IF(tblFuel[[#This Row],[Month]]="","",IFERROR(INDEX(tblSources[Category],MATCH(tblFuel[[#This Row],[Source]],tblSources[Source],0)),""))</f>
        <v>Stationary combustion</v>
      </c>
      <c r="H19" s="38">
        <f>IF(tblFuel[[#This Row],[Month]]="","",IFERROR(INDEX(tblSources[Factor (kg CO2e/unit)],MATCH(tblFuel[[#This Row],[Source]],tblSources[Source],0)),""))</f>
        <v>0.183</v>
      </c>
      <c r="I19" s="39">
        <f>IF(tblFuel[[#This Row],[Month]]="","",IF(tblFuel[[#This Row],[Factor (kg CO2e/unit)]]="","",tblFuel[[#This Row],[Quantity]]*tblFuel[[#This Row],[Factor (kg CO2e/unit)]]/1000))</f>
        <v>17.4948</v>
      </c>
      <c r="J19"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19" s="41" t="s">
        <v>117</v>
      </c>
    </row>
    <row r="20" spans="2:11" x14ac:dyDescent="0.25">
      <c r="B20" s="36">
        <v>45717</v>
      </c>
      <c r="C20" s="28" t="s">
        <v>90</v>
      </c>
      <c r="D20" s="28" t="s">
        <v>103</v>
      </c>
      <c r="E20" s="31">
        <v>890</v>
      </c>
      <c r="F20" s="37" t="str">
        <f>IF(tblFuel[[#This Row],[Month]]="","",IFERROR(INDEX(tblSources[Activity unit],MATCH(tblFuel[[#This Row],[Source]],tblSources[Source],0)),""))</f>
        <v>L</v>
      </c>
      <c r="G20" s="37" t="str">
        <f>IF(tblFuel[[#This Row],[Month]]="","",IFERROR(INDEX(tblSources[Category],MATCH(tblFuel[[#This Row],[Source]],tblSources[Source],0)),""))</f>
        <v>Mobile combustion</v>
      </c>
      <c r="H20" s="38">
        <f>IF(tblFuel[[#This Row],[Month]]="","",IFERROR(INDEX(tblSources[Factor (kg CO2e/unit)],MATCH(tblFuel[[#This Row],[Source]],tblSources[Source],0)),""))</f>
        <v>2.66</v>
      </c>
      <c r="I20" s="39">
        <f>IF(tblFuel[[#This Row],[Month]]="","",IF(tblFuel[[#This Row],[Factor (kg CO2e/unit)]]="","",tblFuel[[#This Row],[Quantity]]*tblFuel[[#This Row],[Factor (kg CO2e/unit)]]/1000))</f>
        <v>2.3674</v>
      </c>
      <c r="J20"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20" s="41" t="s">
        <v>117</v>
      </c>
    </row>
    <row r="21" spans="2:11" x14ac:dyDescent="0.25">
      <c r="B21" s="36">
        <v>45717</v>
      </c>
      <c r="C21" s="28" t="s">
        <v>90</v>
      </c>
      <c r="D21" s="28" t="s">
        <v>105</v>
      </c>
      <c r="E21" s="31">
        <v>1150</v>
      </c>
      <c r="F21" s="37" t="str">
        <f>IF(tblFuel[[#This Row],[Month]]="","",IFERROR(INDEX(tblSources[Activity unit],MATCH(tblFuel[[#This Row],[Source]],tblSources[Source],0)),""))</f>
        <v>kg</v>
      </c>
      <c r="G21" s="37" t="str">
        <f>IF(tblFuel[[#This Row],[Month]]="","",IFERROR(INDEX(tblSources[Category],MATCH(tblFuel[[#This Row],[Source]],tblSources[Source],0)),""))</f>
        <v>Mobile combustion</v>
      </c>
      <c r="H21" s="38">
        <f>IF(tblFuel[[#This Row],[Month]]="","",IFERROR(INDEX(tblSources[Factor (kg CO2e/unit)],MATCH(tblFuel[[#This Row],[Source]],tblSources[Source],0)),""))</f>
        <v>2.94</v>
      </c>
      <c r="I21" s="39">
        <f>IF(tblFuel[[#This Row],[Month]]="","",IF(tblFuel[[#This Row],[Factor (kg CO2e/unit)]]="","",tblFuel[[#This Row],[Quantity]]*tblFuel[[#This Row],[Factor (kg CO2e/unit)]]/1000))</f>
        <v>3.381</v>
      </c>
      <c r="J21"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21" s="41" t="s">
        <v>117</v>
      </c>
    </row>
    <row r="22" spans="2:11" x14ac:dyDescent="0.25">
      <c r="B22" s="36">
        <v>45717</v>
      </c>
      <c r="C22" s="28" t="s">
        <v>93</v>
      </c>
      <c r="D22" s="28" t="s">
        <v>105</v>
      </c>
      <c r="E22" s="31">
        <v>360</v>
      </c>
      <c r="F22" s="37" t="str">
        <f>IF(tblFuel[[#This Row],[Month]]="","",IFERROR(INDEX(tblSources[Activity unit],MATCH(tblFuel[[#This Row],[Source]],tblSources[Source],0)),""))</f>
        <v>kg</v>
      </c>
      <c r="G22" s="37" t="str">
        <f>IF(tblFuel[[#This Row],[Month]]="","",IFERROR(INDEX(tblSources[Category],MATCH(tblFuel[[#This Row],[Source]],tblSources[Source],0)),""))</f>
        <v>Mobile combustion</v>
      </c>
      <c r="H22" s="38">
        <f>IF(tblFuel[[#This Row],[Month]]="","",IFERROR(INDEX(tblSources[Factor (kg CO2e/unit)],MATCH(tblFuel[[#This Row],[Source]],tblSources[Source],0)),""))</f>
        <v>2.94</v>
      </c>
      <c r="I22" s="39">
        <f>IF(tblFuel[[#This Row],[Month]]="","",IF(tblFuel[[#This Row],[Factor (kg CO2e/unit)]]="","",tblFuel[[#This Row],[Quantity]]*tblFuel[[#This Row],[Factor (kg CO2e/unit)]]/1000))</f>
        <v>1.0584</v>
      </c>
      <c r="J22"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22" s="41" t="s">
        <v>117</v>
      </c>
    </row>
    <row r="23" spans="2:11" x14ac:dyDescent="0.25">
      <c r="B23" s="36">
        <v>45717</v>
      </c>
      <c r="C23" s="28" t="s">
        <v>90</v>
      </c>
      <c r="D23" s="28" t="s">
        <v>112</v>
      </c>
      <c r="E23" s="31">
        <v>420</v>
      </c>
      <c r="F23" s="37" t="str">
        <f>IF(tblFuel[[#This Row],[Month]]="","",IFERROR(INDEX(tblSources[Activity unit],MATCH(tblFuel[[#This Row],[Source]],tblSources[Source],0)),""))</f>
        <v>kg</v>
      </c>
      <c r="G23" s="37" t="str">
        <f>IF(tblFuel[[#This Row],[Month]]="","",IFERROR(INDEX(tblSources[Category],MATCH(tblFuel[[#This Row],[Source]],tblSources[Source],0)),""))</f>
        <v>Process emissions</v>
      </c>
      <c r="H23" s="38">
        <f>IF(tblFuel[[#This Row],[Month]]="","",IFERROR(INDEX(tblSources[Factor (kg CO2e/unit)],MATCH(tblFuel[[#This Row],[Source]],tblSources[Source],0)),""))</f>
        <v>1</v>
      </c>
      <c r="I23" s="39">
        <f>IF(tblFuel[[#This Row],[Month]]="","",IF(tblFuel[[#This Row],[Factor (kg CO2e/unit)]]="","",tblFuel[[#This Row],[Quantity]]*tblFuel[[#This Row],[Factor (kg CO2e/unit)]]/1000))</f>
        <v>0.42</v>
      </c>
      <c r="J23"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23" s="41" t="s">
        <v>117</v>
      </c>
    </row>
    <row r="24" spans="2:11" x14ac:dyDescent="0.25">
      <c r="B24" s="36">
        <v>45717</v>
      </c>
      <c r="C24" s="28" t="s">
        <v>90</v>
      </c>
      <c r="D24" s="28" t="s">
        <v>101</v>
      </c>
      <c r="E24" s="31">
        <v>120</v>
      </c>
      <c r="F24" s="37" t="str">
        <f>IF(tblFuel[[#This Row],[Month]]="","",IFERROR(INDEX(tblSources[Activity unit],MATCH(tblFuel[[#This Row],[Source]],tblSources[Source],0)),""))</f>
        <v>L</v>
      </c>
      <c r="G24" s="37" t="str">
        <f>IF(tblFuel[[#This Row],[Month]]="","",IFERROR(INDEX(tblSources[Category],MATCH(tblFuel[[#This Row],[Source]],tblSources[Source],0)),""))</f>
        <v>Stationary combustion</v>
      </c>
      <c r="H24" s="38">
        <f>IF(tblFuel[[#This Row],[Month]]="","",IFERROR(INDEX(tblSources[Factor (kg CO2e/unit)],MATCH(tblFuel[[#This Row],[Source]],tblSources[Source],0)),""))</f>
        <v>2.66</v>
      </c>
      <c r="I24" s="39">
        <f>IF(tblFuel[[#This Row],[Month]]="","",IF(tblFuel[[#This Row],[Factor (kg CO2e/unit)]]="","",tblFuel[[#This Row],[Quantity]]*tblFuel[[#This Row],[Factor (kg CO2e/unit)]]/1000))</f>
        <v>0.3192</v>
      </c>
      <c r="J24"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24" s="41" t="s">
        <v>123</v>
      </c>
    </row>
    <row r="25" spans="2:11" x14ac:dyDescent="0.25">
      <c r="B25" s="36">
        <v>45748</v>
      </c>
      <c r="C25" s="28" t="s">
        <v>90</v>
      </c>
      <c r="D25" s="28" t="s">
        <v>98</v>
      </c>
      <c r="E25" s="31">
        <v>212400</v>
      </c>
      <c r="F25" s="37" t="str">
        <f>IF(tblFuel[[#This Row],[Month]]="","",IFERROR(INDEX(tblSources[Activity unit],MATCH(tblFuel[[#This Row],[Source]],tblSources[Source],0)),""))</f>
        <v>kWh</v>
      </c>
      <c r="G25" s="37" t="str">
        <f>IF(tblFuel[[#This Row],[Month]]="","",IFERROR(INDEX(tblSources[Category],MATCH(tblFuel[[#This Row],[Source]],tblSources[Source],0)),""))</f>
        <v>Stationary combustion</v>
      </c>
      <c r="H25" s="38">
        <f>IF(tblFuel[[#This Row],[Month]]="","",IFERROR(INDEX(tblSources[Factor (kg CO2e/unit)],MATCH(tblFuel[[#This Row],[Source]],tblSources[Source],0)),""))</f>
        <v>0.183</v>
      </c>
      <c r="I25" s="39">
        <f>IF(tblFuel[[#This Row],[Month]]="","",IF(tblFuel[[#This Row],[Factor (kg CO2e/unit)]]="","",tblFuel[[#This Row],[Quantity]]*tblFuel[[#This Row],[Factor (kg CO2e/unit)]]/1000))</f>
        <v>38.8692</v>
      </c>
      <c r="J25"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25" s="41" t="s">
        <v>117</v>
      </c>
    </row>
    <row r="26" spans="2:11" x14ac:dyDescent="0.25">
      <c r="B26" s="36">
        <v>45748</v>
      </c>
      <c r="C26" s="28" t="s">
        <v>93</v>
      </c>
      <c r="D26" s="28" t="s">
        <v>98</v>
      </c>
      <c r="E26" s="31">
        <v>84200</v>
      </c>
      <c r="F26" s="37" t="str">
        <f>IF(tblFuel[[#This Row],[Month]]="","",IFERROR(INDEX(tblSources[Activity unit],MATCH(tblFuel[[#This Row],[Source]],tblSources[Source],0)),""))</f>
        <v>kWh</v>
      </c>
      <c r="G26" s="37" t="str">
        <f>IF(tblFuel[[#This Row],[Month]]="","",IFERROR(INDEX(tblSources[Category],MATCH(tblFuel[[#This Row],[Source]],tblSources[Source],0)),""))</f>
        <v>Stationary combustion</v>
      </c>
      <c r="H26" s="38">
        <f>IF(tblFuel[[#This Row],[Month]]="","",IFERROR(INDEX(tblSources[Factor (kg CO2e/unit)],MATCH(tblFuel[[#This Row],[Source]],tblSources[Source],0)),""))</f>
        <v>0.183</v>
      </c>
      <c r="I26" s="39">
        <f>IF(tblFuel[[#This Row],[Month]]="","",IF(tblFuel[[#This Row],[Factor (kg CO2e/unit)]]="","",tblFuel[[#This Row],[Quantity]]*tblFuel[[#This Row],[Factor (kg CO2e/unit)]]/1000))</f>
        <v>15.4086</v>
      </c>
      <c r="J26"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26" s="41" t="s">
        <v>117</v>
      </c>
    </row>
    <row r="27" spans="2:11" x14ac:dyDescent="0.25">
      <c r="B27" s="36">
        <v>45748</v>
      </c>
      <c r="C27" s="28" t="s">
        <v>90</v>
      </c>
      <c r="D27" s="28" t="s">
        <v>103</v>
      </c>
      <c r="E27" s="31">
        <v>860</v>
      </c>
      <c r="F27" s="37" t="str">
        <f>IF(tblFuel[[#This Row],[Month]]="","",IFERROR(INDEX(tblSources[Activity unit],MATCH(tblFuel[[#This Row],[Source]],tblSources[Source],0)),""))</f>
        <v>L</v>
      </c>
      <c r="G27" s="37" t="str">
        <f>IF(tblFuel[[#This Row],[Month]]="","",IFERROR(INDEX(tblSources[Category],MATCH(tblFuel[[#This Row],[Source]],tblSources[Source],0)),""))</f>
        <v>Mobile combustion</v>
      </c>
      <c r="H27" s="38">
        <f>IF(tblFuel[[#This Row],[Month]]="","",IFERROR(INDEX(tblSources[Factor (kg CO2e/unit)],MATCH(tblFuel[[#This Row],[Source]],tblSources[Source],0)),""))</f>
        <v>2.66</v>
      </c>
      <c r="I27" s="39">
        <f>IF(tblFuel[[#This Row],[Month]]="","",IF(tblFuel[[#This Row],[Factor (kg CO2e/unit)]]="","",tblFuel[[#This Row],[Quantity]]*tblFuel[[#This Row],[Factor (kg CO2e/unit)]]/1000))</f>
        <v>2.2876</v>
      </c>
      <c r="J27"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27" s="41" t="s">
        <v>117</v>
      </c>
    </row>
    <row r="28" spans="2:11" x14ac:dyDescent="0.25">
      <c r="B28" s="36">
        <v>45748</v>
      </c>
      <c r="C28" s="28" t="s">
        <v>90</v>
      </c>
      <c r="D28" s="28" t="s">
        <v>105</v>
      </c>
      <c r="E28" s="31">
        <v>1110</v>
      </c>
      <c r="F28" s="37" t="str">
        <f>IF(tblFuel[[#This Row],[Month]]="","",IFERROR(INDEX(tblSources[Activity unit],MATCH(tblFuel[[#This Row],[Source]],tblSources[Source],0)),""))</f>
        <v>kg</v>
      </c>
      <c r="G28" s="37" t="str">
        <f>IF(tblFuel[[#This Row],[Month]]="","",IFERROR(INDEX(tblSources[Category],MATCH(tblFuel[[#This Row],[Source]],tblSources[Source],0)),""))</f>
        <v>Mobile combustion</v>
      </c>
      <c r="H28" s="38">
        <f>IF(tblFuel[[#This Row],[Month]]="","",IFERROR(INDEX(tblSources[Factor (kg CO2e/unit)],MATCH(tblFuel[[#This Row],[Source]],tblSources[Source],0)),""))</f>
        <v>2.94</v>
      </c>
      <c r="I28" s="39">
        <f>IF(tblFuel[[#This Row],[Month]]="","",IF(tblFuel[[#This Row],[Factor (kg CO2e/unit)]]="","",tblFuel[[#This Row],[Quantity]]*tblFuel[[#This Row],[Factor (kg CO2e/unit)]]/1000))</f>
        <v>3.2634</v>
      </c>
      <c r="J28"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28" s="41" t="s">
        <v>117</v>
      </c>
    </row>
    <row r="29" spans="2:11" x14ac:dyDescent="0.25">
      <c r="B29" s="36">
        <v>45748</v>
      </c>
      <c r="C29" s="28" t="s">
        <v>93</v>
      </c>
      <c r="D29" s="28" t="s">
        <v>105</v>
      </c>
      <c r="E29" s="31">
        <v>330</v>
      </c>
      <c r="F29" s="37" t="str">
        <f>IF(tblFuel[[#This Row],[Month]]="","",IFERROR(INDEX(tblSources[Activity unit],MATCH(tblFuel[[#This Row],[Source]],tblSources[Source],0)),""))</f>
        <v>kg</v>
      </c>
      <c r="G29" s="37" t="str">
        <f>IF(tblFuel[[#This Row],[Month]]="","",IFERROR(INDEX(tblSources[Category],MATCH(tblFuel[[#This Row],[Source]],tblSources[Source],0)),""))</f>
        <v>Mobile combustion</v>
      </c>
      <c r="H29" s="38">
        <f>IF(tblFuel[[#This Row],[Month]]="","",IFERROR(INDEX(tblSources[Factor (kg CO2e/unit)],MATCH(tblFuel[[#This Row],[Source]],tblSources[Source],0)),""))</f>
        <v>2.94</v>
      </c>
      <c r="I29" s="39">
        <f>IF(tblFuel[[#This Row],[Month]]="","",IF(tblFuel[[#This Row],[Factor (kg CO2e/unit)]]="","",tblFuel[[#This Row],[Quantity]]*tblFuel[[#This Row],[Factor (kg CO2e/unit)]]/1000))</f>
        <v>0.9702</v>
      </c>
      <c r="J29"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29" s="41" t="s">
        <v>117</v>
      </c>
    </row>
    <row r="30" spans="2:11" x14ac:dyDescent="0.25">
      <c r="B30" s="36">
        <v>45748</v>
      </c>
      <c r="C30" s="28" t="s">
        <v>90</v>
      </c>
      <c r="D30" s="28" t="s">
        <v>112</v>
      </c>
      <c r="E30" s="31">
        <v>410</v>
      </c>
      <c r="F30" s="37" t="str">
        <f>IF(tblFuel[[#This Row],[Month]]="","",IFERROR(INDEX(tblSources[Activity unit],MATCH(tblFuel[[#This Row],[Source]],tblSources[Source],0)),""))</f>
        <v>kg</v>
      </c>
      <c r="G30" s="37" t="str">
        <f>IF(tblFuel[[#This Row],[Month]]="","",IFERROR(INDEX(tblSources[Category],MATCH(tblFuel[[#This Row],[Source]],tblSources[Source],0)),""))</f>
        <v>Process emissions</v>
      </c>
      <c r="H30" s="38">
        <f>IF(tblFuel[[#This Row],[Month]]="","",IFERROR(INDEX(tblSources[Factor (kg CO2e/unit)],MATCH(tblFuel[[#This Row],[Source]],tblSources[Source],0)),""))</f>
        <v>1</v>
      </c>
      <c r="I30" s="39">
        <f>IF(tblFuel[[#This Row],[Month]]="","",IF(tblFuel[[#This Row],[Factor (kg CO2e/unit)]]="","",tblFuel[[#This Row],[Quantity]]*tblFuel[[#This Row],[Factor (kg CO2e/unit)]]/1000))</f>
        <v>0.41</v>
      </c>
      <c r="J30"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30" s="41" t="s">
        <v>117</v>
      </c>
    </row>
    <row r="31" spans="2:11" x14ac:dyDescent="0.25">
      <c r="B31" s="36">
        <v>45748</v>
      </c>
      <c r="C31" s="28" t="s">
        <v>90</v>
      </c>
      <c r="D31" s="28" t="s">
        <v>110</v>
      </c>
      <c r="E31" s="31">
        <v>4</v>
      </c>
      <c r="F31" s="37" t="str">
        <f>IF(tblFuel[[#This Row],[Month]]="","",IFERROR(INDEX(tblSources[Activity unit],MATCH(tblFuel[[#This Row],[Source]],tblSources[Source],0)),""))</f>
        <v>kg</v>
      </c>
      <c r="G31" s="37" t="str">
        <f>IF(tblFuel[[#This Row],[Month]]="","",IFERROR(INDEX(tblSources[Category],MATCH(tblFuel[[#This Row],[Source]],tblSources[Source],0)),""))</f>
        <v>Fugitive emissions</v>
      </c>
      <c r="H31" s="38">
        <f>IF(tblFuel[[#This Row],[Month]]="","",IFERROR(INDEX(tblSources[Factor (kg CO2e/unit)],MATCH(tblFuel[[#This Row],[Source]],tblSources[Source],0)),""))</f>
        <v>1300</v>
      </c>
      <c r="I31" s="39">
        <f>IF(tblFuel[[#This Row],[Month]]="","",IF(tblFuel[[#This Row],[Factor (kg CO2e/unit)]]="","",tblFuel[[#This Row],[Quantity]]*tblFuel[[#This Row],[Factor (kg CO2e/unit)]]/1000))</f>
        <v>5.2</v>
      </c>
      <c r="J31"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31" s="41" t="s">
        <v>124</v>
      </c>
    </row>
    <row r="32" spans="2:11" x14ac:dyDescent="0.25">
      <c r="B32" s="36">
        <v>45778</v>
      </c>
      <c r="C32" s="28" t="s">
        <v>90</v>
      </c>
      <c r="D32" s="28" t="s">
        <v>98</v>
      </c>
      <c r="E32" s="31">
        <v>198600</v>
      </c>
      <c r="F32" s="37" t="str">
        <f>IF(tblFuel[[#This Row],[Month]]="","",IFERROR(INDEX(tblSources[Activity unit],MATCH(tblFuel[[#This Row],[Source]],tblSources[Source],0)),""))</f>
        <v>kWh</v>
      </c>
      <c r="G32" s="37" t="str">
        <f>IF(tblFuel[[#This Row],[Month]]="","",IFERROR(INDEX(tblSources[Category],MATCH(tblFuel[[#This Row],[Source]],tblSources[Source],0)),""))</f>
        <v>Stationary combustion</v>
      </c>
      <c r="H32" s="38">
        <f>IF(tblFuel[[#This Row],[Month]]="","",IFERROR(INDEX(tblSources[Factor (kg CO2e/unit)],MATCH(tblFuel[[#This Row],[Source]],tblSources[Source],0)),""))</f>
        <v>0.183</v>
      </c>
      <c r="I32" s="39">
        <f>IF(tblFuel[[#This Row],[Month]]="","",IF(tblFuel[[#This Row],[Factor (kg CO2e/unit)]]="","",tblFuel[[#This Row],[Quantity]]*tblFuel[[#This Row],[Factor (kg CO2e/unit)]]/1000))</f>
        <v>36.3438</v>
      </c>
      <c r="J32"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32" s="41" t="s">
        <v>117</v>
      </c>
    </row>
    <row r="33" spans="2:11" x14ac:dyDescent="0.25">
      <c r="B33" s="36">
        <v>45778</v>
      </c>
      <c r="C33" s="28" t="s">
        <v>93</v>
      </c>
      <c r="D33" s="28" t="s">
        <v>98</v>
      </c>
      <c r="E33" s="31">
        <v>86000</v>
      </c>
      <c r="F33" s="37" t="str">
        <f>IF(tblFuel[[#This Row],[Month]]="","",IFERROR(INDEX(tblSources[Activity unit],MATCH(tblFuel[[#This Row],[Source]],tblSources[Source],0)),""))</f>
        <v>kWh</v>
      </c>
      <c r="G33" s="37" t="str">
        <f>IF(tblFuel[[#This Row],[Month]]="","",IFERROR(INDEX(tblSources[Category],MATCH(tblFuel[[#This Row],[Source]],tblSources[Source],0)),""))</f>
        <v>Stationary combustion</v>
      </c>
      <c r="H33" s="38">
        <f>IF(tblFuel[[#This Row],[Month]]="","",IFERROR(INDEX(tblSources[Factor (kg CO2e/unit)],MATCH(tblFuel[[#This Row],[Source]],tblSources[Source],0)),""))</f>
        <v>0.183</v>
      </c>
      <c r="I33" s="39">
        <f>IF(tblFuel[[#This Row],[Month]]="","",IF(tblFuel[[#This Row],[Factor (kg CO2e/unit)]]="","",tblFuel[[#This Row],[Quantity]]*tblFuel[[#This Row],[Factor (kg CO2e/unit)]]/1000))</f>
        <v>15.738</v>
      </c>
      <c r="J33"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33" s="41" t="s">
        <v>117</v>
      </c>
    </row>
    <row r="34" spans="2:11" x14ac:dyDescent="0.25">
      <c r="B34" s="36">
        <v>45778</v>
      </c>
      <c r="C34" s="28" t="s">
        <v>90</v>
      </c>
      <c r="D34" s="28" t="s">
        <v>103</v>
      </c>
      <c r="E34" s="31">
        <v>750</v>
      </c>
      <c r="F34" s="37" t="str">
        <f>IF(tblFuel[[#This Row],[Month]]="","",IFERROR(INDEX(tblSources[Activity unit],MATCH(tblFuel[[#This Row],[Source]],tblSources[Source],0)),""))</f>
        <v>L</v>
      </c>
      <c r="G34" s="37" t="str">
        <f>IF(tblFuel[[#This Row],[Month]]="","",IFERROR(INDEX(tblSources[Category],MATCH(tblFuel[[#This Row],[Source]],tblSources[Source],0)),""))</f>
        <v>Mobile combustion</v>
      </c>
      <c r="H34" s="38">
        <f>IF(tblFuel[[#This Row],[Month]]="","",IFERROR(INDEX(tblSources[Factor (kg CO2e/unit)],MATCH(tblFuel[[#This Row],[Source]],tblSources[Source],0)),""))</f>
        <v>2.66</v>
      </c>
      <c r="I34" s="39">
        <f>IF(tblFuel[[#This Row],[Month]]="","",IF(tblFuel[[#This Row],[Factor (kg CO2e/unit)]]="","",tblFuel[[#This Row],[Quantity]]*tblFuel[[#This Row],[Factor (kg CO2e/unit)]]/1000))</f>
        <v>1.995</v>
      </c>
      <c r="J34"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34" s="41" t="s">
        <v>117</v>
      </c>
    </row>
    <row r="35" spans="2:11" x14ac:dyDescent="0.25">
      <c r="B35" s="36">
        <v>45778</v>
      </c>
      <c r="C35" s="28" t="s">
        <v>90</v>
      </c>
      <c r="D35" s="28" t="s">
        <v>105</v>
      </c>
      <c r="E35" s="31">
        <v>1100</v>
      </c>
      <c r="F35" s="37" t="str">
        <f>IF(tblFuel[[#This Row],[Month]]="","",IFERROR(INDEX(tblSources[Activity unit],MATCH(tblFuel[[#This Row],[Source]],tblSources[Source],0)),""))</f>
        <v>kg</v>
      </c>
      <c r="G35" s="37" t="str">
        <f>IF(tblFuel[[#This Row],[Month]]="","",IFERROR(INDEX(tblSources[Category],MATCH(tblFuel[[#This Row],[Source]],tblSources[Source],0)),""))</f>
        <v>Mobile combustion</v>
      </c>
      <c r="H35" s="38">
        <f>IF(tblFuel[[#This Row],[Month]]="","",IFERROR(INDEX(tblSources[Factor (kg CO2e/unit)],MATCH(tblFuel[[#This Row],[Source]],tblSources[Source],0)),""))</f>
        <v>2.94</v>
      </c>
      <c r="I35" s="39">
        <f>IF(tblFuel[[#This Row],[Month]]="","",IF(tblFuel[[#This Row],[Factor (kg CO2e/unit)]]="","",tblFuel[[#This Row],[Quantity]]*tblFuel[[#This Row],[Factor (kg CO2e/unit)]]/1000))</f>
        <v>3.234</v>
      </c>
      <c r="J35"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35" s="41" t="s">
        <v>117</v>
      </c>
    </row>
    <row r="36" spans="2:11" x14ac:dyDescent="0.25">
      <c r="B36" s="36">
        <v>45778</v>
      </c>
      <c r="C36" s="28" t="s">
        <v>93</v>
      </c>
      <c r="D36" s="28" t="s">
        <v>105</v>
      </c>
      <c r="E36" s="31">
        <v>330</v>
      </c>
      <c r="F36" s="37" t="str">
        <f>IF(tblFuel[[#This Row],[Month]]="","",IFERROR(INDEX(tblSources[Activity unit],MATCH(tblFuel[[#This Row],[Source]],tblSources[Source],0)),""))</f>
        <v>kg</v>
      </c>
      <c r="G36" s="37" t="str">
        <f>IF(tblFuel[[#This Row],[Month]]="","",IFERROR(INDEX(tblSources[Category],MATCH(tblFuel[[#This Row],[Source]],tblSources[Source],0)),""))</f>
        <v>Mobile combustion</v>
      </c>
      <c r="H36" s="38">
        <f>IF(tblFuel[[#This Row],[Month]]="","",IFERROR(INDEX(tblSources[Factor (kg CO2e/unit)],MATCH(tblFuel[[#This Row],[Source]],tblSources[Source],0)),""))</f>
        <v>2.94</v>
      </c>
      <c r="I36" s="39">
        <f>IF(tblFuel[[#This Row],[Month]]="","",IF(tblFuel[[#This Row],[Factor (kg CO2e/unit)]]="","",tblFuel[[#This Row],[Quantity]]*tblFuel[[#This Row],[Factor (kg CO2e/unit)]]/1000))</f>
        <v>0.9702</v>
      </c>
      <c r="J36"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36" s="41" t="s">
        <v>117</v>
      </c>
    </row>
    <row r="37" spans="2:11" x14ac:dyDescent="0.25">
      <c r="B37" s="36">
        <v>45778</v>
      </c>
      <c r="C37" s="28" t="s">
        <v>90</v>
      </c>
      <c r="D37" s="28" t="s">
        <v>112</v>
      </c>
      <c r="E37" s="31">
        <v>400</v>
      </c>
      <c r="F37" s="37" t="str">
        <f>IF(tblFuel[[#This Row],[Month]]="","",IFERROR(INDEX(tblSources[Activity unit],MATCH(tblFuel[[#This Row],[Source]],tblSources[Source],0)),""))</f>
        <v>kg</v>
      </c>
      <c r="G37" s="37" t="str">
        <f>IF(tblFuel[[#This Row],[Month]]="","",IFERROR(INDEX(tblSources[Category],MATCH(tblFuel[[#This Row],[Source]],tblSources[Source],0)),""))</f>
        <v>Process emissions</v>
      </c>
      <c r="H37" s="38">
        <f>IF(tblFuel[[#This Row],[Month]]="","",IFERROR(INDEX(tblSources[Factor (kg CO2e/unit)],MATCH(tblFuel[[#This Row],[Source]],tblSources[Source],0)),""))</f>
        <v>1</v>
      </c>
      <c r="I37" s="39">
        <f>IF(tblFuel[[#This Row],[Month]]="","",IF(tblFuel[[#This Row],[Factor (kg CO2e/unit)]]="","",tblFuel[[#This Row],[Quantity]]*tblFuel[[#This Row],[Factor (kg CO2e/unit)]]/1000))</f>
        <v>0.4</v>
      </c>
      <c r="J37"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37" s="41" t="s">
        <v>117</v>
      </c>
    </row>
    <row r="38" spans="2:11" x14ac:dyDescent="0.25">
      <c r="B38" s="36">
        <v>45809</v>
      </c>
      <c r="C38" s="28" t="s">
        <v>90</v>
      </c>
      <c r="D38" s="28" t="s">
        <v>98</v>
      </c>
      <c r="E38" s="31">
        <v>204300</v>
      </c>
      <c r="F38" s="37" t="str">
        <f>IF(tblFuel[[#This Row],[Month]]="","",IFERROR(INDEX(tblSources[Activity unit],MATCH(tblFuel[[#This Row],[Source]],tblSources[Source],0)),""))</f>
        <v>kWh</v>
      </c>
      <c r="G38" s="37" t="str">
        <f>IF(tblFuel[[#This Row],[Month]]="","",IFERROR(INDEX(tblSources[Category],MATCH(tblFuel[[#This Row],[Source]],tblSources[Source],0)),""))</f>
        <v>Stationary combustion</v>
      </c>
      <c r="H38" s="38">
        <f>IF(tblFuel[[#This Row],[Month]]="","",IFERROR(INDEX(tblSources[Factor (kg CO2e/unit)],MATCH(tblFuel[[#This Row],[Source]],tblSources[Source],0)),""))</f>
        <v>0.183</v>
      </c>
      <c r="I38" s="39">
        <f>IF(tblFuel[[#This Row],[Month]]="","",IF(tblFuel[[#This Row],[Factor (kg CO2e/unit)]]="","",tblFuel[[#This Row],[Quantity]]*tblFuel[[#This Row],[Factor (kg CO2e/unit)]]/1000))</f>
        <v>37.3869</v>
      </c>
      <c r="J38"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38" s="41" t="s">
        <v>117</v>
      </c>
    </row>
    <row r="39" spans="2:11" x14ac:dyDescent="0.25">
      <c r="B39" s="36">
        <v>45809</v>
      </c>
      <c r="C39" s="28" t="s">
        <v>93</v>
      </c>
      <c r="D39" s="28" t="s">
        <v>98</v>
      </c>
      <c r="E39" s="31">
        <v>79800</v>
      </c>
      <c r="F39" s="37" t="str">
        <f>IF(tblFuel[[#This Row],[Month]]="","",IFERROR(INDEX(tblSources[Activity unit],MATCH(tblFuel[[#This Row],[Source]],tblSources[Source],0)),""))</f>
        <v>kWh</v>
      </c>
      <c r="G39" s="37" t="str">
        <f>IF(tblFuel[[#This Row],[Month]]="","",IFERROR(INDEX(tblSources[Category],MATCH(tblFuel[[#This Row],[Source]],tblSources[Source],0)),""))</f>
        <v>Stationary combustion</v>
      </c>
      <c r="H39" s="38">
        <f>IF(tblFuel[[#This Row],[Month]]="","",IFERROR(INDEX(tblSources[Factor (kg CO2e/unit)],MATCH(tblFuel[[#This Row],[Source]],tblSources[Source],0)),""))</f>
        <v>0.183</v>
      </c>
      <c r="I39" s="39">
        <f>IF(tblFuel[[#This Row],[Month]]="","",IF(tblFuel[[#This Row],[Factor (kg CO2e/unit)]]="","",tblFuel[[#This Row],[Quantity]]*tblFuel[[#This Row],[Factor (kg CO2e/unit)]]/1000))</f>
        <v>14.6034</v>
      </c>
      <c r="J39"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39" s="41" t="s">
        <v>117</v>
      </c>
    </row>
    <row r="40" spans="2:11" x14ac:dyDescent="0.25">
      <c r="B40" s="36">
        <v>45809</v>
      </c>
      <c r="C40" s="28" t="s">
        <v>90</v>
      </c>
      <c r="D40" s="28" t="s">
        <v>103</v>
      </c>
      <c r="E40" s="31">
        <v>750</v>
      </c>
      <c r="F40" s="37" t="str">
        <f>IF(tblFuel[[#This Row],[Month]]="","",IFERROR(INDEX(tblSources[Activity unit],MATCH(tblFuel[[#This Row],[Source]],tblSources[Source],0)),""))</f>
        <v>L</v>
      </c>
      <c r="G40" s="37" t="str">
        <f>IF(tblFuel[[#This Row],[Month]]="","",IFERROR(INDEX(tblSources[Category],MATCH(tblFuel[[#This Row],[Source]],tblSources[Source],0)),""))</f>
        <v>Mobile combustion</v>
      </c>
      <c r="H40" s="38">
        <f>IF(tblFuel[[#This Row],[Month]]="","",IFERROR(INDEX(tblSources[Factor (kg CO2e/unit)],MATCH(tblFuel[[#This Row],[Source]],tblSources[Source],0)),""))</f>
        <v>2.66</v>
      </c>
      <c r="I40" s="39">
        <f>IF(tblFuel[[#This Row],[Month]]="","",IF(tblFuel[[#This Row],[Factor (kg CO2e/unit)]]="","",tblFuel[[#This Row],[Quantity]]*tblFuel[[#This Row],[Factor (kg CO2e/unit)]]/1000))</f>
        <v>1.995</v>
      </c>
      <c r="J40"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40" s="41" t="s">
        <v>117</v>
      </c>
    </row>
    <row r="41" spans="2:11" x14ac:dyDescent="0.25">
      <c r="B41" s="36">
        <v>45809</v>
      </c>
      <c r="C41" s="28" t="s">
        <v>90</v>
      </c>
      <c r="D41" s="28" t="s">
        <v>105</v>
      </c>
      <c r="E41" s="31">
        <v>1100</v>
      </c>
      <c r="F41" s="37" t="str">
        <f>IF(tblFuel[[#This Row],[Month]]="","",IFERROR(INDEX(tblSources[Activity unit],MATCH(tblFuel[[#This Row],[Source]],tblSources[Source],0)),""))</f>
        <v>kg</v>
      </c>
      <c r="G41" s="37" t="str">
        <f>IF(tblFuel[[#This Row],[Month]]="","",IFERROR(INDEX(tblSources[Category],MATCH(tblFuel[[#This Row],[Source]],tblSources[Source],0)),""))</f>
        <v>Mobile combustion</v>
      </c>
      <c r="H41" s="38">
        <f>IF(tblFuel[[#This Row],[Month]]="","",IFERROR(INDEX(tblSources[Factor (kg CO2e/unit)],MATCH(tblFuel[[#This Row],[Source]],tblSources[Source],0)),""))</f>
        <v>2.94</v>
      </c>
      <c r="I41" s="39">
        <f>IF(tblFuel[[#This Row],[Month]]="","",IF(tblFuel[[#This Row],[Factor (kg CO2e/unit)]]="","",tblFuel[[#This Row],[Quantity]]*tblFuel[[#This Row],[Factor (kg CO2e/unit)]]/1000))</f>
        <v>3.234</v>
      </c>
      <c r="J41"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41" s="41" t="s">
        <v>117</v>
      </c>
    </row>
    <row r="42" spans="2:11" x14ac:dyDescent="0.25">
      <c r="B42" s="36">
        <v>45809</v>
      </c>
      <c r="C42" s="28" t="s">
        <v>93</v>
      </c>
      <c r="D42" s="28" t="s">
        <v>105</v>
      </c>
      <c r="E42" s="31">
        <v>370</v>
      </c>
      <c r="F42" s="37" t="str">
        <f>IF(tblFuel[[#This Row],[Month]]="","",IFERROR(INDEX(tblSources[Activity unit],MATCH(tblFuel[[#This Row],[Source]],tblSources[Source],0)),""))</f>
        <v>kg</v>
      </c>
      <c r="G42" s="37" t="str">
        <f>IF(tblFuel[[#This Row],[Month]]="","",IFERROR(INDEX(tblSources[Category],MATCH(tblFuel[[#This Row],[Source]],tblSources[Source],0)),""))</f>
        <v>Mobile combustion</v>
      </c>
      <c r="H42" s="38">
        <f>IF(tblFuel[[#This Row],[Month]]="","",IFERROR(INDEX(tblSources[Factor (kg CO2e/unit)],MATCH(tblFuel[[#This Row],[Source]],tblSources[Source],0)),""))</f>
        <v>2.94</v>
      </c>
      <c r="I42" s="39">
        <f>IF(tblFuel[[#This Row],[Month]]="","",IF(tblFuel[[#This Row],[Factor (kg CO2e/unit)]]="","",tblFuel[[#This Row],[Quantity]]*tblFuel[[#This Row],[Factor (kg CO2e/unit)]]/1000))</f>
        <v>1.0878</v>
      </c>
      <c r="J42"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42" s="41" t="s">
        <v>117</v>
      </c>
    </row>
    <row r="43" spans="2:11" x14ac:dyDescent="0.25">
      <c r="B43" s="36">
        <v>45809</v>
      </c>
      <c r="C43" s="28" t="s">
        <v>90</v>
      </c>
      <c r="D43" s="28" t="s">
        <v>112</v>
      </c>
      <c r="E43" s="31">
        <v>360</v>
      </c>
      <c r="F43" s="37" t="str">
        <f>IF(tblFuel[[#This Row],[Month]]="","",IFERROR(INDEX(tblSources[Activity unit],MATCH(tblFuel[[#This Row],[Source]],tblSources[Source],0)),""))</f>
        <v>kg</v>
      </c>
      <c r="G43" s="37" t="str">
        <f>IF(tblFuel[[#This Row],[Month]]="","",IFERROR(INDEX(tblSources[Category],MATCH(tblFuel[[#This Row],[Source]],tblSources[Source],0)),""))</f>
        <v>Process emissions</v>
      </c>
      <c r="H43" s="38">
        <f>IF(tblFuel[[#This Row],[Month]]="","",IFERROR(INDEX(tblSources[Factor (kg CO2e/unit)],MATCH(tblFuel[[#This Row],[Source]],tblSources[Source],0)),""))</f>
        <v>1</v>
      </c>
      <c r="I43" s="39">
        <f>IF(tblFuel[[#This Row],[Month]]="","",IF(tblFuel[[#This Row],[Factor (kg CO2e/unit)]]="","",tblFuel[[#This Row],[Quantity]]*tblFuel[[#This Row],[Factor (kg CO2e/unit)]]/1000))</f>
        <v>0.36</v>
      </c>
      <c r="J43"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43" s="41" t="s">
        <v>117</v>
      </c>
    </row>
    <row r="44" spans="2:11" x14ac:dyDescent="0.25">
      <c r="B44" s="36">
        <v>45809</v>
      </c>
      <c r="C44" s="28" t="s">
        <v>90</v>
      </c>
      <c r="D44" s="28" t="s">
        <v>101</v>
      </c>
      <c r="E44" s="31">
        <v>120</v>
      </c>
      <c r="F44" s="37" t="str">
        <f>IF(tblFuel[[#This Row],[Month]]="","",IFERROR(INDEX(tblSources[Activity unit],MATCH(tblFuel[[#This Row],[Source]],tblSources[Source],0)),""))</f>
        <v>L</v>
      </c>
      <c r="G44" s="37" t="str">
        <f>IF(tblFuel[[#This Row],[Month]]="","",IFERROR(INDEX(tblSources[Category],MATCH(tblFuel[[#This Row],[Source]],tblSources[Source],0)),""))</f>
        <v>Stationary combustion</v>
      </c>
      <c r="H44" s="38">
        <f>IF(tblFuel[[#This Row],[Month]]="","",IFERROR(INDEX(tblSources[Factor (kg CO2e/unit)],MATCH(tblFuel[[#This Row],[Source]],tblSources[Source],0)),""))</f>
        <v>2.66</v>
      </c>
      <c r="I44" s="39">
        <f>IF(tblFuel[[#This Row],[Month]]="","",IF(tblFuel[[#This Row],[Factor (kg CO2e/unit)]]="","",tblFuel[[#This Row],[Quantity]]*tblFuel[[#This Row],[Factor (kg CO2e/unit)]]/1000))</f>
        <v>0.3192</v>
      </c>
      <c r="J44"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44" s="41" t="s">
        <v>123</v>
      </c>
    </row>
    <row r="45" spans="2:11" x14ac:dyDescent="0.25">
      <c r="B45" s="36">
        <v>45839</v>
      </c>
      <c r="C45" s="28" t="s">
        <v>90</v>
      </c>
      <c r="D45" s="28" t="s">
        <v>98</v>
      </c>
      <c r="E45" s="31">
        <v>199900</v>
      </c>
      <c r="F45" s="37" t="str">
        <f>IF(tblFuel[[#This Row],[Month]]="","",IFERROR(INDEX(tblSources[Activity unit],MATCH(tblFuel[[#This Row],[Source]],tblSources[Source],0)),""))</f>
        <v>kWh</v>
      </c>
      <c r="G45" s="37" t="str">
        <f>IF(tblFuel[[#This Row],[Month]]="","",IFERROR(INDEX(tblSources[Category],MATCH(tblFuel[[#This Row],[Source]],tblSources[Source],0)),""))</f>
        <v>Stationary combustion</v>
      </c>
      <c r="H45" s="38">
        <f>IF(tblFuel[[#This Row],[Month]]="","",IFERROR(INDEX(tblSources[Factor (kg CO2e/unit)],MATCH(tblFuel[[#This Row],[Source]],tblSources[Source],0)),""))</f>
        <v>0.183</v>
      </c>
      <c r="I45" s="39">
        <f>IF(tblFuel[[#This Row],[Month]]="","",IF(tblFuel[[#This Row],[Factor (kg CO2e/unit)]]="","",tblFuel[[#This Row],[Quantity]]*tblFuel[[#This Row],[Factor (kg CO2e/unit)]]/1000))</f>
        <v>36.5817</v>
      </c>
      <c r="J45"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45" s="41" t="s">
        <v>117</v>
      </c>
    </row>
    <row r="46" spans="2:11" x14ac:dyDescent="0.25">
      <c r="B46" s="36">
        <v>45839</v>
      </c>
      <c r="C46" s="28" t="s">
        <v>93</v>
      </c>
      <c r="D46" s="28" t="s">
        <v>98</v>
      </c>
      <c r="E46" s="31">
        <v>84500</v>
      </c>
      <c r="F46" s="37" t="str">
        <f>IF(tblFuel[[#This Row],[Month]]="","",IFERROR(INDEX(tblSources[Activity unit],MATCH(tblFuel[[#This Row],[Source]],tblSources[Source],0)),""))</f>
        <v>kWh</v>
      </c>
      <c r="G46" s="37" t="str">
        <f>IF(tblFuel[[#This Row],[Month]]="","",IFERROR(INDEX(tblSources[Category],MATCH(tblFuel[[#This Row],[Source]],tblSources[Source],0)),""))</f>
        <v>Stationary combustion</v>
      </c>
      <c r="H46" s="38">
        <f>IF(tblFuel[[#This Row],[Month]]="","",IFERROR(INDEX(tblSources[Factor (kg CO2e/unit)],MATCH(tblFuel[[#This Row],[Source]],tblSources[Source],0)),""))</f>
        <v>0.183</v>
      </c>
      <c r="I46" s="39">
        <f>IF(tblFuel[[#This Row],[Month]]="","",IF(tblFuel[[#This Row],[Factor (kg CO2e/unit)]]="","",tblFuel[[#This Row],[Quantity]]*tblFuel[[#This Row],[Factor (kg CO2e/unit)]]/1000))</f>
        <v>15.4635</v>
      </c>
      <c r="J46"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46" s="41" t="s">
        <v>117</v>
      </c>
    </row>
    <row r="47" spans="2:11" x14ac:dyDescent="0.25">
      <c r="B47" s="36">
        <v>45839</v>
      </c>
      <c r="C47" s="28" t="s">
        <v>90</v>
      </c>
      <c r="D47" s="28" t="s">
        <v>103</v>
      </c>
      <c r="E47" s="31">
        <v>900</v>
      </c>
      <c r="F47" s="37" t="str">
        <f>IF(tblFuel[[#This Row],[Month]]="","",IFERROR(INDEX(tblSources[Activity unit],MATCH(tblFuel[[#This Row],[Source]],tblSources[Source],0)),""))</f>
        <v>L</v>
      </c>
      <c r="G47" s="37" t="str">
        <f>IF(tblFuel[[#This Row],[Month]]="","",IFERROR(INDEX(tblSources[Category],MATCH(tblFuel[[#This Row],[Source]],tblSources[Source],0)),""))</f>
        <v>Mobile combustion</v>
      </c>
      <c r="H47" s="38">
        <f>IF(tblFuel[[#This Row],[Month]]="","",IFERROR(INDEX(tblSources[Factor (kg CO2e/unit)],MATCH(tblFuel[[#This Row],[Source]],tblSources[Source],0)),""))</f>
        <v>2.66</v>
      </c>
      <c r="I47" s="39">
        <f>IF(tblFuel[[#This Row],[Month]]="","",IF(tblFuel[[#This Row],[Factor (kg CO2e/unit)]]="","",tblFuel[[#This Row],[Quantity]]*tblFuel[[#This Row],[Factor (kg CO2e/unit)]]/1000))</f>
        <v>2.394</v>
      </c>
      <c r="J47"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47" s="41" t="s">
        <v>117</v>
      </c>
    </row>
    <row r="48" spans="2:11" x14ac:dyDescent="0.25">
      <c r="B48" s="36">
        <v>45839</v>
      </c>
      <c r="C48" s="28" t="s">
        <v>90</v>
      </c>
      <c r="D48" s="28" t="s">
        <v>105</v>
      </c>
      <c r="E48" s="31">
        <v>1030</v>
      </c>
      <c r="F48" s="37" t="str">
        <f>IF(tblFuel[[#This Row],[Month]]="","",IFERROR(INDEX(tblSources[Activity unit],MATCH(tblFuel[[#This Row],[Source]],tblSources[Source],0)),""))</f>
        <v>kg</v>
      </c>
      <c r="G48" s="37" t="str">
        <f>IF(tblFuel[[#This Row],[Month]]="","",IFERROR(INDEX(tblSources[Category],MATCH(tblFuel[[#This Row],[Source]],tblSources[Source],0)),""))</f>
        <v>Mobile combustion</v>
      </c>
      <c r="H48" s="38">
        <f>IF(tblFuel[[#This Row],[Month]]="","",IFERROR(INDEX(tblSources[Factor (kg CO2e/unit)],MATCH(tblFuel[[#This Row],[Source]],tblSources[Source],0)),""))</f>
        <v>2.94</v>
      </c>
      <c r="I48" s="39">
        <f>IF(tblFuel[[#This Row],[Month]]="","",IF(tblFuel[[#This Row],[Factor (kg CO2e/unit)]]="","",tblFuel[[#This Row],[Quantity]]*tblFuel[[#This Row],[Factor (kg CO2e/unit)]]/1000))</f>
        <v>3.0282</v>
      </c>
      <c r="J48"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48" s="41" t="s">
        <v>117</v>
      </c>
    </row>
    <row r="49" spans="2:11" x14ac:dyDescent="0.25">
      <c r="B49" s="36">
        <v>45839</v>
      </c>
      <c r="C49" s="28" t="s">
        <v>93</v>
      </c>
      <c r="D49" s="28" t="s">
        <v>105</v>
      </c>
      <c r="E49" s="31">
        <v>350</v>
      </c>
      <c r="F49" s="37" t="str">
        <f>IF(tblFuel[[#This Row],[Month]]="","",IFERROR(INDEX(tblSources[Activity unit],MATCH(tblFuel[[#This Row],[Source]],tblSources[Source],0)),""))</f>
        <v>kg</v>
      </c>
      <c r="G49" s="37" t="str">
        <f>IF(tblFuel[[#This Row],[Month]]="","",IFERROR(INDEX(tblSources[Category],MATCH(tblFuel[[#This Row],[Source]],tblSources[Source],0)),""))</f>
        <v>Mobile combustion</v>
      </c>
      <c r="H49" s="38">
        <f>IF(tblFuel[[#This Row],[Month]]="","",IFERROR(INDEX(tblSources[Factor (kg CO2e/unit)],MATCH(tblFuel[[#This Row],[Source]],tblSources[Source],0)),""))</f>
        <v>2.94</v>
      </c>
      <c r="I49" s="39">
        <f>IF(tblFuel[[#This Row],[Month]]="","",IF(tblFuel[[#This Row],[Factor (kg CO2e/unit)]]="","",tblFuel[[#This Row],[Quantity]]*tblFuel[[#This Row],[Factor (kg CO2e/unit)]]/1000))</f>
        <v>1.029</v>
      </c>
      <c r="J49"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49" s="41" t="s">
        <v>117</v>
      </c>
    </row>
    <row r="50" spans="2:11" x14ac:dyDescent="0.25">
      <c r="B50" s="36">
        <v>45839</v>
      </c>
      <c r="C50" s="28" t="s">
        <v>90</v>
      </c>
      <c r="D50" s="28" t="s">
        <v>112</v>
      </c>
      <c r="E50" s="31">
        <v>380</v>
      </c>
      <c r="F50" s="37" t="str">
        <f>IF(tblFuel[[#This Row],[Month]]="","",IFERROR(INDEX(tblSources[Activity unit],MATCH(tblFuel[[#This Row],[Source]],tblSources[Source],0)),""))</f>
        <v>kg</v>
      </c>
      <c r="G50" s="37" t="str">
        <f>IF(tblFuel[[#This Row],[Month]]="","",IFERROR(INDEX(tblSources[Category],MATCH(tblFuel[[#This Row],[Source]],tblSources[Source],0)),""))</f>
        <v>Process emissions</v>
      </c>
      <c r="H50" s="38">
        <f>IF(tblFuel[[#This Row],[Month]]="","",IFERROR(INDEX(tblSources[Factor (kg CO2e/unit)],MATCH(tblFuel[[#This Row],[Source]],tblSources[Source],0)),""))</f>
        <v>1</v>
      </c>
      <c r="I50" s="39">
        <f>IF(tblFuel[[#This Row],[Month]]="","",IF(tblFuel[[#This Row],[Factor (kg CO2e/unit)]]="","",tblFuel[[#This Row],[Quantity]]*tblFuel[[#This Row],[Factor (kg CO2e/unit)]]/1000))</f>
        <v>0.38</v>
      </c>
      <c r="J50"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50" s="41" t="s">
        <v>117</v>
      </c>
    </row>
    <row r="51" spans="2:11" x14ac:dyDescent="0.25">
      <c r="B51" s="36">
        <v>45870</v>
      </c>
      <c r="C51" s="28" t="s">
        <v>90</v>
      </c>
      <c r="D51" s="28" t="s">
        <v>98</v>
      </c>
      <c r="E51" s="31">
        <v>206600</v>
      </c>
      <c r="F51" s="37" t="str">
        <f>IF(tblFuel[[#This Row],[Month]]="","",IFERROR(INDEX(tblSources[Activity unit],MATCH(tblFuel[[#This Row],[Source]],tblSources[Source],0)),""))</f>
        <v>kWh</v>
      </c>
      <c r="G51" s="37" t="str">
        <f>IF(tblFuel[[#This Row],[Month]]="","",IFERROR(INDEX(tblSources[Category],MATCH(tblFuel[[#This Row],[Source]],tblSources[Source],0)),""))</f>
        <v>Stationary combustion</v>
      </c>
      <c r="H51" s="38">
        <f>IF(tblFuel[[#This Row],[Month]]="","",IFERROR(INDEX(tblSources[Factor (kg CO2e/unit)],MATCH(tblFuel[[#This Row],[Source]],tblSources[Source],0)),""))</f>
        <v>0.183</v>
      </c>
      <c r="I51" s="39">
        <f>IF(tblFuel[[#This Row],[Month]]="","",IF(tblFuel[[#This Row],[Factor (kg CO2e/unit)]]="","",tblFuel[[#This Row],[Quantity]]*tblFuel[[#This Row],[Factor (kg CO2e/unit)]]/1000))</f>
        <v>37.8078</v>
      </c>
      <c r="J51"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51" s="41" t="s">
        <v>117</v>
      </c>
    </row>
    <row r="52" spans="2:11" x14ac:dyDescent="0.25">
      <c r="B52" s="36">
        <v>45870</v>
      </c>
      <c r="C52" s="28" t="s">
        <v>93</v>
      </c>
      <c r="D52" s="28" t="s">
        <v>98</v>
      </c>
      <c r="E52" s="31">
        <v>85200</v>
      </c>
      <c r="F52" s="37" t="str">
        <f>IF(tblFuel[[#This Row],[Month]]="","",IFERROR(INDEX(tblSources[Activity unit],MATCH(tblFuel[[#This Row],[Source]],tblSources[Source],0)),""))</f>
        <v>kWh</v>
      </c>
      <c r="G52" s="37" t="str">
        <f>IF(tblFuel[[#This Row],[Month]]="","",IFERROR(INDEX(tblSources[Category],MATCH(tblFuel[[#This Row],[Source]],tblSources[Source],0)),""))</f>
        <v>Stationary combustion</v>
      </c>
      <c r="H52" s="38">
        <f>IF(tblFuel[[#This Row],[Month]]="","",IFERROR(INDEX(tblSources[Factor (kg CO2e/unit)],MATCH(tblFuel[[#This Row],[Source]],tblSources[Source],0)),""))</f>
        <v>0.183</v>
      </c>
      <c r="I52" s="39">
        <f>IF(tblFuel[[#This Row],[Month]]="","",IF(tblFuel[[#This Row],[Factor (kg CO2e/unit)]]="","",tblFuel[[#This Row],[Quantity]]*tblFuel[[#This Row],[Factor (kg CO2e/unit)]]/1000))</f>
        <v>15.5916</v>
      </c>
      <c r="J52"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52" s="41" t="s">
        <v>117</v>
      </c>
    </row>
    <row r="53" spans="2:11" x14ac:dyDescent="0.25">
      <c r="B53" s="36">
        <v>45870</v>
      </c>
      <c r="C53" s="28" t="s">
        <v>90</v>
      </c>
      <c r="D53" s="28" t="s">
        <v>103</v>
      </c>
      <c r="E53" s="31">
        <v>800</v>
      </c>
      <c r="F53" s="37" t="str">
        <f>IF(tblFuel[[#This Row],[Month]]="","",IFERROR(INDEX(tblSources[Activity unit],MATCH(tblFuel[[#This Row],[Source]],tblSources[Source],0)),""))</f>
        <v>L</v>
      </c>
      <c r="G53" s="37" t="str">
        <f>IF(tblFuel[[#This Row],[Month]]="","",IFERROR(INDEX(tblSources[Category],MATCH(tblFuel[[#This Row],[Source]],tblSources[Source],0)),""))</f>
        <v>Mobile combustion</v>
      </c>
      <c r="H53" s="38">
        <f>IF(tblFuel[[#This Row],[Month]]="","",IFERROR(INDEX(tblSources[Factor (kg CO2e/unit)],MATCH(tblFuel[[#This Row],[Source]],tblSources[Source],0)),""))</f>
        <v>2.66</v>
      </c>
      <c r="I53" s="39">
        <f>IF(tblFuel[[#This Row],[Month]]="","",IF(tblFuel[[#This Row],[Factor (kg CO2e/unit)]]="","",tblFuel[[#This Row],[Quantity]]*tblFuel[[#This Row],[Factor (kg CO2e/unit)]]/1000))</f>
        <v>2.128</v>
      </c>
      <c r="J53"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53" s="41" t="s">
        <v>117</v>
      </c>
    </row>
    <row r="54" spans="2:11" x14ac:dyDescent="0.25">
      <c r="B54" s="36">
        <v>45870</v>
      </c>
      <c r="C54" s="28" t="s">
        <v>90</v>
      </c>
      <c r="D54" s="28" t="s">
        <v>105</v>
      </c>
      <c r="E54" s="31">
        <v>1130</v>
      </c>
      <c r="F54" s="37" t="str">
        <f>IF(tblFuel[[#This Row],[Month]]="","",IFERROR(INDEX(tblSources[Activity unit],MATCH(tblFuel[[#This Row],[Source]],tblSources[Source],0)),""))</f>
        <v>kg</v>
      </c>
      <c r="G54" s="37" t="str">
        <f>IF(tblFuel[[#This Row],[Month]]="","",IFERROR(INDEX(tblSources[Category],MATCH(tblFuel[[#This Row],[Source]],tblSources[Source],0)),""))</f>
        <v>Mobile combustion</v>
      </c>
      <c r="H54" s="38">
        <f>IF(tblFuel[[#This Row],[Month]]="","",IFERROR(INDEX(tblSources[Factor (kg CO2e/unit)],MATCH(tblFuel[[#This Row],[Source]],tblSources[Source],0)),""))</f>
        <v>2.94</v>
      </c>
      <c r="I54" s="39">
        <f>IF(tblFuel[[#This Row],[Month]]="","",IF(tblFuel[[#This Row],[Factor (kg CO2e/unit)]]="","",tblFuel[[#This Row],[Quantity]]*tblFuel[[#This Row],[Factor (kg CO2e/unit)]]/1000))</f>
        <v>3.3222</v>
      </c>
      <c r="J54"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54" s="41" t="s">
        <v>117</v>
      </c>
    </row>
    <row r="55" spans="2:11" x14ac:dyDescent="0.25">
      <c r="B55" s="36">
        <v>45870</v>
      </c>
      <c r="C55" s="28" t="s">
        <v>93</v>
      </c>
      <c r="D55" s="28" t="s">
        <v>105</v>
      </c>
      <c r="E55" s="31">
        <v>360</v>
      </c>
      <c r="F55" s="37" t="str">
        <f>IF(tblFuel[[#This Row],[Month]]="","",IFERROR(INDEX(tblSources[Activity unit],MATCH(tblFuel[[#This Row],[Source]],tblSources[Source],0)),""))</f>
        <v>kg</v>
      </c>
      <c r="G55" s="37" t="str">
        <f>IF(tblFuel[[#This Row],[Month]]="","",IFERROR(INDEX(tblSources[Category],MATCH(tblFuel[[#This Row],[Source]],tblSources[Source],0)),""))</f>
        <v>Mobile combustion</v>
      </c>
      <c r="H55" s="38">
        <f>IF(tblFuel[[#This Row],[Month]]="","",IFERROR(INDEX(tblSources[Factor (kg CO2e/unit)],MATCH(tblFuel[[#This Row],[Source]],tblSources[Source],0)),""))</f>
        <v>2.94</v>
      </c>
      <c r="I55" s="39">
        <f>IF(tblFuel[[#This Row],[Month]]="","",IF(tblFuel[[#This Row],[Factor (kg CO2e/unit)]]="","",tblFuel[[#This Row],[Quantity]]*tblFuel[[#This Row],[Factor (kg CO2e/unit)]]/1000))</f>
        <v>1.0584</v>
      </c>
      <c r="J55"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55" s="41" t="s">
        <v>117</v>
      </c>
    </row>
    <row r="56" spans="2:11" x14ac:dyDescent="0.25">
      <c r="B56" s="36">
        <v>45870</v>
      </c>
      <c r="C56" s="28" t="s">
        <v>90</v>
      </c>
      <c r="D56" s="28" t="s">
        <v>112</v>
      </c>
      <c r="E56" s="31">
        <v>380</v>
      </c>
      <c r="F56" s="37" t="str">
        <f>IF(tblFuel[[#This Row],[Month]]="","",IFERROR(INDEX(tblSources[Activity unit],MATCH(tblFuel[[#This Row],[Source]],tblSources[Source],0)),""))</f>
        <v>kg</v>
      </c>
      <c r="G56" s="37" t="str">
        <f>IF(tblFuel[[#This Row],[Month]]="","",IFERROR(INDEX(tblSources[Category],MATCH(tblFuel[[#This Row],[Source]],tblSources[Source],0)),""))</f>
        <v>Process emissions</v>
      </c>
      <c r="H56" s="38">
        <f>IF(tblFuel[[#This Row],[Month]]="","",IFERROR(INDEX(tblSources[Factor (kg CO2e/unit)],MATCH(tblFuel[[#This Row],[Source]],tblSources[Source],0)),""))</f>
        <v>1</v>
      </c>
      <c r="I56" s="39">
        <f>IF(tblFuel[[#This Row],[Month]]="","",IF(tblFuel[[#This Row],[Factor (kg CO2e/unit)]]="","",tblFuel[[#This Row],[Quantity]]*tblFuel[[#This Row],[Factor (kg CO2e/unit)]]/1000))</f>
        <v>0.38</v>
      </c>
      <c r="J56"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56" s="41" t="s">
        <v>117</v>
      </c>
    </row>
    <row r="57" spans="2:11" x14ac:dyDescent="0.25">
      <c r="B57" s="36">
        <v>45870</v>
      </c>
      <c r="C57" s="28" t="s">
        <v>93</v>
      </c>
      <c r="D57" s="28" t="s">
        <v>107</v>
      </c>
      <c r="E57" s="31">
        <v>16</v>
      </c>
      <c r="F57" s="37" t="str">
        <f>IF(tblFuel[[#This Row],[Month]]="","",IFERROR(INDEX(tblSources[Activity unit],MATCH(tblFuel[[#This Row],[Source]],tblSources[Source],0)),""))</f>
        <v>kg</v>
      </c>
      <c r="G57" s="37" t="str">
        <f>IF(tblFuel[[#This Row],[Month]]="","",IFERROR(INDEX(tblSources[Category],MATCH(tblFuel[[#This Row],[Source]],tblSources[Source],0)),""))</f>
        <v>Fugitive emissions</v>
      </c>
      <c r="H57" s="38">
        <f>IF(tblFuel[[#This Row],[Month]]="","",IFERROR(INDEX(tblSources[Factor (kg CO2e/unit)],MATCH(tblFuel[[#This Row],[Source]],tblSources[Source],0)),""))</f>
        <v>1924</v>
      </c>
      <c r="I57" s="39">
        <f>IF(tblFuel[[#This Row],[Month]]="","",IF(tblFuel[[#This Row],[Factor (kg CO2e/unit)]]="","",tblFuel[[#This Row],[Quantity]]*tblFuel[[#This Row],[Factor (kg CO2e/unit)]]/1000))</f>
        <v>30.784</v>
      </c>
      <c r="J57"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57" s="41" t="s">
        <v>125</v>
      </c>
    </row>
    <row r="58" spans="2:11" x14ac:dyDescent="0.25">
      <c r="B58" s="36">
        <v>45901</v>
      </c>
      <c r="C58" s="28" t="s">
        <v>90</v>
      </c>
      <c r="D58" s="28" t="s">
        <v>98</v>
      </c>
      <c r="E58" s="31">
        <v>209700</v>
      </c>
      <c r="F58" s="37" t="str">
        <f>IF(tblFuel[[#This Row],[Month]]="","",IFERROR(INDEX(tblSources[Activity unit],MATCH(tblFuel[[#This Row],[Source]],tblSources[Source],0)),""))</f>
        <v>kWh</v>
      </c>
      <c r="G58" s="37" t="str">
        <f>IF(tblFuel[[#This Row],[Month]]="","",IFERROR(INDEX(tblSources[Category],MATCH(tblFuel[[#This Row],[Source]],tblSources[Source],0)),""))</f>
        <v>Stationary combustion</v>
      </c>
      <c r="H58" s="38">
        <f>IF(tblFuel[[#This Row],[Month]]="","",IFERROR(INDEX(tblSources[Factor (kg CO2e/unit)],MATCH(tblFuel[[#This Row],[Source]],tblSources[Source],0)),""))</f>
        <v>0.183</v>
      </c>
      <c r="I58" s="39">
        <f>IF(tblFuel[[#This Row],[Month]]="","",IF(tblFuel[[#This Row],[Factor (kg CO2e/unit)]]="","",tblFuel[[#This Row],[Quantity]]*tblFuel[[#This Row],[Factor (kg CO2e/unit)]]/1000))</f>
        <v>38.3751</v>
      </c>
      <c r="J58"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58" s="41" t="s">
        <v>117</v>
      </c>
    </row>
    <row r="59" spans="2:11" x14ac:dyDescent="0.25">
      <c r="B59" s="36">
        <v>45901</v>
      </c>
      <c r="C59" s="28" t="s">
        <v>93</v>
      </c>
      <c r="D59" s="28" t="s">
        <v>98</v>
      </c>
      <c r="E59" s="31">
        <v>81200</v>
      </c>
      <c r="F59" s="37" t="str">
        <f>IF(tblFuel[[#This Row],[Month]]="","",IFERROR(INDEX(tblSources[Activity unit],MATCH(tblFuel[[#This Row],[Source]],tblSources[Source],0)),""))</f>
        <v>kWh</v>
      </c>
      <c r="G59" s="37" t="str">
        <f>IF(tblFuel[[#This Row],[Month]]="","",IFERROR(INDEX(tblSources[Category],MATCH(tblFuel[[#This Row],[Source]],tblSources[Source],0)),""))</f>
        <v>Stationary combustion</v>
      </c>
      <c r="H59" s="38">
        <f>IF(tblFuel[[#This Row],[Month]]="","",IFERROR(INDEX(tblSources[Factor (kg CO2e/unit)],MATCH(tblFuel[[#This Row],[Source]],tblSources[Source],0)),""))</f>
        <v>0.183</v>
      </c>
      <c r="I59" s="39">
        <f>IF(tblFuel[[#This Row],[Month]]="","",IF(tblFuel[[#This Row],[Factor (kg CO2e/unit)]]="","",tblFuel[[#This Row],[Quantity]]*tblFuel[[#This Row],[Factor (kg CO2e/unit)]]/1000))</f>
        <v>14.8596</v>
      </c>
      <c r="J59"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59" s="41" t="s">
        <v>117</v>
      </c>
    </row>
    <row r="60" spans="2:11" x14ac:dyDescent="0.25">
      <c r="B60" s="36">
        <v>45901</v>
      </c>
      <c r="C60" s="28" t="s">
        <v>90</v>
      </c>
      <c r="D60" s="28" t="s">
        <v>103</v>
      </c>
      <c r="E60" s="31">
        <v>740</v>
      </c>
      <c r="F60" s="37" t="str">
        <f>IF(tblFuel[[#This Row],[Month]]="","",IFERROR(INDEX(tblSources[Activity unit],MATCH(tblFuel[[#This Row],[Source]],tblSources[Source],0)),""))</f>
        <v>L</v>
      </c>
      <c r="G60" s="37" t="str">
        <f>IF(tblFuel[[#This Row],[Month]]="","",IFERROR(INDEX(tblSources[Category],MATCH(tblFuel[[#This Row],[Source]],tblSources[Source],0)),""))</f>
        <v>Mobile combustion</v>
      </c>
      <c r="H60" s="38">
        <f>IF(tblFuel[[#This Row],[Month]]="","",IFERROR(INDEX(tblSources[Factor (kg CO2e/unit)],MATCH(tblFuel[[#This Row],[Source]],tblSources[Source],0)),""))</f>
        <v>2.66</v>
      </c>
      <c r="I60" s="39">
        <f>IF(tblFuel[[#This Row],[Month]]="","",IF(tblFuel[[#This Row],[Factor (kg CO2e/unit)]]="","",tblFuel[[#This Row],[Quantity]]*tblFuel[[#This Row],[Factor (kg CO2e/unit)]]/1000))</f>
        <v>1.9684</v>
      </c>
      <c r="J60"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60" s="41" t="s">
        <v>117</v>
      </c>
    </row>
    <row r="61" spans="2:11" x14ac:dyDescent="0.25">
      <c r="B61" s="36">
        <v>45901</v>
      </c>
      <c r="C61" s="28" t="s">
        <v>90</v>
      </c>
      <c r="D61" s="28" t="s">
        <v>105</v>
      </c>
      <c r="E61" s="31">
        <v>1050</v>
      </c>
      <c r="F61" s="37" t="str">
        <f>IF(tblFuel[[#This Row],[Month]]="","",IFERROR(INDEX(tblSources[Activity unit],MATCH(tblFuel[[#This Row],[Source]],tblSources[Source],0)),""))</f>
        <v>kg</v>
      </c>
      <c r="G61" s="37" t="str">
        <f>IF(tblFuel[[#This Row],[Month]]="","",IFERROR(INDEX(tblSources[Category],MATCH(tblFuel[[#This Row],[Source]],tblSources[Source],0)),""))</f>
        <v>Mobile combustion</v>
      </c>
      <c r="H61" s="38">
        <f>IF(tblFuel[[#This Row],[Month]]="","",IFERROR(INDEX(tblSources[Factor (kg CO2e/unit)],MATCH(tblFuel[[#This Row],[Source]],tblSources[Source],0)),""))</f>
        <v>2.94</v>
      </c>
      <c r="I61" s="39">
        <f>IF(tblFuel[[#This Row],[Month]]="","",IF(tblFuel[[#This Row],[Factor (kg CO2e/unit)]]="","",tblFuel[[#This Row],[Quantity]]*tblFuel[[#This Row],[Factor (kg CO2e/unit)]]/1000))</f>
        <v>3.087</v>
      </c>
      <c r="J61"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61" s="41" t="s">
        <v>117</v>
      </c>
    </row>
    <row r="62" spans="2:11" x14ac:dyDescent="0.25">
      <c r="B62" s="36">
        <v>45901</v>
      </c>
      <c r="C62" s="28" t="s">
        <v>93</v>
      </c>
      <c r="D62" s="28" t="s">
        <v>105</v>
      </c>
      <c r="E62" s="31">
        <v>320</v>
      </c>
      <c r="F62" s="37" t="str">
        <f>IF(tblFuel[[#This Row],[Month]]="","",IFERROR(INDEX(tblSources[Activity unit],MATCH(tblFuel[[#This Row],[Source]],tblSources[Source],0)),""))</f>
        <v>kg</v>
      </c>
      <c r="G62" s="37" t="str">
        <f>IF(tblFuel[[#This Row],[Month]]="","",IFERROR(INDEX(tblSources[Category],MATCH(tblFuel[[#This Row],[Source]],tblSources[Source],0)),""))</f>
        <v>Mobile combustion</v>
      </c>
      <c r="H62" s="38">
        <f>IF(tblFuel[[#This Row],[Month]]="","",IFERROR(INDEX(tblSources[Factor (kg CO2e/unit)],MATCH(tblFuel[[#This Row],[Source]],tblSources[Source],0)),""))</f>
        <v>2.94</v>
      </c>
      <c r="I62" s="39">
        <f>IF(tblFuel[[#This Row],[Month]]="","",IF(tblFuel[[#This Row],[Factor (kg CO2e/unit)]]="","",tblFuel[[#This Row],[Quantity]]*tblFuel[[#This Row],[Factor (kg CO2e/unit)]]/1000))</f>
        <v>0.9408</v>
      </c>
      <c r="J62"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62" s="41" t="s">
        <v>117</v>
      </c>
    </row>
    <row r="63" spans="2:11" x14ac:dyDescent="0.25">
      <c r="B63" s="36">
        <v>45901</v>
      </c>
      <c r="C63" s="28" t="s">
        <v>90</v>
      </c>
      <c r="D63" s="28" t="s">
        <v>112</v>
      </c>
      <c r="E63" s="31">
        <v>390</v>
      </c>
      <c r="F63" s="37" t="str">
        <f>IF(tblFuel[[#This Row],[Month]]="","",IFERROR(INDEX(tblSources[Activity unit],MATCH(tblFuel[[#This Row],[Source]],tblSources[Source],0)),""))</f>
        <v>kg</v>
      </c>
      <c r="G63" s="37" t="str">
        <f>IF(tblFuel[[#This Row],[Month]]="","",IFERROR(INDEX(tblSources[Category],MATCH(tblFuel[[#This Row],[Source]],tblSources[Source],0)),""))</f>
        <v>Process emissions</v>
      </c>
      <c r="H63" s="38">
        <f>IF(tblFuel[[#This Row],[Month]]="","",IFERROR(INDEX(tblSources[Factor (kg CO2e/unit)],MATCH(tblFuel[[#This Row],[Source]],tblSources[Source],0)),""))</f>
        <v>1</v>
      </c>
      <c r="I63" s="39">
        <f>IF(tblFuel[[#This Row],[Month]]="","",IF(tblFuel[[#This Row],[Factor (kg CO2e/unit)]]="","",tblFuel[[#This Row],[Quantity]]*tblFuel[[#This Row],[Factor (kg CO2e/unit)]]/1000))</f>
        <v>0.39</v>
      </c>
      <c r="J63"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63" s="41" t="s">
        <v>117</v>
      </c>
    </row>
    <row r="64" spans="2:11" x14ac:dyDescent="0.25">
      <c r="B64" s="36">
        <v>45901</v>
      </c>
      <c r="C64" s="28" t="s">
        <v>90</v>
      </c>
      <c r="D64" s="28" t="s">
        <v>101</v>
      </c>
      <c r="E64" s="31">
        <v>120</v>
      </c>
      <c r="F64" s="37" t="str">
        <f>IF(tblFuel[[#This Row],[Month]]="","",IFERROR(INDEX(tblSources[Activity unit],MATCH(tblFuel[[#This Row],[Source]],tblSources[Source],0)),""))</f>
        <v>L</v>
      </c>
      <c r="G64" s="37" t="str">
        <f>IF(tblFuel[[#This Row],[Month]]="","",IFERROR(INDEX(tblSources[Category],MATCH(tblFuel[[#This Row],[Source]],tblSources[Source],0)),""))</f>
        <v>Stationary combustion</v>
      </c>
      <c r="H64" s="38">
        <f>IF(tblFuel[[#This Row],[Month]]="","",IFERROR(INDEX(tblSources[Factor (kg CO2e/unit)],MATCH(tblFuel[[#This Row],[Source]],tblSources[Source],0)),""))</f>
        <v>2.66</v>
      </c>
      <c r="I64" s="39">
        <f>IF(tblFuel[[#This Row],[Month]]="","",IF(tblFuel[[#This Row],[Factor (kg CO2e/unit)]]="","",tblFuel[[#This Row],[Quantity]]*tblFuel[[#This Row],[Factor (kg CO2e/unit)]]/1000))</f>
        <v>0.3192</v>
      </c>
      <c r="J64"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64" s="41" t="s">
        <v>123</v>
      </c>
    </row>
    <row r="65" spans="2:11" x14ac:dyDescent="0.25">
      <c r="B65" s="36">
        <v>45931</v>
      </c>
      <c r="C65" s="28" t="s">
        <v>90</v>
      </c>
      <c r="D65" s="28" t="s">
        <v>98</v>
      </c>
      <c r="E65" s="31">
        <v>222200</v>
      </c>
      <c r="F65" s="37" t="str">
        <f>IF(tblFuel[[#This Row],[Month]]="","",IFERROR(INDEX(tblSources[Activity unit],MATCH(tblFuel[[#This Row],[Source]],tblSources[Source],0)),""))</f>
        <v>kWh</v>
      </c>
      <c r="G65" s="37" t="str">
        <f>IF(tblFuel[[#This Row],[Month]]="","",IFERROR(INDEX(tblSources[Category],MATCH(tblFuel[[#This Row],[Source]],tblSources[Source],0)),""))</f>
        <v>Stationary combustion</v>
      </c>
      <c r="H65" s="38">
        <f>IF(tblFuel[[#This Row],[Month]]="","",IFERROR(INDEX(tblSources[Factor (kg CO2e/unit)],MATCH(tblFuel[[#This Row],[Source]],tblSources[Source],0)),""))</f>
        <v>0.183</v>
      </c>
      <c r="I65" s="39">
        <f>IF(tblFuel[[#This Row],[Month]]="","",IF(tblFuel[[#This Row],[Factor (kg CO2e/unit)]]="","",tblFuel[[#This Row],[Quantity]]*tblFuel[[#This Row],[Factor (kg CO2e/unit)]]/1000))</f>
        <v>40.6626</v>
      </c>
      <c r="J65"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65" s="41" t="s">
        <v>117</v>
      </c>
    </row>
    <row r="66" spans="2:11" x14ac:dyDescent="0.25">
      <c r="B66" s="36">
        <v>45931</v>
      </c>
      <c r="C66" s="28" t="s">
        <v>93</v>
      </c>
      <c r="D66" s="28" t="s">
        <v>98</v>
      </c>
      <c r="E66" s="31">
        <v>89800</v>
      </c>
      <c r="F66" s="37" t="str">
        <f>IF(tblFuel[[#This Row],[Month]]="","",IFERROR(INDEX(tblSources[Activity unit],MATCH(tblFuel[[#This Row],[Source]],tblSources[Source],0)),""))</f>
        <v>kWh</v>
      </c>
      <c r="G66" s="37" t="str">
        <f>IF(tblFuel[[#This Row],[Month]]="","",IFERROR(INDEX(tblSources[Category],MATCH(tblFuel[[#This Row],[Source]],tblSources[Source],0)),""))</f>
        <v>Stationary combustion</v>
      </c>
      <c r="H66" s="38">
        <f>IF(tblFuel[[#This Row],[Month]]="","",IFERROR(INDEX(tblSources[Factor (kg CO2e/unit)],MATCH(tblFuel[[#This Row],[Source]],tblSources[Source],0)),""))</f>
        <v>0.183</v>
      </c>
      <c r="I66" s="39">
        <f>IF(tblFuel[[#This Row],[Month]]="","",IF(tblFuel[[#This Row],[Factor (kg CO2e/unit)]]="","",tblFuel[[#This Row],[Quantity]]*tblFuel[[#This Row],[Factor (kg CO2e/unit)]]/1000))</f>
        <v>16.4334</v>
      </c>
      <c r="J66"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66" s="41" t="s">
        <v>117</v>
      </c>
    </row>
    <row r="67" spans="2:11" x14ac:dyDescent="0.25">
      <c r="B67" s="36">
        <v>45931</v>
      </c>
      <c r="C67" s="28" t="s">
        <v>90</v>
      </c>
      <c r="D67" s="28" t="s">
        <v>103</v>
      </c>
      <c r="E67" s="31">
        <v>790</v>
      </c>
      <c r="F67" s="37" t="str">
        <f>IF(tblFuel[[#This Row],[Month]]="","",IFERROR(INDEX(tblSources[Activity unit],MATCH(tblFuel[[#This Row],[Source]],tblSources[Source],0)),""))</f>
        <v>L</v>
      </c>
      <c r="G67" s="37" t="str">
        <f>IF(tblFuel[[#This Row],[Month]]="","",IFERROR(INDEX(tblSources[Category],MATCH(tblFuel[[#This Row],[Source]],tblSources[Source],0)),""))</f>
        <v>Mobile combustion</v>
      </c>
      <c r="H67" s="38">
        <f>IF(tblFuel[[#This Row],[Month]]="","",IFERROR(INDEX(tblSources[Factor (kg CO2e/unit)],MATCH(tblFuel[[#This Row],[Source]],tblSources[Source],0)),""))</f>
        <v>2.66</v>
      </c>
      <c r="I67" s="39">
        <f>IF(tblFuel[[#This Row],[Month]]="","",IF(tblFuel[[#This Row],[Factor (kg CO2e/unit)]]="","",tblFuel[[#This Row],[Quantity]]*tblFuel[[#This Row],[Factor (kg CO2e/unit)]]/1000))</f>
        <v>2.1014</v>
      </c>
      <c r="J67"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67" s="41" t="s">
        <v>117</v>
      </c>
    </row>
    <row r="68" spans="2:11" x14ac:dyDescent="0.25">
      <c r="B68" s="36">
        <v>45931</v>
      </c>
      <c r="C68" s="28" t="s">
        <v>90</v>
      </c>
      <c r="D68" s="28" t="s">
        <v>105</v>
      </c>
      <c r="E68" s="31">
        <v>1120</v>
      </c>
      <c r="F68" s="37" t="str">
        <f>IF(tblFuel[[#This Row],[Month]]="","",IFERROR(INDEX(tblSources[Activity unit],MATCH(tblFuel[[#This Row],[Source]],tblSources[Source],0)),""))</f>
        <v>kg</v>
      </c>
      <c r="G68" s="37" t="str">
        <f>IF(tblFuel[[#This Row],[Month]]="","",IFERROR(INDEX(tblSources[Category],MATCH(tblFuel[[#This Row],[Source]],tblSources[Source],0)),""))</f>
        <v>Mobile combustion</v>
      </c>
      <c r="H68" s="38">
        <f>IF(tblFuel[[#This Row],[Month]]="","",IFERROR(INDEX(tblSources[Factor (kg CO2e/unit)],MATCH(tblFuel[[#This Row],[Source]],tblSources[Source],0)),""))</f>
        <v>2.94</v>
      </c>
      <c r="I68" s="39">
        <f>IF(tblFuel[[#This Row],[Month]]="","",IF(tblFuel[[#This Row],[Factor (kg CO2e/unit)]]="","",tblFuel[[#This Row],[Quantity]]*tblFuel[[#This Row],[Factor (kg CO2e/unit)]]/1000))</f>
        <v>3.2928</v>
      </c>
      <c r="J68"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68" s="41" t="s">
        <v>117</v>
      </c>
    </row>
    <row r="69" spans="2:11" x14ac:dyDescent="0.25">
      <c r="B69" s="36">
        <v>45931</v>
      </c>
      <c r="C69" s="28" t="s">
        <v>93</v>
      </c>
      <c r="D69" s="28" t="s">
        <v>105</v>
      </c>
      <c r="E69" s="31">
        <v>360</v>
      </c>
      <c r="F69" s="37" t="str">
        <f>IF(tblFuel[[#This Row],[Month]]="","",IFERROR(INDEX(tblSources[Activity unit],MATCH(tblFuel[[#This Row],[Source]],tblSources[Source],0)),""))</f>
        <v>kg</v>
      </c>
      <c r="G69" s="37" t="str">
        <f>IF(tblFuel[[#This Row],[Month]]="","",IFERROR(INDEX(tblSources[Category],MATCH(tblFuel[[#This Row],[Source]],tblSources[Source],0)),""))</f>
        <v>Mobile combustion</v>
      </c>
      <c r="H69" s="38">
        <f>IF(tblFuel[[#This Row],[Month]]="","",IFERROR(INDEX(tblSources[Factor (kg CO2e/unit)],MATCH(tblFuel[[#This Row],[Source]],tblSources[Source],0)),""))</f>
        <v>2.94</v>
      </c>
      <c r="I69" s="39">
        <f>IF(tblFuel[[#This Row],[Month]]="","",IF(tblFuel[[#This Row],[Factor (kg CO2e/unit)]]="","",tblFuel[[#This Row],[Quantity]]*tblFuel[[#This Row],[Factor (kg CO2e/unit)]]/1000))</f>
        <v>1.0584</v>
      </c>
      <c r="J69"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69" s="41" t="s">
        <v>117</v>
      </c>
    </row>
    <row r="70" spans="2:11" x14ac:dyDescent="0.25">
      <c r="B70" s="36">
        <v>45931</v>
      </c>
      <c r="C70" s="28" t="s">
        <v>90</v>
      </c>
      <c r="D70" s="28" t="s">
        <v>112</v>
      </c>
      <c r="E70" s="31">
        <v>410</v>
      </c>
      <c r="F70" s="37" t="str">
        <f>IF(tblFuel[[#This Row],[Month]]="","",IFERROR(INDEX(tblSources[Activity unit],MATCH(tblFuel[[#This Row],[Source]],tblSources[Source],0)),""))</f>
        <v>kg</v>
      </c>
      <c r="G70" s="37" t="str">
        <f>IF(tblFuel[[#This Row],[Month]]="","",IFERROR(INDEX(tblSources[Category],MATCH(tblFuel[[#This Row],[Source]],tblSources[Source],0)),""))</f>
        <v>Process emissions</v>
      </c>
      <c r="H70" s="38">
        <f>IF(tblFuel[[#This Row],[Month]]="","",IFERROR(INDEX(tblSources[Factor (kg CO2e/unit)],MATCH(tblFuel[[#This Row],[Source]],tblSources[Source],0)),""))</f>
        <v>1</v>
      </c>
      <c r="I70" s="39">
        <f>IF(tblFuel[[#This Row],[Month]]="","",IF(tblFuel[[#This Row],[Factor (kg CO2e/unit)]]="","",tblFuel[[#This Row],[Quantity]]*tblFuel[[#This Row],[Factor (kg CO2e/unit)]]/1000))</f>
        <v>0.41</v>
      </c>
      <c r="J70"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70" s="41" t="s">
        <v>117</v>
      </c>
    </row>
    <row r="71" spans="2:11" x14ac:dyDescent="0.25">
      <c r="B71" s="36">
        <v>45962</v>
      </c>
      <c r="C71" s="28" t="s">
        <v>90</v>
      </c>
      <c r="D71" s="28" t="s">
        <v>98</v>
      </c>
      <c r="E71" s="31">
        <v>235300</v>
      </c>
      <c r="F71" s="37" t="str">
        <f>IF(tblFuel[[#This Row],[Month]]="","",IFERROR(INDEX(tblSources[Activity unit],MATCH(tblFuel[[#This Row],[Source]],tblSources[Source],0)),""))</f>
        <v>kWh</v>
      </c>
      <c r="G71" s="37" t="str">
        <f>IF(tblFuel[[#This Row],[Month]]="","",IFERROR(INDEX(tblSources[Category],MATCH(tblFuel[[#This Row],[Source]],tblSources[Source],0)),""))</f>
        <v>Stationary combustion</v>
      </c>
      <c r="H71" s="38">
        <f>IF(tblFuel[[#This Row],[Month]]="","",IFERROR(INDEX(tblSources[Factor (kg CO2e/unit)],MATCH(tblFuel[[#This Row],[Source]],tblSources[Source],0)),""))</f>
        <v>0.183</v>
      </c>
      <c r="I71" s="39">
        <f>IF(tblFuel[[#This Row],[Month]]="","",IF(tblFuel[[#This Row],[Factor (kg CO2e/unit)]]="","",tblFuel[[#This Row],[Quantity]]*tblFuel[[#This Row],[Factor (kg CO2e/unit)]]/1000))</f>
        <v>43.0599</v>
      </c>
      <c r="J71"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71" s="41" t="s">
        <v>117</v>
      </c>
    </row>
    <row r="72" spans="2:11" x14ac:dyDescent="0.25">
      <c r="B72" s="36">
        <v>45962</v>
      </c>
      <c r="C72" s="28" t="s">
        <v>93</v>
      </c>
      <c r="D72" s="28" t="s">
        <v>98</v>
      </c>
      <c r="E72" s="31">
        <v>100400</v>
      </c>
      <c r="F72" s="37" t="str">
        <f>IF(tblFuel[[#This Row],[Month]]="","",IFERROR(INDEX(tblSources[Activity unit],MATCH(tblFuel[[#This Row],[Source]],tblSources[Source],0)),""))</f>
        <v>kWh</v>
      </c>
      <c r="G72" s="37" t="str">
        <f>IF(tblFuel[[#This Row],[Month]]="","",IFERROR(INDEX(tblSources[Category],MATCH(tblFuel[[#This Row],[Source]],tblSources[Source],0)),""))</f>
        <v>Stationary combustion</v>
      </c>
      <c r="H72" s="38">
        <f>IF(tblFuel[[#This Row],[Month]]="","",IFERROR(INDEX(tblSources[Factor (kg CO2e/unit)],MATCH(tblFuel[[#This Row],[Source]],tblSources[Source],0)),""))</f>
        <v>0.183</v>
      </c>
      <c r="I72" s="39">
        <f>IF(tblFuel[[#This Row],[Month]]="","",IF(tblFuel[[#This Row],[Factor (kg CO2e/unit)]]="","",tblFuel[[#This Row],[Quantity]]*tblFuel[[#This Row],[Factor (kg CO2e/unit)]]/1000))</f>
        <v>18.3732</v>
      </c>
      <c r="J72"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72" s="41" t="s">
        <v>117</v>
      </c>
    </row>
    <row r="73" spans="2:11" x14ac:dyDescent="0.25">
      <c r="B73" s="36">
        <v>45962</v>
      </c>
      <c r="C73" s="28" t="s">
        <v>90</v>
      </c>
      <c r="D73" s="28" t="s">
        <v>103</v>
      </c>
      <c r="E73" s="31">
        <v>820</v>
      </c>
      <c r="F73" s="37" t="str">
        <f>IF(tblFuel[[#This Row],[Month]]="","",IFERROR(INDEX(tblSources[Activity unit],MATCH(tblFuel[[#This Row],[Source]],tblSources[Source],0)),""))</f>
        <v>L</v>
      </c>
      <c r="G73" s="37" t="str">
        <f>IF(tblFuel[[#This Row],[Month]]="","",IFERROR(INDEX(tblSources[Category],MATCH(tblFuel[[#This Row],[Source]],tblSources[Source],0)),""))</f>
        <v>Mobile combustion</v>
      </c>
      <c r="H73" s="38">
        <f>IF(tblFuel[[#This Row],[Month]]="","",IFERROR(INDEX(tblSources[Factor (kg CO2e/unit)],MATCH(tblFuel[[#This Row],[Source]],tblSources[Source],0)),""))</f>
        <v>2.66</v>
      </c>
      <c r="I73" s="39">
        <f>IF(tblFuel[[#This Row],[Month]]="","",IF(tblFuel[[#This Row],[Factor (kg CO2e/unit)]]="","",tblFuel[[#This Row],[Quantity]]*tblFuel[[#This Row],[Factor (kg CO2e/unit)]]/1000))</f>
        <v>2.1812</v>
      </c>
      <c r="J73"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73" s="41" t="s">
        <v>117</v>
      </c>
    </row>
    <row r="74" spans="2:11" x14ac:dyDescent="0.25">
      <c r="B74" s="36">
        <v>45962</v>
      </c>
      <c r="C74" s="28" t="s">
        <v>90</v>
      </c>
      <c r="D74" s="28" t="s">
        <v>105</v>
      </c>
      <c r="E74" s="31">
        <v>1020</v>
      </c>
      <c r="F74" s="37" t="str">
        <f>IF(tblFuel[[#This Row],[Month]]="","",IFERROR(INDEX(tblSources[Activity unit],MATCH(tblFuel[[#This Row],[Source]],tblSources[Source],0)),""))</f>
        <v>kg</v>
      </c>
      <c r="G74" s="37" t="str">
        <f>IF(tblFuel[[#This Row],[Month]]="","",IFERROR(INDEX(tblSources[Category],MATCH(tblFuel[[#This Row],[Source]],tblSources[Source],0)),""))</f>
        <v>Mobile combustion</v>
      </c>
      <c r="H74" s="38">
        <f>IF(tblFuel[[#This Row],[Month]]="","",IFERROR(INDEX(tblSources[Factor (kg CO2e/unit)],MATCH(tblFuel[[#This Row],[Source]],tblSources[Source],0)),""))</f>
        <v>2.94</v>
      </c>
      <c r="I74" s="39">
        <f>IF(tblFuel[[#This Row],[Month]]="","",IF(tblFuel[[#This Row],[Factor (kg CO2e/unit)]]="","",tblFuel[[#This Row],[Quantity]]*tblFuel[[#This Row],[Factor (kg CO2e/unit)]]/1000))</f>
        <v>2.9988</v>
      </c>
      <c r="J74"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74" s="41" t="s">
        <v>117</v>
      </c>
    </row>
    <row r="75" spans="2:11" x14ac:dyDescent="0.25">
      <c r="B75" s="36">
        <v>45962</v>
      </c>
      <c r="C75" s="28" t="s">
        <v>93</v>
      </c>
      <c r="D75" s="28" t="s">
        <v>105</v>
      </c>
      <c r="E75" s="31">
        <v>310</v>
      </c>
      <c r="F75" s="37" t="str">
        <f>IF(tblFuel[[#This Row],[Month]]="","",IFERROR(INDEX(tblSources[Activity unit],MATCH(tblFuel[[#This Row],[Source]],tblSources[Source],0)),""))</f>
        <v>kg</v>
      </c>
      <c r="G75" s="37" t="str">
        <f>IF(tblFuel[[#This Row],[Month]]="","",IFERROR(INDEX(tblSources[Category],MATCH(tblFuel[[#This Row],[Source]],tblSources[Source],0)),""))</f>
        <v>Mobile combustion</v>
      </c>
      <c r="H75" s="38">
        <f>IF(tblFuel[[#This Row],[Month]]="","",IFERROR(INDEX(tblSources[Factor (kg CO2e/unit)],MATCH(tblFuel[[#This Row],[Source]],tblSources[Source],0)),""))</f>
        <v>2.94</v>
      </c>
      <c r="I75" s="39">
        <f>IF(tblFuel[[#This Row],[Month]]="","",IF(tblFuel[[#This Row],[Factor (kg CO2e/unit)]]="","",tblFuel[[#This Row],[Quantity]]*tblFuel[[#This Row],[Factor (kg CO2e/unit)]]/1000))</f>
        <v>0.9114</v>
      </c>
      <c r="J75"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75" s="41" t="s">
        <v>117</v>
      </c>
    </row>
    <row r="76" spans="2:11" x14ac:dyDescent="0.25">
      <c r="B76" s="36">
        <v>45962</v>
      </c>
      <c r="C76" s="28" t="s">
        <v>90</v>
      </c>
      <c r="D76" s="28" t="s">
        <v>112</v>
      </c>
      <c r="E76" s="31">
        <v>380</v>
      </c>
      <c r="F76" s="37" t="str">
        <f>IF(tblFuel[[#This Row],[Month]]="","",IFERROR(INDEX(tblSources[Activity unit],MATCH(tblFuel[[#This Row],[Source]],tblSources[Source],0)),""))</f>
        <v>kg</v>
      </c>
      <c r="G76" s="37" t="str">
        <f>IF(tblFuel[[#This Row],[Month]]="","",IFERROR(INDEX(tblSources[Category],MATCH(tblFuel[[#This Row],[Source]],tblSources[Source],0)),""))</f>
        <v>Process emissions</v>
      </c>
      <c r="H76" s="38">
        <f>IF(tblFuel[[#This Row],[Month]]="","",IFERROR(INDEX(tblSources[Factor (kg CO2e/unit)],MATCH(tblFuel[[#This Row],[Source]],tblSources[Source],0)),""))</f>
        <v>1</v>
      </c>
      <c r="I76" s="39">
        <f>IF(tblFuel[[#This Row],[Month]]="","",IF(tblFuel[[#This Row],[Factor (kg CO2e/unit)]]="","",tblFuel[[#This Row],[Quantity]]*tblFuel[[#This Row],[Factor (kg CO2e/unit)]]/1000))</f>
        <v>0.38</v>
      </c>
      <c r="J76"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76" s="41" t="s">
        <v>117</v>
      </c>
    </row>
    <row r="77" spans="2:11" x14ac:dyDescent="0.25">
      <c r="B77" s="36">
        <v>45992</v>
      </c>
      <c r="C77" s="28" t="s">
        <v>90</v>
      </c>
      <c r="D77" s="28" t="s">
        <v>98</v>
      </c>
      <c r="E77" s="31">
        <v>251600</v>
      </c>
      <c r="F77" s="37" t="str">
        <f>IF(tblFuel[[#This Row],[Month]]="","",IFERROR(INDEX(tblSources[Activity unit],MATCH(tblFuel[[#This Row],[Source]],tblSources[Source],0)),""))</f>
        <v>kWh</v>
      </c>
      <c r="G77" s="37" t="str">
        <f>IF(tblFuel[[#This Row],[Month]]="","",IFERROR(INDEX(tblSources[Category],MATCH(tblFuel[[#This Row],[Source]],tblSources[Source],0)),""))</f>
        <v>Stationary combustion</v>
      </c>
      <c r="H77" s="38">
        <f>IF(tblFuel[[#This Row],[Month]]="","",IFERROR(INDEX(tblSources[Factor (kg CO2e/unit)],MATCH(tblFuel[[#This Row],[Source]],tblSources[Source],0)),""))</f>
        <v>0.183</v>
      </c>
      <c r="I77" s="39">
        <f>IF(tblFuel[[#This Row],[Month]]="","",IF(tblFuel[[#This Row],[Factor (kg CO2e/unit)]]="","",tblFuel[[#This Row],[Quantity]]*tblFuel[[#This Row],[Factor (kg CO2e/unit)]]/1000))</f>
        <v>46.0428</v>
      </c>
      <c r="J77"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77" s="41" t="s">
        <v>117</v>
      </c>
    </row>
    <row r="78" spans="2:11" x14ac:dyDescent="0.25">
      <c r="B78" s="36">
        <v>45992</v>
      </c>
      <c r="C78" s="28" t="s">
        <v>93</v>
      </c>
      <c r="D78" s="28" t="s">
        <v>98</v>
      </c>
      <c r="E78" s="31">
        <v>100100</v>
      </c>
      <c r="F78" s="37" t="str">
        <f>IF(tblFuel[[#This Row],[Month]]="","",IFERROR(INDEX(tblSources[Activity unit],MATCH(tblFuel[[#This Row],[Source]],tblSources[Source],0)),""))</f>
        <v>kWh</v>
      </c>
      <c r="G78" s="37" t="str">
        <f>IF(tblFuel[[#This Row],[Month]]="","",IFERROR(INDEX(tblSources[Category],MATCH(tblFuel[[#This Row],[Source]],tblSources[Source],0)),""))</f>
        <v>Stationary combustion</v>
      </c>
      <c r="H78" s="38">
        <f>IF(tblFuel[[#This Row],[Month]]="","",IFERROR(INDEX(tblSources[Factor (kg CO2e/unit)],MATCH(tblFuel[[#This Row],[Source]],tblSources[Source],0)),""))</f>
        <v>0.183</v>
      </c>
      <c r="I78" s="39">
        <f>IF(tblFuel[[#This Row],[Month]]="","",IF(tblFuel[[#This Row],[Factor (kg CO2e/unit)]]="","",tblFuel[[#This Row],[Quantity]]*tblFuel[[#This Row],[Factor (kg CO2e/unit)]]/1000))</f>
        <v>18.3183</v>
      </c>
      <c r="J78"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78" s="41" t="s">
        <v>117</v>
      </c>
    </row>
    <row r="79" spans="2:11" x14ac:dyDescent="0.25">
      <c r="B79" s="36">
        <v>45992</v>
      </c>
      <c r="C79" s="28" t="s">
        <v>90</v>
      </c>
      <c r="D79" s="28" t="s">
        <v>103</v>
      </c>
      <c r="E79" s="31">
        <v>860</v>
      </c>
      <c r="F79" s="37" t="str">
        <f>IF(tblFuel[[#This Row],[Month]]="","",IFERROR(INDEX(tblSources[Activity unit],MATCH(tblFuel[[#This Row],[Source]],tblSources[Source],0)),""))</f>
        <v>L</v>
      </c>
      <c r="G79" s="37" t="str">
        <f>IF(tblFuel[[#This Row],[Month]]="","",IFERROR(INDEX(tblSources[Category],MATCH(tblFuel[[#This Row],[Source]],tblSources[Source],0)),""))</f>
        <v>Mobile combustion</v>
      </c>
      <c r="H79" s="38">
        <f>IF(tblFuel[[#This Row],[Month]]="","",IFERROR(INDEX(tblSources[Factor (kg CO2e/unit)],MATCH(tblFuel[[#This Row],[Source]],tblSources[Source],0)),""))</f>
        <v>2.66</v>
      </c>
      <c r="I79" s="39">
        <f>IF(tblFuel[[#This Row],[Month]]="","",IF(tblFuel[[#This Row],[Factor (kg CO2e/unit)]]="","",tblFuel[[#This Row],[Quantity]]*tblFuel[[#This Row],[Factor (kg CO2e/unit)]]/1000))</f>
        <v>2.2876</v>
      </c>
      <c r="J79"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79" s="41" t="s">
        <v>117</v>
      </c>
    </row>
    <row r="80" spans="2:11" x14ac:dyDescent="0.25">
      <c r="B80" s="36">
        <v>45992</v>
      </c>
      <c r="C80" s="28" t="s">
        <v>90</v>
      </c>
      <c r="D80" s="28" t="s">
        <v>105</v>
      </c>
      <c r="E80" s="31">
        <v>1130</v>
      </c>
      <c r="F80" s="37" t="str">
        <f>IF(tblFuel[[#This Row],[Month]]="","",IFERROR(INDEX(tblSources[Activity unit],MATCH(tblFuel[[#This Row],[Source]],tblSources[Source],0)),""))</f>
        <v>kg</v>
      </c>
      <c r="G80" s="37" t="str">
        <f>IF(tblFuel[[#This Row],[Month]]="","",IFERROR(INDEX(tblSources[Category],MATCH(tblFuel[[#This Row],[Source]],tblSources[Source],0)),""))</f>
        <v>Mobile combustion</v>
      </c>
      <c r="H80" s="38">
        <f>IF(tblFuel[[#This Row],[Month]]="","",IFERROR(INDEX(tblSources[Factor (kg CO2e/unit)],MATCH(tblFuel[[#This Row],[Source]],tblSources[Source],0)),""))</f>
        <v>2.94</v>
      </c>
      <c r="I80" s="39">
        <f>IF(tblFuel[[#This Row],[Month]]="","",IF(tblFuel[[#This Row],[Factor (kg CO2e/unit)]]="","",tblFuel[[#This Row],[Quantity]]*tblFuel[[#This Row],[Factor (kg CO2e/unit)]]/1000))</f>
        <v>3.3222</v>
      </c>
      <c r="J80"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80" s="41" t="s">
        <v>117</v>
      </c>
    </row>
    <row r="81" spans="2:11" x14ac:dyDescent="0.25">
      <c r="B81" s="36">
        <v>45992</v>
      </c>
      <c r="C81" s="28" t="s">
        <v>93</v>
      </c>
      <c r="D81" s="28" t="s">
        <v>105</v>
      </c>
      <c r="E81" s="31">
        <v>370</v>
      </c>
      <c r="F81" s="37" t="str">
        <f>IF(tblFuel[[#This Row],[Month]]="","",IFERROR(INDEX(tblSources[Activity unit],MATCH(tblFuel[[#This Row],[Source]],tblSources[Source],0)),""))</f>
        <v>kg</v>
      </c>
      <c r="G81" s="37" t="str">
        <f>IF(tblFuel[[#This Row],[Month]]="","",IFERROR(INDEX(tblSources[Category],MATCH(tblFuel[[#This Row],[Source]],tblSources[Source],0)),""))</f>
        <v>Mobile combustion</v>
      </c>
      <c r="H81" s="38">
        <f>IF(tblFuel[[#This Row],[Month]]="","",IFERROR(INDEX(tblSources[Factor (kg CO2e/unit)],MATCH(tblFuel[[#This Row],[Source]],tblSources[Source],0)),""))</f>
        <v>2.94</v>
      </c>
      <c r="I81" s="39">
        <f>IF(tblFuel[[#This Row],[Month]]="","",IF(tblFuel[[#This Row],[Factor (kg CO2e/unit)]]="","",tblFuel[[#This Row],[Quantity]]*tblFuel[[#This Row],[Factor (kg CO2e/unit)]]/1000))</f>
        <v>1.0878</v>
      </c>
      <c r="J81"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81" s="41" t="s">
        <v>117</v>
      </c>
    </row>
    <row r="82" spans="2:11" x14ac:dyDescent="0.25">
      <c r="B82" s="36">
        <v>45992</v>
      </c>
      <c r="C82" s="28" t="s">
        <v>90</v>
      </c>
      <c r="D82" s="28" t="s">
        <v>112</v>
      </c>
      <c r="E82" s="31">
        <v>380</v>
      </c>
      <c r="F82" s="37" t="str">
        <f>IF(tblFuel[[#This Row],[Month]]="","",IFERROR(INDEX(tblSources[Activity unit],MATCH(tblFuel[[#This Row],[Source]],tblSources[Source],0)),""))</f>
        <v>kg</v>
      </c>
      <c r="G82" s="37" t="str">
        <f>IF(tblFuel[[#This Row],[Month]]="","",IFERROR(INDEX(tblSources[Category],MATCH(tblFuel[[#This Row],[Source]],tblSources[Source],0)),""))</f>
        <v>Process emissions</v>
      </c>
      <c r="H82" s="38">
        <f>IF(tblFuel[[#This Row],[Month]]="","",IFERROR(INDEX(tblSources[Factor (kg CO2e/unit)],MATCH(tblFuel[[#This Row],[Source]],tblSources[Source],0)),""))</f>
        <v>1</v>
      </c>
      <c r="I82" s="39">
        <f>IF(tblFuel[[#This Row],[Month]]="","",IF(tblFuel[[#This Row],[Factor (kg CO2e/unit)]]="","",tblFuel[[#This Row],[Quantity]]*tblFuel[[#This Row],[Factor (kg CO2e/unit)]]/1000))</f>
        <v>0.38</v>
      </c>
      <c r="J82"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82" s="41" t="s">
        <v>117</v>
      </c>
    </row>
    <row r="83" spans="2:11" x14ac:dyDescent="0.25">
      <c r="B83" s="36">
        <v>45992</v>
      </c>
      <c r="C83" s="28" t="s">
        <v>90</v>
      </c>
      <c r="D83" s="28" t="s">
        <v>101</v>
      </c>
      <c r="E83" s="31">
        <v>120</v>
      </c>
      <c r="F83" s="37" t="str">
        <f>IF(tblFuel[[#This Row],[Month]]="","",IFERROR(INDEX(tblSources[Activity unit],MATCH(tblFuel[[#This Row],[Source]],tblSources[Source],0)),""))</f>
        <v>L</v>
      </c>
      <c r="G83" s="37" t="str">
        <f>IF(tblFuel[[#This Row],[Month]]="","",IFERROR(INDEX(tblSources[Category],MATCH(tblFuel[[#This Row],[Source]],tblSources[Source],0)),""))</f>
        <v>Stationary combustion</v>
      </c>
      <c r="H83" s="38">
        <f>IF(tblFuel[[#This Row],[Month]]="","",IFERROR(INDEX(tblSources[Factor (kg CO2e/unit)],MATCH(tblFuel[[#This Row],[Source]],tblSources[Source],0)),""))</f>
        <v>2.66</v>
      </c>
      <c r="I83" s="39">
        <f>IF(tblFuel[[#This Row],[Month]]="","",IF(tblFuel[[#This Row],[Factor (kg CO2e/unit)]]="","",tblFuel[[#This Row],[Quantity]]*tblFuel[[#This Row],[Factor (kg CO2e/unit)]]/1000))</f>
        <v>0.3192</v>
      </c>
      <c r="J83" s="40" t="str">
        <f>IF(tblFuel[[#This Row],[Month]]="","",IF(tblFuel[[#This Row],[Site]]="","Missing site",IF(tblFuel[[#This Row],[Source]]="","Missing source",IF(tblFuel[[#This Row],[Quantity]]="","Missing quantity",IF(tblFuel[[#This Row],[Factor (kg CO2e/unit)]]="","Source not on Setup list",IF(COUNTIFS(tblSites[Site],tblFuel[[#This Row],[Site]])=0,"Site not on Setup list",IF(DAY(tblFuel[[#This Row],[Month]])&lt;&gt;1,"Use the 1st of the month",IF(COUNTIFS(tblFuel[Month],tblFuel[[#This Row],[Month]],tblFuel[Site],tblFuel[[#This Row],[Site]],tblFuel[Source],tblFuel[[#This Row],[Source]])&gt;1,"Duplicate month, site and source","OK"))))))))</f>
        <v>OK</v>
      </c>
      <c r="K83" s="41" t="s">
        <v>123</v>
      </c>
    </row>
  </sheetData>
  <mergeCells count="3">
    <mergeCell ref="A1:K1"/>
    <mergeCell ref="B2:J2"/>
    <mergeCell ref="B4:K4"/>
  </mergeCells>
  <conditionalFormatting sqref="I6:I583">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J6:J583">
    <cfRule type="expression" dxfId="3" priority="2">
      <formula>$J6="OK"</formula>
    </cfRule>
    <cfRule type="expression" dxfId="1" priority="3">
      <formula>AND($J6&lt;&gt;"",$J6&lt;&gt;"OK")</formula>
    </cfRule>
  </conditionalFormatting>
  <dataValidations count="5">
    <dataValidation type="date" allowBlank="1" showInputMessage="1" showErrorMessage="1" errorTitle="Check this entry" error="Enter a date between 01 Jan 2000 and 31 Dec 2100." promptTitle="Month" prompt="The first day of the month, e.g. 1 Mar 2025. Enter a date between 01 Jan 2000 and 31 Dec 2100." sqref="B6:B583">
      <formula1>36526</formula1>
      <formula2>73415</formula2>
    </dataValidation>
    <dataValidation type="list" allowBlank="1" showInputMessage="1" showErrorMessage="1" errorTitle="Check this entry" error="Pick from the list (edit the list on Setup: Sites)." promptTitle="Site" prompt="Pick from the list (edit the list on Setup: Sites)." sqref="C6:C583">
      <formula1>Sites</formula1>
    </dataValidation>
    <dataValidation type="list" allowBlank="1" showInputMessage="1" showErrorMessage="1" errorTitle="Check this entry" error="Pick from the list (edit the list on Setup: Sources)." promptTitle="Source" prompt="Pick from the list (edit the list on Setup: Sources)." sqref="D6:D583">
      <formula1>Sources</formula1>
    </dataValidation>
    <dataValidation type="decimal" allowBlank="1" showInputMessage="1" showErrorMessage="1" errorTitle="Check this entry" error="Enter a number of at least 0." promptTitle="Quantity" prompt="Amount used in the month in the source's activity unit (see the next column). Enter a number of at least 0." sqref="E6:E583">
      <formula1>0</formula1>
      <formula2>1000000000000.0</formula2>
    </dataValidation>
    <dataValidation type="textLength" allowBlank="1" showInputMessage="1" showErrorMessage="1" errorTitle="Check this entry" error="Text up to 255 characters." promptTitle="Notes" prompt="Text up to 255 characters." sqref="K6:K583">
      <formula1>0</formula1>
      <formula2>255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Scope 1 and 2 GHG Inventory&amp;R&amp;8&amp;A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I6:I583</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3B64D8"/>
    <pageSetUpPr fitToPage="1"/>
  </sheetPr>
  <dimension ref="A1:L29"/>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1.7109375" customWidth="1"/>
    <col min="3" max="3" width="15.7109375" customWidth="1"/>
    <col min="4" max="6" width="12.7109375" customWidth="1"/>
    <col min="7" max="8" width="11.7109375" customWidth="1"/>
    <col min="9" max="10" width="12.7109375" customWidth="1"/>
    <col min="11" max="11" width="26.7109375" customWidth="1"/>
    <col min="12" max="12" width="32.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2"/>
      <c r="L2" s="3" t="s">
        <v>2</v>
      </c>
    </row>
    <row r="3" spans="1:12" ht="6" customHeight="1"/>
    <row r="4" spans="1:12" ht="29.76" customHeight="1">
      <c r="B4" s="33" t="s">
        <v>133</v>
      </c>
      <c r="C4" s="33"/>
      <c r="D4" s="33"/>
      <c r="E4" s="33"/>
      <c r="F4" s="33"/>
      <c r="G4" s="33"/>
      <c r="H4" s="33"/>
      <c r="I4" s="33"/>
      <c r="J4" s="33"/>
      <c r="K4" s="33"/>
      <c r="L4" s="33"/>
    </row>
    <row r="5" spans="1:12" ht="45.5" customHeight="1">
      <c r="B5" s="34" t="s">
        <v>118</v>
      </c>
      <c r="C5" s="34" t="s">
        <v>64</v>
      </c>
      <c r="D5" s="34" t="s">
        <v>126</v>
      </c>
      <c r="E5" s="34" t="s">
        <v>127</v>
      </c>
      <c r="F5" s="34" t="s">
        <v>128</v>
      </c>
      <c r="G5" s="34" t="s">
        <v>129</v>
      </c>
      <c r="H5" s="34" t="s">
        <v>130</v>
      </c>
      <c r="I5" s="34" t="s">
        <v>131</v>
      </c>
      <c r="J5" s="34" t="s">
        <v>132</v>
      </c>
      <c r="K5" s="34" t="s">
        <v>121</v>
      </c>
      <c r="L5" s="34" t="s">
        <v>75</v>
      </c>
    </row>
    <row r="6" spans="1:12">
      <c r="B6" s="36">
        <v>45658</v>
      </c>
      <c r="C6" s="28" t="s">
        <v>90</v>
      </c>
      <c r="D6" s="31">
        <v>202600</v>
      </c>
      <c r="E6" s="31">
        <v>0</v>
      </c>
      <c r="F6" s="35"/>
      <c r="G6" s="38">
        <f>IF(tblElec[[#This Row],[Month]]="","",IFERROR(INDEX(tblSites[Location factor (kg CO2e/kWh)],MATCH(tblElec[[#This Row],[Site]],tblSites[Site],0)),""))</f>
        <v>0.386</v>
      </c>
      <c r="H6" s="38">
        <f>IF(tblElec[[#This Row],[Month]]="","",IFERROR(INDEX(tblSites[Residual mix factor (kg CO2e/kWh)],MATCH(tblElec[[#This Row],[Site]],tblSites[Site],0)),""))</f>
        <v>0.45</v>
      </c>
      <c r="I6" s="39">
        <f>IF(tblElec[[#This Row],[Month]]="","",IF(tblElec[[#This Row],[Grid factor (kg CO2e/kWh)]]="","",tblElec[[#This Row],[Purchased (kWh)]]*tblElec[[#This Row],[Grid factor (kg CO2e/kWh)]]/1000))</f>
        <v>78.2036</v>
      </c>
      <c r="J6" s="39">
        <f>IF(tblElec[[#This Row],[Month]]="","",IF(tblElec[[#This Row],[Residual factor (kg CO2e/kWh)]]="","",(N(tblElec[[#This Row],[Contractual (kWh)]])*N(tblElec[[#This Row],[Contract factor (kg CO2e/kWh)]])+(tblElec[[#This Row],[Purchased (kWh)]]-N(tblElec[[#This Row],[Contractual (kWh)]]))*tblElec[[#This Row],[Residual factor (kg CO2e/kWh)]])/1000))</f>
        <v>91.17</v>
      </c>
      <c r="K6"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6" s="41" t="s">
        <v>117</v>
      </c>
    </row>
    <row r="7" spans="1:12">
      <c r="B7" s="36">
        <v>45658</v>
      </c>
      <c r="C7" s="28" t="s">
        <v>93</v>
      </c>
      <c r="D7" s="31">
        <v>75800</v>
      </c>
      <c r="E7" s="31">
        <v>0</v>
      </c>
      <c r="F7" s="35"/>
      <c r="G7" s="38">
        <f>IF(tblElec[[#This Row],[Month]]="","",IFERROR(INDEX(tblSites[Location factor (kg CO2e/kWh)],MATCH(tblElec[[#This Row],[Site]],tblSites[Site],0)),""))</f>
        <v>0.21</v>
      </c>
      <c r="H7" s="38">
        <f>IF(tblElec[[#This Row],[Month]]="","",IFERROR(INDEX(tblSites[Residual mix factor (kg CO2e/kWh)],MATCH(tblElec[[#This Row],[Site]],tblSites[Site],0)),""))</f>
        <v>0.29</v>
      </c>
      <c r="I7" s="39">
        <f>IF(tblElec[[#This Row],[Month]]="","",IF(tblElec[[#This Row],[Grid factor (kg CO2e/kWh)]]="","",tblElec[[#This Row],[Purchased (kWh)]]*tblElec[[#This Row],[Grid factor (kg CO2e/kWh)]]/1000))</f>
        <v>15.918</v>
      </c>
      <c r="J7" s="39">
        <f>IF(tblElec[[#This Row],[Month]]="","",IF(tblElec[[#This Row],[Residual factor (kg CO2e/kWh)]]="","",(N(tblElec[[#This Row],[Contractual (kWh)]])*N(tblElec[[#This Row],[Contract factor (kg CO2e/kWh)]])+(tblElec[[#This Row],[Purchased (kWh)]]-N(tblElec[[#This Row],[Contractual (kWh)]]))*tblElec[[#This Row],[Residual factor (kg CO2e/kWh)]])/1000))</f>
        <v>21.982</v>
      </c>
      <c r="K7"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7" s="41" t="s">
        <v>117</v>
      </c>
    </row>
    <row r="8" spans="1:12">
      <c r="B8" s="36">
        <v>45689</v>
      </c>
      <c r="C8" s="28" t="s">
        <v>90</v>
      </c>
      <c r="D8" s="31">
        <v>197800</v>
      </c>
      <c r="E8" s="31">
        <v>0</v>
      </c>
      <c r="F8" s="35"/>
      <c r="G8" s="38">
        <f>IF(tblElec[[#This Row],[Month]]="","",IFERROR(INDEX(tblSites[Location factor (kg CO2e/kWh)],MATCH(tblElec[[#This Row],[Site]],tblSites[Site],0)),""))</f>
        <v>0.386</v>
      </c>
      <c r="H8" s="38">
        <f>IF(tblElec[[#This Row],[Month]]="","",IFERROR(INDEX(tblSites[Residual mix factor (kg CO2e/kWh)],MATCH(tblElec[[#This Row],[Site]],tblSites[Site],0)),""))</f>
        <v>0.45</v>
      </c>
      <c r="I8" s="39">
        <f>IF(tblElec[[#This Row],[Month]]="","",IF(tblElec[[#This Row],[Grid factor (kg CO2e/kWh)]]="","",tblElec[[#This Row],[Purchased (kWh)]]*tblElec[[#This Row],[Grid factor (kg CO2e/kWh)]]/1000))</f>
        <v>76.3508</v>
      </c>
      <c r="J8" s="39">
        <f>IF(tblElec[[#This Row],[Month]]="","",IF(tblElec[[#This Row],[Residual factor (kg CO2e/kWh)]]="","",(N(tblElec[[#This Row],[Contractual (kWh)]])*N(tblElec[[#This Row],[Contract factor (kg CO2e/kWh)]])+(tblElec[[#This Row],[Purchased (kWh)]]-N(tblElec[[#This Row],[Contractual (kWh)]]))*tblElec[[#This Row],[Residual factor (kg CO2e/kWh)]])/1000))</f>
        <v>89.01</v>
      </c>
      <c r="K8"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8" s="41" t="s">
        <v>117</v>
      </c>
    </row>
    <row r="9" spans="1:12">
      <c r="B9" s="36">
        <v>45689</v>
      </c>
      <c r="C9" s="28" t="s">
        <v>93</v>
      </c>
      <c r="D9" s="31">
        <v>70100</v>
      </c>
      <c r="E9" s="31">
        <v>0</v>
      </c>
      <c r="F9" s="35"/>
      <c r="G9" s="38">
        <f>IF(tblElec[[#This Row],[Month]]="","",IFERROR(INDEX(tblSites[Location factor (kg CO2e/kWh)],MATCH(tblElec[[#This Row],[Site]],tblSites[Site],0)),""))</f>
        <v>0.21</v>
      </c>
      <c r="H9" s="38">
        <f>IF(tblElec[[#This Row],[Month]]="","",IFERROR(INDEX(tblSites[Residual mix factor (kg CO2e/kWh)],MATCH(tblElec[[#This Row],[Site]],tblSites[Site],0)),""))</f>
        <v>0.29</v>
      </c>
      <c r="I9" s="39">
        <f>IF(tblElec[[#This Row],[Month]]="","",IF(tblElec[[#This Row],[Grid factor (kg CO2e/kWh)]]="","",tblElec[[#This Row],[Purchased (kWh)]]*tblElec[[#This Row],[Grid factor (kg CO2e/kWh)]]/1000))</f>
        <v>14.721</v>
      </c>
      <c r="J9" s="39">
        <f>IF(tblElec[[#This Row],[Month]]="","",IF(tblElec[[#This Row],[Residual factor (kg CO2e/kWh)]]="","",(N(tblElec[[#This Row],[Contractual (kWh)]])*N(tblElec[[#This Row],[Contract factor (kg CO2e/kWh)]])+(tblElec[[#This Row],[Purchased (kWh)]]-N(tblElec[[#This Row],[Contractual (kWh)]]))*tblElec[[#This Row],[Residual factor (kg CO2e/kWh)]])/1000))</f>
        <v>20.329</v>
      </c>
      <c r="K9"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9" s="41" t="s">
        <v>117</v>
      </c>
    </row>
    <row r="10" spans="1:12">
      <c r="B10" s="36">
        <v>45717</v>
      </c>
      <c r="C10" s="28" t="s">
        <v>90</v>
      </c>
      <c r="D10" s="31">
        <v>193600</v>
      </c>
      <c r="E10" s="31">
        <v>0</v>
      </c>
      <c r="F10" s="35"/>
      <c r="G10" s="38">
        <f>IF(tblElec[[#This Row],[Month]]="","",IFERROR(INDEX(tblSites[Location factor (kg CO2e/kWh)],MATCH(tblElec[[#This Row],[Site]],tblSites[Site],0)),""))</f>
        <v>0.386</v>
      </c>
      <c r="H10" s="38">
        <f>IF(tblElec[[#This Row],[Month]]="","",IFERROR(INDEX(tblSites[Residual mix factor (kg CO2e/kWh)],MATCH(tblElec[[#This Row],[Site]],tblSites[Site],0)),""))</f>
        <v>0.45</v>
      </c>
      <c r="I10" s="39">
        <f>IF(tblElec[[#This Row],[Month]]="","",IF(tblElec[[#This Row],[Grid factor (kg CO2e/kWh)]]="","",tblElec[[#This Row],[Purchased (kWh)]]*tblElec[[#This Row],[Grid factor (kg CO2e/kWh)]]/1000))</f>
        <v>74.7296</v>
      </c>
      <c r="J10" s="39">
        <f>IF(tblElec[[#This Row],[Month]]="","",IF(tblElec[[#This Row],[Residual factor (kg CO2e/kWh)]]="","",(N(tblElec[[#This Row],[Contractual (kWh)]])*N(tblElec[[#This Row],[Contract factor (kg CO2e/kWh)]])+(tblElec[[#This Row],[Purchased (kWh)]]-N(tblElec[[#This Row],[Contractual (kWh)]]))*tblElec[[#This Row],[Residual factor (kg CO2e/kWh)]])/1000))</f>
        <v>87.12</v>
      </c>
      <c r="K10"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10" s="41" t="s">
        <v>117</v>
      </c>
    </row>
    <row r="11" spans="1:12">
      <c r="B11" s="36">
        <v>45717</v>
      </c>
      <c r="C11" s="28" t="s">
        <v>93</v>
      </c>
      <c r="D11" s="31">
        <v>76000</v>
      </c>
      <c r="E11" s="31">
        <v>0</v>
      </c>
      <c r="F11" s="35"/>
      <c r="G11" s="38">
        <f>IF(tblElec[[#This Row],[Month]]="","",IFERROR(INDEX(tblSites[Location factor (kg CO2e/kWh)],MATCH(tblElec[[#This Row],[Site]],tblSites[Site],0)),""))</f>
        <v>0.21</v>
      </c>
      <c r="H11" s="38">
        <f>IF(tblElec[[#This Row],[Month]]="","",IFERROR(INDEX(tblSites[Residual mix factor (kg CO2e/kWh)],MATCH(tblElec[[#This Row],[Site]],tblSites[Site],0)),""))</f>
        <v>0.29</v>
      </c>
      <c r="I11" s="39">
        <f>IF(tblElec[[#This Row],[Month]]="","",IF(tblElec[[#This Row],[Grid factor (kg CO2e/kWh)]]="","",tblElec[[#This Row],[Purchased (kWh)]]*tblElec[[#This Row],[Grid factor (kg CO2e/kWh)]]/1000))</f>
        <v>15.96</v>
      </c>
      <c r="J11" s="39">
        <f>IF(tblElec[[#This Row],[Month]]="","",IF(tblElec[[#This Row],[Residual factor (kg CO2e/kWh)]]="","",(N(tblElec[[#This Row],[Contractual (kWh)]])*N(tblElec[[#This Row],[Contract factor (kg CO2e/kWh)]])+(tblElec[[#This Row],[Purchased (kWh)]]-N(tblElec[[#This Row],[Contractual (kWh)]]))*tblElec[[#This Row],[Residual factor (kg CO2e/kWh)]])/1000))</f>
        <v>22.04</v>
      </c>
      <c r="K11"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11" s="41" t="s">
        <v>117</v>
      </c>
    </row>
    <row r="12" spans="1:12">
      <c r="B12" s="36">
        <v>45748</v>
      </c>
      <c r="C12" s="28" t="s">
        <v>90</v>
      </c>
      <c r="D12" s="31">
        <v>197900</v>
      </c>
      <c r="E12" s="31">
        <v>0</v>
      </c>
      <c r="F12" s="35"/>
      <c r="G12" s="38">
        <f>IF(tblElec[[#This Row],[Month]]="","",IFERROR(INDEX(tblSites[Location factor (kg CO2e/kWh)],MATCH(tblElec[[#This Row],[Site]],tblSites[Site],0)),""))</f>
        <v>0.386</v>
      </c>
      <c r="H12" s="38">
        <f>IF(tblElec[[#This Row],[Month]]="","",IFERROR(INDEX(tblSites[Residual mix factor (kg CO2e/kWh)],MATCH(tblElec[[#This Row],[Site]],tblSites[Site],0)),""))</f>
        <v>0.45</v>
      </c>
      <c r="I12" s="39">
        <f>IF(tblElec[[#This Row],[Month]]="","",IF(tblElec[[#This Row],[Grid factor (kg CO2e/kWh)]]="","",tblElec[[#This Row],[Purchased (kWh)]]*tblElec[[#This Row],[Grid factor (kg CO2e/kWh)]]/1000))</f>
        <v>76.3894</v>
      </c>
      <c r="J12" s="39">
        <f>IF(tblElec[[#This Row],[Month]]="","",IF(tblElec[[#This Row],[Residual factor (kg CO2e/kWh)]]="","",(N(tblElec[[#This Row],[Contractual (kWh)]])*N(tblElec[[#This Row],[Contract factor (kg CO2e/kWh)]])+(tblElec[[#This Row],[Purchased (kWh)]]-N(tblElec[[#This Row],[Contractual (kWh)]]))*tblElec[[#This Row],[Residual factor (kg CO2e/kWh)]])/1000))</f>
        <v>89.055</v>
      </c>
      <c r="K12"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12" s="41" t="s">
        <v>117</v>
      </c>
    </row>
    <row r="13" spans="1:12">
      <c r="B13" s="36">
        <v>45748</v>
      </c>
      <c r="C13" s="28" t="s">
        <v>93</v>
      </c>
      <c r="D13" s="31">
        <v>72200</v>
      </c>
      <c r="E13" s="31">
        <v>0</v>
      </c>
      <c r="F13" s="35"/>
      <c r="G13" s="38">
        <f>IF(tblElec[[#This Row],[Month]]="","",IFERROR(INDEX(tblSites[Location factor (kg CO2e/kWh)],MATCH(tblElec[[#This Row],[Site]],tblSites[Site],0)),""))</f>
        <v>0.21</v>
      </c>
      <c r="H13" s="38">
        <f>IF(tblElec[[#This Row],[Month]]="","",IFERROR(INDEX(tblSites[Residual mix factor (kg CO2e/kWh)],MATCH(tblElec[[#This Row],[Site]],tblSites[Site],0)),""))</f>
        <v>0.29</v>
      </c>
      <c r="I13" s="39">
        <f>IF(tblElec[[#This Row],[Month]]="","",IF(tblElec[[#This Row],[Grid factor (kg CO2e/kWh)]]="","",tblElec[[#This Row],[Purchased (kWh)]]*tblElec[[#This Row],[Grid factor (kg CO2e/kWh)]]/1000))</f>
        <v>15.162</v>
      </c>
      <c r="J13" s="39">
        <f>IF(tblElec[[#This Row],[Month]]="","",IF(tblElec[[#This Row],[Residual factor (kg CO2e/kWh)]]="","",(N(tblElec[[#This Row],[Contractual (kWh)]])*N(tblElec[[#This Row],[Contract factor (kg CO2e/kWh)]])+(tblElec[[#This Row],[Purchased (kWh)]]-N(tblElec[[#This Row],[Contractual (kWh)]]))*tblElec[[#This Row],[Residual factor (kg CO2e/kWh)]])/1000))</f>
        <v>20.938</v>
      </c>
      <c r="K13"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13" s="41" t="s">
        <v>117</v>
      </c>
    </row>
    <row r="14" spans="1:12">
      <c r="B14" s="36">
        <v>45778</v>
      </c>
      <c r="C14" s="28" t="s">
        <v>90</v>
      </c>
      <c r="D14" s="31">
        <v>189100</v>
      </c>
      <c r="E14" s="31">
        <v>0</v>
      </c>
      <c r="F14" s="35"/>
      <c r="G14" s="38">
        <f>IF(tblElec[[#This Row],[Month]]="","",IFERROR(INDEX(tblSites[Location factor (kg CO2e/kWh)],MATCH(tblElec[[#This Row],[Site]],tblSites[Site],0)),""))</f>
        <v>0.386</v>
      </c>
      <c r="H14" s="38">
        <f>IF(tblElec[[#This Row],[Month]]="","",IFERROR(INDEX(tblSites[Residual mix factor (kg CO2e/kWh)],MATCH(tblElec[[#This Row],[Site]],tblSites[Site],0)),""))</f>
        <v>0.45</v>
      </c>
      <c r="I14" s="39">
        <f>IF(tblElec[[#This Row],[Month]]="","",IF(tblElec[[#This Row],[Grid factor (kg CO2e/kWh)]]="","",tblElec[[#This Row],[Purchased (kWh)]]*tblElec[[#This Row],[Grid factor (kg CO2e/kWh)]]/1000))</f>
        <v>72.9926</v>
      </c>
      <c r="J14" s="39">
        <f>IF(tblElec[[#This Row],[Month]]="","",IF(tblElec[[#This Row],[Residual factor (kg CO2e/kWh)]]="","",(N(tblElec[[#This Row],[Contractual (kWh)]])*N(tblElec[[#This Row],[Contract factor (kg CO2e/kWh)]])+(tblElec[[#This Row],[Purchased (kWh)]]-N(tblElec[[#This Row],[Contractual (kWh)]]))*tblElec[[#This Row],[Residual factor (kg CO2e/kWh)]])/1000))</f>
        <v>85.095</v>
      </c>
      <c r="K14"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14" s="41" t="s">
        <v>117</v>
      </c>
    </row>
    <row r="15" spans="1:12">
      <c r="B15" s="36">
        <v>45778</v>
      </c>
      <c r="C15" s="28" t="s">
        <v>93</v>
      </c>
      <c r="D15" s="31">
        <v>74400</v>
      </c>
      <c r="E15" s="31">
        <v>0</v>
      </c>
      <c r="F15" s="35"/>
      <c r="G15" s="38">
        <f>IF(tblElec[[#This Row],[Month]]="","",IFERROR(INDEX(tblSites[Location factor (kg CO2e/kWh)],MATCH(tblElec[[#This Row],[Site]],tblSites[Site],0)),""))</f>
        <v>0.21</v>
      </c>
      <c r="H15" s="38">
        <f>IF(tblElec[[#This Row],[Month]]="","",IFERROR(INDEX(tblSites[Residual mix factor (kg CO2e/kWh)],MATCH(tblElec[[#This Row],[Site]],tblSites[Site],0)),""))</f>
        <v>0.29</v>
      </c>
      <c r="I15" s="39">
        <f>IF(tblElec[[#This Row],[Month]]="","",IF(tblElec[[#This Row],[Grid factor (kg CO2e/kWh)]]="","",tblElec[[#This Row],[Purchased (kWh)]]*tblElec[[#This Row],[Grid factor (kg CO2e/kWh)]]/1000))</f>
        <v>15.624</v>
      </c>
      <c r="J15" s="39">
        <f>IF(tblElec[[#This Row],[Month]]="","",IF(tblElec[[#This Row],[Residual factor (kg CO2e/kWh)]]="","",(N(tblElec[[#This Row],[Contractual (kWh)]])*N(tblElec[[#This Row],[Contract factor (kg CO2e/kWh)]])+(tblElec[[#This Row],[Purchased (kWh)]]-N(tblElec[[#This Row],[Contractual (kWh)]]))*tblElec[[#This Row],[Residual factor (kg CO2e/kWh)]])/1000))</f>
        <v>21.576</v>
      </c>
      <c r="K15"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15" s="41" t="s">
        <v>117</v>
      </c>
    </row>
    <row r="16" spans="1:12">
      <c r="B16" s="36">
        <v>45809</v>
      </c>
      <c r="C16" s="28" t="s">
        <v>90</v>
      </c>
      <c r="D16" s="31">
        <v>196200</v>
      </c>
      <c r="E16" s="31">
        <v>0</v>
      </c>
      <c r="F16" s="35"/>
      <c r="G16" s="38">
        <f>IF(tblElec[[#This Row],[Month]]="","",IFERROR(INDEX(tblSites[Location factor (kg CO2e/kWh)],MATCH(tblElec[[#This Row],[Site]],tblSites[Site],0)),""))</f>
        <v>0.386</v>
      </c>
      <c r="H16" s="38">
        <f>IF(tblElec[[#This Row],[Month]]="","",IFERROR(INDEX(tblSites[Residual mix factor (kg CO2e/kWh)],MATCH(tblElec[[#This Row],[Site]],tblSites[Site],0)),""))</f>
        <v>0.45</v>
      </c>
      <c r="I16" s="39">
        <f>IF(tblElec[[#This Row],[Month]]="","",IF(tblElec[[#This Row],[Grid factor (kg CO2e/kWh)]]="","",tblElec[[#This Row],[Purchased (kWh)]]*tblElec[[#This Row],[Grid factor (kg CO2e/kWh)]]/1000))</f>
        <v>75.7332</v>
      </c>
      <c r="J16" s="39">
        <f>IF(tblElec[[#This Row],[Month]]="","",IF(tblElec[[#This Row],[Residual factor (kg CO2e/kWh)]]="","",(N(tblElec[[#This Row],[Contractual (kWh)]])*N(tblElec[[#This Row],[Contract factor (kg CO2e/kWh)]])+(tblElec[[#This Row],[Purchased (kWh)]]-N(tblElec[[#This Row],[Contractual (kWh)]]))*tblElec[[#This Row],[Residual factor (kg CO2e/kWh)]])/1000))</f>
        <v>88.29</v>
      </c>
      <c r="K16"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16" s="41" t="s">
        <v>117</v>
      </c>
    </row>
    <row r="17" spans="2:12">
      <c r="B17" s="36">
        <v>45809</v>
      </c>
      <c r="C17" s="28" t="s">
        <v>93</v>
      </c>
      <c r="D17" s="31">
        <v>76000</v>
      </c>
      <c r="E17" s="31">
        <v>0</v>
      </c>
      <c r="F17" s="35"/>
      <c r="G17" s="38">
        <f>IF(tblElec[[#This Row],[Month]]="","",IFERROR(INDEX(tblSites[Location factor (kg CO2e/kWh)],MATCH(tblElec[[#This Row],[Site]],tblSites[Site],0)),""))</f>
        <v>0.21</v>
      </c>
      <c r="H17" s="38">
        <f>IF(tblElec[[#This Row],[Month]]="","",IFERROR(INDEX(tblSites[Residual mix factor (kg CO2e/kWh)],MATCH(tblElec[[#This Row],[Site]],tblSites[Site],0)),""))</f>
        <v>0.29</v>
      </c>
      <c r="I17" s="39">
        <f>IF(tblElec[[#This Row],[Month]]="","",IF(tblElec[[#This Row],[Grid factor (kg CO2e/kWh)]]="","",tblElec[[#This Row],[Purchased (kWh)]]*tblElec[[#This Row],[Grid factor (kg CO2e/kWh)]]/1000))</f>
        <v>15.96</v>
      </c>
      <c r="J17" s="39">
        <f>IF(tblElec[[#This Row],[Month]]="","",IF(tblElec[[#This Row],[Residual factor (kg CO2e/kWh)]]="","",(N(tblElec[[#This Row],[Contractual (kWh)]])*N(tblElec[[#This Row],[Contract factor (kg CO2e/kWh)]])+(tblElec[[#This Row],[Purchased (kWh)]]-N(tblElec[[#This Row],[Contractual (kWh)]]))*tblElec[[#This Row],[Residual factor (kg CO2e/kWh)]])/1000))</f>
        <v>22.04</v>
      </c>
      <c r="K17"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17" s="41" t="s">
        <v>117</v>
      </c>
    </row>
    <row r="18" spans="2:12">
      <c r="B18" s="36">
        <v>45839</v>
      </c>
      <c r="C18" s="28" t="s">
        <v>90</v>
      </c>
      <c r="D18" s="31">
        <v>200700</v>
      </c>
      <c r="E18" s="31">
        <v>104100</v>
      </c>
      <c r="F18" s="35">
        <v>0</v>
      </c>
      <c r="G18" s="38">
        <f>IF(tblElec[[#This Row],[Month]]="","",IFERROR(INDEX(tblSites[Location factor (kg CO2e/kWh)],MATCH(tblElec[[#This Row],[Site]],tblSites[Site],0)),""))</f>
        <v>0.386</v>
      </c>
      <c r="H18" s="38">
        <f>IF(tblElec[[#This Row],[Month]]="","",IFERROR(INDEX(tblSites[Residual mix factor (kg CO2e/kWh)],MATCH(tblElec[[#This Row],[Site]],tblSites[Site],0)),""))</f>
        <v>0.45</v>
      </c>
      <c r="I18" s="39">
        <f>IF(tblElec[[#This Row],[Month]]="","",IF(tblElec[[#This Row],[Grid factor (kg CO2e/kWh)]]="","",tblElec[[#This Row],[Purchased (kWh)]]*tblElec[[#This Row],[Grid factor (kg CO2e/kWh)]]/1000))</f>
        <v>77.4702</v>
      </c>
      <c r="J18" s="39">
        <f>IF(tblElec[[#This Row],[Month]]="","",IF(tblElec[[#This Row],[Residual factor (kg CO2e/kWh)]]="","",(N(tblElec[[#This Row],[Contractual (kWh)]])*N(tblElec[[#This Row],[Contract factor (kg CO2e/kWh)]])+(tblElec[[#This Row],[Purchased (kWh)]]-N(tblElec[[#This Row],[Contractual (kWh)]]))*tblElec[[#This Row],[Residual factor (kg CO2e/kWh)]])/1000))</f>
        <v>43.47</v>
      </c>
      <c r="K18"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18" s="41" t="s">
        <v>134</v>
      </c>
    </row>
    <row r="19" spans="2:12">
      <c r="B19" s="36">
        <v>45839</v>
      </c>
      <c r="C19" s="28" t="s">
        <v>93</v>
      </c>
      <c r="D19" s="31">
        <v>71300</v>
      </c>
      <c r="E19" s="31">
        <v>0</v>
      </c>
      <c r="F19" s="35"/>
      <c r="G19" s="38">
        <f>IF(tblElec[[#This Row],[Month]]="","",IFERROR(INDEX(tblSites[Location factor (kg CO2e/kWh)],MATCH(tblElec[[#This Row],[Site]],tblSites[Site],0)),""))</f>
        <v>0.21</v>
      </c>
      <c r="H19" s="38">
        <f>IF(tblElec[[#This Row],[Month]]="","",IFERROR(INDEX(tblSites[Residual mix factor (kg CO2e/kWh)],MATCH(tblElec[[#This Row],[Site]],tblSites[Site],0)),""))</f>
        <v>0.29</v>
      </c>
      <c r="I19" s="39">
        <f>IF(tblElec[[#This Row],[Month]]="","",IF(tblElec[[#This Row],[Grid factor (kg CO2e/kWh)]]="","",tblElec[[#This Row],[Purchased (kWh)]]*tblElec[[#This Row],[Grid factor (kg CO2e/kWh)]]/1000))</f>
        <v>14.973</v>
      </c>
      <c r="J19" s="39">
        <f>IF(tblElec[[#This Row],[Month]]="","",IF(tblElec[[#This Row],[Residual factor (kg CO2e/kWh)]]="","",(N(tblElec[[#This Row],[Contractual (kWh)]])*N(tblElec[[#This Row],[Contract factor (kg CO2e/kWh)]])+(tblElec[[#This Row],[Purchased (kWh)]]-N(tblElec[[#This Row],[Contractual (kWh)]]))*tblElec[[#This Row],[Residual factor (kg CO2e/kWh)]])/1000))</f>
        <v>20.677</v>
      </c>
      <c r="K19"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19" s="41" t="s">
        <v>117</v>
      </c>
    </row>
    <row r="20" spans="2:12">
      <c r="B20" s="36">
        <v>45870</v>
      </c>
      <c r="C20" s="28" t="s">
        <v>90</v>
      </c>
      <c r="D20" s="31">
        <v>174700</v>
      </c>
      <c r="E20" s="31">
        <v>87500</v>
      </c>
      <c r="F20" s="35">
        <v>0</v>
      </c>
      <c r="G20" s="38">
        <f>IF(tblElec[[#This Row],[Month]]="","",IFERROR(INDEX(tblSites[Location factor (kg CO2e/kWh)],MATCH(tblElec[[#This Row],[Site]],tblSites[Site],0)),""))</f>
        <v>0.386</v>
      </c>
      <c r="H20" s="38">
        <f>IF(tblElec[[#This Row],[Month]]="","",IFERROR(INDEX(tblSites[Residual mix factor (kg CO2e/kWh)],MATCH(tblElec[[#This Row],[Site]],tblSites[Site],0)),""))</f>
        <v>0.45</v>
      </c>
      <c r="I20" s="39">
        <f>IF(tblElec[[#This Row],[Month]]="","",IF(tblElec[[#This Row],[Grid factor (kg CO2e/kWh)]]="","",tblElec[[#This Row],[Purchased (kWh)]]*tblElec[[#This Row],[Grid factor (kg CO2e/kWh)]]/1000))</f>
        <v>67.4342</v>
      </c>
      <c r="J20" s="39">
        <f>IF(tblElec[[#This Row],[Month]]="","",IF(tblElec[[#This Row],[Residual factor (kg CO2e/kWh)]]="","",(N(tblElec[[#This Row],[Contractual (kWh)]])*N(tblElec[[#This Row],[Contract factor (kg CO2e/kWh)]])+(tblElec[[#This Row],[Purchased (kWh)]]-N(tblElec[[#This Row],[Contractual (kWh)]]))*tblElec[[#This Row],[Residual factor (kg CO2e/kWh)]])/1000))</f>
        <v>39.24</v>
      </c>
      <c r="K20"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20" s="41" t="s">
        <v>117</v>
      </c>
    </row>
    <row r="21" spans="2:12">
      <c r="B21" s="36">
        <v>45870</v>
      </c>
      <c r="C21" s="28" t="s">
        <v>93</v>
      </c>
      <c r="D21" s="31">
        <v>60600</v>
      </c>
      <c r="E21" s="31">
        <v>0</v>
      </c>
      <c r="F21" s="35"/>
      <c r="G21" s="38">
        <f>IF(tblElec[[#This Row],[Month]]="","",IFERROR(INDEX(tblSites[Location factor (kg CO2e/kWh)],MATCH(tblElec[[#This Row],[Site]],tblSites[Site],0)),""))</f>
        <v>0.21</v>
      </c>
      <c r="H21" s="38">
        <f>IF(tblElec[[#This Row],[Month]]="","",IFERROR(INDEX(tblSites[Residual mix factor (kg CO2e/kWh)],MATCH(tblElec[[#This Row],[Site]],tblSites[Site],0)),""))</f>
        <v>0.29</v>
      </c>
      <c r="I21" s="39">
        <f>IF(tblElec[[#This Row],[Month]]="","",IF(tblElec[[#This Row],[Grid factor (kg CO2e/kWh)]]="","",tblElec[[#This Row],[Purchased (kWh)]]*tblElec[[#This Row],[Grid factor (kg CO2e/kWh)]]/1000))</f>
        <v>12.726</v>
      </c>
      <c r="J21" s="39">
        <f>IF(tblElec[[#This Row],[Month]]="","",IF(tblElec[[#This Row],[Residual factor (kg CO2e/kWh)]]="","",(N(tblElec[[#This Row],[Contractual (kWh)]])*N(tblElec[[#This Row],[Contract factor (kg CO2e/kWh)]])+(tblElec[[#This Row],[Purchased (kWh)]]-N(tblElec[[#This Row],[Contractual (kWh)]]))*tblElec[[#This Row],[Residual factor (kg CO2e/kWh)]])/1000))</f>
        <v>17.574</v>
      </c>
      <c r="K21"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21" s="41" t="s">
        <v>135</v>
      </c>
    </row>
    <row r="22" spans="2:12">
      <c r="B22" s="36">
        <v>45901</v>
      </c>
      <c r="C22" s="28" t="s">
        <v>90</v>
      </c>
      <c r="D22" s="31">
        <v>202000</v>
      </c>
      <c r="E22" s="31">
        <v>107900</v>
      </c>
      <c r="F22" s="35">
        <v>0</v>
      </c>
      <c r="G22" s="38">
        <f>IF(tblElec[[#This Row],[Month]]="","",IFERROR(INDEX(tblSites[Location factor (kg CO2e/kWh)],MATCH(tblElec[[#This Row],[Site]],tblSites[Site],0)),""))</f>
        <v>0.386</v>
      </c>
      <c r="H22" s="38">
        <f>IF(tblElec[[#This Row],[Month]]="","",IFERROR(INDEX(tblSites[Residual mix factor (kg CO2e/kWh)],MATCH(tblElec[[#This Row],[Site]],tblSites[Site],0)),""))</f>
        <v>0.45</v>
      </c>
      <c r="I22" s="39">
        <f>IF(tblElec[[#This Row],[Month]]="","",IF(tblElec[[#This Row],[Grid factor (kg CO2e/kWh)]]="","",tblElec[[#This Row],[Purchased (kWh)]]*tblElec[[#This Row],[Grid factor (kg CO2e/kWh)]]/1000))</f>
        <v>77.972</v>
      </c>
      <c r="J22" s="39">
        <f>IF(tblElec[[#This Row],[Month]]="","",IF(tblElec[[#This Row],[Residual factor (kg CO2e/kWh)]]="","",(N(tblElec[[#This Row],[Contractual (kWh)]])*N(tblElec[[#This Row],[Contract factor (kg CO2e/kWh)]])+(tblElec[[#This Row],[Purchased (kWh)]]-N(tblElec[[#This Row],[Contractual (kWh)]]))*tblElec[[#This Row],[Residual factor (kg CO2e/kWh)]])/1000))</f>
        <v>42.345</v>
      </c>
      <c r="K22"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22" s="41" t="s">
        <v>117</v>
      </c>
    </row>
    <row r="23" spans="2:12">
      <c r="B23" s="36">
        <v>45901</v>
      </c>
      <c r="C23" s="28" t="s">
        <v>93</v>
      </c>
      <c r="D23" s="31">
        <v>71800</v>
      </c>
      <c r="E23" s="31">
        <v>0</v>
      </c>
      <c r="F23" s="35"/>
      <c r="G23" s="38">
        <f>IF(tblElec[[#This Row],[Month]]="","",IFERROR(INDEX(tblSites[Location factor (kg CO2e/kWh)],MATCH(tblElec[[#This Row],[Site]],tblSites[Site],0)),""))</f>
        <v>0.21</v>
      </c>
      <c r="H23" s="38">
        <f>IF(tblElec[[#This Row],[Month]]="","",IFERROR(INDEX(tblSites[Residual mix factor (kg CO2e/kWh)],MATCH(tblElec[[#This Row],[Site]],tblSites[Site],0)),""))</f>
        <v>0.29</v>
      </c>
      <c r="I23" s="39">
        <f>IF(tblElec[[#This Row],[Month]]="","",IF(tblElec[[#This Row],[Grid factor (kg CO2e/kWh)]]="","",tblElec[[#This Row],[Purchased (kWh)]]*tblElec[[#This Row],[Grid factor (kg CO2e/kWh)]]/1000))</f>
        <v>15.078</v>
      </c>
      <c r="J23" s="39">
        <f>IF(tblElec[[#This Row],[Month]]="","",IF(tblElec[[#This Row],[Residual factor (kg CO2e/kWh)]]="","",(N(tblElec[[#This Row],[Contractual (kWh)]])*N(tblElec[[#This Row],[Contract factor (kg CO2e/kWh)]])+(tblElec[[#This Row],[Purchased (kWh)]]-N(tblElec[[#This Row],[Contractual (kWh)]]))*tblElec[[#This Row],[Residual factor (kg CO2e/kWh)]])/1000))</f>
        <v>20.822</v>
      </c>
      <c r="K23"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23" s="41" t="s">
        <v>117</v>
      </c>
    </row>
    <row r="24" spans="2:12">
      <c r="B24" s="36">
        <v>45931</v>
      </c>
      <c r="C24" s="28" t="s">
        <v>90</v>
      </c>
      <c r="D24" s="31">
        <v>193900</v>
      </c>
      <c r="E24" s="31">
        <v>114500</v>
      </c>
      <c r="F24" s="35">
        <v>0</v>
      </c>
      <c r="G24" s="38">
        <f>IF(tblElec[[#This Row],[Month]]="","",IFERROR(INDEX(tblSites[Location factor (kg CO2e/kWh)],MATCH(tblElec[[#This Row],[Site]],tblSites[Site],0)),""))</f>
        <v>0.386</v>
      </c>
      <c r="H24" s="38">
        <f>IF(tblElec[[#This Row],[Month]]="","",IFERROR(INDEX(tblSites[Residual mix factor (kg CO2e/kWh)],MATCH(tblElec[[#This Row],[Site]],tblSites[Site],0)),""))</f>
        <v>0.45</v>
      </c>
      <c r="I24" s="39">
        <f>IF(tblElec[[#This Row],[Month]]="","",IF(tblElec[[#This Row],[Grid factor (kg CO2e/kWh)]]="","",tblElec[[#This Row],[Purchased (kWh)]]*tblElec[[#This Row],[Grid factor (kg CO2e/kWh)]]/1000))</f>
        <v>74.8454</v>
      </c>
      <c r="J24" s="39">
        <f>IF(tblElec[[#This Row],[Month]]="","",IF(tblElec[[#This Row],[Residual factor (kg CO2e/kWh)]]="","",(N(tblElec[[#This Row],[Contractual (kWh)]])*N(tblElec[[#This Row],[Contract factor (kg CO2e/kWh)]])+(tblElec[[#This Row],[Purchased (kWh)]]-N(tblElec[[#This Row],[Contractual (kWh)]]))*tblElec[[#This Row],[Residual factor (kg CO2e/kWh)]])/1000))</f>
        <v>35.73</v>
      </c>
      <c r="K24"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24" s="41" t="s">
        <v>117</v>
      </c>
    </row>
    <row r="25" spans="2:12">
      <c r="B25" s="36">
        <v>45931</v>
      </c>
      <c r="C25" s="28" t="s">
        <v>93</v>
      </c>
      <c r="D25" s="31">
        <v>75800</v>
      </c>
      <c r="E25" s="31">
        <v>0</v>
      </c>
      <c r="F25" s="35"/>
      <c r="G25" s="38">
        <f>IF(tblElec[[#This Row],[Month]]="","",IFERROR(INDEX(tblSites[Location factor (kg CO2e/kWh)],MATCH(tblElec[[#This Row],[Site]],tblSites[Site],0)),""))</f>
        <v>0.21</v>
      </c>
      <c r="H25" s="38">
        <f>IF(tblElec[[#This Row],[Month]]="","",IFERROR(INDEX(tblSites[Residual mix factor (kg CO2e/kWh)],MATCH(tblElec[[#This Row],[Site]],tblSites[Site],0)),""))</f>
        <v>0.29</v>
      </c>
      <c r="I25" s="39">
        <f>IF(tblElec[[#This Row],[Month]]="","",IF(tblElec[[#This Row],[Grid factor (kg CO2e/kWh)]]="","",tblElec[[#This Row],[Purchased (kWh)]]*tblElec[[#This Row],[Grid factor (kg CO2e/kWh)]]/1000))</f>
        <v>15.918</v>
      </c>
      <c r="J25" s="39">
        <f>IF(tblElec[[#This Row],[Month]]="","",IF(tblElec[[#This Row],[Residual factor (kg CO2e/kWh)]]="","",(N(tblElec[[#This Row],[Contractual (kWh)]])*N(tblElec[[#This Row],[Contract factor (kg CO2e/kWh)]])+(tblElec[[#This Row],[Purchased (kWh)]]-N(tblElec[[#This Row],[Contractual (kWh)]]))*tblElec[[#This Row],[Residual factor (kg CO2e/kWh)]])/1000))</f>
        <v>21.982</v>
      </c>
      <c r="K25"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25" s="41" t="s">
        <v>117</v>
      </c>
    </row>
    <row r="26" spans="2:12">
      <c r="B26" s="36">
        <v>45962</v>
      </c>
      <c r="C26" s="28" t="s">
        <v>90</v>
      </c>
      <c r="D26" s="31">
        <v>206400</v>
      </c>
      <c r="E26" s="31">
        <v>103800</v>
      </c>
      <c r="F26" s="35">
        <v>0</v>
      </c>
      <c r="G26" s="38">
        <f>IF(tblElec[[#This Row],[Month]]="","",IFERROR(INDEX(tblSites[Location factor (kg CO2e/kWh)],MATCH(tblElec[[#This Row],[Site]],tblSites[Site],0)),""))</f>
        <v>0.386</v>
      </c>
      <c r="H26" s="38">
        <f>IF(tblElec[[#This Row],[Month]]="","",IFERROR(INDEX(tblSites[Residual mix factor (kg CO2e/kWh)],MATCH(tblElec[[#This Row],[Site]],tblSites[Site],0)),""))</f>
        <v>0.45</v>
      </c>
      <c r="I26" s="39">
        <f>IF(tblElec[[#This Row],[Month]]="","",IF(tblElec[[#This Row],[Grid factor (kg CO2e/kWh)]]="","",tblElec[[#This Row],[Purchased (kWh)]]*tblElec[[#This Row],[Grid factor (kg CO2e/kWh)]]/1000))</f>
        <v>79.6704</v>
      </c>
      <c r="J26" s="39">
        <f>IF(tblElec[[#This Row],[Month]]="","",IF(tblElec[[#This Row],[Residual factor (kg CO2e/kWh)]]="","",(N(tblElec[[#This Row],[Contractual (kWh)]])*N(tblElec[[#This Row],[Contract factor (kg CO2e/kWh)]])+(tblElec[[#This Row],[Purchased (kWh)]]-N(tblElec[[#This Row],[Contractual (kWh)]]))*tblElec[[#This Row],[Residual factor (kg CO2e/kWh)]])/1000))</f>
        <v>46.17</v>
      </c>
      <c r="K26"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26" s="41" t="s">
        <v>117</v>
      </c>
    </row>
    <row r="27" spans="2:12">
      <c r="B27" s="36">
        <v>45962</v>
      </c>
      <c r="C27" s="28" t="s">
        <v>93</v>
      </c>
      <c r="D27" s="31">
        <v>69800</v>
      </c>
      <c r="E27" s="31">
        <v>0</v>
      </c>
      <c r="F27" s="35"/>
      <c r="G27" s="38">
        <f>IF(tblElec[[#This Row],[Month]]="","",IFERROR(INDEX(tblSites[Location factor (kg CO2e/kWh)],MATCH(tblElec[[#This Row],[Site]],tblSites[Site],0)),""))</f>
        <v>0.21</v>
      </c>
      <c r="H27" s="38">
        <f>IF(tblElec[[#This Row],[Month]]="","",IFERROR(INDEX(tblSites[Residual mix factor (kg CO2e/kWh)],MATCH(tblElec[[#This Row],[Site]],tblSites[Site],0)),""))</f>
        <v>0.29</v>
      </c>
      <c r="I27" s="39">
        <f>IF(tblElec[[#This Row],[Month]]="","",IF(tblElec[[#This Row],[Grid factor (kg CO2e/kWh)]]="","",tblElec[[#This Row],[Purchased (kWh)]]*tblElec[[#This Row],[Grid factor (kg CO2e/kWh)]]/1000))</f>
        <v>14.658</v>
      </c>
      <c r="J27" s="39">
        <f>IF(tblElec[[#This Row],[Month]]="","",IF(tblElec[[#This Row],[Residual factor (kg CO2e/kWh)]]="","",(N(tblElec[[#This Row],[Contractual (kWh)]])*N(tblElec[[#This Row],[Contract factor (kg CO2e/kWh)]])+(tblElec[[#This Row],[Purchased (kWh)]]-N(tblElec[[#This Row],[Contractual (kWh)]]))*tblElec[[#This Row],[Residual factor (kg CO2e/kWh)]])/1000))</f>
        <v>20.242</v>
      </c>
      <c r="K27"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27" s="41" t="s">
        <v>117</v>
      </c>
    </row>
    <row r="28" spans="2:12">
      <c r="B28" s="36">
        <v>45992</v>
      </c>
      <c r="C28" s="28" t="s">
        <v>90</v>
      </c>
      <c r="D28" s="31">
        <v>194100</v>
      </c>
      <c r="E28" s="31">
        <v>112900</v>
      </c>
      <c r="F28" s="35">
        <v>0</v>
      </c>
      <c r="G28" s="38">
        <f>IF(tblElec[[#This Row],[Month]]="","",IFERROR(INDEX(tblSites[Location factor (kg CO2e/kWh)],MATCH(tblElec[[#This Row],[Site]],tblSites[Site],0)),""))</f>
        <v>0.386</v>
      </c>
      <c r="H28" s="38">
        <f>IF(tblElec[[#This Row],[Month]]="","",IFERROR(INDEX(tblSites[Residual mix factor (kg CO2e/kWh)],MATCH(tblElec[[#This Row],[Site]],tblSites[Site],0)),""))</f>
        <v>0.45</v>
      </c>
      <c r="I28" s="39">
        <f>IF(tblElec[[#This Row],[Month]]="","",IF(tblElec[[#This Row],[Grid factor (kg CO2e/kWh)]]="","",tblElec[[#This Row],[Purchased (kWh)]]*tblElec[[#This Row],[Grid factor (kg CO2e/kWh)]]/1000))</f>
        <v>74.9226</v>
      </c>
      <c r="J28" s="39">
        <f>IF(tblElec[[#This Row],[Month]]="","",IF(tblElec[[#This Row],[Residual factor (kg CO2e/kWh)]]="","",(N(tblElec[[#This Row],[Contractual (kWh)]])*N(tblElec[[#This Row],[Contract factor (kg CO2e/kWh)]])+(tblElec[[#This Row],[Purchased (kWh)]]-N(tblElec[[#This Row],[Contractual (kWh)]]))*tblElec[[#This Row],[Residual factor (kg CO2e/kWh)]])/1000))</f>
        <v>36.54</v>
      </c>
      <c r="K28"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28" s="41" t="s">
        <v>117</v>
      </c>
    </row>
    <row r="29" spans="2:12">
      <c r="B29" s="36">
        <v>45992</v>
      </c>
      <c r="C29" s="28" t="s">
        <v>93</v>
      </c>
      <c r="D29" s="31">
        <v>70900</v>
      </c>
      <c r="E29" s="31">
        <v>0</v>
      </c>
      <c r="F29" s="35"/>
      <c r="G29" s="38">
        <f>IF(tblElec[[#This Row],[Month]]="","",IFERROR(INDEX(tblSites[Location factor (kg CO2e/kWh)],MATCH(tblElec[[#This Row],[Site]],tblSites[Site],0)),""))</f>
        <v>0.21</v>
      </c>
      <c r="H29" s="38">
        <f>IF(tblElec[[#This Row],[Month]]="","",IFERROR(INDEX(tblSites[Residual mix factor (kg CO2e/kWh)],MATCH(tblElec[[#This Row],[Site]],tblSites[Site],0)),""))</f>
        <v>0.29</v>
      </c>
      <c r="I29" s="39">
        <f>IF(tblElec[[#This Row],[Month]]="","",IF(tblElec[[#This Row],[Grid factor (kg CO2e/kWh)]]="","",tblElec[[#This Row],[Purchased (kWh)]]*tblElec[[#This Row],[Grid factor (kg CO2e/kWh)]]/1000))</f>
        <v>14.889</v>
      </c>
      <c r="J29" s="39">
        <f>IF(tblElec[[#This Row],[Month]]="","",IF(tblElec[[#This Row],[Residual factor (kg CO2e/kWh)]]="","",(N(tblElec[[#This Row],[Contractual (kWh)]])*N(tblElec[[#This Row],[Contract factor (kg CO2e/kWh)]])+(tblElec[[#This Row],[Purchased (kWh)]]-N(tblElec[[#This Row],[Contractual (kWh)]]))*tblElec[[#This Row],[Residual factor (kg CO2e/kWh)]])/1000))</f>
        <v>20.561</v>
      </c>
      <c r="K29" s="40" t="str">
        <f>IF(tblElec[[#This Row],[Month]]="","",IF(tblElec[[#This Row],[Site]]="","Missing site",IF(tblElec[[#This Row],[Purchased (kWh)]]="","Missing purchased",IF(tblElec[[#This Row],[Residual factor (kg CO2e/kWh)]]="","Site not on Setup list",IF(DAY(tblElec[[#This Row],[Month]])&lt;&gt;1,"Use the 1st of the month",IF(N(tblElec[[#This Row],[Contractual (kWh)]])&gt;tblElec[[#This Row],[Purchased (kWh)]],"Contractual kWh &gt; purchased",IF(AND(N(tblElec[[#This Row],[Contractual (kWh)]])&gt;0,tblElec[[#This Row],[Contract factor (kg CO2e/kWh)]]=""),"Missing contract factor",IF(COUNTIFS(tblElec[Month],tblElec[[#This Row],[Month]],tblElec[Site],tblElec[[#This Row],[Site]])&gt;1,"Duplicate month and site","OK"))))))))</f>
        <v>OK</v>
      </c>
      <c r="L29" s="41" t="s">
        <v>117</v>
      </c>
    </row>
  </sheetData>
  <mergeCells count="3">
    <mergeCell ref="A1:L1"/>
    <mergeCell ref="B2:K2"/>
    <mergeCell ref="B4:L4"/>
  </mergeCells>
  <conditionalFormatting sqref="K6:K529">
    <cfRule type="expression" dxfId="3" priority="1">
      <formula>$K6="OK"</formula>
    </cfRule>
    <cfRule type="expression" dxfId="1" priority="2">
      <formula>AND($K6&lt;&gt;"",$K6&lt;&gt;"OK")</formula>
    </cfRule>
  </conditionalFormatting>
  <dataValidations count="6">
    <dataValidation type="date" allowBlank="1" showInputMessage="1" showErrorMessage="1" errorTitle="Check this entry" error="Enter a date between 01 Jan 2000 and 31 Dec 2100." promptTitle="Month" prompt="The first day of the month the bill or meter reading covers. Enter a date between 01 Jan 2000 and 31 Dec 2100." sqref="B6:B529">
      <formula1>36526</formula1>
      <formula2>73415</formula2>
    </dataValidation>
    <dataValidation type="list" allowBlank="1" showInputMessage="1" showErrorMessage="1" errorTitle="Check this entry" error="Pick from the list (edit the list on Setup: Sites)." promptTitle="Site" prompt="Pick from the list (edit the list on Setup: Sites)." sqref="C6:C529">
      <formula1>Sites</formula1>
    </dataValidation>
    <dataValidation type="whole" allowBlank="1" showInputMessage="1" showErrorMessage="1" errorTitle="Check this entry" error="Enter a whole number of at least 0." promptTitle="Purchased (kWh)" prompt="Electricity bought from the grid or a supplier in the month. Enter a whole number of at least 0." sqref="D6:D529">
      <formula1>0</formula1>
      <formula2>1000000000000.0</formula2>
    </dataValidation>
    <dataValidation type="whole" allowBlank="1" showInputMessage="1" showErrorMessage="1" errorTitle="Check this entry" error="Enter a whole number of at least 0." promptTitle="Contractual (kWh)" prompt="kWh covered by contractual instruments: energy attribute certificates (RECs, GOs, I-RECs), PPAs or a supplier-specific tariff. 0 if none. Enter a whole number of at least 0." sqref="E6:E529">
      <formula1>0</formula1>
      <formula2>1000000000000.0</formula2>
    </dataValidation>
    <dataValidation type="decimal" allowBlank="1" showInputMessage="1" showErrorMessage="1" errorTitle="Check this entry" error="Enter a number from 0 to 5." promptTitle="Contract factor (kg CO2e/kWh)" prompt="Emission factor of those contracts: 0 for certified renewable electricity, or the supplier's disclosed factor. Enter a number from 0 to 5." sqref="F6:F529">
      <formula1>0</formula1>
      <formula2>5</formula2>
    </dataValidation>
    <dataValidation type="textLength" allowBlank="1" showInputMessage="1" showErrorMessage="1" errorTitle="Check this entry" error="Text up to 255 characters." promptTitle="Notes" prompt="Text up to 255 characters." sqref="L6:L529">
      <formula1>0</formula1>
      <formula2>255</formula2>
    </dataValidation>
  </dataValidations>
  <hyperlinks>
    <hyperlink ref="L2" r:id="rId1" tooltip="Free manufacturing calculators and templates"/>
  </hyperlinks>
  <pageMargins left="0.4" right="0.4" top="0.7" bottom="0.65" header="0.3" footer="0.3"/>
  <pageSetup fitToHeight="0" orientation="landscape"/>
  <headerFooter>
    <oddHeader>&amp;L&amp;8MFG Calcs - Scope 1 and 2 GHG Inventory&amp;R&amp;8&amp;A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84"/>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x14ac:dyDescent="0.25">
      <c r="B4" s="27" t="s">
        <v>136</v>
      </c>
      <c r="C4" s="27"/>
      <c r="D4" s="28">
        <v>2025</v>
      </c>
      <c r="E4" s="28"/>
      <c r="G4" s="27" t="s">
        <v>137</v>
      </c>
      <c r="H4" s="27"/>
      <c r="I4" s="42">
        <f>YearOutput</f>
        <v>4900</v>
      </c>
      <c r="J4" s="42"/>
    </row>
    <row r="5" spans="1:12" x14ac:dyDescent="0.25">
      <c r="B5" s="43" t="str">
        <f>"Showing "&amp;COUNTIFS(tblFuel[Month],"&gt;="&amp;YStart,tblFuel[Month],"&lt;="&amp;YEnd)&amp;" fuel and refrigerant rows and "&amp;COUNTIFS(tblElec[Month],"&gt;="&amp;YStart,tblElec[Month],"&lt;="&amp;YEnd)&amp;" electricity rows for "&amp;DashYear&amp;". All figures in tonnes of CO2 equivalent (t CO2e)."</f>
        <v>Showing 78 fuel and refrigerant rows and 24 electricity rows for 2025. All figures in tonnes of CO2 equivalent (t CO2e).</v>
      </c>
      <c r="C5" s="43"/>
      <c r="D5" s="43"/>
      <c r="E5" s="43"/>
      <c r="F5" s="43"/>
      <c r="G5" s="43"/>
      <c r="H5" s="43"/>
      <c r="I5" s="43"/>
      <c r="J5" s="43"/>
      <c r="K5" s="43"/>
      <c r="L5" s="43"/>
    </row>
    <row r="7" spans="1:12" ht="18" customHeight="1" x14ac:dyDescent="0.25">
      <c r="B7" s="44" t="s">
        <v>138</v>
      </c>
      <c r="C7" s="44"/>
      <c r="D7" s="44" t="s">
        <v>139</v>
      </c>
      <c r="E7" s="44"/>
      <c r="F7" s="44"/>
      <c r="G7" s="44" t="s">
        <v>140</v>
      </c>
      <c r="H7" s="44"/>
      <c r="I7" s="44"/>
      <c r="J7" s="44" t="s">
        <v>141</v>
      </c>
      <c r="K7" s="44"/>
      <c r="L7" s="44"/>
    </row>
    <row r="8" spans="1:12" ht="21" customHeight="1" x14ac:dyDescent="0.25">
      <c r="B8" s="45">
        <f>SUMIFS(tblFuel[Emissions (t CO2e)],tblFuel[Month],"&gt;="&amp;YStart,tblFuel[Month],"&lt;="&amp;YEnd)</f>
        <v>817.0678</v>
      </c>
      <c r="C8" s="45"/>
      <c r="D8" s="45">
        <f>SUMIFS(tblElec[Location-based (t CO2e)],tblElec[Month],"&gt;="&amp;YStart,tblElec[Month],"&lt;="&amp;YEnd)</f>
        <v>1088.301</v>
      </c>
      <c r="E8" s="45"/>
      <c r="F8" s="45"/>
      <c r="G8" s="45">
        <f>SUMIFS(tblElec[Market-based (t CO2e)],tblElec[Month],"&gt;="&amp;YStart,tblElec[Month],"&lt;="&amp;YEnd)</f>
        <v>1023.998</v>
      </c>
      <c r="H8" s="45"/>
      <c r="I8" s="45"/>
      <c r="J8" s="45">
        <f>SUMIFS(tblFuel[Emissions (t CO2e)],tblFuel[Month],"&gt;="&amp;YStart,tblFuel[Month],"&lt;="&amp;YEnd)+SUMIFS(tblElec[Market-based (t CO2e)],tblElec[Month],"&gt;="&amp;YStart,tblElec[Month],"&lt;="&amp;YEnd)</f>
        <v>1841.0658</v>
      </c>
      <c r="K8" s="45"/>
      <c r="L8" s="45"/>
    </row>
    <row r="9" spans="1:12" ht="21" customHeight="1" x14ac:dyDescent="0.25">
      <c r="B9" s="45"/>
      <c r="C9" s="45"/>
      <c r="D9" s="45"/>
      <c r="E9" s="45"/>
      <c r="F9" s="45"/>
      <c r="G9" s="45"/>
      <c r="H9" s="45"/>
      <c r="I9" s="45"/>
      <c r="J9" s="45"/>
      <c r="K9" s="45"/>
      <c r="L9" s="45"/>
    </row>
    <row r="10" spans="1:12" x14ac:dyDescent="0.25">
      <c r="B10" s="46" t="s">
        <v>142</v>
      </c>
      <c r="C10" s="46"/>
      <c r="D10" s="46" t="s">
        <v>143</v>
      </c>
      <c r="E10" s="46"/>
      <c r="F10" s="46"/>
      <c r="G10" s="46" t="s">
        <v>144</v>
      </c>
      <c r="H10" s="46"/>
      <c r="I10" s="46"/>
      <c r="J10" s="46" t="s">
        <v>145</v>
      </c>
      <c r="K10" s="46"/>
      <c r="L10" s="46"/>
    </row>
    <row r="11" spans="1:12" ht="18" customHeight="1" x14ac:dyDescent="0.25">
      <c r="B11" s="47"/>
      <c r="C11" s="47"/>
      <c r="D11" s="47"/>
      <c r="E11" s="47"/>
      <c r="F11" s="47"/>
      <c r="G11" s="47"/>
      <c r="H11" s="47"/>
      <c r="I11" s="47"/>
      <c r="J11" s="47"/>
      <c r="K11" s="47"/>
      <c r="L11" s="47"/>
    </row>
    <row r="29" spans="2:12" ht="18" customHeight="1" x14ac:dyDescent="0.25">
      <c r="B29" s="44" t="str">
        <f>"REDUCTION VS "&amp;BaseYear&amp;" (MARKET-BASED)"</f>
        <v>REDUCTION VS 2022 (MARKET-BASED)</v>
      </c>
      <c r="C29" s="44"/>
      <c r="D29" s="44" t="str">
        <f>"INTENSITY (KG CO2E/"&amp;UPPER(OutputUnit)&amp;")"</f>
        <v>INTENSITY (KG CO2E/T)</v>
      </c>
      <c r="E29" s="44"/>
      <c r="F29" s="44"/>
      <c r="G29" s="44" t="s">
        <v>146</v>
      </c>
      <c r="H29" s="44"/>
      <c r="I29" s="44"/>
      <c r="J29" s="44" t="s">
        <v>147</v>
      </c>
      <c r="K29" s="44"/>
      <c r="L29" s="44"/>
    </row>
    <row r="30" spans="2:12" ht="21" customHeight="1" x14ac:dyDescent="0.25">
      <c r="B30" s="48">
        <f>IF(OR(N(BaseEmissions)=0,(SUMIFS(tblFuel[Emissions (t CO2e)],tblFuel[Month],"&gt;="&amp;YStart,tblFuel[Month],"&lt;="&amp;YEnd)+SUMIFS(tblElec[Market-based (t CO2e)],tblElec[Month],"&gt;="&amp;YStart,tblElec[Month],"&lt;="&amp;YEnd))=0),"",(BaseEmissions-(SUMIFS(tblFuel[Emissions (t CO2e)],tblFuel[Month],"&gt;="&amp;YStart,tblFuel[Month],"&lt;="&amp;YEnd)+SUMIFS(tblElec[Market-based (t CO2e)],tblElec[Month],"&gt;="&amp;YStart,tblElec[Month],"&lt;="&amp;YEnd)))/BaseEmissions)</f>
        <v>0.143690325581395</v>
      </c>
      <c r="C30" s="48"/>
      <c r="D30" s="49">
        <f>IF(OR(N(YearOutput)=0,(SUMIFS(tblFuel[Emissions (t CO2e)],tblFuel[Month],"&gt;="&amp;YStart,tblFuel[Month],"&lt;="&amp;YEnd)+SUMIFS(tblElec[Market-based (t CO2e)],tblElec[Month],"&gt;="&amp;YStart,tblElec[Month],"&lt;="&amp;YEnd))=0),"",(SUMIFS(tblFuel[Emissions (t CO2e)],tblFuel[Month],"&gt;="&amp;YStart,tblFuel[Month],"&lt;="&amp;YEnd)+SUMIFS(tblElec[Market-based (t CO2e)],tblElec[Month],"&gt;="&amp;YStart,tblElec[Month],"&lt;="&amp;YEnd))*1000/YearOutput)</f>
        <v>375.727714285714</v>
      </c>
      <c r="E30" s="49"/>
      <c r="F30" s="49"/>
      <c r="G30" s="48">
        <f>IF((SUMIFS(tblElec[Purchased (kWh)],tblElec[Month],"&gt;="&amp;YStart,tblElec[Month],"&lt;="&amp;YEnd))=0,"",(SUMIFS(tblElec[Contractual (kWh)],tblElec[Month],"&gt;="&amp;YStart,tblElec[Month],"&lt;="&amp;YEnd))/(SUMIFS(tblElec[Purchased (kWh)],tblElec[Month],"&gt;="&amp;YStart,tblElec[Month],"&lt;="&amp;YEnd)))</f>
        <v>0.196253539533871</v>
      </c>
      <c r="H30" s="48"/>
      <c r="I30" s="48"/>
      <c r="J30" s="50" t="str">
        <f>IF(INDEX($J$74:$J$80,1)&gt;0,INDEX($H$74:$H$80,1),"None logged")</f>
        <v>Natural gas</v>
      </c>
      <c r="K30" s="50"/>
      <c r="L30" s="50"/>
    </row>
    <row r="31" spans="2:12" ht="21" customHeight="1" x14ac:dyDescent="0.25">
      <c r="B31" s="48"/>
      <c r="C31" s="48"/>
      <c r="D31" s="49"/>
      <c r="E31" s="49"/>
      <c r="F31" s="49"/>
      <c r="G31" s="48"/>
      <c r="H31" s="48"/>
      <c r="I31" s="48"/>
      <c r="J31" s="50"/>
      <c r="K31" s="50"/>
      <c r="L31" s="50"/>
    </row>
    <row r="32" spans="2:12" x14ac:dyDescent="0.25">
      <c r="B32" s="51">
        <f>ReductionTarget</f>
        <v>0.2</v>
      </c>
      <c r="C32" s="51"/>
      <c r="D32" s="52">
        <f>TargetIntensity</f>
        <v>350</v>
      </c>
      <c r="E32" s="52"/>
      <c r="F32" s="52"/>
      <c r="G32" s="46" t="s">
        <v>148</v>
      </c>
      <c r="H32" s="46"/>
      <c r="I32" s="46"/>
      <c r="J32" s="46" t="s">
        <v>149</v>
      </c>
      <c r="K32" s="46"/>
      <c r="L32" s="46"/>
    </row>
    <row r="33" spans="2:12" ht="18" customHeight="1" x14ac:dyDescent="0.25">
      <c r="B33" s="47" t="str">
        <f>IF(NOT(ISNUMBER(KpiRed)),"No data",IF(KpiRed&gt;=(ReductionTarget),"On target",IF(KpiRed&gt;=(ReductionTarget)*(1-0.05),"Near target","Below target")))</f>
        <v>Below target</v>
      </c>
      <c r="C33" s="47"/>
      <c r="D33" s="47" t="str">
        <f>IF(NOT(ISNUMBER(KpiInt)),"No data",IF(KpiInt&lt;=(TargetIntensity),"On target",IF(KpiInt&lt;=(TargetIntensity)*(1+0.05),"Near target","Above target")))</f>
        <v>Above target</v>
      </c>
      <c r="E33" s="47"/>
      <c r="F33" s="47"/>
      <c r="G33" s="47"/>
      <c r="H33" s="47"/>
      <c r="I33" s="47"/>
      <c r="J33" s="47"/>
      <c r="K33" s="47"/>
      <c r="L33" s="47"/>
    </row>
    <row r="51" spans="2:8" x14ac:dyDescent="0.25">
      <c r="B51" s="32" t="s">
        <v>150</v>
      </c>
      <c r="C51" s="32"/>
      <c r="D51" s="32"/>
      <c r="E51" s="32"/>
      <c r="F51" s="32"/>
      <c r="G51" s="32"/>
      <c r="H51" s="32"/>
    </row>
    <row r="52" spans="2:8" ht="45.5" customHeight="1" x14ac:dyDescent="0.25">
      <c r="B52" s="53" t="s">
        <v>118</v>
      </c>
      <c r="C52" s="34" t="s">
        <v>151</v>
      </c>
      <c r="D52" s="34" t="s">
        <v>152</v>
      </c>
      <c r="E52" s="34" t="s">
        <v>153</v>
      </c>
      <c r="F52" s="34" t="s">
        <v>154</v>
      </c>
      <c r="G52" s="34" t="s">
        <v>155</v>
      </c>
      <c r="H52" s="34" t="s">
        <v>156</v>
      </c>
    </row>
    <row r="53" spans="2:8" x14ac:dyDescent="0.25">
      <c r="B53" s="54">
        <f>DATE(DashYear,1,1)</f>
        <v>45658</v>
      </c>
      <c r="C53" s="55">
        <f>IF($B$53="","",SUMIFS(tblFuel[Emissions (t CO2e)],tblFuel[Month],$B$53))</f>
        <v>75.6333</v>
      </c>
      <c r="D53" s="55">
        <f>IF($B$53="","",SUMIFS(tblElec[Location-based (t CO2e)],tblElec[Month],$B$53))</f>
        <v>94.1216</v>
      </c>
      <c r="E53" s="55">
        <f>IF($B$53="","",SUMIFS(tblElec[Market-based (t CO2e)],tblElec[Month],$B$53))</f>
        <v>113.152</v>
      </c>
      <c r="F53" s="55">
        <f>IF($B$53="","",$C$53+$E$53)</f>
        <v>188.7853</v>
      </c>
      <c r="G53" s="55">
        <f>IF($B$53="","",SUMIFS(tblElec[Purchased (kWh)],tblElec[Month],$B$53)/1000)</f>
        <v>278.4</v>
      </c>
      <c r="H53" s="56">
        <f>IF($B$53="","",IF((SUMIFS(tblElec[Purchased (kWh)],tblElec[Month],$B$53))=0,"",(SUMIFS(tblElec[Contractual (kWh)],tblElec[Month],$B$53))/(SUMIFS(tblElec[Purchased (kWh)],tblElec[Month],$B$53))))</f>
        <v>0</v>
      </c>
    </row>
    <row r="54" spans="2:8" x14ac:dyDescent="0.25">
      <c r="B54" s="54">
        <f>IF($B$53="","",EDATE($B$53,1))</f>
        <v>45689</v>
      </c>
      <c r="C54" s="55">
        <f>IF($B$54="","",SUMIFS(tblFuel[Emissions (t CO2e)],tblFuel[Month],$B$54))</f>
        <v>74.7415</v>
      </c>
      <c r="D54" s="55">
        <f>IF($B$54="","",SUMIFS(tblElec[Location-based (t CO2e)],tblElec[Month],$B$54))</f>
        <v>91.0718</v>
      </c>
      <c r="E54" s="55">
        <f>IF($B$54="","",SUMIFS(tblElec[Market-based (t CO2e)],tblElec[Month],$B$54))</f>
        <v>109.339</v>
      </c>
      <c r="F54" s="55">
        <f>IF($B$54="","",$C$54+$E$54)</f>
        <v>184.0805</v>
      </c>
      <c r="G54" s="55">
        <f>IF($B$54="","",SUMIFS(tblElec[Purchased (kWh)],tblElec[Month],$B$54)/1000)</f>
        <v>267.9</v>
      </c>
      <c r="H54" s="56">
        <f>IF($B$54="","",IF((SUMIFS(tblElec[Purchased (kWh)],tblElec[Month],$B$54))=0,"",(SUMIFS(tblElec[Contractual (kWh)],tblElec[Month],$B$54))/(SUMIFS(tblElec[Purchased (kWh)],tblElec[Month],$B$54))))</f>
        <v>0</v>
      </c>
    </row>
    <row r="55" spans="2:8" x14ac:dyDescent="0.25">
      <c r="B55" s="54">
        <f>IF($B$54="","",EDATE($B$54,1))</f>
        <v>45717</v>
      </c>
      <c r="C55" s="55">
        <f>IF($B$55="","",SUMIFS(tblFuel[Emissions (t CO2e)],tblFuel[Month],$B$55))</f>
        <v>69.1072</v>
      </c>
      <c r="D55" s="55">
        <f>IF($B$55="","",SUMIFS(tblElec[Location-based (t CO2e)],tblElec[Month],$B$55))</f>
        <v>90.6896</v>
      </c>
      <c r="E55" s="55">
        <f>IF($B$55="","",SUMIFS(tblElec[Market-based (t CO2e)],tblElec[Month],$B$55))</f>
        <v>109.16</v>
      </c>
      <c r="F55" s="55">
        <f>IF($B$55="","",$C$55+$E$55)</f>
        <v>178.2672</v>
      </c>
      <c r="G55" s="55">
        <f>IF($B$55="","",SUMIFS(tblElec[Purchased (kWh)],tblElec[Month],$B$55)/1000)</f>
        <v>269.6</v>
      </c>
      <c r="H55" s="56">
        <f>IF($B$55="","",IF((SUMIFS(tblElec[Purchased (kWh)],tblElec[Month],$B$55))=0,"",(SUMIFS(tblElec[Contractual (kWh)],tblElec[Month],$B$55))/(SUMIFS(tblElec[Purchased (kWh)],tblElec[Month],$B$55))))</f>
        <v>0</v>
      </c>
    </row>
    <row r="56" spans="2:8" x14ac:dyDescent="0.25">
      <c r="B56" s="54">
        <f>IF($B$55="","",EDATE($B$55,1))</f>
        <v>45748</v>
      </c>
      <c r="C56" s="55">
        <f>IF($B$56="","",SUMIFS(tblFuel[Emissions (t CO2e)],tblFuel[Month],$B$56))</f>
        <v>66.409</v>
      </c>
      <c r="D56" s="55">
        <f>IF($B$56="","",SUMIFS(tblElec[Location-based (t CO2e)],tblElec[Month],$B$56))</f>
        <v>91.5514</v>
      </c>
      <c r="E56" s="55">
        <f>IF($B$56="","",SUMIFS(tblElec[Market-based (t CO2e)],tblElec[Month],$B$56))</f>
        <v>109.993</v>
      </c>
      <c r="F56" s="55">
        <f>IF($B$56="","",$C$56+$E$56)</f>
        <v>176.402</v>
      </c>
      <c r="G56" s="55">
        <f>IF($B$56="","",SUMIFS(tblElec[Purchased (kWh)],tblElec[Month],$B$56)/1000)</f>
        <v>270.1</v>
      </c>
      <c r="H56" s="56">
        <f>IF($B$56="","",IF((SUMIFS(tblElec[Purchased (kWh)],tblElec[Month],$B$56))=0,"",(SUMIFS(tblElec[Contractual (kWh)],tblElec[Month],$B$56))/(SUMIFS(tblElec[Purchased (kWh)],tblElec[Month],$B$56))))</f>
        <v>0</v>
      </c>
    </row>
    <row r="57" spans="2:8" x14ac:dyDescent="0.25">
      <c r="B57" s="54">
        <f>IF($B$56="","",EDATE($B$56,1))</f>
        <v>45778</v>
      </c>
      <c r="C57" s="55">
        <f>IF($B$57="","",SUMIFS(tblFuel[Emissions (t CO2e)],tblFuel[Month],$B$57))</f>
        <v>58.681</v>
      </c>
      <c r="D57" s="55">
        <f>IF($B$57="","",SUMIFS(tblElec[Location-based (t CO2e)],tblElec[Month],$B$57))</f>
        <v>88.6166</v>
      </c>
      <c r="E57" s="55">
        <f>IF($B$57="","",SUMIFS(tblElec[Market-based (t CO2e)],tblElec[Month],$B$57))</f>
        <v>106.671</v>
      </c>
      <c r="F57" s="55">
        <f>IF($B$57="","",$C$57+$E$57)</f>
        <v>165.352</v>
      </c>
      <c r="G57" s="55">
        <f>IF($B$57="","",SUMIFS(tblElec[Purchased (kWh)],tblElec[Month],$B$57)/1000)</f>
        <v>263.5</v>
      </c>
      <c r="H57" s="56">
        <f>IF($B$57="","",IF((SUMIFS(tblElec[Purchased (kWh)],tblElec[Month],$B$57))=0,"",(SUMIFS(tblElec[Contractual (kWh)],tblElec[Month],$B$57))/(SUMIFS(tblElec[Purchased (kWh)],tblElec[Month],$B$57))))</f>
        <v>0</v>
      </c>
    </row>
    <row r="58" spans="2:8" x14ac:dyDescent="0.25">
      <c r="B58" s="54">
        <f>IF($B$57="","",EDATE($B$57,1))</f>
        <v>45809</v>
      </c>
      <c r="C58" s="55">
        <f>IF($B$58="","",SUMIFS(tblFuel[Emissions (t CO2e)],tblFuel[Month],$B$58))</f>
        <v>58.9863</v>
      </c>
      <c r="D58" s="55">
        <f>IF($B$58="","",SUMIFS(tblElec[Location-based (t CO2e)],tblElec[Month],$B$58))</f>
        <v>91.6932</v>
      </c>
      <c r="E58" s="55">
        <f>IF($B$58="","",SUMIFS(tblElec[Market-based (t CO2e)],tblElec[Month],$B$58))</f>
        <v>110.33</v>
      </c>
      <c r="F58" s="55">
        <f>IF($B$58="","",$C$58+$E$58)</f>
        <v>169.3163</v>
      </c>
      <c r="G58" s="55">
        <f>IF($B$58="","",SUMIFS(tblElec[Purchased (kWh)],tblElec[Month],$B$58)/1000)</f>
        <v>272.2</v>
      </c>
      <c r="H58" s="56">
        <f>IF($B$58="","",IF((SUMIFS(tblElec[Purchased (kWh)],tblElec[Month],$B$58))=0,"",(SUMIFS(tblElec[Contractual (kWh)],tblElec[Month],$B$58))/(SUMIFS(tblElec[Purchased (kWh)],tblElec[Month],$B$58))))</f>
        <v>0</v>
      </c>
    </row>
    <row r="59" spans="2:8" x14ac:dyDescent="0.25">
      <c r="B59" s="54">
        <f>IF($B$58="","",EDATE($B$58,1))</f>
        <v>45839</v>
      </c>
      <c r="C59" s="55">
        <f>IF($B$59="","",SUMIFS(tblFuel[Emissions (t CO2e)],tblFuel[Month],$B$59))</f>
        <v>58.8764</v>
      </c>
      <c r="D59" s="55">
        <f>IF($B$59="","",SUMIFS(tblElec[Location-based (t CO2e)],tblElec[Month],$B$59))</f>
        <v>92.4432</v>
      </c>
      <c r="E59" s="55">
        <f>IF($B$59="","",SUMIFS(tblElec[Market-based (t CO2e)],tblElec[Month],$B$59))</f>
        <v>64.147</v>
      </c>
      <c r="F59" s="55">
        <f>IF($B$59="","",$C$59+$E$59)</f>
        <v>123.0234</v>
      </c>
      <c r="G59" s="55">
        <f>IF($B$59="","",SUMIFS(tblElec[Purchased (kWh)],tblElec[Month],$B$59)/1000)</f>
        <v>272</v>
      </c>
      <c r="H59" s="56">
        <f>IF($B$59="","",IF((SUMIFS(tblElec[Purchased (kWh)],tblElec[Month],$B$59))=0,"",(SUMIFS(tblElec[Contractual (kWh)],tblElec[Month],$B$59))/(SUMIFS(tblElec[Purchased (kWh)],tblElec[Month],$B$59))))</f>
        <v>0.382720588235294</v>
      </c>
    </row>
    <row r="60" spans="2:8" x14ac:dyDescent="0.25">
      <c r="B60" s="54">
        <f>IF($B$59="","",EDATE($B$59,1))</f>
        <v>45870</v>
      </c>
      <c r="C60" s="55">
        <f>IF($B$60="","",SUMIFS(tblFuel[Emissions (t CO2e)],tblFuel[Month],$B$60))</f>
        <v>91.072</v>
      </c>
      <c r="D60" s="55">
        <f>IF($B$60="","",SUMIFS(tblElec[Location-based (t CO2e)],tblElec[Month],$B$60))</f>
        <v>80.1602</v>
      </c>
      <c r="E60" s="55">
        <f>IF($B$60="","",SUMIFS(tblElec[Market-based (t CO2e)],tblElec[Month],$B$60))</f>
        <v>56.814</v>
      </c>
      <c r="F60" s="55">
        <f>IF($B$60="","",$C$60+$E$60)</f>
        <v>147.886</v>
      </c>
      <c r="G60" s="55">
        <f>IF($B$60="","",SUMIFS(tblElec[Purchased (kWh)],tblElec[Month],$B$60)/1000)</f>
        <v>235.3</v>
      </c>
      <c r="H60" s="56">
        <f>IF($B$60="","",IF((SUMIFS(tblElec[Purchased (kWh)],tblElec[Month],$B$60))=0,"",(SUMIFS(tblElec[Contractual (kWh)],tblElec[Month],$B$60))/(SUMIFS(tblElec[Purchased (kWh)],tblElec[Month],$B$60))))</f>
        <v>0.371865703357416</v>
      </c>
    </row>
    <row r="61" spans="2:8" x14ac:dyDescent="0.25">
      <c r="B61" s="54">
        <f>IF($B$60="","",EDATE($B$60,1))</f>
        <v>45901</v>
      </c>
      <c r="C61" s="55">
        <f>IF($B$61="","",SUMIFS(tblFuel[Emissions (t CO2e)],tblFuel[Month],$B$61))</f>
        <v>59.9401</v>
      </c>
      <c r="D61" s="55">
        <f>IF($B$61="","",SUMIFS(tblElec[Location-based (t CO2e)],tblElec[Month],$B$61))</f>
        <v>93.05</v>
      </c>
      <c r="E61" s="55">
        <f>IF($B$61="","",SUMIFS(tblElec[Market-based (t CO2e)],tblElec[Month],$B$61))</f>
        <v>63.167</v>
      </c>
      <c r="F61" s="55">
        <f>IF($B$61="","",$C$61+$E$61)</f>
        <v>123.1071</v>
      </c>
      <c r="G61" s="55">
        <f>IF($B$61="","",SUMIFS(tblElec[Purchased (kWh)],tblElec[Month],$B$61)/1000)</f>
        <v>273.8</v>
      </c>
      <c r="H61" s="56">
        <f>IF($B$61="","",IF((SUMIFS(tblElec[Purchased (kWh)],tblElec[Month],$B$61))=0,"",(SUMIFS(tblElec[Contractual (kWh)],tblElec[Month],$B$61))/(SUMIFS(tblElec[Purchased (kWh)],tblElec[Month],$B$61))))</f>
        <v>0.394083272461651</v>
      </c>
    </row>
    <row r="62" spans="2:8" x14ac:dyDescent="0.25">
      <c r="B62" s="54">
        <f>IF($B$61="","",EDATE($B$61,1))</f>
        <v>45931</v>
      </c>
      <c r="C62" s="55">
        <f>IF($B$62="","",SUMIFS(tblFuel[Emissions (t CO2e)],tblFuel[Month],$B$62))</f>
        <v>63.9586</v>
      </c>
      <c r="D62" s="55">
        <f>IF($B$62="","",SUMIFS(tblElec[Location-based (t CO2e)],tblElec[Month],$B$62))</f>
        <v>90.7634</v>
      </c>
      <c r="E62" s="55">
        <f>IF($B$62="","",SUMIFS(tblElec[Market-based (t CO2e)],tblElec[Month],$B$62))</f>
        <v>57.712</v>
      </c>
      <c r="F62" s="55">
        <f>IF($B$62="","",$C$62+$E$62)</f>
        <v>121.6706</v>
      </c>
      <c r="G62" s="55">
        <f>IF($B$62="","",SUMIFS(tblElec[Purchased (kWh)],tblElec[Month],$B$62)/1000)</f>
        <v>269.7</v>
      </c>
      <c r="H62" s="56">
        <f>IF($B$62="","",IF((SUMIFS(tblElec[Purchased (kWh)],tblElec[Month],$B$62))=0,"",(SUMIFS(tblElec[Contractual (kWh)],tblElec[Month],$B$62))/(SUMIFS(tblElec[Purchased (kWh)],tblElec[Month],$B$62))))</f>
        <v>0.424545791620319</v>
      </c>
    </row>
    <row r="63" spans="2:8" x14ac:dyDescent="0.25">
      <c r="B63" s="54">
        <f>IF($B$62="","",EDATE($B$62,1))</f>
        <v>45962</v>
      </c>
      <c r="C63" s="55">
        <f>IF($B$63="","",SUMIFS(tblFuel[Emissions (t CO2e)],tblFuel[Month],$B$63))</f>
        <v>67.9045</v>
      </c>
      <c r="D63" s="55">
        <f>IF($B$63="","",SUMIFS(tblElec[Location-based (t CO2e)],tblElec[Month],$B$63))</f>
        <v>94.3284</v>
      </c>
      <c r="E63" s="55">
        <f>IF($B$63="","",SUMIFS(tblElec[Market-based (t CO2e)],tblElec[Month],$B$63))</f>
        <v>66.412</v>
      </c>
      <c r="F63" s="55">
        <f>IF($B$63="","",$C$63+$E$63)</f>
        <v>134.3165</v>
      </c>
      <c r="G63" s="55">
        <f>IF($B$63="","",SUMIFS(tblElec[Purchased (kWh)],tblElec[Month],$B$63)/1000)</f>
        <v>276.2</v>
      </c>
      <c r="H63" s="56">
        <f>IF($B$63="","",IF((SUMIFS(tblElec[Purchased (kWh)],tblElec[Month],$B$63))=0,"",(SUMIFS(tblElec[Contractual (kWh)],tblElec[Month],$B$63))/(SUMIFS(tblElec[Purchased (kWh)],tblElec[Month],$B$63))))</f>
        <v>0.375814627081825</v>
      </c>
    </row>
    <row r="64" spans="2:8" x14ac:dyDescent="0.25">
      <c r="B64" s="54">
        <f>IF($B$63="","",EDATE($B$63,1))</f>
        <v>45992</v>
      </c>
      <c r="C64" s="55">
        <f>IF($B$64="","",SUMIFS(tblFuel[Emissions (t CO2e)],tblFuel[Month],$B$64))</f>
        <v>71.7579</v>
      </c>
      <c r="D64" s="55">
        <f>IF($B$64="","",SUMIFS(tblElec[Location-based (t CO2e)],tblElec[Month],$B$64))</f>
        <v>89.8116</v>
      </c>
      <c r="E64" s="55">
        <f>IF($B$64="","",SUMIFS(tblElec[Market-based (t CO2e)],tblElec[Month],$B$64))</f>
        <v>57.101</v>
      </c>
      <c r="F64" s="55">
        <f>IF($B$64="","",$C$64+$E$64)</f>
        <v>128.8589</v>
      </c>
      <c r="G64" s="55">
        <f>IF($B$64="","",SUMIFS(tblElec[Purchased (kWh)],tblElec[Month],$B$64)/1000)</f>
        <v>265</v>
      </c>
      <c r="H64" s="56">
        <f>IF($B$64="","",IF((SUMIFS(tblElec[Purchased (kWh)],tblElec[Month],$B$64))=0,"",(SUMIFS(tblElec[Contractual (kWh)],tblElec[Month],$B$64))/(SUMIFS(tblElec[Purchased (kWh)],tblElec[Month],$B$64))))</f>
        <v>0.426037735849057</v>
      </c>
    </row>
    <row r="66" spans="2:43" x14ac:dyDescent="0.25">
      <c r="B66" s="32" t="s">
        <v>157</v>
      </c>
      <c r="C66" s="32"/>
      <c r="D66" s="32"/>
      <c r="E66" s="32"/>
      <c r="F66" s="32"/>
      <c r="G66" s="32"/>
      <c r="H66" s="32"/>
    </row>
    <row r="67" spans="2:43" ht="45.5" customHeight="1" x14ac:dyDescent="0.25">
      <c r="B67" s="53" t="s">
        <v>64</v>
      </c>
      <c r="C67" s="34" t="s">
        <v>151</v>
      </c>
      <c r="D67" s="34" t="s">
        <v>152</v>
      </c>
      <c r="E67" s="34" t="s">
        <v>153</v>
      </c>
      <c r="F67" s="34" t="s">
        <v>154</v>
      </c>
      <c r="G67" s="34" t="s">
        <v>155</v>
      </c>
      <c r="H67" s="34" t="s">
        <v>156</v>
      </c>
    </row>
    <row r="68" spans="2:43" x14ac:dyDescent="0.25">
      <c r="B68" s="57" t="str">
        <f>IFERROR(INDEX(tblSites[Site],1)&amp;"","")</f>
        <v>Main plant</v>
      </c>
      <c r="C68" s="55">
        <f>IF($B$68="","",SUMIFS(tblFuel[Emissions (t CO2e)],tblFuel[Site],$B$68,tblFuel[Month],"&gt;="&amp;YStart,tblFuel[Month],"&lt;="&amp;YEnd))</f>
        <v>573.6468</v>
      </c>
      <c r="D68" s="55">
        <f>IF($B$68="","",SUMIFS(tblElec[Location-based (t CO2e)],tblElec[Site],$B$68,tblElec[Month],"&gt;="&amp;YStart,tblElec[Month],"&lt;="&amp;YEnd))</f>
        <v>906.714</v>
      </c>
      <c r="E68" s="55">
        <f>IF($B$68="","",SUMIFS(tblElec[Market-based (t CO2e)],tblElec[Site],$B$68,tblElec[Month],"&gt;="&amp;YStart,tblElec[Month],"&lt;="&amp;YEnd))</f>
        <v>773.235</v>
      </c>
      <c r="F68" s="55">
        <f>IF($B$68="","",$C$68+$E$68)</f>
        <v>1346.8818</v>
      </c>
      <c r="G68" s="55">
        <f>IF($B$68="","",SUMIFS(tblElec[Purchased (kWh)],tblElec[Site],$B$68,tblElec[Month],"&gt;="&amp;YStart,tblElec[Month],"&lt;="&amp;YEnd)/1000)</f>
        <v>2349</v>
      </c>
      <c r="H68" s="56">
        <f>IF($B$68="","",IF((SUMIFS(tblElec[Purchased (kWh)],tblElec[Site],$B$68,tblElec[Month],"&gt;="&amp;YStart,tblElec[Month],"&lt;="&amp;YEnd))=0,"",(SUMIFS(tblElec[Contractual (kWh)],tblElec[Site],$B$68,tblElec[Month],"&gt;="&amp;YStart,tblElec[Month],"&lt;="&amp;YEnd))/(SUMIFS(tblElec[Purchased (kWh)],tblElec[Site],$B$68,tblElec[Month],"&gt;="&amp;YStart,tblElec[Month],"&lt;="&amp;YEnd))))</f>
        <v>0.268497232865049</v>
      </c>
    </row>
    <row r="69" spans="2:43" x14ac:dyDescent="0.25">
      <c r="B69" s="57" t="str">
        <f>IFERROR(INDEX(tblSites[Site],2)&amp;"","")</f>
        <v>Finishing plant</v>
      </c>
      <c r="C69" s="55">
        <f>IF($B$69="","",SUMIFS(tblFuel[Emissions (t CO2e)],tblFuel[Site],$B$69,tblFuel[Month],"&gt;="&amp;YStart,tblFuel[Month],"&lt;="&amp;YEnd))</f>
        <v>243.421</v>
      </c>
      <c r="D69" s="55">
        <f>IF($B$69="","",SUMIFS(tblElec[Location-based (t CO2e)],tblElec[Site],$B$69,tblElec[Month],"&gt;="&amp;YStart,tblElec[Month],"&lt;="&amp;YEnd))</f>
        <v>181.587</v>
      </c>
      <c r="E69" s="55">
        <f>IF($B$69="","",SUMIFS(tblElec[Market-based (t CO2e)],tblElec[Site],$B$69,tblElec[Month],"&gt;="&amp;YStart,tblElec[Month],"&lt;="&amp;YEnd))</f>
        <v>250.763</v>
      </c>
      <c r="F69" s="55">
        <f>IF($B$69="","",$C$69+$E$69)</f>
        <v>494.184</v>
      </c>
      <c r="G69" s="55">
        <f>IF($B$69="","",SUMIFS(tblElec[Purchased (kWh)],tblElec[Site],$B$69,tblElec[Month],"&gt;="&amp;YStart,tblElec[Month],"&lt;="&amp;YEnd)/1000)</f>
        <v>864.7</v>
      </c>
      <c r="H69" s="56">
        <f>IF($B$69="","",IF((SUMIFS(tblElec[Purchased (kWh)],tblElec[Site],$B$69,tblElec[Month],"&gt;="&amp;YStart,tblElec[Month],"&lt;="&amp;YEnd))=0,"",(SUMIFS(tblElec[Contractual (kWh)],tblElec[Site],$B$69,tblElec[Month],"&gt;="&amp;YStart,tblElec[Month],"&lt;="&amp;YEnd))/(SUMIFS(tblElec[Purchased (kWh)],tblElec[Site],$B$69,tblElec[Month],"&gt;="&amp;YStart,tblElec[Month],"&lt;="&amp;YEnd))))</f>
        <v>0</v>
      </c>
    </row>
    <row r="71" spans="2:43" x14ac:dyDescent="0.25">
      <c r="B71" s="32" t="s">
        <v>158</v>
      </c>
      <c r="C71" s="32"/>
      <c r="D71" s="32"/>
      <c r="E71" s="32"/>
      <c r="F71" s="32"/>
      <c r="G71" s="32" t="s">
        <v>159</v>
      </c>
      <c r="H71" s="32"/>
      <c r="I71" s="32"/>
      <c r="J71" s="32"/>
      <c r="K71" s="32"/>
      <c r="L71" s="32"/>
    </row>
    <row r="72" spans="2:43" ht="20" customHeight="1" x14ac:dyDescent="0.25">
      <c r="B72" s="53" t="s">
        <v>160</v>
      </c>
      <c r="C72" s="34" t="s">
        <v>120</v>
      </c>
      <c r="D72" s="34"/>
      <c r="E72" s="34" t="s">
        <v>161</v>
      </c>
      <c r="F72" s="34"/>
      <c r="G72" s="34" t="s">
        <v>162</v>
      </c>
      <c r="H72" s="53" t="s">
        <v>69</v>
      </c>
      <c r="I72" s="53"/>
      <c r="J72" s="34" t="s">
        <v>83</v>
      </c>
      <c r="K72" s="34" t="s">
        <v>163</v>
      </c>
      <c r="L72" s="34" t="s">
        <v>164</v>
      </c>
      <c r="AO72" s="7" t="s">
        <v>165</v>
      </c>
      <c r="AP72" s="7" t="s">
        <v>166</v>
      </c>
      <c r="AQ72" s="7" t="s">
        <v>167</v>
      </c>
    </row>
    <row r="73" spans="2:43" x14ac:dyDescent="0.25">
      <c r="B73" s="57" t="s">
        <v>99</v>
      </c>
      <c r="C73" s="55">
        <f>SUMIFS(tblFuel[Emissions (t CO2e)],tblFuel[Category],$B$73,tblFuel[Month],"&gt;="&amp;YStart,tblFuel[Month],"&lt;="&amp;YEnd)</f>
        <v>699.495</v>
      </c>
      <c r="D73" s="55"/>
      <c r="E73" s="56">
        <f>IF((SUMIFS(tblFuel[Emissions (t CO2e)],tblFuel[Month],"&gt;="&amp;YStart,tblFuel[Month],"&lt;="&amp;YEnd))=0,"",($C$73)/(SUMIFS(tblFuel[Emissions (t CO2e)],tblFuel[Month],"&gt;="&amp;YStart,tblFuel[Month],"&lt;="&amp;YEnd)))</f>
        <v>0.856103985495451</v>
      </c>
      <c r="F73" s="56"/>
      <c r="G73" s="58"/>
      <c r="H73" s="58"/>
      <c r="I73" s="58"/>
      <c r="J73" s="58" t="s">
        <v>83</v>
      </c>
      <c r="K73" s="58" t="s">
        <v>168</v>
      </c>
      <c r="L73" s="58" t="s">
        <v>168</v>
      </c>
    </row>
    <row r="74" spans="2:43" x14ac:dyDescent="0.25">
      <c r="B74" s="57" t="s">
        <v>104</v>
      </c>
      <c r="C74" s="55">
        <f>SUMIFS(tblFuel[Emissions (t CO2e)],tblFuel[Category],$B$74,tblFuel[Month],"&gt;="&amp;YStart,tblFuel[Month],"&lt;="&amp;YEnd)</f>
        <v>76.9888</v>
      </c>
      <c r="D74" s="55"/>
      <c r="E74" s="56">
        <f>IF((SUMIFS(tblFuel[Emissions (t CO2e)],tblFuel[Month],"&gt;="&amp;YStart,tblFuel[Month],"&lt;="&amp;YEnd))=0,"",($C$74)/(SUMIFS(tblFuel[Emissions (t CO2e)],tblFuel[Month],"&gt;="&amp;YStart,tblFuel[Month],"&lt;="&amp;YEnd)))</f>
        <v>0.0942257178657634</v>
      </c>
      <c r="F74" s="56"/>
      <c r="G74" s="59">
        <v>1</v>
      </c>
      <c r="H74" s="37" t="str">
        <f>IF(INDEX($AP$74:$AP$80,MATCH(1,$AQ$74:$AQ$80,0))&lt;0,"",INDEX($AO$74:$AO$80,MATCH(1,$AQ$74:$AQ$80,0)))</f>
        <v>Natural gas</v>
      </c>
      <c r="I74" s="37"/>
      <c r="J74" s="55">
        <f>IF($H$74="","",INDEX($AP$74:$AP$80,MATCH(1,$AQ$74:$AQ$80,0)))</f>
        <v>698.2182</v>
      </c>
      <c r="K74" s="56">
        <f>IF(OR($H$74="",$J$81=0),"",$J$74/$J$81)</f>
        <v>0.854541324477601</v>
      </c>
      <c r="L74" s="56">
        <f>IF(OR($H$74="",$J$81=0),"",SUM($J$74:$J$74)/$J$81)</f>
        <v>0.854541324477601</v>
      </c>
      <c r="AO74" s="11" t="str">
        <f>IFERROR(INDEX(tblSources[Source],1)&amp;"","")</f>
        <v>Natural gas</v>
      </c>
      <c r="AP74" s="60">
        <f>IF($AO$74="",-1,SUMIFS(tblFuel[Emissions (t CO2e)],tblFuel[Source],$AO$74,tblFuel[Month],"&gt;="&amp;YStart,tblFuel[Month],"&lt;="&amp;YEnd))</f>
        <v>698.2182</v>
      </c>
      <c r="AQ74" s="61">
        <f>COUNTIF($AP$74:$AP$80,"&gt;"&amp;$AP$74)+COUNTIF($AP$74:$AP$74,$AP$74)</f>
        <v>1</v>
      </c>
    </row>
    <row r="75" spans="2:43" x14ac:dyDescent="0.25">
      <c r="B75" s="57" t="s">
        <v>108</v>
      </c>
      <c r="C75" s="55">
        <f>SUMIFS(tblFuel[Emissions (t CO2e)],tblFuel[Category],$B$75,tblFuel[Month],"&gt;="&amp;YStart,tblFuel[Month],"&lt;="&amp;YEnd)</f>
        <v>35.984</v>
      </c>
      <c r="D75" s="55"/>
      <c r="E75" s="56">
        <f>IF((SUMIFS(tblFuel[Emissions (t CO2e)],tblFuel[Month],"&gt;="&amp;YStart,tblFuel[Month],"&lt;="&amp;YEnd))=0,"",($C$75)/(SUMIFS(tblFuel[Emissions (t CO2e)],tblFuel[Month],"&gt;="&amp;YStart,tblFuel[Month],"&lt;="&amp;YEnd)))</f>
        <v>0.0440404088865086</v>
      </c>
      <c r="F75" s="56"/>
      <c r="G75" s="59">
        <v>2</v>
      </c>
      <c r="H75" s="37" t="str">
        <f>IF(INDEX($AP$74:$AP$80,MATCH(2,$AQ$74:$AQ$80,0))&lt;0,"",INDEX($AO$74:$AO$80,MATCH(2,$AQ$74:$AQ$80,0)))</f>
        <v>LPG, forklifts</v>
      </c>
      <c r="I75" s="37"/>
      <c r="J75" s="55">
        <f>IF($H$75="","",INDEX($AP$74:$AP$80,MATCH(2,$AQ$74:$AQ$80,0)))</f>
        <v>50.9208</v>
      </c>
      <c r="K75" s="56">
        <f>IF(OR($H$75="",$J$81=0),"",$J$75/$J$81)</f>
        <v>0.0623213887513374</v>
      </c>
      <c r="L75" s="56">
        <f>IF(OR($H$75="",$J$81=0),"",SUM($J$74:$J$75)/$J$81)</f>
        <v>0.916862713228939</v>
      </c>
      <c r="AO75" s="11" t="str">
        <f>IFERROR(INDEX(tblSources[Source],2)&amp;"","")</f>
        <v>Diesel, generators</v>
      </c>
      <c r="AP75" s="60">
        <f>IF($AO$75="",-1,SUMIFS(tblFuel[Emissions (t CO2e)],tblFuel[Source],$AO$75,tblFuel[Month],"&gt;="&amp;YStart,tblFuel[Month],"&lt;="&amp;YEnd))</f>
        <v>1.2768</v>
      </c>
      <c r="AQ75" s="61">
        <f>COUNTIF($AP$74:$AP$80,"&gt;"&amp;$AP$75)+COUNTIF($AP$74:$AP$75,$AP$75)</f>
        <v>7</v>
      </c>
    </row>
    <row r="76" spans="2:43" x14ac:dyDescent="0.25">
      <c r="B76" s="57" t="s">
        <v>113</v>
      </c>
      <c r="C76" s="55">
        <f>SUMIFS(tblFuel[Emissions (t CO2e)],tblFuel[Category],$B$76,tblFuel[Month],"&gt;="&amp;YStart,tblFuel[Month],"&lt;="&amp;YEnd)</f>
        <v>4.6</v>
      </c>
      <c r="D76" s="55"/>
      <c r="E76" s="56">
        <f>IF((SUMIFS(tblFuel[Emissions (t CO2e)],tblFuel[Month],"&gt;="&amp;YStart,tblFuel[Month],"&lt;="&amp;YEnd))=0,"",($C$76)/(SUMIFS(tblFuel[Emissions (t CO2e)],tblFuel[Month],"&gt;="&amp;YStart,tblFuel[Month],"&lt;="&amp;YEnd)))</f>
        <v>0.00562988775227711</v>
      </c>
      <c r="F76" s="56"/>
      <c r="G76" s="59">
        <v>3</v>
      </c>
      <c r="H76" s="37" t="str">
        <f>IF(INDEX($AP$74:$AP$80,MATCH(3,$AQ$74:$AQ$80,0))&lt;0,"",INDEX($AO$74:$AO$80,MATCH(3,$AQ$74:$AQ$80,0)))</f>
        <v>R-410A refrigerant</v>
      </c>
      <c r="I76" s="37"/>
      <c r="J76" s="55">
        <f>IF($H$76="","",INDEX($AP$74:$AP$80,MATCH(3,$AQ$74:$AQ$80,0)))</f>
        <v>30.784</v>
      </c>
      <c r="K76" s="56">
        <f>IF(OR($H$76="",$J$81=0),"",$J$76/$J$81)</f>
        <v>0.0376761879491518</v>
      </c>
      <c r="L76" s="56">
        <f>IF(OR($H$76="",$J$81=0),"",SUM($J$74:$J$76)/$J$81)</f>
        <v>0.954538901178091</v>
      </c>
      <c r="AO76" s="11" t="str">
        <f>IFERROR(INDEX(tblSources[Source],3)&amp;"","")</f>
        <v>Diesel, company vans</v>
      </c>
      <c r="AP76" s="60">
        <f>IF($AO$76="",-1,SUMIFS(tblFuel[Emissions (t CO2e)],tblFuel[Source],$AO$76,tblFuel[Month],"&gt;="&amp;YStart,tblFuel[Month],"&lt;="&amp;YEnd))</f>
        <v>26.068</v>
      </c>
      <c r="AQ76" s="61">
        <f>COUNTIF($AP$74:$AP$80,"&gt;"&amp;$AP$76)+COUNTIF($AP$74:$AP$76,$AP$76)</f>
        <v>4</v>
      </c>
    </row>
    <row r="77" spans="2:43" x14ac:dyDescent="0.25">
      <c r="G77" s="59">
        <v>4</v>
      </c>
      <c r="H77" s="37" t="str">
        <f>IF(INDEX($AP$74:$AP$80,MATCH(4,$AQ$74:$AQ$80,0))&lt;0,"",INDEX($AO$74:$AO$80,MATCH(4,$AQ$74:$AQ$80,0)))</f>
        <v>Diesel, company vans</v>
      </c>
      <c r="I77" s="37"/>
      <c r="J77" s="55">
        <f>IF($H$77="","",INDEX($AP$74:$AP$80,MATCH(4,$AQ$74:$AQ$80,0)))</f>
        <v>26.068</v>
      </c>
      <c r="K77" s="56">
        <f>IF(OR($H$77="",$J$81=0),"",$J$77/$J$81)</f>
        <v>0.031904329114426</v>
      </c>
      <c r="L77" s="56">
        <f>IF(OR($H$77="",$J$81=0),"",SUM($J$74:$J$77)/$J$81)</f>
        <v>0.986443230292517</v>
      </c>
      <c r="AO77" s="11" t="str">
        <f>IFERROR(INDEX(tblSources[Source],4)&amp;"","")</f>
        <v>LPG, forklifts</v>
      </c>
      <c r="AP77" s="60">
        <f>IF($AO$77="",-1,SUMIFS(tblFuel[Emissions (t CO2e)],tblFuel[Source],$AO$77,tblFuel[Month],"&gt;="&amp;YStart,tblFuel[Month],"&lt;="&amp;YEnd))</f>
        <v>50.9208</v>
      </c>
      <c r="AQ77" s="61">
        <f>COUNTIF($AP$74:$AP$80,"&gt;"&amp;$AP$77)+COUNTIF($AP$74:$AP$77,$AP$77)</f>
        <v>2</v>
      </c>
    </row>
    <row r="78" spans="2:43" x14ac:dyDescent="0.25">
      <c r="G78" s="59">
        <v>5</v>
      </c>
      <c r="H78" s="37" t="str">
        <f>IF(INDEX($AP$74:$AP$80,MATCH(5,$AQ$74:$AQ$80,0))&lt;0,"",INDEX($AO$74:$AO$80,MATCH(5,$AQ$74:$AQ$80,0)))</f>
        <v>R-134a refrigerant</v>
      </c>
      <c r="I78" s="37"/>
      <c r="J78" s="55">
        <f>IF($H$78="","",INDEX($AP$74:$AP$80,MATCH(5,$AQ$74:$AQ$80,0)))</f>
        <v>5.2</v>
      </c>
      <c r="K78" s="56">
        <f>IF(OR($H$78="",$J$81=0),"",$J$78/$J$81)</f>
        <v>0.00636422093735673</v>
      </c>
      <c r="L78" s="56">
        <f>IF(OR($H$78="",$J$81=0),"",SUM($J$74:$J$78)/$J$81)</f>
        <v>0.992807451229874</v>
      </c>
      <c r="AO78" s="11" t="str">
        <f>IFERROR(INDEX(tblSources[Source],5)&amp;"","")</f>
        <v>R-410A refrigerant</v>
      </c>
      <c r="AP78" s="60">
        <f>IF($AO$78="",-1,SUMIFS(tblFuel[Emissions (t CO2e)],tblFuel[Source],$AO$78,tblFuel[Month],"&gt;="&amp;YStart,tblFuel[Month],"&lt;="&amp;YEnd))</f>
        <v>30.784</v>
      </c>
      <c r="AQ78" s="61">
        <f>COUNTIF($AP$74:$AP$80,"&gt;"&amp;$AP$78)+COUNTIF($AP$74:$AP$78,$AP$78)</f>
        <v>3</v>
      </c>
    </row>
    <row r="79" spans="2:43" x14ac:dyDescent="0.25">
      <c r="G79" s="59">
        <v>6</v>
      </c>
      <c r="H79" s="37" t="str">
        <f>IF(INDEX($AP$74:$AP$80,MATCH(6,$AQ$74:$AQ$80,0))&lt;0,"",INDEX($AO$74:$AO$80,MATCH(6,$AQ$74:$AQ$80,0)))</f>
        <v>CO2 shielding gas</v>
      </c>
      <c r="I79" s="37"/>
      <c r="J79" s="55">
        <f>IF($H$79="","",INDEX($AP$74:$AP$80,MATCH(6,$AQ$74:$AQ$80,0)))</f>
        <v>4.6</v>
      </c>
      <c r="K79" s="56">
        <f>IF(OR($H$79="",$J$81=0),"",$J$79/$J$81)</f>
        <v>0.00562988775227711</v>
      </c>
      <c r="L79" s="56">
        <f>IF(OR($H$79="",$J$81=0),"",SUM($J$74:$J$79)/$J$81)</f>
        <v>0.998437338982151</v>
      </c>
      <c r="AO79" s="11" t="str">
        <f>IFERROR(INDEX(tblSources[Source],6)&amp;"","")</f>
        <v>R-134a refrigerant</v>
      </c>
      <c r="AP79" s="60">
        <f>IF($AO$79="",-1,SUMIFS(tblFuel[Emissions (t CO2e)],tblFuel[Source],$AO$79,tblFuel[Month],"&gt;="&amp;YStart,tblFuel[Month],"&lt;="&amp;YEnd))</f>
        <v>5.2</v>
      </c>
      <c r="AQ79" s="61">
        <f>COUNTIF($AP$74:$AP$80,"&gt;"&amp;$AP$79)+COUNTIF($AP$74:$AP$79,$AP$79)</f>
        <v>5</v>
      </c>
    </row>
    <row r="80" spans="2:43" x14ac:dyDescent="0.25">
      <c r="G80" s="59">
        <v>7</v>
      </c>
      <c r="H80" s="37" t="str">
        <f>IF(INDEX($AP$74:$AP$80,MATCH(7,$AQ$74:$AQ$80,0))&lt;0,"",INDEX($AO$74:$AO$80,MATCH(7,$AQ$74:$AQ$80,0)))</f>
        <v>Diesel, generators</v>
      </c>
      <c r="I80" s="37"/>
      <c r="J80" s="55">
        <f>IF($H$80="","",INDEX($AP$74:$AP$80,MATCH(7,$AQ$74:$AQ$80,0)))</f>
        <v>1.2768</v>
      </c>
      <c r="K80" s="56">
        <f>IF(OR($H$80="",$J$81=0),"",$J$80/$J$81)</f>
        <v>0.00156266101784944</v>
      </c>
      <c r="L80" s="56">
        <f>IF(OR($H$80="",$J$81=0),"",SUM($J$74:$J$80)/$J$81)</f>
        <v>1</v>
      </c>
      <c r="AO80" s="11" t="str">
        <f>IFERROR(INDEX(tblSources[Source],7)&amp;"","")</f>
        <v>CO2 shielding gas</v>
      </c>
      <c r="AP80" s="60">
        <f>IF($AO$80="",-1,SUMIFS(tblFuel[Emissions (t CO2e)],tblFuel[Source],$AO$80,tblFuel[Month],"&gt;="&amp;YStart,tblFuel[Month],"&lt;="&amp;YEnd))</f>
        <v>4.6</v>
      </c>
      <c r="AQ80" s="61">
        <f>COUNTIF($AP$74:$AP$80,"&gt;"&amp;$AP$80)+COUNTIF($AP$74:$AP$80,$AP$80)</f>
        <v>6</v>
      </c>
    </row>
    <row r="81" spans="2:12" x14ac:dyDescent="0.25">
      <c r="G81" s="62"/>
      <c r="H81" s="62" t="s">
        <v>169</v>
      </c>
      <c r="I81" s="62"/>
      <c r="J81" s="63">
        <f>SUMIF($AP$74:$AP$80,"&gt;0")</f>
        <v>817.0678</v>
      </c>
      <c r="K81" s="62"/>
      <c r="L81" s="62"/>
    </row>
    <row r="83" spans="2:12" ht="26.76" customHeight="1" x14ac:dyDescent="0.25">
      <c r="B83" s="21" t="s">
        <v>170</v>
      </c>
      <c r="C83" s="21"/>
      <c r="D83" s="21"/>
      <c r="E83" s="21"/>
      <c r="F83" s="21"/>
      <c r="G83" s="21"/>
      <c r="H83" s="21"/>
      <c r="I83" s="21"/>
      <c r="J83" s="21"/>
      <c r="K83" s="21"/>
      <c r="L83" s="21"/>
    </row>
    <row r="84" spans="2:12" x14ac:dyDescent="0.25">
      <c r="B84" s="64">
        <f>IF(OR(COUNTA(tblSites[Site])&gt;2,COUNTA(tblSources[Source])&gt;7),"Setup lists are longer than the Dashboard blocks: some sites or sources are not shown.","")</f>
        <v/>
      </c>
      <c r="C84" s="64"/>
      <c r="D84" s="64"/>
      <c r="E84" s="64"/>
      <c r="F84" s="64"/>
      <c r="G84" s="64"/>
      <c r="H84" s="64"/>
      <c r="I84" s="64"/>
      <c r="J84" s="64"/>
      <c r="K84" s="64"/>
      <c r="L84" s="64"/>
    </row>
  </sheetData>
  <sheetProtection sheet="1" formatColumns="0" formatRows="0"/>
  <mergeCells count="66">
    <mergeCell ref="A1:L1"/>
    <mergeCell ref="B2:J2"/>
    <mergeCell ref="K2:L2"/>
    <mergeCell ref="B4:C4"/>
    <mergeCell ref="D4:E4"/>
    <mergeCell ref="G4:H4"/>
    <mergeCell ref="I4:J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H51"/>
    <mergeCell ref="B66:H66"/>
    <mergeCell ref="B71:F71"/>
    <mergeCell ref="C72:D72"/>
    <mergeCell ref="E72:F72"/>
    <mergeCell ref="C73:D73"/>
    <mergeCell ref="C74:D74"/>
    <mergeCell ref="C75:D75"/>
    <mergeCell ref="C76:D76"/>
    <mergeCell ref="E73:F73"/>
    <mergeCell ref="E74:F74"/>
    <mergeCell ref="E75:F75"/>
    <mergeCell ref="E76:F76"/>
    <mergeCell ref="G71:L71"/>
    <mergeCell ref="H72:I72"/>
    <mergeCell ref="H73:I73"/>
    <mergeCell ref="H74:I74"/>
    <mergeCell ref="H75:I75"/>
    <mergeCell ref="H76:I76"/>
    <mergeCell ref="H77:I77"/>
    <mergeCell ref="H78:I78"/>
    <mergeCell ref="H79:I79"/>
    <mergeCell ref="H80:I80"/>
    <mergeCell ref="H81:I81"/>
    <mergeCell ref="B83:L83"/>
    <mergeCell ref="B84:L84"/>
  </mergeCells>
  <conditionalFormatting sqref="B3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33">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E73:E76">
    <cfRule type="dataBar" priority="41">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J74:J80">
    <cfRule type="dataBar" priority="42">
      <dataBar>
        <cfvo type="num" val="0"/>
        <cfvo type="max"/>
        <color rgb="FFA8BDF0"/>
      </dataBar>
      <extLst>
        <ext xmlns:x14="http://schemas.microsoft.com/office/spreadsheetml/2009/9/main" uri="{B025F937-C7B1-47D3-B67F-A62EFF666E3E}">
          <x14:id>{DA7ABA51-AAAA-BBBB-0005-000000000002}</x14:id>
        </ext>
      </extLst>
    </cfRule>
  </conditionalFormatting>
  <dataValidations count="1">
    <dataValidation type="whole" allowBlank="1" showInputMessage="1" showErrorMessage="1" errorTitle="Check this entry" error="Enter a whole number from 1,990 to 2,100." promptTitle="Reporting year" prompt="Calendar year to report. The logs may hold several years. Enter a whole number from 1,990 to 2,100." sqref="D4">
      <formula1>1990</formula1>
      <formula2>2100</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Scope 1 and 2 GHG Inventory&amp;R&amp;8&amp;A</oddHeader>
    <oddFooter>&amp;L&amp;8mfgcalcs.com - free manufacturing templates&amp;R&amp;8Page &amp;P of &amp;N</oddFooter>
  </headerFooter>
  <rowBreaks count="3" manualBreakCount="3">
    <brk id="28" max="16383" man="1"/>
    <brk id="50" max="16383" man="1"/>
    <brk id="70"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E73:E76</xm:sqref>
        </x14:conditionalFormatting>
        <x14:conditionalFormatting xmlns:xm="http://schemas.microsoft.com/office/excel/2006/main">
          <x14:cfRule type="dataBar" id="{DA7ABA51-AAAA-BBBB-0005-000000000002}">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J74:J80</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6"/>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171</v>
      </c>
      <c r="C4" s="8"/>
      <c r="D4" s="8"/>
    </row>
    <row r="5" spans="1:4" ht="5" customHeight="1"/>
    <row r="6" spans="1:4" ht="55.8" customHeight="1">
      <c r="B6" s="10" t="s">
        <v>172</v>
      </c>
      <c r="C6" s="10"/>
      <c r="D6" s="10"/>
    </row>
    <row r="8" spans="1:4" ht="21" customHeight="1">
      <c r="B8" s="8" t="s">
        <v>173</v>
      </c>
      <c r="C8" s="8"/>
      <c r="D8" s="8"/>
    </row>
    <row r="9" spans="1:4" ht="5" customHeight="1"/>
    <row r="10" spans="1:4" ht="20" customHeight="1">
      <c r="B10" s="53" t="s">
        <v>119</v>
      </c>
      <c r="C10" s="53" t="s">
        <v>174</v>
      </c>
      <c r="D10" s="34" t="s">
        <v>175</v>
      </c>
    </row>
    <row r="11" spans="1:4" ht="30.4" customHeight="1">
      <c r="B11" s="65" t="s">
        <v>176</v>
      </c>
      <c r="C11" s="66" t="s">
        <v>177</v>
      </c>
      <c r="D11" s="67" t="s">
        <v>83</v>
      </c>
    </row>
    <row r="12" spans="1:4" ht="17.2" customHeight="1">
      <c r="B12" s="65" t="s">
        <v>178</v>
      </c>
      <c r="C12" s="66" t="s">
        <v>179</v>
      </c>
      <c r="D12" s="67" t="s">
        <v>83</v>
      </c>
    </row>
    <row r="13" spans="1:4" ht="30.4" customHeight="1">
      <c r="B13" s="65" t="s">
        <v>180</v>
      </c>
      <c r="C13" s="66" t="s">
        <v>181</v>
      </c>
      <c r="D13" s="67" t="s">
        <v>83</v>
      </c>
    </row>
    <row r="14" spans="1:4" ht="30.4" customHeight="1">
      <c r="B14" s="65" t="s">
        <v>182</v>
      </c>
      <c r="C14" s="66" t="s">
        <v>183</v>
      </c>
      <c r="D14" s="67" t="s">
        <v>83</v>
      </c>
    </row>
    <row r="15" spans="1:4" ht="30.4" customHeight="1">
      <c r="B15" s="65" t="s">
        <v>184</v>
      </c>
      <c r="C15" s="66" t="s">
        <v>185</v>
      </c>
      <c r="D15" s="67" t="s">
        <v>168</v>
      </c>
    </row>
    <row r="16" spans="1:4" ht="30.4" customHeight="1">
      <c r="B16" s="65" t="s">
        <v>186</v>
      </c>
      <c r="C16" s="66" t="s">
        <v>187</v>
      </c>
      <c r="D16" s="67" t="s">
        <v>188</v>
      </c>
    </row>
    <row r="17" spans="2:4" ht="17.2" customHeight="1">
      <c r="B17" s="65" t="s">
        <v>189</v>
      </c>
      <c r="C17" s="66" t="s">
        <v>190</v>
      </c>
      <c r="D17" s="67" t="s">
        <v>168</v>
      </c>
    </row>
    <row r="18" spans="2:4" ht="43.6" customHeight="1">
      <c r="B18" s="65" t="s">
        <v>191</v>
      </c>
      <c r="C18" s="66" t="s">
        <v>192</v>
      </c>
      <c r="D18" s="67" t="s">
        <v>83</v>
      </c>
    </row>
    <row r="20" spans="2:4" ht="21" customHeight="1">
      <c r="B20" s="8" t="s">
        <v>193</v>
      </c>
      <c r="C20" s="8"/>
      <c r="D20" s="8"/>
    </row>
    <row r="21" spans="2:4" ht="5" customHeight="1"/>
    <row r="22" spans="2:4" ht="29.4" customHeight="1">
      <c r="B22" s="26" t="s">
        <v>57</v>
      </c>
      <c r="C22" s="10" t="s">
        <v>194</v>
      </c>
      <c r="D22" s="10"/>
    </row>
    <row r="23" spans="2:4" ht="16.2" customHeight="1">
      <c r="B23" s="26" t="s">
        <v>57</v>
      </c>
      <c r="C23" s="10" t="s">
        <v>195</v>
      </c>
      <c r="D23" s="10"/>
    </row>
    <row r="24" spans="2:4" ht="29.4" customHeight="1">
      <c r="B24" s="26" t="s">
        <v>57</v>
      </c>
      <c r="C24" s="10" t="s">
        <v>196</v>
      </c>
      <c r="D24" s="10"/>
    </row>
    <row r="25" spans="2:4" ht="29.4" customHeight="1">
      <c r="B25" s="26" t="s">
        <v>57</v>
      </c>
      <c r="C25" s="10" t="s">
        <v>197</v>
      </c>
      <c r="D25" s="10"/>
    </row>
    <row r="27" spans="2:4" ht="21" customHeight="1">
      <c r="B27" s="8" t="s">
        <v>198</v>
      </c>
      <c r="C27" s="8"/>
      <c r="D27" s="8"/>
    </row>
    <row r="28" spans="2:4" ht="5" customHeight="1"/>
    <row r="29" spans="2:4" ht="29.4" customHeight="1">
      <c r="B29" s="26" t="s">
        <v>57</v>
      </c>
      <c r="C29" s="10" t="s">
        <v>199</v>
      </c>
      <c r="D29" s="10"/>
    </row>
    <row r="30" spans="2:4" ht="29.4" customHeight="1">
      <c r="B30" s="26" t="s">
        <v>57</v>
      </c>
      <c r="C30" s="10" t="s">
        <v>200</v>
      </c>
      <c r="D30" s="10"/>
    </row>
    <row r="31" spans="2:4" ht="16.2" customHeight="1">
      <c r="B31" s="26" t="s">
        <v>57</v>
      </c>
      <c r="C31" s="10" t="s">
        <v>201</v>
      </c>
      <c r="D31" s="10"/>
    </row>
    <row r="32" spans="2:4" ht="29.4" customHeight="1">
      <c r="B32" s="26" t="s">
        <v>57</v>
      </c>
      <c r="C32" s="10" t="s">
        <v>202</v>
      </c>
      <c r="D32" s="10"/>
    </row>
    <row r="34" spans="2:4" ht="21" customHeight="1">
      <c r="B34" s="8" t="s">
        <v>203</v>
      </c>
      <c r="C34" s="8"/>
      <c r="D34" s="8"/>
    </row>
    <row r="35" spans="2:4" ht="5" customHeight="1"/>
    <row r="36" spans="2:4" ht="55.8" customHeight="1">
      <c r="B36" s="10" t="s">
        <v>204</v>
      </c>
      <c r="C36" s="10"/>
      <c r="D36" s="10"/>
    </row>
    <row r="37" spans="2:4">
      <c r="B37" s="24" t="s">
        <v>205</v>
      </c>
      <c r="C37" s="24"/>
      <c r="D37" s="24"/>
    </row>
    <row r="39" spans="2:4" ht="21" customHeight="1">
      <c r="B39" s="8" t="s">
        <v>44</v>
      </c>
      <c r="C39" s="8"/>
      <c r="D39" s="8"/>
    </row>
    <row r="40" spans="2:4" ht="5" customHeight="1"/>
    <row r="41" spans="2:4" ht="42.6" customHeight="1">
      <c r="B41" s="10" t="s">
        <v>206</v>
      </c>
      <c r="C41" s="10"/>
      <c r="D41" s="10"/>
    </row>
    <row r="43" spans="2:4" ht="21" customHeight="1">
      <c r="B43" s="8" t="s">
        <v>207</v>
      </c>
      <c r="C43" s="8"/>
      <c r="D43" s="8"/>
    </row>
    <row r="44" spans="2:4" ht="5" customHeight="1"/>
    <row r="45" spans="2:4" ht="29.4" customHeight="1">
      <c r="B45" s="26" t="s">
        <v>57</v>
      </c>
      <c r="C45" s="10" t="s">
        <v>208</v>
      </c>
      <c r="D45" s="10"/>
    </row>
    <row r="46" spans="2:4" ht="29.4" customHeight="1">
      <c r="B46" s="26" t="s">
        <v>57</v>
      </c>
      <c r="C46" s="10" t="s">
        <v>209</v>
      </c>
      <c r="D46" s="10"/>
    </row>
    <row r="47" spans="2:4" ht="29.4" customHeight="1">
      <c r="B47" s="26" t="s">
        <v>57</v>
      </c>
      <c r="C47" s="10" t="s">
        <v>210</v>
      </c>
      <c r="D47" s="10"/>
    </row>
    <row r="48" spans="2:4" ht="29.4" customHeight="1">
      <c r="B48" s="26" t="s">
        <v>57</v>
      </c>
      <c r="C48" s="10" t="s">
        <v>211</v>
      </c>
      <c r="D48" s="10"/>
    </row>
    <row r="49" spans="2:4">
      <c r="B49" s="21" t="s">
        <v>212</v>
      </c>
      <c r="C49" s="21"/>
      <c r="D49" s="21"/>
    </row>
    <row r="51" spans="2:4" ht="21" customHeight="1">
      <c r="B51" s="8" t="s">
        <v>213</v>
      </c>
      <c r="C51" s="8"/>
      <c r="D51" s="8"/>
    </row>
    <row r="52" spans="2:4" ht="5" customHeight="1"/>
    <row r="53" spans="2:4">
      <c r="B53" s="53" t="s">
        <v>52</v>
      </c>
      <c r="C53" s="53" t="s">
        <v>214</v>
      </c>
      <c r="D53" s="34" t="s">
        <v>215</v>
      </c>
    </row>
    <row r="54" spans="2:4" ht="16.2" customHeight="1">
      <c r="B54" s="68" t="s">
        <v>216</v>
      </c>
      <c r="C54" s="69" t="s">
        <v>217</v>
      </c>
      <c r="D54" s="70" t="s">
        <v>218</v>
      </c>
    </row>
    <row r="56" spans="2:4">
      <c r="B56" s="21" t="s">
        <v>63</v>
      </c>
      <c r="C56" s="21"/>
      <c r="D56" s="21"/>
    </row>
  </sheetData>
  <sheetProtection sheet="1" formatColumns="0" formatRows="0"/>
  <mergeCells count="28">
    <mergeCell ref="A1:D1"/>
    <mergeCell ref="B2:C2"/>
    <mergeCell ref="B4:D4"/>
    <mergeCell ref="B6:D6"/>
    <mergeCell ref="B8:D8"/>
    <mergeCell ref="B20:D20"/>
    <mergeCell ref="C22:D22"/>
    <mergeCell ref="C23:D23"/>
    <mergeCell ref="C24:D24"/>
    <mergeCell ref="C25:D25"/>
    <mergeCell ref="B27:D27"/>
    <mergeCell ref="C29:D29"/>
    <mergeCell ref="C30:D30"/>
    <mergeCell ref="C31:D31"/>
    <mergeCell ref="C32:D32"/>
    <mergeCell ref="B34:D34"/>
    <mergeCell ref="B36:D36"/>
    <mergeCell ref="B37:D37"/>
    <mergeCell ref="B39:D39"/>
    <mergeCell ref="B41:D41"/>
    <mergeCell ref="B43:D43"/>
    <mergeCell ref="C45:D45"/>
    <mergeCell ref="C46:D46"/>
    <mergeCell ref="C47:D47"/>
    <mergeCell ref="C48:D48"/>
    <mergeCell ref="B49:D49"/>
    <mergeCell ref="B51:D51"/>
    <mergeCell ref="B56:D56"/>
  </mergeCells>
  <hyperlinks>
    <hyperlink ref="D2" r:id="rId1" tooltip="Free manufacturing calculators and templates"/>
    <hyperlink ref="B37" r:id="rId2"/>
  </hyperlinks>
  <printOptions horizontalCentered="1"/>
  <pageMargins left="0.4" right="0.4" top="0.7" bottom="0.65" header="0.3" footer="0.3"/>
  <pageSetup fitToHeight="0" orientation="portrait"/>
  <headerFooter>
    <oddHeader>&amp;L&amp;8MFG Calcs - Scope 1 and 2 GHG Inventory&amp;R&amp;8&amp;A</oddHeader>
    <oddFooter>&amp;L&amp;8mfgcalcs.com - free manufacturing templates&amp;R&amp;8Page &amp;P of &amp;N</oddFooter>
  </headerFooter>
  <rowBreaks count="1" manualBreakCount="1">
    <brk id="26"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L56"/>
  <sheetViews>
    <sheetView showGridLines="0" workbookViewId="0"/>
  </sheetViews>
  <sheetFormatPr defaultRowHeight="15"/>
  <cols>
    <col min="1" max="1" width="2.7109375" customWidth="1"/>
    <col min="2" max="19" width="12.7109375" customWidth="1"/>
  </cols>
  <sheetData>
    <row r="1" spans="1:12" ht="30" customHeight="1">
      <c r="A1" s="1" t="s">
        <v>0</v>
      </c>
      <c r="B1" s="1"/>
      <c r="C1" s="1"/>
      <c r="D1" s="1"/>
      <c r="E1" s="1"/>
      <c r="F1" s="1"/>
      <c r="G1" s="1"/>
      <c r="H1" s="1"/>
      <c r="I1" s="1"/>
      <c r="J1" s="1"/>
      <c r="K1" s="1"/>
      <c r="L1" s="1"/>
    </row>
    <row r="2" spans="1:12" ht="21" customHeight="1">
      <c r="B2" s="2" t="s">
        <v>30</v>
      </c>
      <c r="C2" s="2"/>
      <c r="D2" s="2"/>
      <c r="E2" s="2"/>
      <c r="F2" s="2"/>
      <c r="G2" s="2"/>
      <c r="H2" s="2"/>
      <c r="I2" s="2"/>
      <c r="J2" s="2"/>
      <c r="K2" s="2"/>
      <c r="L2" s="3" t="s">
        <v>2</v>
      </c>
    </row>
    <row r="3" spans="1:12" ht="6" customHeight="1"/>
    <row r="4" spans="1:12" ht="30" customHeight="1">
      <c r="B4" s="71" t="s">
        <v>219</v>
      </c>
      <c r="C4" s="71"/>
      <c r="D4" s="22" t="str">
        <f>IF(COUNTIF($K$11:$K$27,"PASS")=17,"PASS","FAIL")</f>
        <v>PASS</v>
      </c>
      <c r="E4" s="22"/>
      <c r="F4" s="23" t="str">
        <f>COUNTIF($K$11:$K$27,"PASS")&amp;" of 17 checks pass"</f>
        <v>17 of 17 checks pass</v>
      </c>
      <c r="G4" s="23"/>
      <c r="H4" s="23"/>
      <c r="I4" s="23"/>
      <c r="J4" s="23"/>
    </row>
    <row r="6" spans="1:12" ht="29.4" customHeight="1">
      <c r="B6" s="10" t="s">
        <v>220</v>
      </c>
      <c r="C6" s="10"/>
      <c r="D6" s="10"/>
      <c r="E6" s="10"/>
      <c r="F6" s="10"/>
      <c r="G6" s="10"/>
      <c r="H6" s="10"/>
      <c r="I6" s="10"/>
      <c r="J6" s="10"/>
      <c r="K6" s="10"/>
      <c r="L6" s="10"/>
    </row>
    <row r="8" spans="1:12" ht="21" customHeight="1">
      <c r="B8" s="8" t="s">
        <v>221</v>
      </c>
      <c r="C8" s="8"/>
      <c r="D8" s="8"/>
      <c r="E8" s="8"/>
      <c r="F8" s="8"/>
      <c r="G8" s="8"/>
      <c r="H8" s="8"/>
      <c r="I8" s="8"/>
      <c r="J8" s="8"/>
      <c r="K8" s="8"/>
      <c r="L8" s="8"/>
    </row>
    <row r="9" spans="1:12" ht="5" customHeight="1"/>
    <row r="10" spans="1:12" ht="30" customHeight="1">
      <c r="B10" s="34" t="s">
        <v>222</v>
      </c>
      <c r="C10" s="53" t="s">
        <v>121</v>
      </c>
      <c r="D10" s="53"/>
      <c r="E10" s="53"/>
      <c r="F10" s="53"/>
      <c r="G10" s="34" t="s">
        <v>223</v>
      </c>
      <c r="H10" s="34" t="s">
        <v>224</v>
      </c>
      <c r="I10" s="34" t="s">
        <v>225</v>
      </c>
      <c r="J10" s="34" t="s">
        <v>226</v>
      </c>
      <c r="K10" s="34" t="s">
        <v>227</v>
      </c>
    </row>
    <row r="11" spans="1:12" ht="16.2" customHeight="1">
      <c r="B11" s="59">
        <v>1</v>
      </c>
      <c r="C11" s="69" t="s">
        <v>228</v>
      </c>
      <c r="D11" s="69"/>
      <c r="E11" s="69"/>
      <c r="F11" s="69"/>
      <c r="G11" s="72">
        <v>45.75</v>
      </c>
      <c r="H11" s="38">
        <f>$I$40</f>
        <v>45.75</v>
      </c>
      <c r="I11" s="73">
        <f>IF(AND(ISNUMBER($G$11),ISNUMBER($H$11)),ABS($H$11-$G$11),"")</f>
        <v>0</v>
      </c>
      <c r="J11" s="74">
        <v>1E-09</v>
      </c>
      <c r="K11" s="75" t="str">
        <f>IF(AND(ISNUMBER($G$11),ISNUMBER($H$11)),IF(ABS($H$11-$G$11)&lt;=$J$11,"PASS","FAIL"),"FAIL")</f>
        <v>PASS</v>
      </c>
    </row>
    <row r="12" spans="1:12" ht="16.2" customHeight="1">
      <c r="B12" s="59">
        <v>2</v>
      </c>
      <c r="C12" s="69" t="s">
        <v>229</v>
      </c>
      <c r="D12" s="69"/>
      <c r="E12" s="69"/>
      <c r="F12" s="69"/>
      <c r="G12" s="72">
        <v>23.088</v>
      </c>
      <c r="H12" s="38">
        <f>$I$41</f>
        <v>23.088</v>
      </c>
      <c r="I12" s="73">
        <f>IF(AND(ISNUMBER($G$12),ISNUMBER($H$12)),ABS($H$12-$G$12),"")</f>
        <v>0</v>
      </c>
      <c r="J12" s="74">
        <v>1E-09</v>
      </c>
      <c r="K12" s="75" t="str">
        <f>IF(AND(ISNUMBER($G$12),ISNUMBER($H$12)),IF(ABS($H$12-$G$12)&lt;=$J$12,"PASS","FAIL"),"FAIL")</f>
        <v>PASS</v>
      </c>
    </row>
    <row r="13" spans="1:12" ht="16.2" customHeight="1">
      <c r="B13" s="59">
        <v>3</v>
      </c>
      <c r="C13" s="69" t="s">
        <v>230</v>
      </c>
      <c r="D13" s="69"/>
      <c r="E13" s="69"/>
      <c r="F13" s="69"/>
      <c r="G13" s="72">
        <v>4.41</v>
      </c>
      <c r="H13" s="38">
        <f>$I$42</f>
        <v>4.41</v>
      </c>
      <c r="I13" s="73">
        <f>IF(AND(ISNUMBER($G$13),ISNUMBER($H$13)),ABS($H$13-$G$13),"")</f>
        <v>0</v>
      </c>
      <c r="J13" s="74">
        <v>1E-09</v>
      </c>
      <c r="K13" s="75" t="str">
        <f>IF(AND(ISNUMBER($G$13),ISNUMBER($H$13)),IF(ABS($H$13-$G$13)&lt;=$J$13,"PASS","FAIL"),"FAIL")</f>
        <v>PASS</v>
      </c>
    </row>
    <row r="14" spans="1:12" ht="16.2" customHeight="1">
      <c r="B14" s="59">
        <v>4</v>
      </c>
      <c r="C14" s="69" t="s">
        <v>231</v>
      </c>
      <c r="D14" s="69"/>
      <c r="E14" s="69"/>
      <c r="F14" s="69"/>
      <c r="G14" s="68" t="s">
        <v>232</v>
      </c>
      <c r="H14" s="37" t="str">
        <f>$J$44</f>
        <v>Source not on Setup list</v>
      </c>
      <c r="I14" s="37"/>
      <c r="J14" s="70" t="s">
        <v>233</v>
      </c>
      <c r="K14" s="75" t="str">
        <f>IF($H$14&amp;""=$G$14&amp;"","PASS","FAIL")</f>
        <v>PASS</v>
      </c>
    </row>
    <row r="15" spans="1:12" ht="16.2" customHeight="1">
      <c r="B15" s="59">
        <v>5</v>
      </c>
      <c r="C15" s="69" t="s">
        <v>234</v>
      </c>
      <c r="D15" s="69"/>
      <c r="E15" s="69"/>
      <c r="F15" s="69"/>
      <c r="G15" s="72">
        <v>926.4</v>
      </c>
      <c r="H15" s="38">
        <f>$I$48</f>
        <v>926.4</v>
      </c>
      <c r="I15" s="73">
        <f>IF(AND(ISNUMBER($G$15),ISNUMBER($H$15)),ABS($H$15-$G$15),"")</f>
        <v>0</v>
      </c>
      <c r="J15" s="74">
        <v>1E-09</v>
      </c>
      <c r="K15" s="75" t="str">
        <f>IF(AND(ISNUMBER($G$15),ISNUMBER($H$15)),IF(ABS($H$15-$G$15)&lt;=$J$15,"PASS","FAIL"),"FAIL")</f>
        <v>PASS</v>
      </c>
    </row>
    <row r="16" spans="1:12" ht="16.2" customHeight="1">
      <c r="B16" s="59">
        <v>6</v>
      </c>
      <c r="C16" s="69" t="s">
        <v>235</v>
      </c>
      <c r="D16" s="69"/>
      <c r="E16" s="69"/>
      <c r="F16" s="69"/>
      <c r="G16" s="72">
        <v>693</v>
      </c>
      <c r="H16" s="38">
        <f>$J$48</f>
        <v>693</v>
      </c>
      <c r="I16" s="73">
        <f>IF(AND(ISNUMBER($G$16),ISNUMBER($H$16)),ABS($H$16-$G$16),"")</f>
        <v>0</v>
      </c>
      <c r="J16" s="74">
        <v>1E-09</v>
      </c>
      <c r="K16" s="75" t="str">
        <f>IF(AND(ISNUMBER($G$16),ISNUMBER($H$16)),IF(ABS($H$16-$G$16)&lt;=$J$16,"PASS","FAIL"),"FAIL")</f>
        <v>PASS</v>
      </c>
    </row>
    <row r="17" spans="2:12" ht="16.2" customHeight="1">
      <c r="B17" s="59">
        <v>7</v>
      </c>
      <c r="C17" s="69" t="s">
        <v>236</v>
      </c>
      <c r="D17" s="69"/>
      <c r="E17" s="69"/>
      <c r="F17" s="69"/>
      <c r="G17" s="72">
        <v>16.8</v>
      </c>
      <c r="H17" s="38">
        <f>$I$49</f>
        <v>16.8</v>
      </c>
      <c r="I17" s="73">
        <f>IF(AND(ISNUMBER($G$17),ISNUMBER($H$17)),ABS($H$17-$G$17),"")</f>
        <v>0</v>
      </c>
      <c r="J17" s="74">
        <v>1E-09</v>
      </c>
      <c r="K17" s="75" t="str">
        <f>IF(AND(ISNUMBER($G$17),ISNUMBER($H$17)),IF(ABS($H$17-$G$17)&lt;=$J$17,"PASS","FAIL"),"FAIL")</f>
        <v>PASS</v>
      </c>
    </row>
    <row r="18" spans="2:12" ht="16.2" customHeight="1">
      <c r="B18" s="59">
        <v>8</v>
      </c>
      <c r="C18" s="69" t="s">
        <v>237</v>
      </c>
      <c r="D18" s="69"/>
      <c r="E18" s="69"/>
      <c r="F18" s="69"/>
      <c r="G18" s="72">
        <v>23.2</v>
      </c>
      <c r="H18" s="38">
        <f>$J$49</f>
        <v>23.2</v>
      </c>
      <c r="I18" s="73">
        <f>IF(AND(ISNUMBER($G$18),ISNUMBER($H$18)),ABS($H$18-$G$18),"")</f>
        <v>0</v>
      </c>
      <c r="J18" s="74">
        <v>1E-09</v>
      </c>
      <c r="K18" s="75" t="str">
        <f>IF(AND(ISNUMBER($G$18),ISNUMBER($H$18)),IF(ABS($H$18-$G$18)&lt;=$J$18,"PASS","FAIL"),"FAIL")</f>
        <v>PASS</v>
      </c>
    </row>
    <row r="19" spans="2:12" ht="16.2" customHeight="1">
      <c r="B19" s="59">
        <v>9</v>
      </c>
      <c r="C19" s="69" t="s">
        <v>238</v>
      </c>
      <c r="D19" s="69"/>
      <c r="E19" s="69"/>
      <c r="F19" s="69"/>
      <c r="G19" s="72">
        <v>12.6</v>
      </c>
      <c r="H19" s="38">
        <f>$I$50</f>
        <v>12.6</v>
      </c>
      <c r="I19" s="73">
        <f>IF(AND(ISNUMBER($G$19),ISNUMBER($H$19)),ABS($H$19-$G$19),"")</f>
        <v>0</v>
      </c>
      <c r="J19" s="74">
        <v>1E-09</v>
      </c>
      <c r="K19" s="75" t="str">
        <f>IF(AND(ISNUMBER($G$19),ISNUMBER($H$19)),IF(ABS($H$19-$G$19)&lt;=$J$19,"PASS","FAIL"),"FAIL")</f>
        <v>PASS</v>
      </c>
    </row>
    <row r="20" spans="2:12" ht="16.2" customHeight="1">
      <c r="B20" s="59">
        <v>10</v>
      </c>
      <c r="C20" s="69" t="s">
        <v>239</v>
      </c>
      <c r="D20" s="69"/>
      <c r="E20" s="69"/>
      <c r="F20" s="69"/>
      <c r="G20" s="72">
        <v>0</v>
      </c>
      <c r="H20" s="38">
        <f>$J$50</f>
        <v>0</v>
      </c>
      <c r="I20" s="73">
        <f>IF(AND(ISNUMBER($G$20),ISNUMBER($H$20)),ABS($H$20-$G$20),"")</f>
        <v>0</v>
      </c>
      <c r="J20" s="74">
        <v>1E-09</v>
      </c>
      <c r="K20" s="75" t="str">
        <f>IF(AND(ISNUMBER($G$20),ISNUMBER($H$20)),IF(ABS($H$20-$G$20)&lt;=$J$20,"PASS","FAIL"),"FAIL")</f>
        <v>PASS</v>
      </c>
    </row>
    <row r="21" spans="2:12" ht="16.2" customHeight="1">
      <c r="B21" s="59">
        <v>11</v>
      </c>
      <c r="C21" s="69" t="s">
        <v>240</v>
      </c>
      <c r="D21" s="69"/>
      <c r="E21" s="69"/>
      <c r="F21" s="69"/>
      <c r="G21" s="68" t="s">
        <v>241</v>
      </c>
      <c r="H21" s="37" t="str">
        <f>$K$51</f>
        <v>Contractual kWh &gt; purchased</v>
      </c>
      <c r="I21" s="37"/>
      <c r="J21" s="70" t="s">
        <v>233</v>
      </c>
      <c r="K21" s="75" t="str">
        <f>IF($H$21&amp;""=$G$21&amp;"","PASS","FAIL")</f>
        <v>PASS</v>
      </c>
    </row>
    <row r="22" spans="2:12" ht="29.4" customHeight="1">
      <c r="B22" s="59">
        <v>12</v>
      </c>
      <c r="C22" s="69" t="s">
        <v>242</v>
      </c>
      <c r="D22" s="69"/>
      <c r="E22" s="69"/>
      <c r="F22" s="69"/>
      <c r="G22" s="72">
        <v>73.248</v>
      </c>
      <c r="H22" s="38">
        <f>SUMIFS(tblVerifyFuel[Emissions (t CO2e)],tblVerifyFuel[Month],"&gt;="&amp;$E$33,tblVerifyFuel[Month],"&lt;="&amp;$E$34)</f>
        <v>73.248</v>
      </c>
      <c r="I22" s="73">
        <f>IF(AND(ISNUMBER($G$22),ISNUMBER($H$22)),ABS($H$22-$G$22),"")</f>
        <v>0</v>
      </c>
      <c r="J22" s="74">
        <v>1E-09</v>
      </c>
      <c r="K22" s="75" t="str">
        <f>IF(AND(ISNUMBER($G$22),ISNUMBER($H$22)),IF(ABS($H$22-$G$22)&lt;=$J$22,"PASS","FAIL"),"FAIL")</f>
        <v>PASS</v>
      </c>
    </row>
    <row r="23" spans="2:12" ht="16.2" customHeight="1">
      <c r="B23" s="59">
        <v>13</v>
      </c>
      <c r="C23" s="69" t="s">
        <v>243</v>
      </c>
      <c r="D23" s="69"/>
      <c r="E23" s="69"/>
      <c r="F23" s="69"/>
      <c r="G23" s="72">
        <v>966.3</v>
      </c>
      <c r="H23" s="38">
        <f>SUMIFS(tblVerifyElec[Location-based (t CO2e)],tblVerifyElec[Month],"&gt;="&amp;$E$33,tblVerifyElec[Month],"&lt;="&amp;$E$34)</f>
        <v>966.3</v>
      </c>
      <c r="I23" s="73">
        <f>IF(AND(ISNUMBER($G$23),ISNUMBER($H$23)),ABS($H$23-$G$23),"")</f>
        <v>0</v>
      </c>
      <c r="J23" s="74">
        <v>1E-09</v>
      </c>
      <c r="K23" s="75" t="str">
        <f>IF(AND(ISNUMBER($G$23),ISNUMBER($H$23)),IF(ABS($H$23-$G$23)&lt;=$J$23,"PASS","FAIL"),"FAIL")</f>
        <v>PASS</v>
      </c>
    </row>
    <row r="24" spans="2:12" ht="16.2" customHeight="1">
      <c r="B24" s="59">
        <v>14</v>
      </c>
      <c r="C24" s="69" t="s">
        <v>244</v>
      </c>
      <c r="D24" s="69"/>
      <c r="E24" s="69"/>
      <c r="F24" s="69"/>
      <c r="G24" s="72">
        <v>710.4</v>
      </c>
      <c r="H24" s="38">
        <f>SUMIFS(tblVerifyElec[Market-based (t CO2e)],tblVerifyElec[Month],"&gt;="&amp;$E$33,tblVerifyElec[Month],"&lt;="&amp;$E$34)</f>
        <v>710.4</v>
      </c>
      <c r="I24" s="73">
        <f>IF(AND(ISNUMBER($G$24),ISNUMBER($H$24)),ABS($H$24-$G$24),"")</f>
        <v>0</v>
      </c>
      <c r="J24" s="74">
        <v>1E-09</v>
      </c>
      <c r="K24" s="75" t="str">
        <f>IF(AND(ISNUMBER($G$24),ISNUMBER($H$24)),IF(ABS($H$24-$G$24)&lt;=$J$24,"PASS","FAIL"),"FAIL")</f>
        <v>PASS</v>
      </c>
    </row>
    <row r="25" spans="2:12" ht="16.2" customHeight="1">
      <c r="B25" s="59">
        <v>15</v>
      </c>
      <c r="C25" s="69" t="s">
        <v>245</v>
      </c>
      <c r="D25" s="69"/>
      <c r="E25" s="69"/>
      <c r="F25" s="69"/>
      <c r="G25" s="76">
        <v>0.6081759999999999</v>
      </c>
      <c r="H25" s="77">
        <f>IF(OR(N($E$35)=0,(SUMIFS(tblVerifyFuel[Emissions (t CO2e)],tblVerifyFuel[Month],"&gt;="&amp;$E$33,tblVerifyFuel[Month],"&lt;="&amp;$E$34)+SUMIFS(tblVerifyElec[Market-based (t CO2e)],tblVerifyElec[Month],"&gt;="&amp;$E$33,tblVerifyElec[Month],"&lt;="&amp;$E$34))=0),"",($E$35-(SUMIFS(tblVerifyFuel[Emissions (t CO2e)],tblVerifyFuel[Month],"&gt;="&amp;$E$33,tblVerifyFuel[Month],"&lt;="&amp;$E$34)+SUMIFS(tblVerifyElec[Market-based (t CO2e)],tblVerifyElec[Month],"&gt;="&amp;$E$33,tblVerifyElec[Month],"&lt;="&amp;$E$34)))/$E$35)</f>
        <v>0.608176</v>
      </c>
      <c r="I25" s="73">
        <f>IF(AND(ISNUMBER($G$25),ISNUMBER($H$25)),ABS($H$25-$G$25),"")</f>
        <v>0</v>
      </c>
      <c r="J25" s="74">
        <v>1E-09</v>
      </c>
      <c r="K25" s="75" t="str">
        <f>IF(AND(ISNUMBER($G$25),ISNUMBER($H$25)),IF(ABS($H$25-$G$25)&lt;=$J$25,"PASS","FAIL"),"FAIL")</f>
        <v>PASS</v>
      </c>
    </row>
    <row r="26" spans="2:12" ht="16.2" customHeight="1">
      <c r="B26" s="59">
        <v>16</v>
      </c>
      <c r="C26" s="69" t="s">
        <v>246</v>
      </c>
      <c r="D26" s="69"/>
      <c r="E26" s="69"/>
      <c r="F26" s="69"/>
      <c r="G26" s="78">
        <v>313.4592</v>
      </c>
      <c r="H26" s="39">
        <f>IF(OR(N($E$36)=0,(SUMIFS(tblVerifyFuel[Emissions (t CO2e)],tblVerifyFuel[Month],"&gt;="&amp;$E$33,tblVerifyFuel[Month],"&lt;="&amp;$E$34)+SUMIFS(tblVerifyElec[Market-based (t CO2e)],tblVerifyElec[Month],"&gt;="&amp;$E$33,tblVerifyElec[Month],"&lt;="&amp;$E$34))=0),"",(SUMIFS(tblVerifyFuel[Emissions (t CO2e)],tblVerifyFuel[Month],"&gt;="&amp;$E$33,tblVerifyFuel[Month],"&lt;="&amp;$E$34)+SUMIFS(tblVerifyElec[Market-based (t CO2e)],tblVerifyElec[Month],"&gt;="&amp;$E$33,tblVerifyElec[Month],"&lt;="&amp;$E$34))*1000/$E$36)</f>
        <v>313.4592</v>
      </c>
      <c r="I26" s="73">
        <f>IF(AND(ISNUMBER($G$26),ISNUMBER($H$26)),ABS($H$26-$G$26),"")</f>
        <v>0</v>
      </c>
      <c r="J26" s="74">
        <v>1E-09</v>
      </c>
      <c r="K26" s="75" t="str">
        <f>IF(AND(ISNUMBER($G$26),ISNUMBER($H$26)),IF(ABS($H$26-$G$26)&lt;=$J$26,"PASS","FAIL"),"FAIL")</f>
        <v>PASS</v>
      </c>
    </row>
    <row r="27" spans="2:12" ht="16.2" customHeight="1">
      <c r="B27" s="59">
        <v>17</v>
      </c>
      <c r="C27" s="69" t="s">
        <v>247</v>
      </c>
      <c r="D27" s="69"/>
      <c r="E27" s="69"/>
      <c r="F27" s="69"/>
      <c r="G27" s="76">
        <v>0.3976833976833977</v>
      </c>
      <c r="H27" s="77">
        <f>IF((SUMIFS(tblVerifyElec[Purchased (kWh)],tblVerifyElec[Month],"&gt;="&amp;$E$33,tblVerifyElec[Month],"&lt;="&amp;$E$34))=0,"",(SUMIFS(tblVerifyElec[Contractual (kWh)],tblVerifyElec[Month],"&gt;="&amp;$E$33,tblVerifyElec[Month],"&lt;="&amp;$E$34))/(SUMIFS(tblVerifyElec[Purchased (kWh)],tblVerifyElec[Month],"&gt;="&amp;$E$33,tblVerifyElec[Month],"&lt;="&amp;$E$34)))</f>
        <v>0.397683397683398</v>
      </c>
      <c r="I27" s="73">
        <f>IF(AND(ISNUMBER($G$27),ISNUMBER($H$27)),ABS($H$27-$G$27),"")</f>
        <v>0</v>
      </c>
      <c r="J27" s="74">
        <v>1E-09</v>
      </c>
      <c r="K27" s="75" t="str">
        <f>IF(AND(ISNUMBER($G$27),ISNUMBER($H$27)),IF(ABS($H$27-$G$27)&lt;=$J$27,"PASS","FAIL"),"FAIL")</f>
        <v>PASS</v>
      </c>
    </row>
    <row r="29" spans="2:12" ht="21" customHeight="1">
      <c r="B29" s="8" t="s">
        <v>248</v>
      </c>
      <c r="C29" s="8"/>
      <c r="D29" s="8"/>
      <c r="E29" s="8"/>
      <c r="F29" s="8"/>
      <c r="G29" s="8"/>
      <c r="H29" s="8"/>
      <c r="I29" s="8"/>
      <c r="J29" s="8"/>
      <c r="K29" s="8"/>
      <c r="L29" s="8"/>
    </row>
    <row r="30" spans="2:12" ht="5" customHeight="1"/>
    <row r="31" spans="2:12">
      <c r="B31" s="21" t="s">
        <v>249</v>
      </c>
      <c r="C31" s="21"/>
      <c r="D31" s="21"/>
      <c r="E31" s="21"/>
      <c r="F31" s="21"/>
      <c r="G31" s="21"/>
      <c r="H31" s="21"/>
      <c r="I31" s="21"/>
      <c r="J31" s="21"/>
      <c r="K31" s="21"/>
      <c r="L31" s="21"/>
    </row>
    <row r="32" spans="2:12">
      <c r="B32" s="32" t="s">
        <v>250</v>
      </c>
      <c r="C32" s="32"/>
      <c r="D32" s="32"/>
      <c r="E32" s="32"/>
      <c r="F32" s="32"/>
    </row>
    <row r="33" spans="2:12">
      <c r="B33" s="27" t="s">
        <v>251</v>
      </c>
      <c r="C33" s="27"/>
      <c r="D33" s="27"/>
      <c r="E33" s="79">
        <v>45658</v>
      </c>
      <c r="F33" s="7"/>
    </row>
    <row r="34" spans="2:12">
      <c r="B34" s="27" t="s">
        <v>252</v>
      </c>
      <c r="C34" s="27"/>
      <c r="D34" s="27"/>
      <c r="E34" s="79">
        <v>46022</v>
      </c>
      <c r="F34" s="7"/>
    </row>
    <row r="35" spans="2:12">
      <c r="B35" s="27" t="s">
        <v>253</v>
      </c>
      <c r="C35" s="27"/>
      <c r="D35" s="27"/>
      <c r="E35" s="80">
        <v>2000</v>
      </c>
      <c r="F35" s="7"/>
    </row>
    <row r="36" spans="2:12">
      <c r="B36" s="27" t="s">
        <v>254</v>
      </c>
      <c r="C36" s="27"/>
      <c r="D36" s="27"/>
      <c r="E36" s="81">
        <v>2500</v>
      </c>
      <c r="F36" s="7"/>
    </row>
    <row r="38" spans="2:12">
      <c r="B38" s="32" t="s">
        <v>255</v>
      </c>
      <c r="C38" s="32"/>
      <c r="D38" s="32"/>
      <c r="E38" s="32"/>
      <c r="F38" s="32"/>
      <c r="G38" s="32"/>
      <c r="H38" s="32"/>
      <c r="I38" s="32"/>
      <c r="J38" s="32"/>
      <c r="K38" s="32"/>
      <c r="L38" s="32"/>
    </row>
    <row r="39" spans="2:12" ht="32" customHeight="1">
      <c r="B39" s="34" t="s">
        <v>118</v>
      </c>
      <c r="C39" s="34" t="s">
        <v>64</v>
      </c>
      <c r="D39" s="34" t="s">
        <v>69</v>
      </c>
      <c r="E39" s="34" t="s">
        <v>119</v>
      </c>
      <c r="F39" s="34" t="s">
        <v>71</v>
      </c>
      <c r="G39" s="34" t="s">
        <v>70</v>
      </c>
      <c r="H39" s="34" t="s">
        <v>72</v>
      </c>
      <c r="I39" s="34" t="s">
        <v>120</v>
      </c>
      <c r="J39" s="34" t="s">
        <v>121</v>
      </c>
      <c r="K39" s="34" t="s">
        <v>75</v>
      </c>
    </row>
    <row r="40" spans="2:12">
      <c r="B40" s="79">
        <v>45658</v>
      </c>
      <c r="C40" s="68" t="s">
        <v>256</v>
      </c>
      <c r="D40" s="68" t="s">
        <v>257</v>
      </c>
      <c r="E40" s="81">
        <v>250000</v>
      </c>
      <c r="F40" s="68" t="s">
        <v>100</v>
      </c>
      <c r="G40" s="68" t="s">
        <v>99</v>
      </c>
      <c r="H40" s="72">
        <v>0.183</v>
      </c>
      <c r="I40" s="39">
        <f>IF(tblVerifyFuel[[#This Row],[Month]]="","",IF(tblVerifyFuel[[#This Row],[Factor (kg CO2e/unit)]]="","",tblVerifyFuel[[#This Row],[Quantity]]*tblVerifyFuel[[#This Row],[Factor (kg CO2e/unit)]]/1000))</f>
        <v>45.75</v>
      </c>
      <c r="J40" s="40" t="str">
        <f>IF(tblVerifyFuel[[#This Row],[Month]]="","",IF(tblVerifyFuel[[#This Row],[Site]]="","Missing site",IF(tblVerifyFuel[[#This Row],[Source]]="","Missing source",IF(tblVerifyFuel[[#This Row],[Quantity]]="","Missing quantity",IF(tblVerifyFuel[[#This Row],[Factor (kg CO2e/unit)]]="","Source not on Setup list",IF(COUNTIFS(tblVerifySites[Site],tblVerifyFuel[[#This Row],[Site]])=0,"Site not on Setup list",IF(DAY(tblVerifyFuel[[#This Row],[Month]])&lt;&gt;1,"Use the 1st of the month",IF(COUNTIFS(tblVerifyFuel[Month],tblVerifyFuel[[#This Row],[Month]],tblVerifyFuel[Site],tblVerifyFuel[[#This Row],[Site]],tblVerifyFuel[Source],tblVerifyFuel[[#This Row],[Source]])&gt;1,"Duplicate month, site and source","OK"))))))))</f>
        <v>OK</v>
      </c>
      <c r="K40" s="68"/>
    </row>
    <row r="41" spans="2:12">
      <c r="B41" s="79">
        <v>45689</v>
      </c>
      <c r="C41" s="68" t="s">
        <v>256</v>
      </c>
      <c r="D41" s="68" t="s">
        <v>258</v>
      </c>
      <c r="E41" s="81">
        <v>12</v>
      </c>
      <c r="F41" s="68" t="s">
        <v>106</v>
      </c>
      <c r="G41" s="68" t="s">
        <v>108</v>
      </c>
      <c r="H41" s="72">
        <v>1924</v>
      </c>
      <c r="I41" s="39">
        <f>IF(tblVerifyFuel[[#This Row],[Month]]="","",IF(tblVerifyFuel[[#This Row],[Factor (kg CO2e/unit)]]="","",tblVerifyFuel[[#This Row],[Quantity]]*tblVerifyFuel[[#This Row],[Factor (kg CO2e/unit)]]/1000))</f>
        <v>23.088</v>
      </c>
      <c r="J41" s="40" t="str">
        <f>IF(tblVerifyFuel[[#This Row],[Month]]="","",IF(tblVerifyFuel[[#This Row],[Site]]="","Missing site",IF(tblVerifyFuel[[#This Row],[Source]]="","Missing source",IF(tblVerifyFuel[[#This Row],[Quantity]]="","Missing quantity",IF(tblVerifyFuel[[#This Row],[Factor (kg CO2e/unit)]]="","Source not on Setup list",IF(COUNTIFS(tblVerifySites[Site],tblVerifyFuel[[#This Row],[Site]])=0,"Site not on Setup list",IF(DAY(tblVerifyFuel[[#This Row],[Month]])&lt;&gt;1,"Use the 1st of the month",IF(COUNTIFS(tblVerifyFuel[Month],tblVerifyFuel[[#This Row],[Month]],tblVerifyFuel[Site],tblVerifyFuel[[#This Row],[Site]],tblVerifyFuel[Source],tblVerifyFuel[[#This Row],[Source]])&gt;1,"Duplicate month, site and source","OK"))))))))</f>
        <v>OK</v>
      </c>
      <c r="K41" s="68"/>
    </row>
    <row r="42" spans="2:12">
      <c r="B42" s="79">
        <v>45717</v>
      </c>
      <c r="C42" s="68" t="s">
        <v>259</v>
      </c>
      <c r="D42" s="68" t="s">
        <v>260</v>
      </c>
      <c r="E42" s="81">
        <v>1500</v>
      </c>
      <c r="F42" s="68" t="s">
        <v>106</v>
      </c>
      <c r="G42" s="68" t="s">
        <v>104</v>
      </c>
      <c r="H42" s="72">
        <v>2.94</v>
      </c>
      <c r="I42" s="39">
        <f>IF(tblVerifyFuel[[#This Row],[Month]]="","",IF(tblVerifyFuel[[#This Row],[Factor (kg CO2e/unit)]]="","",tblVerifyFuel[[#This Row],[Quantity]]*tblVerifyFuel[[#This Row],[Factor (kg CO2e/unit)]]/1000))</f>
        <v>4.41</v>
      </c>
      <c r="J42" s="40" t="str">
        <f>IF(tblVerifyFuel[[#This Row],[Month]]="","",IF(tblVerifyFuel[[#This Row],[Site]]="","Missing site",IF(tblVerifyFuel[[#This Row],[Source]]="","Missing source",IF(tblVerifyFuel[[#This Row],[Quantity]]="","Missing quantity",IF(tblVerifyFuel[[#This Row],[Factor (kg CO2e/unit)]]="","Source not on Setup list",IF(COUNTIFS(tblVerifySites[Site],tblVerifyFuel[[#This Row],[Site]])=0,"Site not on Setup list",IF(DAY(tblVerifyFuel[[#This Row],[Month]])&lt;&gt;1,"Use the 1st of the month",IF(COUNTIFS(tblVerifyFuel[Month],tblVerifyFuel[[#This Row],[Month]],tblVerifyFuel[Site],tblVerifyFuel[[#This Row],[Site]],tblVerifyFuel[Source],tblVerifyFuel[[#This Row],[Source]])&gt;1,"Duplicate month, site and source","OK"))))))))</f>
        <v>OK</v>
      </c>
      <c r="K42" s="68"/>
    </row>
    <row r="43" spans="2:12">
      <c r="B43" s="79">
        <v>45627</v>
      </c>
      <c r="C43" s="68" t="s">
        <v>256</v>
      </c>
      <c r="D43" s="68" t="s">
        <v>257</v>
      </c>
      <c r="E43" s="81">
        <v>99999</v>
      </c>
      <c r="F43" s="68" t="s">
        <v>100</v>
      </c>
      <c r="G43" s="68" t="s">
        <v>99</v>
      </c>
      <c r="H43" s="72">
        <v>0.183</v>
      </c>
      <c r="I43" s="39">
        <f>IF(tblVerifyFuel[[#This Row],[Month]]="","",IF(tblVerifyFuel[[#This Row],[Factor (kg CO2e/unit)]]="","",tblVerifyFuel[[#This Row],[Quantity]]*tblVerifyFuel[[#This Row],[Factor (kg CO2e/unit)]]/1000))</f>
        <v>18.299817</v>
      </c>
      <c r="J43" s="40" t="str">
        <f>IF(tblVerifyFuel[[#This Row],[Month]]="","",IF(tblVerifyFuel[[#This Row],[Site]]="","Missing site",IF(tblVerifyFuel[[#This Row],[Source]]="","Missing source",IF(tblVerifyFuel[[#This Row],[Quantity]]="","Missing quantity",IF(tblVerifyFuel[[#This Row],[Factor (kg CO2e/unit)]]="","Source not on Setup list",IF(COUNTIFS(tblVerifySites[Site],tblVerifyFuel[[#This Row],[Site]])=0,"Site not on Setup list",IF(DAY(tblVerifyFuel[[#This Row],[Month]])&lt;&gt;1,"Use the 1st of the month",IF(COUNTIFS(tblVerifyFuel[Month],tblVerifyFuel[[#This Row],[Month]],tblVerifyFuel[Site],tblVerifyFuel[[#This Row],[Site]],tblVerifyFuel[Source],tblVerifyFuel[[#This Row],[Source]])&gt;1,"Duplicate month, site and source","OK"))))))))</f>
        <v>OK</v>
      </c>
      <c r="K43" s="68"/>
    </row>
    <row r="44" spans="2:12">
      <c r="B44" s="79">
        <v>45748</v>
      </c>
      <c r="C44" s="68" t="s">
        <v>256</v>
      </c>
      <c r="D44" s="68" t="s">
        <v>261</v>
      </c>
      <c r="E44" s="81">
        <v>10</v>
      </c>
      <c r="F44" s="68" t="s">
        <v>117</v>
      </c>
      <c r="G44" s="68" t="s">
        <v>117</v>
      </c>
      <c r="H44" s="72" t="s">
        <v>117</v>
      </c>
      <c r="I44" s="39">
        <f>IF(tblVerifyFuel[[#This Row],[Month]]="","",IF(tblVerifyFuel[[#This Row],[Factor (kg CO2e/unit)]]="","",tblVerifyFuel[[#This Row],[Quantity]]*tblVerifyFuel[[#This Row],[Factor (kg CO2e/unit)]]/1000))</f>
        <v/>
      </c>
      <c r="J44" s="40" t="str">
        <f>IF(tblVerifyFuel[[#This Row],[Month]]="","",IF(tblVerifyFuel[[#This Row],[Site]]="","Missing site",IF(tblVerifyFuel[[#This Row],[Source]]="","Missing source",IF(tblVerifyFuel[[#This Row],[Quantity]]="","Missing quantity",IF(tblVerifyFuel[[#This Row],[Factor (kg CO2e/unit)]]="","Source not on Setup list",IF(COUNTIFS(tblVerifySites[Site],tblVerifyFuel[[#This Row],[Site]])=0,"Site not on Setup list",IF(DAY(tblVerifyFuel[[#This Row],[Month]])&lt;&gt;1,"Use the 1st of the month",IF(COUNTIFS(tblVerifyFuel[Month],tblVerifyFuel[[#This Row],[Month]],tblVerifyFuel[Site],tblVerifyFuel[[#This Row],[Site]],tblVerifyFuel[Source],tblVerifyFuel[[#This Row],[Source]])&gt;1,"Duplicate month, site and source","OK"))))))))</f>
        <v>Source not on Setup list</v>
      </c>
      <c r="K44" s="68"/>
    </row>
    <row r="46" spans="2:12">
      <c r="B46" s="32" t="s">
        <v>262</v>
      </c>
      <c r="C46" s="32"/>
      <c r="D46" s="32"/>
      <c r="E46" s="32"/>
      <c r="F46" s="32"/>
      <c r="G46" s="32"/>
      <c r="H46" s="32"/>
      <c r="I46" s="32"/>
      <c r="J46" s="32"/>
      <c r="K46" s="32"/>
      <c r="L46" s="32"/>
    </row>
    <row r="47" spans="2:12" ht="45.5" customHeight="1">
      <c r="B47" s="34" t="s">
        <v>118</v>
      </c>
      <c r="C47" s="34" t="s">
        <v>64</v>
      </c>
      <c r="D47" s="34" t="s">
        <v>126</v>
      </c>
      <c r="E47" s="34" t="s">
        <v>127</v>
      </c>
      <c r="F47" s="34" t="s">
        <v>128</v>
      </c>
      <c r="G47" s="34" t="s">
        <v>129</v>
      </c>
      <c r="H47" s="34" t="s">
        <v>130</v>
      </c>
      <c r="I47" s="34" t="s">
        <v>131</v>
      </c>
      <c r="J47" s="34" t="s">
        <v>132</v>
      </c>
      <c r="K47" s="34" t="s">
        <v>121</v>
      </c>
      <c r="L47" s="34" t="s">
        <v>75</v>
      </c>
    </row>
    <row r="48" spans="2:12">
      <c r="B48" s="79">
        <v>45658</v>
      </c>
      <c r="C48" s="68" t="s">
        <v>256</v>
      </c>
      <c r="D48" s="81">
        <v>2400000</v>
      </c>
      <c r="E48" s="81">
        <v>900000</v>
      </c>
      <c r="F48" s="72">
        <v>0.02</v>
      </c>
      <c r="G48" s="72">
        <v>0.386</v>
      </c>
      <c r="H48" s="72">
        <v>0.45</v>
      </c>
      <c r="I48" s="39">
        <f>IF(tblVerifyElec[[#This Row],[Month]]="","",IF(tblVerifyElec[[#This Row],[Grid factor (kg CO2e/kWh)]]="","",tblVerifyElec[[#This Row],[Purchased (kWh)]]*tblVerifyElec[[#This Row],[Grid factor (kg CO2e/kWh)]]/1000))</f>
        <v>926.4</v>
      </c>
      <c r="J48" s="39">
        <f>IF(tblVerifyElec[[#This Row],[Month]]="","",IF(tblVerifyElec[[#This Row],[Residual factor (kg CO2e/kWh)]]="","",(N(tblVerifyElec[[#This Row],[Contractual (kWh)]])*N(tblVerifyElec[[#This Row],[Contract factor (kg CO2e/kWh)]])+(tblVerifyElec[[#This Row],[Purchased (kWh)]]-N(tblVerifyElec[[#This Row],[Contractual (kWh)]]))*tblVerifyElec[[#This Row],[Residual factor (kg CO2e/kWh)]])/1000))</f>
        <v>693</v>
      </c>
      <c r="K48" s="40" t="str">
        <f>IF(tblVerifyElec[[#This Row],[Month]]="","",IF(tblVerifyElec[[#This Row],[Site]]="","Missing site",IF(tblVerifyElec[[#This Row],[Purchased (kWh)]]="","Missing purchased",IF(tblVerifyElec[[#This Row],[Residual factor (kg CO2e/kWh)]]="","Site not on Setup list",IF(DAY(tblVerifyElec[[#This Row],[Month]])&lt;&gt;1,"Use the 1st of the month",IF(N(tblVerifyElec[[#This Row],[Contractual (kWh)]])&gt;tblVerifyElec[[#This Row],[Purchased (kWh)]],"Contractual kWh &gt; purchased",IF(AND(N(tblVerifyElec[[#This Row],[Contractual (kWh)]])&gt;0,tblVerifyElec[[#This Row],[Contract factor (kg CO2e/kWh)]]=""),"Missing contract factor",IF(COUNTIFS(tblVerifyElec[Month],tblVerifyElec[[#This Row],[Month]],tblVerifyElec[Site],tblVerifyElec[[#This Row],[Site]])&gt;1,"Duplicate month and site","OK"))))))))</f>
        <v>OK</v>
      </c>
      <c r="L48" s="68"/>
    </row>
    <row r="49" spans="2:12">
      <c r="B49" s="79">
        <v>45689</v>
      </c>
      <c r="C49" s="68" t="s">
        <v>259</v>
      </c>
      <c r="D49" s="81">
        <v>80000</v>
      </c>
      <c r="E49" s="81">
        <v>0</v>
      </c>
      <c r="F49" s="72"/>
      <c r="G49" s="72">
        <v>0.21</v>
      </c>
      <c r="H49" s="72">
        <v>0.29</v>
      </c>
      <c r="I49" s="39">
        <f>IF(tblVerifyElec[[#This Row],[Month]]="","",IF(tblVerifyElec[[#This Row],[Grid factor (kg CO2e/kWh)]]="","",tblVerifyElec[[#This Row],[Purchased (kWh)]]*tblVerifyElec[[#This Row],[Grid factor (kg CO2e/kWh)]]/1000))</f>
        <v>16.8</v>
      </c>
      <c r="J49" s="39">
        <f>IF(tblVerifyElec[[#This Row],[Month]]="","",IF(tblVerifyElec[[#This Row],[Residual factor (kg CO2e/kWh)]]="","",(N(tblVerifyElec[[#This Row],[Contractual (kWh)]])*N(tblVerifyElec[[#This Row],[Contract factor (kg CO2e/kWh)]])+(tblVerifyElec[[#This Row],[Purchased (kWh)]]-N(tblVerifyElec[[#This Row],[Contractual (kWh)]]))*tblVerifyElec[[#This Row],[Residual factor (kg CO2e/kWh)]])/1000))</f>
        <v>23.2</v>
      </c>
      <c r="K49" s="40" t="str">
        <f>IF(tblVerifyElec[[#This Row],[Month]]="","",IF(tblVerifyElec[[#This Row],[Site]]="","Missing site",IF(tblVerifyElec[[#This Row],[Purchased (kWh)]]="","Missing purchased",IF(tblVerifyElec[[#This Row],[Residual factor (kg CO2e/kWh)]]="","Site not on Setup list",IF(DAY(tblVerifyElec[[#This Row],[Month]])&lt;&gt;1,"Use the 1st of the month",IF(N(tblVerifyElec[[#This Row],[Contractual (kWh)]])&gt;tblVerifyElec[[#This Row],[Purchased (kWh)]],"Contractual kWh &gt; purchased",IF(AND(N(tblVerifyElec[[#This Row],[Contractual (kWh)]])&gt;0,tblVerifyElec[[#This Row],[Contract factor (kg CO2e/kWh)]]=""),"Missing contract factor",IF(COUNTIFS(tblVerifyElec[Month],tblVerifyElec[[#This Row],[Month]],tblVerifyElec[Site],tblVerifyElec[[#This Row],[Site]])&gt;1,"Duplicate month and site","OK"))))))))</f>
        <v>OK</v>
      </c>
      <c r="L49" s="68"/>
    </row>
    <row r="50" spans="2:12">
      <c r="B50" s="79">
        <v>45717</v>
      </c>
      <c r="C50" s="68" t="s">
        <v>259</v>
      </c>
      <c r="D50" s="81">
        <v>60000</v>
      </c>
      <c r="E50" s="81">
        <v>60000</v>
      </c>
      <c r="F50" s="72">
        <v>0</v>
      </c>
      <c r="G50" s="72">
        <v>0.21</v>
      </c>
      <c r="H50" s="72">
        <v>0.29</v>
      </c>
      <c r="I50" s="39">
        <f>IF(tblVerifyElec[[#This Row],[Month]]="","",IF(tblVerifyElec[[#This Row],[Grid factor (kg CO2e/kWh)]]="","",tblVerifyElec[[#This Row],[Purchased (kWh)]]*tblVerifyElec[[#This Row],[Grid factor (kg CO2e/kWh)]]/1000))</f>
        <v>12.6</v>
      </c>
      <c r="J50" s="39">
        <f>IF(tblVerifyElec[[#This Row],[Month]]="","",IF(tblVerifyElec[[#This Row],[Residual factor (kg CO2e/kWh)]]="","",(N(tblVerifyElec[[#This Row],[Contractual (kWh)]])*N(tblVerifyElec[[#This Row],[Contract factor (kg CO2e/kWh)]])+(tblVerifyElec[[#This Row],[Purchased (kWh)]]-N(tblVerifyElec[[#This Row],[Contractual (kWh)]]))*tblVerifyElec[[#This Row],[Residual factor (kg CO2e/kWh)]])/1000))</f>
        <v>0</v>
      </c>
      <c r="K50" s="40" t="str">
        <f>IF(tblVerifyElec[[#This Row],[Month]]="","",IF(tblVerifyElec[[#This Row],[Site]]="","Missing site",IF(tblVerifyElec[[#This Row],[Purchased (kWh)]]="","Missing purchased",IF(tblVerifyElec[[#This Row],[Residual factor (kg CO2e/kWh)]]="","Site not on Setup list",IF(DAY(tblVerifyElec[[#This Row],[Month]])&lt;&gt;1,"Use the 1st of the month",IF(N(tblVerifyElec[[#This Row],[Contractual (kWh)]])&gt;tblVerifyElec[[#This Row],[Purchased (kWh)]],"Contractual kWh &gt; purchased",IF(AND(N(tblVerifyElec[[#This Row],[Contractual (kWh)]])&gt;0,tblVerifyElec[[#This Row],[Contract factor (kg CO2e/kWh)]]=""),"Missing contract factor",IF(COUNTIFS(tblVerifyElec[Month],tblVerifyElec[[#This Row],[Month]],tblVerifyElec[Site],tblVerifyElec[[#This Row],[Site]])&gt;1,"Duplicate month and site","OK"))))))))</f>
        <v>OK</v>
      </c>
      <c r="L50" s="68"/>
    </row>
    <row r="51" spans="2:12">
      <c r="B51" s="79">
        <v>45748</v>
      </c>
      <c r="C51" s="68" t="s">
        <v>259</v>
      </c>
      <c r="D51" s="81">
        <v>50000</v>
      </c>
      <c r="E51" s="81">
        <v>70000</v>
      </c>
      <c r="F51" s="72">
        <v>0</v>
      </c>
      <c r="G51" s="72">
        <v>0.21</v>
      </c>
      <c r="H51" s="72">
        <v>0.29</v>
      </c>
      <c r="I51" s="39">
        <f>IF(tblVerifyElec[[#This Row],[Month]]="","",IF(tblVerifyElec[[#This Row],[Grid factor (kg CO2e/kWh)]]="","",tblVerifyElec[[#This Row],[Purchased (kWh)]]*tblVerifyElec[[#This Row],[Grid factor (kg CO2e/kWh)]]/1000))</f>
        <v>10.5</v>
      </c>
      <c r="J51" s="39">
        <f>IF(tblVerifyElec[[#This Row],[Month]]="","",IF(tblVerifyElec[[#This Row],[Residual factor (kg CO2e/kWh)]]="","",(N(tblVerifyElec[[#This Row],[Contractual (kWh)]])*N(tblVerifyElec[[#This Row],[Contract factor (kg CO2e/kWh)]])+(tblVerifyElec[[#This Row],[Purchased (kWh)]]-N(tblVerifyElec[[#This Row],[Contractual (kWh)]]))*tblVerifyElec[[#This Row],[Residual factor (kg CO2e/kWh)]])/1000))</f>
        <v>-5.8</v>
      </c>
      <c r="K51" s="40" t="str">
        <f>IF(tblVerifyElec[[#This Row],[Month]]="","",IF(tblVerifyElec[[#This Row],[Site]]="","Missing site",IF(tblVerifyElec[[#This Row],[Purchased (kWh)]]="","Missing purchased",IF(tblVerifyElec[[#This Row],[Residual factor (kg CO2e/kWh)]]="","Site not on Setup list",IF(DAY(tblVerifyElec[[#This Row],[Month]])&lt;&gt;1,"Use the 1st of the month",IF(N(tblVerifyElec[[#This Row],[Contractual (kWh)]])&gt;tblVerifyElec[[#This Row],[Purchased (kWh)]],"Contractual kWh &gt; purchased",IF(AND(N(tblVerifyElec[[#This Row],[Contractual (kWh)]])&gt;0,tblVerifyElec[[#This Row],[Contract factor (kg CO2e/kWh)]]=""),"Missing contract factor",IF(COUNTIFS(tblVerifyElec[Month],tblVerifyElec[[#This Row],[Month]],tblVerifyElec[Site],tblVerifyElec[[#This Row],[Site]])&gt;1,"Duplicate month and site","OK"))))))))</f>
        <v>Contractual kWh &gt; purchased</v>
      </c>
      <c r="L51" s="68"/>
    </row>
    <row r="53" spans="2:12">
      <c r="B53" s="32" t="s">
        <v>263</v>
      </c>
      <c r="C53" s="32"/>
      <c r="D53" s="32"/>
      <c r="E53" s="32"/>
      <c r="F53" s="32"/>
      <c r="G53" s="32"/>
      <c r="H53" s="32"/>
      <c r="I53" s="32"/>
      <c r="J53" s="32"/>
      <c r="K53" s="32"/>
      <c r="L53" s="32"/>
    </row>
    <row r="54" spans="2:12" ht="45.5" customHeight="1">
      <c r="B54" s="34" t="s">
        <v>64</v>
      </c>
      <c r="C54" s="34" t="s">
        <v>65</v>
      </c>
      <c r="D54" s="34" t="s">
        <v>66</v>
      </c>
      <c r="E54" s="34" t="s">
        <v>67</v>
      </c>
      <c r="F54" s="34" t="s">
        <v>68</v>
      </c>
    </row>
    <row r="55" spans="2:12">
      <c r="B55" s="68" t="s">
        <v>256</v>
      </c>
      <c r="C55" s="68" t="s">
        <v>264</v>
      </c>
      <c r="D55" s="72">
        <v>0.386</v>
      </c>
      <c r="E55" s="72">
        <v>0.45</v>
      </c>
      <c r="F55" s="68"/>
    </row>
    <row r="56" spans="2:12">
      <c r="B56" s="68" t="s">
        <v>259</v>
      </c>
      <c r="C56" s="68" t="s">
        <v>265</v>
      </c>
      <c r="D56" s="72">
        <v>0.21</v>
      </c>
      <c r="E56" s="72">
        <v>0.29</v>
      </c>
      <c r="F56" s="68"/>
    </row>
  </sheetData>
  <sheetProtection sheet="1" formatColumns="0" formatRows="0"/>
  <mergeCells count="35">
    <mergeCell ref="A1:L1"/>
    <mergeCell ref="B2:K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B29:L29"/>
    <mergeCell ref="B31:L31"/>
    <mergeCell ref="B32:F32"/>
    <mergeCell ref="B33:D33"/>
    <mergeCell ref="B34:D34"/>
    <mergeCell ref="B35:D35"/>
    <mergeCell ref="B36:D36"/>
    <mergeCell ref="B38:L38"/>
    <mergeCell ref="B46:L46"/>
    <mergeCell ref="B53:L5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J40:J44">
    <cfRule type="expression" dxfId="3" priority="41">
      <formula>$J40="OK"</formula>
    </cfRule>
    <cfRule type="expression" dxfId="1" priority="42">
      <formula>AND($J40&lt;&gt;"",$J40&lt;&gt;"OK")</formula>
    </cfRule>
  </conditionalFormatting>
  <conditionalFormatting sqref="K11:K2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48:K51">
    <cfRule type="expression" dxfId="3" priority="43">
      <formula>$K48="OK"</formula>
    </cfRule>
    <cfRule type="expression" dxfId="1" priority="44">
      <formula>AND($K48&lt;&gt;"",$K48&lt;&gt;"OK")</formula>
    </cfRule>
  </conditionalFormatting>
  <hyperlinks>
    <hyperlink ref="L2" r:id="rId1" tooltip="Free manufacturing calculators and templates"/>
  </hyperlinks>
  <printOptions horizontalCentered="1"/>
  <pageMargins left="0.4" right="0.4" top="0.7" bottom="0.65" header="0.3" footer="0.3"/>
  <pageSetup fitToHeight="0" orientation="landscape"/>
  <headerFooter>
    <oddHeader>&amp;L&amp;8MFG Calcs - Scope 1 and 2 GHG Inventory&amp;R&amp;8&amp;A</oddHeader>
    <oddFooter>&amp;L&amp;8mfgcalcs.com - free manufacturing templates&amp;R&amp;8Page &amp;P of &amp;N</oddFooter>
  </headerFooter>
  <rowBreaks count="2" manualBreakCount="2">
    <brk id="26" max="16383" man="1"/>
    <brk id="52"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28</vt:i4>
      </vt:variant>
    </vt:vector>
  </HeadingPairs>
  <TitlesOfParts>
    <vt:vector size="35" baseType="lpstr">
      <vt:lpstr>Start Here</vt:lpstr>
      <vt:lpstr>Setup</vt:lpstr>
      <vt:lpstr>Fuel and Refrigerants</vt:lpstr>
      <vt:lpstr>Electricity</vt:lpstr>
      <vt:lpstr>Dashboard</vt:lpstr>
      <vt:lpstr>Method</vt:lpstr>
      <vt:lpstr>Verify</vt:lpstr>
      <vt:lpstr>BaseEmissions</vt:lpstr>
      <vt:lpstr>BaseYear</vt:lpstr>
      <vt:lpstr>CompanyName</vt:lpstr>
      <vt:lpstr>DashYear</vt:lpstr>
      <vt:lpstr>KpiInt</vt:lpstr>
      <vt:lpstr>KpiRed</vt:lpstr>
      <vt:lpstr>KpiS1</vt:lpstr>
      <vt:lpstr>KpiS2L</vt:lpstr>
      <vt:lpstr>KpiS2M</vt:lpstr>
      <vt:lpstr>KpiShare</vt:lpstr>
      <vt:lpstr>KpiTop</vt:lpstr>
      <vt:lpstr>KpiTotal</vt:lpstr>
      <vt:lpstr>OutputShown</vt:lpstr>
      <vt:lpstr>OutputUnit</vt:lpstr>
      <vt:lpstr>Dashboard!Print_Area</vt:lpstr>
      <vt:lpstr>Electricity!Print_Area</vt:lpstr>
      <vt:lpstr>'Fuel and Refrigerants'!Print_Area</vt:lpstr>
      <vt:lpstr>Method!Print_Area</vt:lpstr>
      <vt:lpstr>Setup!Print_Area</vt:lpstr>
      <vt:lpstr>'Start Here'!Print_Area</vt:lpstr>
      <vt:lpstr>Verify!Print_Area</vt:lpstr>
      <vt:lpstr>Electricity!Print_Titles</vt:lpstr>
      <vt:lpstr>'Fuel and Refrigerants'!Print_Titles</vt:lpstr>
      <vt:lpstr>Method!Print_Titles</vt:lpstr>
      <vt:lpstr>ReductionTarget</vt:lpstr>
      <vt:lpstr>SelfCheck</vt:lpstr>
      <vt:lpstr>SelfCheckSummary</vt:lpstr>
      <vt:lpstr>TargetIntensity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Scope 1 and 2 GHG Inventory - free Excel template from MFG Calcs</dc:title>
  <dc:subject>Log fuel, refrigerant and electricity by month and site and get Scope 1, both Scope 2 inventories and progress to your target.</dc:subject>
  <dc:creator>MFG Calcs</dc:creator>
  <cp:keywords>GHG inventory, Scope 1, Scope 2, carbon footprint, emission factors, location-based, market-based, GHG Protocol, tCO2e</cp:keywords>
  <dc:description>https://www.mfgcalcs.com/templates/ghg-inventory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ghg-inventory</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https://www.mfgcalcs.com/templates/ghg-inventory</vt:lpwstr>
  </property>
  <property fmtid="{D5CDD505-2E9C-101B-9397-08002B2CF9AE}" pid="7" name="Template sheet roles">
    <vt:lpwstr>Start Here=start;Setup=setup;Fuel and Refrigerants=work;Electricity=work;Dashboard=dashboard;Method=method;Verify=verify</vt:lpwstr>
  </property>
</Properties>
</file>