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CP Log" sheetId="3" r:id="rId3"/>
    <sheet name="Dashboard" sheetId="4" r:id="rId4"/>
    <sheet name="Method" sheetId="5" r:id="rId5"/>
    <sheet name="Verify" sheetId="6" r:id="rId6"/>
  </sheets>
  <definedNames>
    <definedName name="CCPs">tblCCPs[CCP]</definedName>
    <definedName name="Currency">Setup!$D$7</definedName>
    <definedName name="DashCCP">Dashboard!$K$4</definedName>
    <definedName name="DashFrom">Dashboard!$C$4</definedName>
    <definedName name="DashTo">Dashboard!$G$4</definedName>
    <definedName name="FFrom">IF(DashFrom="",0,DashFrom)</definedName>
    <definedName name="FTo">IF(DashTo="",2958465,DashTo)</definedName>
    <definedName name="HeldUnit">Setup!$D$8</definedName>
    <definedName name="HoldValue">Setup!$D$9</definedName>
    <definedName name="KpiChecks">Dashboard!$B$8</definedName>
    <definedName name="KpiCost">Dashboard!$G$30</definedName>
    <definedName name="KpiHeld">Dashboard!$D$30</definedName>
    <definedName name="KpiMissed">Dashboard!$J$8</definedName>
    <definedName name="KpiOpen">Dashboard!$G$8</definedName>
    <definedName name="KpiOut">Dashboard!$D$8</definedName>
    <definedName name="KpiTopCCP">Dashboard!$J$30</definedName>
    <definedName name="KpiVerified">Dashboard!$B$30</definedName>
    <definedName name="_xlnm.Print_Area" localSheetId="2">'CCP Log'!$A$1:$T$185</definedName>
    <definedName name="_xlnm.Print_Area" localSheetId="3">Dashboard!$A$1:$L$81</definedName>
    <definedName name="_xlnm.Print_Area" localSheetId="4">Method!$A$1:$D$54</definedName>
    <definedName name="_xlnm.Print_Area" localSheetId="1">Setup!$A$1:$J$23</definedName>
    <definedName name="_xlnm.Print_Area" localSheetId="0">'Start Here'!$A$1:$F$56</definedName>
    <definedName name="_xlnm.Print_Area" localSheetId="5">Verify!$A$1:$T$46</definedName>
    <definedName name="_xlnm.Print_Titles" localSheetId="2">'CCP Log'!$1:$6</definedName>
    <definedName name="_xlnm.Print_Titles" localSheetId="4">Method!$1:$2</definedName>
    <definedName name="QACost">Setup!$D$10</definedName>
    <definedName name="SelfCheck">Verify!$D$4</definedName>
    <definedName name="SelfCheckSummary">Verify!$F$4</definedName>
    <definedName name="SiteName">Setup!$D$6</definedName>
    <definedName name="TargetVerified">Setup!$D$11</definedName>
    <definedName name="TrendN">COUNTIFS(tblLog[CCP],DashCCP,tblLog[Date],"&lt;="&amp;FTo)</definedName>
  </definedNames>
  <calcPr calcId="124519" fullCalcOnLoad="1"/>
</workbook>
</file>

<file path=xl/sharedStrings.xml><?xml version="1.0" encoding="utf-8"?>
<sst xmlns="http://schemas.openxmlformats.org/spreadsheetml/2006/main" count="1489" uniqueCount="311">
  <si>
    <t>HACCP CCP Monitoring Log</t>
  </si>
  <si>
    <t>Read this first: what the workbook does and how to use it.</t>
  </si>
  <si>
    <t>mfgcalcs.com</t>
  </si>
  <si>
    <t>Record every CCP check against its limits and track deviations, corrective actions, verification, missed checks and holds.</t>
  </si>
  <si>
    <t>For: Food safety and QA managers, HACCP team leaders, production supervisors and owners of food and beverage plants and commercial kitchens.</t>
  </si>
  <si>
    <t>Version 1.0.0  ·  updated 15 October 2026</t>
  </si>
  <si>
    <t>Quick start</t>
  </si>
  <si>
    <t>1.</t>
  </si>
  <si>
    <t>On Setup, type your site name, currency and hold-cost values, then replace the example CCPs with those of your HACCP plan: limit type, critical limit, operating limit and checks per day.</t>
  </si>
  <si>
    <t>2.</t>
  </si>
  <si>
    <t>On CCP Log, add one row per check: date, time, CCP, batch, reading and the initials of who checked.</t>
  </si>
  <si>
    <t>3.</t>
  </si>
  <si>
    <t>When a reading is Out of limits, record the corrective action, the product held and who verified it.</t>
  </si>
  <si>
    <t>4.</t>
  </si>
  <si>
    <t>Read the Check column: anything other than OK names what is missing in words.</t>
  </si>
  <si>
    <t>5.</t>
  </si>
  <si>
    <t>Open the Dashboard; pick a CCP to see its last 20 readings against its limits, and use the dates to review a week.</t>
  </si>
  <si>
    <t>What is in this workbook</t>
  </si>
  <si>
    <t>Start Here</t>
  </si>
  <si>
    <t>Setup</t>
  </si>
  <si>
    <t>Site, currency, hold-cost values and the critical control points of your HACCP plan.</t>
  </si>
  <si>
    <t>CCP Log</t>
  </si>
  <si>
    <t>One row per CCP check: the reading, its result, any corrective action and the verifier's initials.</t>
  </si>
  <si>
    <t>Dashboard</t>
  </si>
  <si>
    <t>Deviations, open actions, missed checks, verification and product on hold, and the trend of the CCP you pick.</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</si>
  <si>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</si>
  <si>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</si>
  <si>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</si>
  <si>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</si>
  <si>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</si>
  <si>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</si>
  <si>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</si>
  <si>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</si>
  <si>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</si>
  <si>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</si>
  <si>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</si>
  <si>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</si>
  <si>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</si>
  <si>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</si>
  <si>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</si>
  <si>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</si>
  <si>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</si>
  <si>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</si>
  <si>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</si>
  <si>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</si>
  <si>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Food Safety Hold Cost Calculator on mfgcalcs.com</t>
  </si>
  <si>
    <t>Latest version</t>
  </si>
  <si>
    <t>mfgcalcs.com/templates/haccp-monitoring-log</t>
  </si>
  <si>
    <t>More free templates</t>
  </si>
  <si>
    <t>mfgcalcs.com/templates</t>
  </si>
  <si>
    <t>Version</t>
  </si>
  <si>
    <t>1.0.0 (updated 15 October 2026)</t>
  </si>
  <si>
    <t>About the example data</t>
  </si>
  <si>
    <t>Every number already in this workbook is example data for Harbourside Kitchens, a fictional business invented for this template, so the dashboard and charts show something meaningful on day one. It covers a ready-meals kitchen with four CCPs over ten production days (14 to 25 September 2026), generated from a fixed seed. The limits are illustrative only: use the validated limits of your own HACCP plan.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</si>
  <si>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</si>
  <si>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</si>
  <si>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</si>
  <si>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</si>
  <si>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</si>
  <si>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</si>
  <si>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</si>
  <si>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</si>
  <si>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CCP</t>
  </si>
  <si>
    <t>Step</t>
  </si>
  <si>
    <t>Hazard</t>
  </si>
  <si>
    <t>Parameter</t>
  </si>
  <si>
    <t>Unit</t>
  </si>
  <si>
    <t>Limit type</t>
  </si>
  <si>
    <t>Critical limit</t>
  </si>
  <si>
    <t>Operating limit</t>
  </si>
  <si>
    <t>Checks per day</t>
  </si>
  <si>
    <t>Site and hold costs</t>
  </si>
  <si>
    <t>Site name</t>
  </si>
  <si>
    <t>Harbourside Kitchens (example)</t>
  </si>
  <si>
    <t>Currency label</t>
  </si>
  <si>
    <t>AUD</t>
  </si>
  <si>
    <t>Unit of product held</t>
  </si>
  <si>
    <t>cases</t>
  </si>
  <si>
    <t>Value per held unit</t>
  </si>
  <si>
    <t>QA investigation per hold</t>
  </si>
  <si>
    <t>Records verified target</t>
  </si>
  <si>
    <t>Hold costs are estimates from your own values; nothing here is an industry figure. 'Near target' means within 5% of the target.</t>
  </si>
  <si>
    <t>Critical control points</t>
  </si>
  <si>
    <t>CCPs (example limits, illustrative only)</t>
  </si>
  <si>
    <t>One row per CCP from your HACCP plan. Limit type: Minimum when the reading must be at or above the critical limit (cooking temperature, test pieces rejected), Maximum when it must be at or below it (chilling, storage). The operating limit is an optional tighter value that warns before the critical limit is reached. The example limits are illustrative only: use the validated critical limits of your own plan and the rules that apply to you.</t>
  </si>
  <si>
    <t>CCP1 Cooking</t>
  </si>
  <si>
    <t>Kettle cooking</t>
  </si>
  <si>
    <t>Survival of vegetative pathogens</t>
  </si>
  <si>
    <t>Core temperature</t>
  </si>
  <si>
    <t>°C</t>
  </si>
  <si>
    <t>Minimum</t>
  </si>
  <si>
    <t>CCP2 Chilling</t>
  </si>
  <si>
    <t>Blast chilling</t>
  </si>
  <si>
    <t>Growth of spore-forming bacteria</t>
  </si>
  <si>
    <t>Core temperature after 90 min</t>
  </si>
  <si>
    <t>Maximum</t>
  </si>
  <si>
    <t>CCP3 Metal detection</t>
  </si>
  <si>
    <t>Packing</t>
  </si>
  <si>
    <t>Metal fragments</t>
  </si>
  <si>
    <t>Test pieces rejected</t>
  </si>
  <si>
    <t>of 3</t>
  </si>
  <si>
    <t>CCP4 Cold store</t>
  </si>
  <si>
    <t>Chilled storage</t>
  </si>
  <si>
    <t>Growth of pathogens</t>
  </si>
  <si>
    <t>Cold room air temperature</t>
  </si>
  <si>
    <t>Date</t>
  </si>
  <si>
    <t>Time</t>
  </si>
  <si>
    <t>Batch or lot</t>
  </si>
  <si>
    <t>Reading</t>
  </si>
  <si>
    <t>Result</t>
  </si>
  <si>
    <t>Monitored by</t>
  </si>
  <si>
    <t>Corrective action</t>
  </si>
  <si>
    <t>Product held</t>
  </si>
  <si>
    <t>Verified by</t>
  </si>
  <si>
    <t>Hold cost (est.)</t>
  </si>
  <si>
    <t>Reading no.</t>
  </si>
  <si>
    <t>View date</t>
  </si>
  <si>
    <t>Check</t>
  </si>
  <si>
    <t>Notes</t>
  </si>
  <si>
    <t>Example records for Harbourside Kitchens (fictional), with example limits. Replace them with your own: select the example rows, right-click, Delete &gt; Table Rows. One deviation is left unverified on purpose to show the Check column.</t>
  </si>
  <si>
    <t>Line 1 07:00</t>
  </si>
  <si>
    <t>JT</t>
  </si>
  <si>
    <t/>
  </si>
  <si>
    <t>LB</t>
  </si>
  <si>
    <t>B0914-1</t>
  </si>
  <si>
    <t>Cold room 1</t>
  </si>
  <si>
    <t>B0914-2</t>
  </si>
  <si>
    <t>AK</t>
  </si>
  <si>
    <t>Line 1 10:00</t>
  </si>
  <si>
    <t>B0914-3</t>
  </si>
  <si>
    <t>MP</t>
  </si>
  <si>
    <t>B0914-4</t>
  </si>
  <si>
    <t>RS</t>
  </si>
  <si>
    <t>Line 1 13:00</t>
  </si>
  <si>
    <t>B0914-5</t>
  </si>
  <si>
    <t>B0914-6</t>
  </si>
  <si>
    <t>Line 1 15:30</t>
  </si>
  <si>
    <t>B0915-1</t>
  </si>
  <si>
    <t>B0915-2</t>
  </si>
  <si>
    <t>B0915-3</t>
  </si>
  <si>
    <t>B0915-4</t>
  </si>
  <si>
    <t>B0915-5</t>
  </si>
  <si>
    <t>B0915-6</t>
  </si>
  <si>
    <t>B0916-1</t>
  </si>
  <si>
    <t>B0916-2</t>
  </si>
  <si>
    <t>B0916-3</t>
  </si>
  <si>
    <t>Batch returned to the kettle and re-cooked to 84.1 °C</t>
  </si>
  <si>
    <t>B0916-4</t>
  </si>
  <si>
    <t>B0916-5</t>
  </si>
  <si>
    <t>B0916-6</t>
  </si>
  <si>
    <t>B0917-1</t>
  </si>
  <si>
    <t>B0917-2</t>
  </si>
  <si>
    <t>B0917-3</t>
  </si>
  <si>
    <t>B0917-4</t>
  </si>
  <si>
    <t>B0917-5</t>
  </si>
  <si>
    <t>B0917-6</t>
  </si>
  <si>
    <t>Detector recalibrated; product packed since the last good test re-screened</t>
  </si>
  <si>
    <t>B0918-1</t>
  </si>
  <si>
    <t>B0918-2</t>
  </si>
  <si>
    <t>B0918-3</t>
  </si>
  <si>
    <t>B0918-4</t>
  </si>
  <si>
    <t>B0918-5</t>
  </si>
  <si>
    <t>B0918-6</t>
  </si>
  <si>
    <t>B0921-1</t>
  </si>
  <si>
    <t>B0921-2</t>
  </si>
  <si>
    <t>B0921-3</t>
  </si>
  <si>
    <t>B0921-4</t>
  </si>
  <si>
    <t>B0921-5</t>
  </si>
  <si>
    <t>B0921-6</t>
  </si>
  <si>
    <t>B0922-1</t>
  </si>
  <si>
    <t>B0922-2</t>
  </si>
  <si>
    <t>B0922-3</t>
  </si>
  <si>
    <t>B0922-4</t>
  </si>
  <si>
    <t>Blast chiller fault: batch held, engineer called, chiller repaired 15:00</t>
  </si>
  <si>
    <t>B0922-5</t>
  </si>
  <si>
    <t>Engineer's report awaited before release</t>
  </si>
  <si>
    <t>B0922-6</t>
  </si>
  <si>
    <t>B0923-1</t>
  </si>
  <si>
    <t>B0923-2</t>
  </si>
  <si>
    <t>B0923-3</t>
  </si>
  <si>
    <t>B0923-4</t>
  </si>
  <si>
    <t>B0923-5</t>
  </si>
  <si>
    <t>B0923-6</t>
  </si>
  <si>
    <t>B0924-1</t>
  </si>
  <si>
    <t>B0924-2</t>
  </si>
  <si>
    <t>B0924-3</t>
  </si>
  <si>
    <t>B0924-4</t>
  </si>
  <si>
    <t>B0924-5</t>
  </si>
  <si>
    <t>B0924-6</t>
  </si>
  <si>
    <t>B0925-1</t>
  </si>
  <si>
    <t>B0925-2</t>
  </si>
  <si>
    <t>B0925-3</t>
  </si>
  <si>
    <t>B0925-4</t>
  </si>
  <si>
    <t>B0925-5</t>
  </si>
  <si>
    <t>B0925-6</t>
  </si>
  <si>
    <t>From</t>
  </si>
  <si>
    <t>To</t>
  </si>
  <si>
    <t>CCP to chart</t>
  </si>
  <si>
    <t>CHECKS LOGGED</t>
  </si>
  <si>
    <t>DEVIATIONS (OUT OF LIMITS)</t>
  </si>
  <si>
    <t>OPEN DEVIATIONS</t>
  </si>
  <si>
    <t>MISSED CHECKS</t>
  </si>
  <si>
    <t>Monitoring records in view</t>
  </si>
  <si>
    <t>Readings past the critical limit</t>
  </si>
  <si>
    <t>RECORDS VERIFIED</t>
  </si>
  <si>
    <t>CCP WITH MOST DEVIATIONS</t>
  </si>
  <si>
    <t>On deviations in view</t>
  </si>
  <si>
    <t>Held x value + QA cost per hold</t>
  </si>
  <si>
    <t>Ties: the first in the list</t>
  </si>
  <si>
    <t>By CCP</t>
  </si>
  <si>
    <t>Checks</t>
  </si>
  <si>
    <t>Within limits</t>
  </si>
  <si>
    <t>Check (operating limit)</t>
  </si>
  <si>
    <t>Out of limits</t>
  </si>
  <si>
    <t>Missed checks</t>
  </si>
  <si>
    <t>Missed checks by day and CCP (required per day minus logged, last 10 production days in view)</t>
  </si>
  <si>
    <t>Day</t>
  </si>
  <si>
    <t>Total</t>
  </si>
  <si>
    <t>Trend data: last 20 readings of the CCP to chart, up to the To date</t>
  </si>
  <si>
    <t>Slot</t>
  </si>
  <si>
    <t>Operating limit (or critical)</t>
  </si>
  <si>
    <t>The Dashboard shows the 4 CCPs of the Setup list. If you add more, extend the 'By CCP' block and the day grid (see Method) or they will not appear here; the tiles still count every record.</t>
  </si>
  <si>
    <t>What this workbook calculates</t>
  </si>
  <si>
    <t>HACCP monitoring records show that each critical control point stayed within its critical limit, that every deviation had a corrective action, and that the records were verified. This workbook judges each reading against the limits of its CCP on Setup, names what is missing in words, counts checks the plan required but nobody logged, and estimates what product held on a deviation cost. It records and summarises; it does not replace your HACCP plan or its validation.</t>
  </si>
  <si>
    <t>Calculations</t>
  </si>
  <si>
    <t>Quantity</t>
  </si>
  <si>
    <t>How it is calculated</t>
  </si>
  <si>
    <t>Units</t>
  </si>
  <si>
    <t>Limits</t>
  </si>
  <si>
    <t>Looked up from the CCP list by CCP (blank stays blank, never zero).</t>
  </si>
  <si>
    <t>CCP unit</t>
  </si>
  <si>
    <t>Minimum type: below the critical limit = Out of limits; below the operating limit = Check; else Within limits. Maximum type: the same with above.</t>
  </si>
  <si>
    <t>-</t>
  </si>
  <si>
    <t>Product held x value per held unit + QA investigation cost, when product is held; else 0.</t>
  </si>
  <si>
    <t>currency</t>
  </si>
  <si>
    <t>Count of the CCP's readings with an earlier date, plus those on the same date at or before this time.</t>
  </si>
  <si>
    <t>Open deviations</t>
  </si>
  <si>
    <t>Out-of-limits rows whose Check is not OK (no corrective action, no verifier, or another problem).</t>
  </si>
  <si>
    <t>count</t>
  </si>
  <si>
    <t>Per production day and CCP: checks per day on Setup minus checks logged, never below 0. A production day is a date with at least one record in view; the grid and tile cover the last 10.</t>
  </si>
  <si>
    <t>Records verified</t>
  </si>
  <si>
    <t>Rows with Verified by filled in / rows in view, against the target on Setup.</t>
  </si>
  <si>
    <t>%</t>
  </si>
  <si>
    <t>Roll-ups</t>
  </si>
  <si>
    <t>COUNTIFS and SUMIFS over rows whose View date is filled in (inside the From and To dates).</t>
  </si>
  <si>
    <t>Assumptions</t>
  </si>
  <si>
    <t>Each CCP has a one-sided critical limit (a minimum or a maximum). For a two-sided limit, set up the low and high sides as two CCP rows.</t>
  </si>
  <si>
    <t>Every check is logged as its own row with its time; checks per day is the plan's frequency on a production day.</t>
  </si>
  <si>
    <t>Product held is counted once, on the row of the deviation that caused the hold.</t>
  </si>
  <si>
    <t>Limitations</t>
  </si>
  <si>
    <t>A day with no records at all is not seen as a production day, so its missed checks are not counted.</t>
  </si>
  <si>
    <t>The trend chart plots blank slots at zero when the chosen CCP has fewer than 20 readings.</t>
  </si>
  <si>
    <t>The hold cost is an estimate: rework, disposal and customer costs are not included.</t>
  </si>
  <si>
    <t>The Dashboard has fixed blocks for 4 CCPs and 10 days; longer lists need the blocks extended (a warning appears).</t>
  </si>
  <si>
    <t>Agreement with the live calculator</t>
  </si>
  <si>
    <t>The live Food Safety Hold Cost calculator estimates the cost of a hold as held quantity x value per unit x share of the hold included + a fixed QA investigation or release cost. The Hold cost column uses the same formula with the share at 100%, once per deviation that held product. The template's reference implementation is checked against the calculator's engine for its default example (420 cases at 28 with 650 fixed: 12,410) and for the example chiller deviation on every build.</t>
  </si>
  <si>
    <t>Open the Food Safety Hold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</si>
  <si>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</si>
  <si>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</si>
  <si>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Codex Alimentarius, General Principles of Food Hygiene, CXC 1-1969 (revised 2020): the seven HACCP principles (named only).</t>
  </si>
  <si>
    <t>Your national rules, for example US FDA and USDA FSIS HACCP regulations, Regulation (EC) No 852/2004, FSSAI Schedule 4 (named only).</t>
  </si>
  <si>
    <t>MFG Calcs Food Safety Hold Cost calculator (food-safety-hold-cost): held x value x share + fixed QA cost.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</si>
  <si>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</si>
  <si>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</si>
  <si>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</si>
  <si>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</si>
  <si>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</si>
  <si>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</si>
  <si>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</si>
  <si>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</si>
  <si>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No.</t>
  </si>
  <si>
    <t>Expected (reference)</t>
  </si>
  <si>
    <t>Workbook result</t>
  </si>
  <si>
    <t>Difference</t>
  </si>
  <si>
    <t>Tolerance</t>
  </si>
  <si>
    <t>Row 1: C1 reading 80.0 (minimum 75)</t>
  </si>
  <si>
    <t>exact</t>
  </si>
  <si>
    <t>Row 2: C1 reading 76.5 (minimum 75)</t>
  </si>
  <si>
    <t>Row 3: C1 reading 72.0 (minimum 75)</t>
  </si>
  <si>
    <t>Row 4: C2 reading 5.0 (maximum 5)</t>
  </si>
  <si>
    <t>Row 5: C2 reading 6.2 (maximum 5)</t>
  </si>
  <si>
    <t>Row 3 (calculator example): hold cost</t>
  </si>
  <si>
    <t>Row 3: reading no. 3 of C1</t>
  </si>
  <si>
    <t>Row 5: Check reports the missing corrective action</t>
  </si>
  <si>
    <t>Corrective action missing</t>
  </si>
  <si>
    <t>Row 1: Check is OK</t>
  </si>
  <si>
    <t>OK</t>
  </si>
  <si>
    <t>All rows: deviations</t>
  </si>
  <si>
    <t>All rows: open deviations</t>
  </si>
  <si>
    <t>All rows: records verified</t>
  </si>
  <si>
    <t>All rows: hold cost</t>
  </si>
  <si>
    <t>Fixed test inputs</t>
  </si>
  <si>
    <t>White cells are fixed test inputs; blue cells are the workbook's formulas evaluated on them.</t>
  </si>
  <si>
    <t>Parameters</t>
  </si>
  <si>
    <t>Filter: from (0 = no limit)</t>
  </si>
  <si>
    <t>Filter: to (2958465 = no limit)</t>
  </si>
  <si>
    <t>Test table: CCPs</t>
  </si>
  <si>
    <t>C1</t>
  </si>
  <si>
    <t>Cook</t>
  </si>
  <si>
    <t>C2</t>
  </si>
  <si>
    <t>Chill</t>
  </si>
  <si>
    <t>Test table: Log</t>
  </si>
  <si>
    <t>A</t>
  </si>
  <si>
    <t>AB</t>
  </si>
  <si>
    <t>QA</t>
  </si>
  <si>
    <t>B</t>
  </si>
  <si>
    <t>C</t>
  </si>
  <si>
    <t>Re-cooked</t>
  </si>
  <si>
    <t>D</t>
  </si>
  <si>
    <t>CD</t>
  </si>
  <si>
    <t>E</t>
  </si>
</sst>
</file>

<file path=xl/styles.xml><?xml version="1.0" encoding="utf-8"?>
<styleSheet xmlns="http://schemas.openxmlformats.org/spreadsheetml/2006/main">
  <numFmts count="11">
    <numFmt numFmtId="164" formatCode="#,##0.00"/>
    <numFmt numFmtId="165" formatCode="0.0%"/>
    <numFmt numFmtId="166" formatCode="#,##0.0"/>
    <numFmt numFmtId="167" formatCode="#,##0"/>
    <numFmt numFmtId="168" formatCode="d mmm yyyy"/>
    <numFmt numFmtId="169" formatCode="hh:mm"/>
    <numFmt numFmtId="170" formatCode="&quot;Limit &quot;#,##0"/>
    <numFmt numFmtId="171" formatCode="&quot;Target &quot;0.0%"/>
    <numFmt numFmtId="172" formatCode="ddd d mmm"/>
    <numFmt numFmtId="173" formatCode="d mmm"/>
    <numFmt numFmtId="174"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7" borderId="2" xfId="0" applyFont="1" applyFill="1" applyBorder="1" applyAlignment="1">
      <alignment vertical="center" wrapText="1"/>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20" fillId="0" borderId="0" xfId="0" applyFont="1" applyAlignment="1">
      <alignment horizontal="center" vertical="center"/>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10" fillId="3" borderId="2" xfId="0" applyFont="1" applyFill="1" applyBorder="1" applyAlignment="1" applyProtection="1">
      <alignment vertical="top" wrapText="1"/>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168"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7"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5"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171" fontId="23"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72" fontId="9" fillId="0" borderId="9" xfId="0" applyNumberFormat="1" applyFont="1" applyBorder="1" applyAlignment="1">
      <alignment vertical="center"/>
    </xf>
    <xf numFmtId="167" fontId="10" fillId="4" borderId="3" xfId="0" applyNumberFormat="1" applyFont="1" applyFill="1" applyBorder="1" applyAlignment="1">
      <alignment horizontal="center" vertical="center"/>
    </xf>
    <xf numFmtId="167" fontId="9" fillId="4" borderId="3" xfId="0" applyNumberFormat="1" applyFont="1" applyFill="1" applyBorder="1" applyAlignment="1">
      <alignment vertical="center"/>
    </xf>
    <xf numFmtId="0" fontId="9" fillId="4" borderId="10" xfId="0" applyFont="1" applyFill="1" applyBorder="1" applyAlignment="1">
      <alignment vertical="center"/>
    </xf>
    <xf numFmtId="167" fontId="9" fillId="4" borderId="10" xfId="0" applyNumberFormat="1" applyFont="1" applyFill="1" applyBorder="1" applyAlignment="1">
      <alignment vertical="center"/>
    </xf>
    <xf numFmtId="167" fontId="9" fillId="0" borderId="9" xfId="0" applyNumberFormat="1" applyFont="1" applyBorder="1" applyAlignment="1">
      <alignment vertical="center"/>
    </xf>
    <xf numFmtId="173" fontId="10" fillId="4" borderId="3" xfId="0" applyNumberFormat="1" applyFont="1" applyFill="1" applyBorder="1" applyAlignment="1">
      <alignment vertical="center"/>
    </xf>
    <xf numFmtId="166"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7"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64" fontId="10" fillId="4" borderId="3" xfId="0" applyNumberFormat="1" applyFont="1" applyFill="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7" fontId="10" fillId="0" borderId="9" xfId="0" applyNumberFormat="1" applyFont="1" applyBorder="1" applyAlignment="1">
      <alignment vertical="center"/>
    </xf>
    <xf numFmtId="165" fontId="10" fillId="0" borderId="9" xfId="0" applyNumberFormat="1" applyFont="1" applyBorder="1" applyAlignment="1">
      <alignment vertical="center"/>
    </xf>
    <xf numFmtId="165" fontId="10" fillId="4" borderId="3" xfId="0" applyNumberFormat="1" applyFont="1" applyFill="1" applyBorder="1" applyAlignment="1">
      <alignment vertical="center"/>
    </xf>
    <xf numFmtId="168" fontId="10" fillId="0" borderId="9" xfId="0" applyNumberFormat="1" applyFont="1" applyBorder="1" applyAlignment="1">
      <alignment vertical="center"/>
    </xf>
    <xf numFmtId="169"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Last 20 readings of the CCP to chart</a:t>
            </a:r>
          </a:p>
        </c:rich>
      </c:tx>
      <c:layout/>
    </c:title>
    <c:plotArea>
      <c:layout/>
      <c:lineChart>
        <c:grouping val="standard"/>
        <c:ser>
          <c:idx val="0"/>
          <c:order val="0"/>
          <c:tx>
            <c:v>Reading</c:v>
          </c:tx>
          <c:spPr>
            <a:ln>
              <a:noFill/>
            </a:ln>
          </c:spPr>
          <c:marker>
            <c:symbol val="circle"/>
            <c:size val="6"/>
            <c:spPr>
              <a:solidFill>
                <a:srgbClr val="3B64D8"/>
              </a:solidFill>
              <a:ln>
                <a:solidFill>
                  <a:srgbClr val="3B64D8"/>
                </a:solidFill>
              </a:ln>
            </c:spPr>
          </c:marker>
          <c:cat>
            <c:numRef>
              <c:f>Dashboard!$D$59:$D$78</c:f>
              <c:numCache>
                <c:formatCode>General</c:formatCode>
                <c:ptCount val="20"/>
                <c:pt idx="0">
                  <c:v>46287</c:v>
                </c:pt>
                <c:pt idx="1">
                  <c:v>46287</c:v>
                </c:pt>
                <c:pt idx="2">
                  <c:v>46288</c:v>
                </c:pt>
                <c:pt idx="3">
                  <c:v>46288</c:v>
                </c:pt>
                <c:pt idx="4">
                  <c:v>46288</c:v>
                </c:pt>
                <c:pt idx="5">
                  <c:v>46288</c:v>
                </c:pt>
                <c:pt idx="6">
                  <c:v>46288</c:v>
                </c:pt>
                <c:pt idx="7">
                  <c:v>46288</c:v>
                </c:pt>
                <c:pt idx="8">
                  <c:v>46289</c:v>
                </c:pt>
                <c:pt idx="9">
                  <c:v>46289</c:v>
                </c:pt>
                <c:pt idx="10">
                  <c:v>46289</c:v>
                </c:pt>
                <c:pt idx="11">
                  <c:v>46289</c:v>
                </c:pt>
                <c:pt idx="12">
                  <c:v>46289</c:v>
                </c:pt>
                <c:pt idx="13">
                  <c:v>46289</c:v>
                </c:pt>
                <c:pt idx="14">
                  <c:v>46290</c:v>
                </c:pt>
                <c:pt idx="15">
                  <c:v>46290</c:v>
                </c:pt>
                <c:pt idx="16">
                  <c:v>46290</c:v>
                </c:pt>
                <c:pt idx="17">
                  <c:v>46290</c:v>
                </c:pt>
                <c:pt idx="18">
                  <c:v>46290</c:v>
                </c:pt>
                <c:pt idx="19">
                  <c:v>46290</c:v>
                </c:pt>
              </c:numCache>
            </c:numRef>
          </c:cat>
          <c:val>
            <c:numRef>
              <c:f>Dashboard!$E$59:$E$78</c:f>
              <c:numCache>
                <c:formatCode>General</c:formatCode>
                <c:ptCount val="20"/>
                <c:pt idx="0">
                  <c:v>85.5</c:v>
                </c:pt>
                <c:pt idx="1">
                  <c:v>78.6</c:v>
                </c:pt>
                <c:pt idx="2">
                  <c:v>81.6</c:v>
                </c:pt>
                <c:pt idx="3">
                  <c:v>82.1</c:v>
                </c:pt>
                <c:pt idx="4">
                  <c:v>83.2</c:v>
                </c:pt>
                <c:pt idx="5">
                  <c:v>80.9</c:v>
                </c:pt>
                <c:pt idx="6">
                  <c:v>77.8</c:v>
                </c:pt>
                <c:pt idx="7">
                  <c:v>81</c:v>
                </c:pt>
                <c:pt idx="8">
                  <c:v>82</c:v>
                </c:pt>
                <c:pt idx="9">
                  <c:v>82.1</c:v>
                </c:pt>
                <c:pt idx="10">
                  <c:v>79.5</c:v>
                </c:pt>
                <c:pt idx="11">
                  <c:v>82.5</c:v>
                </c:pt>
                <c:pt idx="12">
                  <c:v>87.2</c:v>
                </c:pt>
                <c:pt idx="13">
                  <c:v>85.2</c:v>
                </c:pt>
                <c:pt idx="14">
                  <c:v>81.7</c:v>
                </c:pt>
                <c:pt idx="15">
                  <c:v>81.6</c:v>
                </c:pt>
                <c:pt idx="16">
                  <c:v>88.5</c:v>
                </c:pt>
                <c:pt idx="17">
                  <c:v>83.1</c:v>
                </c:pt>
                <c:pt idx="18">
                  <c:v>83.7</c:v>
                </c:pt>
                <c:pt idx="19">
                  <c:v>88.6</c:v>
                </c:pt>
              </c:numCache>
            </c:numRef>
          </c:val>
        </c:ser>
        <c:ser>
          <c:idx val="1"/>
          <c:order val="1"/>
          <c:tx>
            <c:v>Critical limit</c:v>
          </c:tx>
          <c:spPr>
            <a:ln w="19050">
              <a:solidFill>
                <a:srgbClr val="B3000C"/>
              </a:solidFill>
              <a:prstDash val="dash"/>
            </a:ln>
          </c:spPr>
          <c:marker>
            <c:symbol val="none"/>
          </c:marker>
          <c:cat>
            <c:numRef>
              <c:f>Dashboard!$D$59:$D$78</c:f>
              <c:numCache>
                <c:formatCode>General</c:formatCode>
                <c:ptCount val="20"/>
                <c:pt idx="0">
                  <c:v>46287</c:v>
                </c:pt>
                <c:pt idx="1">
                  <c:v>46287</c:v>
                </c:pt>
                <c:pt idx="2">
                  <c:v>46288</c:v>
                </c:pt>
                <c:pt idx="3">
                  <c:v>46288</c:v>
                </c:pt>
                <c:pt idx="4">
                  <c:v>46288</c:v>
                </c:pt>
                <c:pt idx="5">
                  <c:v>46288</c:v>
                </c:pt>
                <c:pt idx="6">
                  <c:v>46288</c:v>
                </c:pt>
                <c:pt idx="7">
                  <c:v>46288</c:v>
                </c:pt>
                <c:pt idx="8">
                  <c:v>46289</c:v>
                </c:pt>
                <c:pt idx="9">
                  <c:v>46289</c:v>
                </c:pt>
                <c:pt idx="10">
                  <c:v>46289</c:v>
                </c:pt>
                <c:pt idx="11">
                  <c:v>46289</c:v>
                </c:pt>
                <c:pt idx="12">
                  <c:v>46289</c:v>
                </c:pt>
                <c:pt idx="13">
                  <c:v>46289</c:v>
                </c:pt>
                <c:pt idx="14">
                  <c:v>46290</c:v>
                </c:pt>
                <c:pt idx="15">
                  <c:v>46290</c:v>
                </c:pt>
                <c:pt idx="16">
                  <c:v>46290</c:v>
                </c:pt>
                <c:pt idx="17">
                  <c:v>46290</c:v>
                </c:pt>
                <c:pt idx="18">
                  <c:v>46290</c:v>
                </c:pt>
                <c:pt idx="19">
                  <c:v>46290</c:v>
                </c:pt>
              </c:numCache>
            </c:numRef>
          </c:cat>
          <c:val>
            <c:numRef>
              <c:f>Dashboard!$F$59:$F$78</c:f>
              <c:numCache>
                <c:formatCode>General</c:formatCode>
                <c:ptCount val="20"/>
                <c:pt idx="0">
                  <c:v>75</c:v>
                </c:pt>
                <c:pt idx="1">
                  <c:v>75</c:v>
                </c:pt>
                <c:pt idx="2">
                  <c:v>75</c:v>
                </c:pt>
                <c:pt idx="3">
                  <c:v>75</c:v>
                </c:pt>
                <c:pt idx="4">
                  <c:v>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numCache>
            </c:numRef>
          </c:val>
        </c:ser>
        <c:ser>
          <c:idx val="2"/>
          <c:order val="2"/>
          <c:tx>
            <c:v>Operating limit</c:v>
          </c:tx>
          <c:spPr>
            <a:ln w="19050">
              <a:solidFill>
                <a:srgbClr val="4A5361"/>
              </a:solidFill>
              <a:prstDash val="dash"/>
            </a:ln>
          </c:spPr>
          <c:marker>
            <c:symbol val="none"/>
          </c:marker>
          <c:cat>
            <c:numRef>
              <c:f>Dashboard!$D$59:$D$78</c:f>
              <c:numCache>
                <c:formatCode>General</c:formatCode>
                <c:ptCount val="20"/>
                <c:pt idx="0">
                  <c:v>46287</c:v>
                </c:pt>
                <c:pt idx="1">
                  <c:v>46287</c:v>
                </c:pt>
                <c:pt idx="2">
                  <c:v>46288</c:v>
                </c:pt>
                <c:pt idx="3">
                  <c:v>46288</c:v>
                </c:pt>
                <c:pt idx="4">
                  <c:v>46288</c:v>
                </c:pt>
                <c:pt idx="5">
                  <c:v>46288</c:v>
                </c:pt>
                <c:pt idx="6">
                  <c:v>46288</c:v>
                </c:pt>
                <c:pt idx="7">
                  <c:v>46288</c:v>
                </c:pt>
                <c:pt idx="8">
                  <c:v>46289</c:v>
                </c:pt>
                <c:pt idx="9">
                  <c:v>46289</c:v>
                </c:pt>
                <c:pt idx="10">
                  <c:v>46289</c:v>
                </c:pt>
                <c:pt idx="11">
                  <c:v>46289</c:v>
                </c:pt>
                <c:pt idx="12">
                  <c:v>46289</c:v>
                </c:pt>
                <c:pt idx="13">
                  <c:v>46289</c:v>
                </c:pt>
                <c:pt idx="14">
                  <c:v>46290</c:v>
                </c:pt>
                <c:pt idx="15">
                  <c:v>46290</c:v>
                </c:pt>
                <c:pt idx="16">
                  <c:v>46290</c:v>
                </c:pt>
                <c:pt idx="17">
                  <c:v>46290</c:v>
                </c:pt>
                <c:pt idx="18">
                  <c:v>46290</c:v>
                </c:pt>
                <c:pt idx="19">
                  <c:v>46290</c:v>
                </c:pt>
              </c:numCache>
            </c:numRef>
          </c:cat>
          <c:val>
            <c:numRef>
              <c:f>Dashboard!$G$59:$G$78</c:f>
              <c:numCache>
                <c:formatCode>General</c:formatCode>
                <c:ptCount val="20"/>
                <c:pt idx="0">
                  <c:v>78</c:v>
                </c:pt>
                <c:pt idx="1">
                  <c:v>78</c:v>
                </c:pt>
                <c:pt idx="2">
                  <c:v>78</c:v>
                </c:pt>
                <c:pt idx="3">
                  <c:v>78</c:v>
                </c:pt>
                <c:pt idx="4">
                  <c:v>78</c:v>
                </c:pt>
                <c:pt idx="5">
                  <c:v>78</c:v>
                </c:pt>
                <c:pt idx="6">
                  <c:v>78</c:v>
                </c:pt>
                <c:pt idx="7">
                  <c:v>78</c:v>
                </c:pt>
                <c:pt idx="8">
                  <c:v>78</c:v>
                </c:pt>
                <c:pt idx="9">
                  <c:v>78</c:v>
                </c:pt>
                <c:pt idx="10">
                  <c:v>78</c:v>
                </c:pt>
                <c:pt idx="11">
                  <c:v>78</c:v>
                </c:pt>
                <c:pt idx="12">
                  <c:v>78</c:v>
                </c:pt>
                <c:pt idx="13">
                  <c:v>78</c:v>
                </c:pt>
                <c:pt idx="14">
                  <c:v>78</c:v>
                </c:pt>
                <c:pt idx="15">
                  <c:v>78</c:v>
                </c:pt>
                <c:pt idx="16">
                  <c:v>78</c:v>
                </c:pt>
                <c:pt idx="17">
                  <c:v>78</c:v>
                </c:pt>
                <c:pt idx="18">
                  <c:v>78</c:v>
                </c:pt>
                <c:pt idx="19">
                  <c:v>78</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General" sourceLinked="1"/>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Deviations and missed checks by CCP</a:t>
            </a:r>
          </a:p>
        </c:rich>
      </c:tx>
      <c:layout/>
    </c:title>
    <c:plotArea>
      <c:layout/>
      <c:barChart>
        <c:barDir val="col"/>
        <c:grouping val="clustered"/>
        <c:ser>
          <c:idx val="0"/>
          <c:order val="0"/>
          <c:tx>
            <c:v>Out of limits</c:v>
          </c:tx>
          <c:spPr>
            <a:solidFill>
              <a:srgbClr val="B3000C"/>
            </a:solidFill>
            <a:ln w="9525">
              <a:solidFill>
                <a:srgbClr val="FFFFFF"/>
              </a:solidFill>
            </a:ln>
          </c:spPr>
          <c:cat>
            <c:strRef>
              <c:f>Dashboard!$B$38:$B$41</c:f>
              <c:strCache>
                <c:ptCount val="4"/>
                <c:pt idx="0">
                  <c:v>CCP1 Cooking</c:v>
                </c:pt>
                <c:pt idx="1">
                  <c:v>CCP2 Chilling</c:v>
                </c:pt>
                <c:pt idx="2">
                  <c:v>CCP3 Metal detection</c:v>
                </c:pt>
                <c:pt idx="3">
                  <c:v>CCP4 Cold store</c:v>
                </c:pt>
              </c:strCache>
            </c:strRef>
          </c:cat>
          <c:val>
            <c:numRef>
              <c:f>Dashboard!$F$38:$F$41</c:f>
              <c:numCache>
                <c:formatCode>General</c:formatCode>
                <c:ptCount val="4"/>
                <c:pt idx="0">
                  <c:v>1</c:v>
                </c:pt>
                <c:pt idx="1">
                  <c:v>2</c:v>
                </c:pt>
                <c:pt idx="2">
                  <c:v>1</c:v>
                </c:pt>
                <c:pt idx="3">
                  <c:v>0</c:v>
                </c:pt>
              </c:numCache>
            </c:numRef>
          </c:val>
        </c:ser>
        <c:ser>
          <c:idx val="1"/>
          <c:order val="1"/>
          <c:tx>
            <c:v>Missed checks</c:v>
          </c:tx>
          <c:spPr>
            <a:solidFill>
              <a:srgbClr val="E0A100"/>
            </a:solidFill>
            <a:ln w="9525">
              <a:solidFill>
                <a:srgbClr val="FFFFFF"/>
              </a:solidFill>
            </a:ln>
          </c:spPr>
          <c:cat>
            <c:strRef>
              <c:f>Dashboard!$B$38:$B$41</c:f>
              <c:strCache>
                <c:ptCount val="4"/>
                <c:pt idx="0">
                  <c:v>CCP1 Cooking</c:v>
                </c:pt>
                <c:pt idx="1">
                  <c:v>CCP2 Chilling</c:v>
                </c:pt>
                <c:pt idx="2">
                  <c:v>CCP3 Metal detection</c:v>
                </c:pt>
                <c:pt idx="3">
                  <c:v>CCP4 Cold store</c:v>
                </c:pt>
              </c:strCache>
            </c:strRef>
          </c:cat>
          <c:val>
            <c:numRef>
              <c:f>Dashboard!$G$38:$G$41</c:f>
              <c:numCache>
                <c:formatCode>General</c:formatCode>
                <c:ptCount val="4"/>
                <c:pt idx="0">
                  <c:v>0</c:v>
                </c:pt>
                <c:pt idx="1">
                  <c:v>0</c:v>
                </c:pt>
                <c:pt idx="2">
                  <c:v>0</c:v>
                </c:pt>
                <c:pt idx="3">
                  <c:v>1</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majorUnit val="1"/>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Line chart of the last 20 readings of the CCP chosen at the top of the Dashboard, with its critical limit as a dashed red line and its operating limit as a dashed grey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lustered column chart of the number of out-of-limit readings and missed checks for each CCP in the dates show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CPs" displayName="tblCCPs" ref="B19:J23" totalsRowShown="0">
  <autoFilter ref="B19:J23"/>
  <tableColumns count="9">
    <tableColumn id="1" name="CCP"/>
    <tableColumn id="2" name="Step"/>
    <tableColumn id="3" name="Hazard"/>
    <tableColumn id="4" name="Parameter"/>
    <tableColumn id="5" name="Unit"/>
    <tableColumn id="6" name="Limit type"/>
    <tableColumn id="7" name="Critical limit"/>
    <tableColumn id="8" name="Operating limit"/>
    <tableColumn id="9" name="Checks per day"/>
  </tableColumns>
  <tableStyleInfo name="TableStyleLight1" showFirstColumn="0" showLastColumn="0" showRowStripes="0" showColumnStripes="0"/>
</table>
</file>

<file path=xl/tables/table2.xml><?xml version="1.0" encoding="utf-8"?>
<table xmlns="http://schemas.openxmlformats.org/spreadsheetml/2006/main" id="2" name="tblLog" displayName="tblLog" ref="B6:T185" totalsRowShown="0">
  <autoFilter ref="B6:T185"/>
  <tableColumns count="19">
    <tableColumn id="1" name="Date"/>
    <tableColumn id="2" name="Time"/>
    <tableColumn id="3" name="CCP"/>
    <tableColumn id="4" name="Batch or lot"/>
    <tableColumn id="5" name="Reading"/>
    <tableColumn id="6" name="Unit">
      <calculatedColumnFormula>IF(tblLog[[#This Row],[Date]]="","",IFERROR(IF(INDEX(tblCCPs[Unit],MATCH(tblLog[[#This Row],[CCP]],tblCCPs[CCP],0))="","",INDEX(tblCCPs[Unit],MATCH(tblLog[[#This Row],[CCP]],tblCCPs[CCP],0))),""))</calculatedColumnFormula>
    </tableColumn>
    <tableColumn id="7" name="Limit type">
      <calculatedColumnFormula>IF(tblLog[[#This Row],[Date]]="","",IFERROR(IF(INDEX(tblCCPs[Limit type],MATCH(tblLog[[#This Row],[CCP]],tblCCPs[CCP],0))="","",INDEX(tblCCPs[Limit type],MATCH(tblLog[[#This Row],[CCP]],tblCCPs[CCP],0))),""))</calculatedColumnFormula>
    </tableColumn>
    <tableColumn id="8" name="Critical limit">
      <calculatedColumnFormula>IF(tblLog[[#This Row],[Date]]="","",IFERROR(IF(INDEX(tblCCPs[Critical limit],MATCH(tblLog[[#This Row],[CCP]],tblCCPs[CCP],0))="","",INDEX(tblCCPs[Critical limit],MATCH(tblLog[[#This Row],[CCP]],tblCCPs[CCP],0))),""))</calculatedColumnFormula>
    </tableColumn>
    <tableColumn id="9" name="Operating limit">
      <calculatedColumnFormula>IF(tblLog[[#This Row],[Date]]="","",IFERROR(IF(INDEX(tblCCPs[Operating limit],MATCH(tblLog[[#This Row],[CCP]],tblCCPs[CCP],0))="","",INDEX(tblCCPs[Operating limit],MATCH(tblLog[[#This Row],[CCP]],tblCCPs[CCP],0))),""))</calculatedColumnFormula>
    </tableColumn>
    <tableColumn id="10" name="Result">
      <calculatedColumnFormula>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calculatedColumnFormula>
    </tableColumn>
    <tableColumn id="11" name="Monitored by"/>
    <tableColumn id="12" name="Corrective action"/>
    <tableColumn id="13" name="Product held"/>
    <tableColumn id="14" name="Verified by"/>
    <tableColumn id="15" name="Hold cost (est.)">
      <calculatedColumnFormula>IF(tblLog[[#This Row],[Date]]="","",IF(N(tblLog[[#This Row],[Product held]])&gt;0,tblLog[[#This Row],[Product held]]*HoldValue+QACost,0))</calculatedColumnFormula>
    </tableColumn>
    <tableColumn id="16" name="Reading no.">
      <calculatedColumnFormula>IF(tblLog[[#This Row],[Date]]="","",IF(tblLog[[#This Row],[CCP]]="","",COUNTIFS(tblLog[CCP],tblLog[[#This Row],[CCP]],tblLog[Date],"&lt;"&amp;tblLog[[#This Row],[Date]])+COUNTIFS(tblLog[CCP],tblLog[[#This Row],[CCP]],tblLog[Date],tblLog[[#This Row],[Date]],tblLog[Time],"&lt;="&amp;tblLog[[#This Row],[Time]])))</calculatedColumnFormula>
    </tableColumn>
    <tableColumn id="17" name="View date">
      <calculatedColumnFormula>IF(tblLog[[#This Row],[Date]]="","",IF(AND(tblLog[[#This Row],[Date]]&gt;=FFrom,tblLog[[#This Row],[Date]]&lt;=FTo),tblLog[[#This Row],[Date]],""))</calculatedColumnFormula>
    </tableColumn>
    <tableColumn id="18" name="Check">
      <calculatedColumnFormula>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calculatedColumnFormula>
    </tableColumn>
    <tableColumn id="19" name="Notes"/>
  </tableColumns>
  <tableStyleInfo name="TableStyleLight1" showFirstColumn="0" showLastColumn="0" showRowStripes="0" showColumnStripes="0"/>
</table>
</file>

<file path=xl/tables/table3.xml><?xml version="1.0" encoding="utf-8"?>
<table xmlns="http://schemas.openxmlformats.org/spreadsheetml/2006/main" id="3" name="tblVerifyCCPs" displayName="tblVerifyCCPs" ref="B35:J37" totalsRowShown="0">
  <tableColumns count="9">
    <tableColumn id="1" name="CCP"/>
    <tableColumn id="2" name="Step"/>
    <tableColumn id="3" name="Hazard"/>
    <tableColumn id="4" name="Parameter"/>
    <tableColumn id="5" name="Unit"/>
    <tableColumn id="6" name="Limit type"/>
    <tableColumn id="7" name="Critical limit"/>
    <tableColumn id="8" name="Operating limit"/>
    <tableColumn id="9" name="Checks per day"/>
  </tableColumns>
  <tableStyleInfo name="TableStyleLight1" showFirstColumn="0" showLastColumn="0" showRowStripes="0" showColumnStripes="0"/>
</table>
</file>

<file path=xl/tables/table4.xml><?xml version="1.0" encoding="utf-8"?>
<table xmlns="http://schemas.openxmlformats.org/spreadsheetml/2006/main" id="4" name="tblVerifyLog" displayName="tblVerifyLog" ref="B41:T46" totalsRowShown="0">
  <tableColumns count="19">
    <tableColumn id="1" name="Date"/>
    <tableColumn id="2" name="Time"/>
    <tableColumn id="3" name="CCP"/>
    <tableColumn id="4" name="Batch or lot"/>
    <tableColumn id="5" name="Reading"/>
    <tableColumn id="6" name="Unit">
      <calculatedColumnFormula>IF(tblVerifyLog[[#This Row],[Date]]="","",IFERROR(IF(INDEX(tblVerifyCCPs[Unit],MATCH(tblVerifyLog[[#This Row],[CCP]],tblVerifyCCPs[CCP],0))="","",INDEX(tblVerifyCCPs[Unit],MATCH(tblVerifyLog[[#This Row],[CCP]],tblVerifyCCPs[CCP],0))),""))</calculatedColumnFormula>
    </tableColumn>
    <tableColumn id="7" name="Limit type">
      <calculatedColumnFormula>IF(tblVerifyLog[[#This Row],[Date]]="","",IFERROR(IF(INDEX(tblVerifyCCPs[Limit type],MATCH(tblVerifyLog[[#This Row],[CCP]],tblVerifyCCPs[CCP],0))="","",INDEX(tblVerifyCCPs[Limit type],MATCH(tblVerifyLog[[#This Row],[CCP]],tblVerifyCCPs[CCP],0))),""))</calculatedColumnFormula>
    </tableColumn>
    <tableColumn id="8" name="Critical limit">
      <calculatedColumnFormula>IF(tblVerifyLog[[#This Row],[Date]]="","",IFERROR(IF(INDEX(tblVerifyCCPs[Critical limit],MATCH(tblVerifyLog[[#This Row],[CCP]],tblVerifyCCPs[CCP],0))="","",INDEX(tblVerifyCCPs[Critical limit],MATCH(tblVerifyLog[[#This Row],[CCP]],tblVerifyCCPs[CCP],0))),""))</calculatedColumnFormula>
    </tableColumn>
    <tableColumn id="9" name="Operating limit">
      <calculatedColumnFormula>IF(tblVerifyLog[[#This Row],[Date]]="","",IFERROR(IF(INDEX(tblVerifyCCPs[Operating limit],MATCH(tblVerifyLog[[#This Row],[CCP]],tblVerifyCCPs[CCP],0))="","",INDEX(tblVerifyCCPs[Operating limit],MATCH(tblVerifyLog[[#This Row],[CCP]],tblVerifyCCPs[CCP],0))),""))</calculatedColumnFormula>
    </tableColumn>
    <tableColumn id="10" name="Result">
      <calculatedColumnFormula>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calculatedColumnFormula>
    </tableColumn>
    <tableColumn id="11" name="Monitored by"/>
    <tableColumn id="12" name="Corrective action"/>
    <tableColumn id="13" name="Product held"/>
    <tableColumn id="14" name="Verified by"/>
    <tableColumn id="15" name="Hold cost (est.)">
      <calculatedColumnFormula>IF(tblVerifyLog[[#This Row],[Date]]="","",IF(N(tblVerifyLog[[#This Row],[Product held]])&gt;0,tblVerifyLog[[#This Row],[Product held]]*$E$31+$E$32,0))</calculatedColumnFormula>
    </tableColumn>
    <tableColumn id="16" name="Reading no.">
      <calculatedColumnFormula>IF(tblVerifyLog[[#This Row],[Date]]="","",IF(tblVerifyLog[[#This Row],[CCP]]="","",COUNTIFS(tblVerifyLog[CCP],tblVerifyLog[[#This Row],[CCP]],tblVerifyLog[Date],"&lt;"&amp;tblVerifyLog[[#This Row],[Date]])+COUNTIFS(tblVerifyLog[CCP],tblVerifyLog[[#This Row],[CCP]],tblVerifyLog[Date],tblVerifyLog[[#This Row],[Date]],tblVerifyLog[Time],"&lt;="&amp;tblVerifyLog[[#This Row],[Time]])))</calculatedColumnFormula>
    </tableColumn>
    <tableColumn id="17" name="View date">
      <calculatedColumnFormula>IF(tblVerifyLog[[#This Row],[Date]]="","",IF(AND(tblVerifyLog[[#This Row],[Date]]&gt;=$E$29,tblVerifyLog[[#This Row],[Date]]&lt;=$E$30),tblVerifyLog[[#This Row],[Date]],""))</calculatedColumnFormula>
    </tableColumn>
    <tableColumn id="18" name="Check">
      <calculatedColumnFormula>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calculatedColumnFormula>
    </tableColumn>
    <tableColumn id="1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hyperlink" Target="https://www.mfgcalcs.com/calculators/food-beverage-cpg-manufacturing/food-safety-hold-cost?utm_source=mfgcalcs-template&amp;utm_medium=xlsx&amp;utm_campaign=haccp-monitoring-log" TargetMode="External"/><Relationship Id="rId3" Type="http://schemas.openxmlformats.org/officeDocument/2006/relationships/hyperlink" Target="https://www.mfgcalcs.com/templates/haccp-monitoring-log?utm_source=mfgcalcs-template&amp;utm_medium=xlsx&amp;utm_campaign=haccp-monitoring-log" TargetMode="External"/><Relationship Id="rId4" Type="http://schemas.openxmlformats.org/officeDocument/2006/relationships/hyperlink" Target="https://www.mfgcalcs.com/templates?utm_source=mfgcalcs-template&amp;utm_medium=xlsx&amp;utm_campaign=haccp-monitoring-log"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hyperlink" Target="https://www.mfgcalcs.com/calculators/food-beverage-cpg-manufacturing/food-safety-hold-cost?utm_source=mfgcalcs-template&amp;utm_medium=xlsx&amp;utm_campaign=haccp-monitoring-lo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accp-monitoring-log"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13 of 13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CP Log'!A1" tooltip="Go to CCP Log" display="CCP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HACCP CCP Monitoring Log&amp;R&amp;8&amp;A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J23"/>
  <sheetViews>
    <sheetView showGridLines="0" workbookViewId="0"/>
  </sheetViews>
  <sheetFormatPr defaultRowHeight="15"/>
  <cols>
    <col min="1" max="1" width="2.7109375" customWidth="1"/>
    <col min="2" max="2" width="22.7109375" customWidth="1"/>
    <col min="3" max="3" width="16.7109375" customWidth="1"/>
    <col min="4" max="5" width="26.7109375" customWidth="1"/>
    <col min="6" max="6" width="8.7109375" customWidth="1"/>
    <col min="7" max="9" width="10.7109375" customWidth="1"/>
    <col min="10" max="10" width="9.7109375" customWidth="1"/>
  </cols>
  <sheetData>
    <row r="1" spans="1:10" ht="30" customHeight="1">
      <c r="A1" s="1" t="s">
        <v>0</v>
      </c>
      <c r="B1" s="1"/>
      <c r="C1" s="1"/>
      <c r="D1" s="1"/>
      <c r="E1" s="1"/>
      <c r="F1" s="1"/>
      <c r="G1" s="1"/>
      <c r="H1" s="1"/>
      <c r="I1" s="1"/>
      <c r="J1" s="1"/>
    </row>
    <row r="2" spans="1:10" ht="21" customHeight="1">
      <c r="B2" s="2" t="s">
        <v>20</v>
      </c>
      <c r="C2" s="2"/>
      <c r="D2" s="2"/>
      <c r="E2" s="2"/>
      <c r="F2" s="2"/>
      <c r="G2" s="2"/>
      <c r="H2" s="2"/>
      <c r="I2" s="3" t="s">
        <v>2</v>
      </c>
      <c r="J2" s="3"/>
    </row>
    <row r="3" spans="1:10" ht="6" customHeight="1"/>
    <row r="4" spans="1:10" ht="21" customHeight="1">
      <c r="B4" s="8" t="s">
        <v>71</v>
      </c>
      <c r="C4" s="8"/>
      <c r="D4" s="8"/>
      <c r="E4" s="8"/>
      <c r="F4" s="8"/>
      <c r="G4" s="8"/>
      <c r="H4" s="8"/>
      <c r="I4" s="8"/>
      <c r="J4" s="8"/>
    </row>
    <row r="5" spans="1:10" ht="5" customHeight="1"/>
    <row r="6" spans="1:10">
      <c r="B6" s="27" t="s">
        <v>72</v>
      </c>
      <c r="C6" s="27"/>
      <c r="D6" s="28" t="s">
        <v>73</v>
      </c>
      <c r="E6" s="28"/>
    </row>
    <row r="7" spans="1:10">
      <c r="B7" s="27" t="s">
        <v>74</v>
      </c>
      <c r="C7" s="27"/>
      <c r="D7" s="28" t="s">
        <v>75</v>
      </c>
      <c r="E7" s="28"/>
    </row>
    <row r="8" spans="1:10">
      <c r="B8" s="27" t="s">
        <v>76</v>
      </c>
      <c r="C8" s="27"/>
      <c r="D8" s="28" t="s">
        <v>77</v>
      </c>
      <c r="E8" s="28"/>
    </row>
    <row r="9" spans="1:10">
      <c r="B9" s="27" t="s">
        <v>78</v>
      </c>
      <c r="C9" s="27"/>
      <c r="D9" s="29">
        <v>28</v>
      </c>
      <c r="E9" s="7" t="str">
        <f>Currency&amp;"/"&amp;HeldUnit</f>
        <v>AUD/cases</v>
      </c>
    </row>
    <row r="10" spans="1:10">
      <c r="B10" s="27" t="s">
        <v>79</v>
      </c>
      <c r="C10" s="27"/>
      <c r="D10" s="29">
        <v>650</v>
      </c>
      <c r="E10" s="7" t="str">
        <f>Currency</f>
        <v>AUD</v>
      </c>
    </row>
    <row r="11" spans="1:10">
      <c r="B11" s="27" t="s">
        <v>80</v>
      </c>
      <c r="C11" s="27"/>
      <c r="D11" s="30">
        <v>1</v>
      </c>
      <c r="E11" s="7"/>
    </row>
    <row r="13" spans="1:10" ht="22.2" customHeight="1">
      <c r="B13" s="25" t="s">
        <v>81</v>
      </c>
      <c r="C13" s="25"/>
      <c r="D13" s="25"/>
      <c r="E13" s="25"/>
      <c r="F13" s="25"/>
      <c r="G13" s="25"/>
      <c r="H13" s="25"/>
      <c r="I13" s="25"/>
      <c r="J13" s="25"/>
    </row>
    <row r="15" spans="1:10" ht="21" customHeight="1">
      <c r="B15" s="8" t="s">
        <v>82</v>
      </c>
      <c r="C15" s="8"/>
      <c r="D15" s="8"/>
      <c r="E15" s="8"/>
      <c r="F15" s="8"/>
      <c r="G15" s="8"/>
      <c r="H15" s="8"/>
      <c r="I15" s="8"/>
      <c r="J15" s="8"/>
    </row>
    <row r="16" spans="1:10" ht="5" customHeight="1"/>
    <row r="17" spans="2:10">
      <c r="B17" s="31" t="s">
        <v>83</v>
      </c>
      <c r="C17" s="31"/>
      <c r="D17" s="31"/>
      <c r="E17" s="31"/>
      <c r="F17" s="31"/>
      <c r="G17" s="31"/>
      <c r="H17" s="31"/>
      <c r="I17" s="31"/>
      <c r="J17" s="31"/>
    </row>
    <row r="18" spans="2:10" ht="41.64" customHeight="1">
      <c r="B18" s="32" t="s">
        <v>84</v>
      </c>
      <c r="C18" s="32"/>
      <c r="D18" s="32"/>
      <c r="E18" s="32"/>
      <c r="F18" s="32"/>
      <c r="G18" s="32"/>
      <c r="H18" s="32"/>
      <c r="I18" s="32"/>
      <c r="J18" s="32"/>
    </row>
    <row r="19" spans="2:10" ht="32" customHeight="1">
      <c r="B19" s="33" t="s">
        <v>62</v>
      </c>
      <c r="C19" s="33" t="s">
        <v>63</v>
      </c>
      <c r="D19" s="33" t="s">
        <v>64</v>
      </c>
      <c r="E19" s="33" t="s">
        <v>65</v>
      </c>
      <c r="F19" s="33" t="s">
        <v>66</v>
      </c>
      <c r="G19" s="33" t="s">
        <v>67</v>
      </c>
      <c r="H19" s="33" t="s">
        <v>68</v>
      </c>
      <c r="I19" s="33" t="s">
        <v>69</v>
      </c>
      <c r="J19" s="33" t="s">
        <v>70</v>
      </c>
    </row>
    <row r="20" spans="2:10">
      <c r="B20" s="28" t="s">
        <v>85</v>
      </c>
      <c r="C20" s="28" t="s">
        <v>86</v>
      </c>
      <c r="D20" s="28" t="s">
        <v>87</v>
      </c>
      <c r="E20" s="28" t="s">
        <v>88</v>
      </c>
      <c r="F20" s="28" t="s">
        <v>89</v>
      </c>
      <c r="G20" s="28" t="s">
        <v>90</v>
      </c>
      <c r="H20" s="34">
        <v>75</v>
      </c>
      <c r="I20" s="34">
        <v>78</v>
      </c>
      <c r="J20" s="35">
        <v>6</v>
      </c>
    </row>
    <row r="21" spans="2:10">
      <c r="B21" s="28" t="s">
        <v>91</v>
      </c>
      <c r="C21" s="28" t="s">
        <v>92</v>
      </c>
      <c r="D21" s="28" t="s">
        <v>93</v>
      </c>
      <c r="E21" s="28" t="s">
        <v>94</v>
      </c>
      <c r="F21" s="28" t="s">
        <v>89</v>
      </c>
      <c r="G21" s="28" t="s">
        <v>95</v>
      </c>
      <c r="H21" s="34">
        <v>5</v>
      </c>
      <c r="I21" s="34">
        <v>4</v>
      </c>
      <c r="J21" s="35">
        <v>6</v>
      </c>
    </row>
    <row r="22" spans="2:10">
      <c r="B22" s="28" t="s">
        <v>96</v>
      </c>
      <c r="C22" s="28" t="s">
        <v>97</v>
      </c>
      <c r="D22" s="28" t="s">
        <v>98</v>
      </c>
      <c r="E22" s="28" t="s">
        <v>99</v>
      </c>
      <c r="F22" s="28" t="s">
        <v>100</v>
      </c>
      <c r="G22" s="28" t="s">
        <v>90</v>
      </c>
      <c r="H22" s="34">
        <v>3</v>
      </c>
      <c r="I22" s="34"/>
      <c r="J22" s="35">
        <v>4</v>
      </c>
    </row>
    <row r="23" spans="2:10">
      <c r="B23" s="28" t="s">
        <v>101</v>
      </c>
      <c r="C23" s="28" t="s">
        <v>102</v>
      </c>
      <c r="D23" s="28" t="s">
        <v>103</v>
      </c>
      <c r="E23" s="28" t="s">
        <v>104</v>
      </c>
      <c r="F23" s="28" t="s">
        <v>89</v>
      </c>
      <c r="G23" s="28" t="s">
        <v>95</v>
      </c>
      <c r="H23" s="34">
        <v>5</v>
      </c>
      <c r="I23" s="34">
        <v>4</v>
      </c>
      <c r="J23" s="35">
        <v>2</v>
      </c>
    </row>
  </sheetData>
  <mergeCells count="17">
    <mergeCell ref="A1:J1"/>
    <mergeCell ref="B2:H2"/>
    <mergeCell ref="I2:J2"/>
    <mergeCell ref="B4:J4"/>
    <mergeCell ref="B6:C6"/>
    <mergeCell ref="D6:E6"/>
    <mergeCell ref="B7:C7"/>
    <mergeCell ref="D7:E7"/>
    <mergeCell ref="B8:C8"/>
    <mergeCell ref="D8:E8"/>
    <mergeCell ref="B9:C9"/>
    <mergeCell ref="B10:C10"/>
    <mergeCell ref="B11:C11"/>
    <mergeCell ref="B13:J13"/>
    <mergeCell ref="B15:J15"/>
    <mergeCell ref="B17:J17"/>
    <mergeCell ref="B18:J18"/>
  </mergeCells>
  <dataValidations count="15">
    <dataValidation type="textLength" allowBlank="1" showInputMessage="1" showErrorMessage="1" errorTitle="Check this entry" error="Text up to 80 characters." promptTitle="Site name" prompt="Text up to 80 characters." sqref="D6">
      <formula1>0</formula1>
      <formula2>80</formula2>
    </dataValidation>
    <dataValidation type="textLength" allowBlank="1" showInputMessage="1" showErrorMessage="1" errorTitle="Check this entry" error="Text up to 12 characters." promptTitle="Currency label" prompt="Text shown with every money value, e.g. USD, INR, GBP, EUR, AUD. No exchange rate is applied. Text up to 12 characters." sqref="D7">
      <formula1>0</formula1>
      <formula2>12</formula2>
    </dataValidation>
    <dataValidation type="textLength" allowBlank="1" showInputMessage="1" showErrorMessage="1" errorTitle="Check this entry" error="Text up to 20 characters." promptTitle="Unit of product held" prompt="What Product held counts: cases, trays, kg, units. Text up to 20 characters." sqref="D8">
      <formula1>0</formula1>
      <formula2>20</formula2>
    </dataValidation>
    <dataValidation type="decimal" allowBlank="1" showInputMessage="1" showErrorMessage="1" errorTitle="Check this entry" error="Enter a number from 0 to 1,000,000." promptTitle="Value per held unit" prompt="Cost or value at risk per held unit (product cost, or cost plus carrying). Example value. Enter a number from 0 to 1,000,000." sqref="D9">
      <formula1>0</formula1>
      <formula2>1000000.0</formula2>
    </dataValidation>
    <dataValidation type="decimal" allowBlank="1" showInputMessage="1" showErrorMessage="1" errorTitle="Check this entry" error="Enter a number from 0 to 10,000,000." promptTitle="QA investigation per hold" prompt="Fixed cost of investigating and releasing one hold: lab tests, QA time, paperwork. Example value. Enter a number from 0 to 10,000,000." sqref="D10">
      <formula1>0</formula1>
      <formula2>10000000.0</formula2>
    </dataValidation>
    <dataValidation type="decimal" allowBlank="1" showInputMessage="1" showErrorMessage="1" errorTitle="Check this entry" error="Enter a percentage from 0% to 100% (type 85% or 0.85)." promptTitle="Records verified target" prompt="Share of monitoring records signed off by a verifier. Your own target; most plans require every record reviewed. Enter a percentage from 0% to 100% (type 85% or 0.85)." sqref="D11">
      <formula1>0</formula1>
      <formula2>1</formula2>
    </dataValidation>
    <dataValidation type="textLength" allowBlank="1" showInputMessage="1" showErrorMessage="1" errorTitle="Check this entry" error="Text up to 30 characters." promptTitle="CCP" prompt="Text up to 30 characters." sqref="B20:B123">
      <formula1>0</formula1>
      <formula2>30</formula2>
    </dataValidation>
    <dataValidation type="textLength" allowBlank="1" showInputMessage="1" showErrorMessage="1" errorTitle="Check this entry" error="Text up to 40 characters." promptTitle="Step" prompt="Text up to 40 characters." sqref="C20:C123">
      <formula1>0</formula1>
      <formula2>40</formula2>
    </dataValidation>
    <dataValidation type="textLength" allowBlank="1" showInputMessage="1" showErrorMessage="1" errorTitle="Check this entry" error="Text up to 80 characters." promptTitle="Hazard" prompt="Text up to 80 characters." sqref="D20:D123">
      <formula1>0</formula1>
      <formula2>80</formula2>
    </dataValidation>
    <dataValidation type="textLength" allowBlank="1" showInputMessage="1" showErrorMessage="1" errorTitle="Check this entry" error="Text up to 80 characters." promptTitle="Parameter" prompt="Text up to 80 characters." sqref="E20:E123">
      <formula1>0</formula1>
      <formula2>80</formula2>
    </dataValidation>
    <dataValidation type="textLength" allowBlank="1" showInputMessage="1" showErrorMessage="1" errorTitle="Check this entry" error="Text up to 12 characters." promptTitle="Unit" prompt="°C, °F, pH, min, of 3... Text up to 12 characters." sqref="F20:F123">
      <formula1>0</formula1>
      <formula2>12</formula2>
    </dataValidation>
    <dataValidation type="list" allowBlank="1" showInputMessage="1" showErrorMessage="1" errorTitle="Check this entry" error="Pick one of: Minimum, Maximum." promptTitle="Limit type" prompt="Minimum or Maximum. Pick one of: Minimum, Maximum." sqref="G20:G123">
      <formula1>"Minimum,Maximum"</formula1>
    </dataValidation>
    <dataValidation type="decimal" allowBlank="1" showInputMessage="1" showErrorMessage="1" errorTitle="Check this entry" error="Enter a number from -1,000 to 100,000." promptTitle="Critical limit" prompt="From your validated HACCP plan. Enter a number from -1,000 to 100,000." sqref="H20:H123">
      <formula1>-1000</formula1>
      <formula2>100000</formula2>
    </dataValidation>
    <dataValidation type="decimal" allowBlank="1" showInputMessage="1" showErrorMessage="1" errorTitle="Check this entry" error="Enter a number from -1,000 to 100,000." promptTitle="Operating limit" prompt="Optional tighter limit that triggers a check before a deviation. Leave blank if none. Enter a number from -1,000 to 100,000." sqref="I20:I123">
      <formula1>-1000</formula1>
      <formula2>100000</formula2>
    </dataValidation>
    <dataValidation type="whole" allowBlank="1" showInputMessage="1" showErrorMessage="1" errorTitle="Check this entry" error="Enter a whole number from 0 to 1,000." promptTitle="Checks per day" prompt="Monitoring frequency required by the plan, per production day. Enter a whole number from 0 to 1,000." sqref="J20:J123">
      <formula1>0</formula1>
      <formula2>1000</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HACCP CCP Monitoring Log&amp;R&amp;8&amp;A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T185"/>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3" width="7.28515625" customWidth="1"/>
    <col min="4" max="4" width="19.7109375" customWidth="1"/>
    <col min="5" max="5" width="12.7109375" customWidth="1"/>
    <col min="6" max="6" width="8.7109375" customWidth="1"/>
    <col min="7" max="7" width="6.28515625" customWidth="1"/>
    <col min="8" max="8" width="9.7109375" customWidth="1"/>
    <col min="9" max="9" width="8.28515625" customWidth="1"/>
    <col min="10" max="10" width="9.28515625" customWidth="1"/>
    <col min="11" max="11" width="12.7109375" customWidth="1"/>
    <col min="12" max="12" width="9.28515625" customWidth="1"/>
    <col min="13" max="13" width="34.7109375" customWidth="1"/>
    <col min="14" max="15" width="8.7109375" customWidth="1"/>
    <col min="16" max="16" width="9.7109375" customWidth="1"/>
    <col min="17" max="17" width="8.7109375" customWidth="1"/>
    <col min="18" max="18" width="12.28515625" customWidth="1"/>
    <col min="19" max="19" width="24.7109375" customWidth="1"/>
    <col min="20" max="20" width="26.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22</v>
      </c>
      <c r="C2" s="2"/>
      <c r="D2" s="2"/>
      <c r="E2" s="2"/>
      <c r="F2" s="2"/>
      <c r="G2" s="2"/>
      <c r="H2" s="2"/>
      <c r="I2" s="2"/>
      <c r="J2" s="2"/>
      <c r="K2" s="2"/>
      <c r="L2" s="2"/>
      <c r="M2" s="2"/>
      <c r="N2" s="2"/>
      <c r="O2" s="2"/>
      <c r="P2" s="2"/>
      <c r="Q2" s="2"/>
      <c r="R2" s="2"/>
      <c r="S2" s="2"/>
      <c r="T2" s="3" t="s">
        <v>2</v>
      </c>
    </row>
    <row r="3" spans="1:20" ht="6" customHeight="1"/>
    <row r="4" spans="1:20" ht="18" customHeight="1">
      <c r="B4" s="32" t="s">
        <v>119</v>
      </c>
      <c r="C4" s="32"/>
      <c r="D4" s="32"/>
      <c r="E4" s="32"/>
      <c r="F4" s="32"/>
      <c r="G4" s="32"/>
      <c r="H4" s="32"/>
      <c r="I4" s="32"/>
      <c r="J4" s="32"/>
      <c r="K4" s="32"/>
      <c r="L4" s="32"/>
      <c r="M4" s="32"/>
      <c r="N4" s="32"/>
      <c r="O4" s="32"/>
      <c r="P4" s="32"/>
      <c r="Q4" s="32"/>
      <c r="R4" s="32"/>
      <c r="S4" s="32"/>
      <c r="T4" s="32"/>
    </row>
    <row r="5" spans="1:20" ht="14" customHeight="1">
      <c r="B5" s="36"/>
      <c r="C5" s="36"/>
      <c r="D5" s="36"/>
      <c r="E5" s="36"/>
      <c r="F5" s="36"/>
      <c r="G5" s="36"/>
      <c r="H5" s="36"/>
      <c r="I5" s="36"/>
      <c r="J5" s="36"/>
      <c r="K5" s="36"/>
      <c r="L5" s="36"/>
      <c r="M5" s="36"/>
      <c r="N5" s="36" t="str">
        <f>HeldUnit</f>
        <v>cases</v>
      </c>
      <c r="O5" s="36"/>
      <c r="P5" s="36" t="str">
        <f>Currency</f>
        <v>AUD</v>
      </c>
      <c r="Q5" s="36"/>
      <c r="R5" s="36"/>
      <c r="S5" s="36"/>
      <c r="T5" s="36"/>
    </row>
    <row r="6" spans="1:20" ht="32" customHeight="1">
      <c r="B6" s="33" t="s">
        <v>105</v>
      </c>
      <c r="C6" s="33" t="s">
        <v>106</v>
      </c>
      <c r="D6" s="33" t="s">
        <v>62</v>
      </c>
      <c r="E6" s="33" t="s">
        <v>107</v>
      </c>
      <c r="F6" s="33" t="s">
        <v>108</v>
      </c>
      <c r="G6" s="33" t="s">
        <v>66</v>
      </c>
      <c r="H6" s="33" t="s">
        <v>67</v>
      </c>
      <c r="I6" s="33" t="s">
        <v>68</v>
      </c>
      <c r="J6" s="33" t="s">
        <v>69</v>
      </c>
      <c r="K6" s="33" t="s">
        <v>109</v>
      </c>
      <c r="L6" s="33" t="s">
        <v>110</v>
      </c>
      <c r="M6" s="33" t="s">
        <v>111</v>
      </c>
      <c r="N6" s="33" t="s">
        <v>112</v>
      </c>
      <c r="O6" s="33" t="s">
        <v>113</v>
      </c>
      <c r="P6" s="33" t="s">
        <v>114</v>
      </c>
      <c r="Q6" s="33" t="s">
        <v>115</v>
      </c>
      <c r="R6" s="33" t="s">
        <v>116</v>
      </c>
      <c r="S6" s="33" t="s">
        <v>117</v>
      </c>
      <c r="T6" s="33" t="s">
        <v>118</v>
      </c>
    </row>
    <row r="7" spans="1:20">
      <c r="B7" s="37">
        <v>46279</v>
      </c>
      <c r="C7" s="38">
        <v>0.2916666666666667</v>
      </c>
      <c r="D7" s="28" t="s">
        <v>96</v>
      </c>
      <c r="E7" s="28" t="s">
        <v>120</v>
      </c>
      <c r="F7" s="34">
        <v>3</v>
      </c>
      <c r="G7" s="39" t="str">
        <f>IF(tblLog[[#This Row],[Date]]="","",IFERROR(IF(INDEX(tblCCPs[Unit],MATCH(tblLog[[#This Row],[CCP]],tblCCPs[CCP],0))="","",INDEX(tblCCPs[Unit],MATCH(tblLog[[#This Row],[CCP]],tblCCPs[CCP],0))),""))</f>
        <v>of 3</v>
      </c>
      <c r="H7" s="39" t="str">
        <f>IF(tblLog[[#This Row],[Date]]="","",IFERROR(IF(INDEX(tblCCPs[Limit type],MATCH(tblLog[[#This Row],[CCP]],tblCCPs[CCP],0))="","",INDEX(tblCCPs[Limit type],MATCH(tblLog[[#This Row],[CCP]],tblCCPs[CCP],0))),""))</f>
        <v>Minimum</v>
      </c>
      <c r="I7" s="40">
        <f>IF(tblLog[[#This Row],[Date]]="","",IFERROR(IF(INDEX(tblCCPs[Critical limit],MATCH(tblLog[[#This Row],[CCP]],tblCCPs[CCP],0))="","",INDEX(tblCCPs[Critical limit],MATCH(tblLog[[#This Row],[CCP]],tblCCPs[CCP],0))),""))</f>
        <v>3</v>
      </c>
      <c r="J7" s="40">
        <f>IF(tblLog[[#This Row],[Date]]="","",IFERROR(IF(INDEX(tblCCPs[Operating limit],MATCH(tblLog[[#This Row],[CCP]],tblCCPs[CCP],0))="","",INDEX(tblCCPs[Operating limit],MATCH(tblLog[[#This Row],[CCP]],tblCCPs[CCP],0))),""))</f>
        <v/>
      </c>
      <c r="K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 s="28" t="s">
        <v>121</v>
      </c>
      <c r="M7" s="42" t="s">
        <v>122</v>
      </c>
      <c r="N7" s="35">
        <v>0</v>
      </c>
      <c r="O7" s="28" t="s">
        <v>123</v>
      </c>
      <c r="P7" s="43">
        <f>IF(tblLog[[#This Row],[Date]]="","",IF(N(tblLog[[#This Row],[Product held]])&gt;0,tblLog[[#This Row],[Product held]]*HoldValue+QACost,0))</f>
        <v>0</v>
      </c>
      <c r="Q7" s="43">
        <f>IF(tblLog[[#This Row],[Date]]="","",IF(tblLog[[#This Row],[CCP]]="","",COUNTIFS(tblLog[CCP],tblLog[[#This Row],[CCP]],tblLog[Date],"&lt;"&amp;tblLog[[#This Row],[Date]])+COUNTIFS(tblLog[CCP],tblLog[[#This Row],[CCP]],tblLog[Date],tblLog[[#This Row],[Date]],tblLog[Time],"&lt;="&amp;tblLog[[#This Row],[Time]])))</f>
        <v>1</v>
      </c>
      <c r="R7" s="44">
        <f>IF(tblLog[[#This Row],[Date]]="","",IF(AND(tblLog[[#This Row],[Date]]&gt;=FFrom,tblLog[[#This Row],[Date]]&lt;=FTo),tblLog[[#This Row],[Date]],""))</f>
        <v>46279</v>
      </c>
      <c r="S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 s="28" t="s">
        <v>122</v>
      </c>
    </row>
    <row r="8" spans="1:20">
      <c r="B8" s="37">
        <v>46279</v>
      </c>
      <c r="C8" s="38">
        <v>0.3125</v>
      </c>
      <c r="D8" s="28" t="s">
        <v>85</v>
      </c>
      <c r="E8" s="28" t="s">
        <v>124</v>
      </c>
      <c r="F8" s="34">
        <v>79.40000000000001</v>
      </c>
      <c r="G8" s="39" t="str">
        <f>IF(tblLog[[#This Row],[Date]]="","",IFERROR(IF(INDEX(tblCCPs[Unit],MATCH(tblLog[[#This Row],[CCP]],tblCCPs[CCP],0))="","",INDEX(tblCCPs[Unit],MATCH(tblLog[[#This Row],[CCP]],tblCCPs[CCP],0))),""))</f>
        <v>°C</v>
      </c>
      <c r="H8" s="39" t="str">
        <f>IF(tblLog[[#This Row],[Date]]="","",IFERROR(IF(INDEX(tblCCPs[Limit type],MATCH(tblLog[[#This Row],[CCP]],tblCCPs[CCP],0))="","",INDEX(tblCCPs[Limit type],MATCH(tblLog[[#This Row],[CCP]],tblCCPs[CCP],0))),""))</f>
        <v>Minimum</v>
      </c>
      <c r="I8" s="40">
        <f>IF(tblLog[[#This Row],[Date]]="","",IFERROR(IF(INDEX(tblCCPs[Critical limit],MATCH(tblLog[[#This Row],[CCP]],tblCCPs[CCP],0))="","",INDEX(tblCCPs[Critical limit],MATCH(tblLog[[#This Row],[CCP]],tblCCPs[CCP],0))),""))</f>
        <v>75</v>
      </c>
      <c r="J8" s="40">
        <f>IF(tblLog[[#This Row],[Date]]="","",IFERROR(IF(INDEX(tblCCPs[Operating limit],MATCH(tblLog[[#This Row],[CCP]],tblCCPs[CCP],0))="","",INDEX(tblCCPs[Operating limit],MATCH(tblLog[[#This Row],[CCP]],tblCCPs[CCP],0))),""))</f>
        <v>78</v>
      </c>
      <c r="K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 s="28" t="s">
        <v>121</v>
      </c>
      <c r="M8" s="42" t="s">
        <v>122</v>
      </c>
      <c r="N8" s="35">
        <v>0</v>
      </c>
      <c r="O8" s="28" t="s">
        <v>123</v>
      </c>
      <c r="P8" s="43">
        <f>IF(tblLog[[#This Row],[Date]]="","",IF(N(tblLog[[#This Row],[Product held]])&gt;0,tblLog[[#This Row],[Product held]]*HoldValue+QACost,0))</f>
        <v>0</v>
      </c>
      <c r="Q8" s="43">
        <f>IF(tblLog[[#This Row],[Date]]="","",IF(tblLog[[#This Row],[CCP]]="","",COUNTIFS(tblLog[CCP],tblLog[[#This Row],[CCP]],tblLog[Date],"&lt;"&amp;tblLog[[#This Row],[Date]])+COUNTIFS(tblLog[CCP],tblLog[[#This Row],[CCP]],tblLog[Date],tblLog[[#This Row],[Date]],tblLog[Time],"&lt;="&amp;tblLog[[#This Row],[Time]])))</f>
        <v>1</v>
      </c>
      <c r="R8" s="44">
        <f>IF(tblLog[[#This Row],[Date]]="","",IF(AND(tblLog[[#This Row],[Date]]&gt;=FFrom,tblLog[[#This Row],[Date]]&lt;=FTo),tblLog[[#This Row],[Date]],""))</f>
        <v>46279</v>
      </c>
      <c r="S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 s="28" t="s">
        <v>122</v>
      </c>
    </row>
    <row r="9" spans="1:20">
      <c r="B9" s="37">
        <v>46279</v>
      </c>
      <c r="C9" s="38">
        <v>0.3333333333333333</v>
      </c>
      <c r="D9" s="28" t="s">
        <v>101</v>
      </c>
      <c r="E9" s="28" t="s">
        <v>125</v>
      </c>
      <c r="F9" s="34">
        <v>3.6</v>
      </c>
      <c r="G9" s="39" t="str">
        <f>IF(tblLog[[#This Row],[Date]]="","",IFERROR(IF(INDEX(tblCCPs[Unit],MATCH(tblLog[[#This Row],[CCP]],tblCCPs[CCP],0))="","",INDEX(tblCCPs[Unit],MATCH(tblLog[[#This Row],[CCP]],tblCCPs[CCP],0))),""))</f>
        <v>°C</v>
      </c>
      <c r="H9" s="39" t="str">
        <f>IF(tblLog[[#This Row],[Date]]="","",IFERROR(IF(INDEX(tblCCPs[Limit type],MATCH(tblLog[[#This Row],[CCP]],tblCCPs[CCP],0))="","",INDEX(tblCCPs[Limit type],MATCH(tblLog[[#This Row],[CCP]],tblCCPs[CCP],0))),""))</f>
        <v>Maximum</v>
      </c>
      <c r="I9" s="40">
        <f>IF(tblLog[[#This Row],[Date]]="","",IFERROR(IF(INDEX(tblCCPs[Critical limit],MATCH(tblLog[[#This Row],[CCP]],tblCCPs[CCP],0))="","",INDEX(tblCCPs[Critical limit],MATCH(tblLog[[#This Row],[CCP]],tblCCPs[CCP],0))),""))</f>
        <v>5</v>
      </c>
      <c r="J9" s="40">
        <f>IF(tblLog[[#This Row],[Date]]="","",IFERROR(IF(INDEX(tblCCPs[Operating limit],MATCH(tblLog[[#This Row],[CCP]],tblCCPs[CCP],0))="","",INDEX(tblCCPs[Operating limit],MATCH(tblLog[[#This Row],[CCP]],tblCCPs[CCP],0))),""))</f>
        <v>4</v>
      </c>
      <c r="K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 s="28" t="s">
        <v>121</v>
      </c>
      <c r="M9" s="42" t="s">
        <v>122</v>
      </c>
      <c r="N9" s="35">
        <v>0</v>
      </c>
      <c r="O9" s="28" t="s">
        <v>123</v>
      </c>
      <c r="P9" s="43">
        <f>IF(tblLog[[#This Row],[Date]]="","",IF(N(tblLog[[#This Row],[Product held]])&gt;0,tblLog[[#This Row],[Product held]]*HoldValue+QACost,0))</f>
        <v>0</v>
      </c>
      <c r="Q9" s="43">
        <f>IF(tblLog[[#This Row],[Date]]="","",IF(tblLog[[#This Row],[CCP]]="","",COUNTIFS(tblLog[CCP],tblLog[[#This Row],[CCP]],tblLog[Date],"&lt;"&amp;tblLog[[#This Row],[Date]])+COUNTIFS(tblLog[CCP],tblLog[[#This Row],[CCP]],tblLog[Date],tblLog[[#This Row],[Date]],tblLog[Time],"&lt;="&amp;tblLog[[#This Row],[Time]])))</f>
        <v>1</v>
      </c>
      <c r="R9" s="44">
        <f>IF(tblLog[[#This Row],[Date]]="","",IF(AND(tblLog[[#This Row],[Date]]&gt;=FFrom,tblLog[[#This Row],[Date]]&lt;=FTo),tblLog[[#This Row],[Date]],""))</f>
        <v>46279</v>
      </c>
      <c r="S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 s="28" t="s">
        <v>122</v>
      </c>
    </row>
    <row r="10" spans="1:20">
      <c r="B10" s="37">
        <v>46279</v>
      </c>
      <c r="C10" s="38">
        <v>0.375</v>
      </c>
      <c r="D10" s="28" t="s">
        <v>85</v>
      </c>
      <c r="E10" s="28" t="s">
        <v>126</v>
      </c>
      <c r="F10" s="34">
        <v>84.40000000000001</v>
      </c>
      <c r="G10" s="39" t="str">
        <f>IF(tblLog[[#This Row],[Date]]="","",IFERROR(IF(INDEX(tblCCPs[Unit],MATCH(tblLog[[#This Row],[CCP]],tblCCPs[CCP],0))="","",INDEX(tblCCPs[Unit],MATCH(tblLog[[#This Row],[CCP]],tblCCPs[CCP],0))),""))</f>
        <v>°C</v>
      </c>
      <c r="H10" s="39" t="str">
        <f>IF(tblLog[[#This Row],[Date]]="","",IFERROR(IF(INDEX(tblCCPs[Limit type],MATCH(tblLog[[#This Row],[CCP]],tblCCPs[CCP],0))="","",INDEX(tblCCPs[Limit type],MATCH(tblLog[[#This Row],[CCP]],tblCCPs[CCP],0))),""))</f>
        <v>Minimum</v>
      </c>
      <c r="I10" s="40">
        <f>IF(tblLog[[#This Row],[Date]]="","",IFERROR(IF(INDEX(tblCCPs[Critical limit],MATCH(tblLog[[#This Row],[CCP]],tblCCPs[CCP],0))="","",INDEX(tblCCPs[Critical limit],MATCH(tblLog[[#This Row],[CCP]],tblCCPs[CCP],0))),""))</f>
        <v>75</v>
      </c>
      <c r="J10" s="40">
        <f>IF(tblLog[[#This Row],[Date]]="","",IFERROR(IF(INDEX(tblCCPs[Operating limit],MATCH(tblLog[[#This Row],[CCP]],tblCCPs[CCP],0))="","",INDEX(tblCCPs[Operating limit],MATCH(tblLog[[#This Row],[CCP]],tblCCPs[CCP],0))),""))</f>
        <v>78</v>
      </c>
      <c r="K1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 s="28" t="s">
        <v>127</v>
      </c>
      <c r="M10" s="42" t="s">
        <v>122</v>
      </c>
      <c r="N10" s="35">
        <v>0</v>
      </c>
      <c r="O10" s="28" t="s">
        <v>123</v>
      </c>
      <c r="P10" s="43">
        <f>IF(tblLog[[#This Row],[Date]]="","",IF(N(tblLog[[#This Row],[Product held]])&gt;0,tblLog[[#This Row],[Product held]]*HoldValue+QACost,0))</f>
        <v>0</v>
      </c>
      <c r="Q10" s="43">
        <f>IF(tblLog[[#This Row],[Date]]="","",IF(tblLog[[#This Row],[CCP]]="","",COUNTIFS(tblLog[CCP],tblLog[[#This Row],[CCP]],tblLog[Date],"&lt;"&amp;tblLog[[#This Row],[Date]])+COUNTIFS(tblLog[CCP],tblLog[[#This Row],[CCP]],tblLog[Date],tblLog[[#This Row],[Date]],tblLog[Time],"&lt;="&amp;tblLog[[#This Row],[Time]])))</f>
        <v>2</v>
      </c>
      <c r="R10" s="44">
        <f>IF(tblLog[[#This Row],[Date]]="","",IF(AND(tblLog[[#This Row],[Date]]&gt;=FFrom,tblLog[[#This Row],[Date]]&lt;=FTo),tblLog[[#This Row],[Date]],""))</f>
        <v>46279</v>
      </c>
      <c r="S1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 s="28" t="s">
        <v>122</v>
      </c>
    </row>
    <row r="11" spans="1:20">
      <c r="B11" s="37">
        <v>46279</v>
      </c>
      <c r="C11" s="38">
        <v>0.3854166666666667</v>
      </c>
      <c r="D11" s="28" t="s">
        <v>91</v>
      </c>
      <c r="E11" s="28" t="s">
        <v>124</v>
      </c>
      <c r="F11" s="34">
        <v>3.1</v>
      </c>
      <c r="G11" s="39" t="str">
        <f>IF(tblLog[[#This Row],[Date]]="","",IFERROR(IF(INDEX(tblCCPs[Unit],MATCH(tblLog[[#This Row],[CCP]],tblCCPs[CCP],0))="","",INDEX(tblCCPs[Unit],MATCH(tblLog[[#This Row],[CCP]],tblCCPs[CCP],0))),""))</f>
        <v>°C</v>
      </c>
      <c r="H11" s="39" t="str">
        <f>IF(tblLog[[#This Row],[Date]]="","",IFERROR(IF(INDEX(tblCCPs[Limit type],MATCH(tblLog[[#This Row],[CCP]],tblCCPs[CCP],0))="","",INDEX(tblCCPs[Limit type],MATCH(tblLog[[#This Row],[CCP]],tblCCPs[CCP],0))),""))</f>
        <v>Maximum</v>
      </c>
      <c r="I11" s="40">
        <f>IF(tblLog[[#This Row],[Date]]="","",IFERROR(IF(INDEX(tblCCPs[Critical limit],MATCH(tblLog[[#This Row],[CCP]],tblCCPs[CCP],0))="","",INDEX(tblCCPs[Critical limit],MATCH(tblLog[[#This Row],[CCP]],tblCCPs[CCP],0))),""))</f>
        <v>5</v>
      </c>
      <c r="J11" s="40">
        <f>IF(tblLog[[#This Row],[Date]]="","",IFERROR(IF(INDEX(tblCCPs[Operating limit],MATCH(tblLog[[#This Row],[CCP]],tblCCPs[CCP],0))="","",INDEX(tblCCPs[Operating limit],MATCH(tblLog[[#This Row],[CCP]],tblCCPs[CCP],0))),""))</f>
        <v>4</v>
      </c>
      <c r="K1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 s="28" t="s">
        <v>121</v>
      </c>
      <c r="M11" s="42" t="s">
        <v>122</v>
      </c>
      <c r="N11" s="35">
        <v>0</v>
      </c>
      <c r="O11" s="28" t="s">
        <v>123</v>
      </c>
      <c r="P11" s="43">
        <f>IF(tblLog[[#This Row],[Date]]="","",IF(N(tblLog[[#This Row],[Product held]])&gt;0,tblLog[[#This Row],[Product held]]*HoldValue+QACost,0))</f>
        <v>0</v>
      </c>
      <c r="Q11" s="43">
        <f>IF(tblLog[[#This Row],[Date]]="","",IF(tblLog[[#This Row],[CCP]]="","",COUNTIFS(tblLog[CCP],tblLog[[#This Row],[CCP]],tblLog[Date],"&lt;"&amp;tblLog[[#This Row],[Date]])+COUNTIFS(tblLog[CCP],tblLog[[#This Row],[CCP]],tblLog[Date],tblLog[[#This Row],[Date]],tblLog[Time],"&lt;="&amp;tblLog[[#This Row],[Time]])))</f>
        <v>1</v>
      </c>
      <c r="R11" s="44">
        <f>IF(tblLog[[#This Row],[Date]]="","",IF(AND(tblLog[[#This Row],[Date]]&gt;=FFrom,tblLog[[#This Row],[Date]]&lt;=FTo),tblLog[[#This Row],[Date]],""))</f>
        <v>46279</v>
      </c>
      <c r="S1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 s="28" t="s">
        <v>122</v>
      </c>
    </row>
    <row r="12" spans="1:20">
      <c r="B12" s="37">
        <v>46279</v>
      </c>
      <c r="C12" s="38">
        <v>0.4166666666666667</v>
      </c>
      <c r="D12" s="28" t="s">
        <v>96</v>
      </c>
      <c r="E12" s="28" t="s">
        <v>128</v>
      </c>
      <c r="F12" s="34">
        <v>3</v>
      </c>
      <c r="G12" s="39" t="str">
        <f>IF(tblLog[[#This Row],[Date]]="","",IFERROR(IF(INDEX(tblCCPs[Unit],MATCH(tblLog[[#This Row],[CCP]],tblCCPs[CCP],0))="","",INDEX(tblCCPs[Unit],MATCH(tblLog[[#This Row],[CCP]],tblCCPs[CCP],0))),""))</f>
        <v>of 3</v>
      </c>
      <c r="H12" s="39" t="str">
        <f>IF(tblLog[[#This Row],[Date]]="","",IFERROR(IF(INDEX(tblCCPs[Limit type],MATCH(tblLog[[#This Row],[CCP]],tblCCPs[CCP],0))="","",INDEX(tblCCPs[Limit type],MATCH(tblLog[[#This Row],[CCP]],tblCCPs[CCP],0))),""))</f>
        <v>Minimum</v>
      </c>
      <c r="I12" s="40">
        <f>IF(tblLog[[#This Row],[Date]]="","",IFERROR(IF(INDEX(tblCCPs[Critical limit],MATCH(tblLog[[#This Row],[CCP]],tblCCPs[CCP],0))="","",INDEX(tblCCPs[Critical limit],MATCH(tblLog[[#This Row],[CCP]],tblCCPs[CCP],0))),""))</f>
        <v>3</v>
      </c>
      <c r="J12" s="40">
        <f>IF(tblLog[[#This Row],[Date]]="","",IFERROR(IF(INDEX(tblCCPs[Operating limit],MATCH(tblLog[[#This Row],[CCP]],tblCCPs[CCP],0))="","",INDEX(tblCCPs[Operating limit],MATCH(tblLog[[#This Row],[CCP]],tblCCPs[CCP],0))),""))</f>
        <v/>
      </c>
      <c r="K1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 s="28" t="s">
        <v>127</v>
      </c>
      <c r="M12" s="42" t="s">
        <v>122</v>
      </c>
      <c r="N12" s="35">
        <v>0</v>
      </c>
      <c r="O12" s="28" t="s">
        <v>123</v>
      </c>
      <c r="P12" s="43">
        <f>IF(tblLog[[#This Row],[Date]]="","",IF(N(tblLog[[#This Row],[Product held]])&gt;0,tblLog[[#This Row],[Product held]]*HoldValue+QACost,0))</f>
        <v>0</v>
      </c>
      <c r="Q12" s="43">
        <f>IF(tblLog[[#This Row],[Date]]="","",IF(tblLog[[#This Row],[CCP]]="","",COUNTIFS(tblLog[CCP],tblLog[[#This Row],[CCP]],tblLog[Date],"&lt;"&amp;tblLog[[#This Row],[Date]])+COUNTIFS(tblLog[CCP],tblLog[[#This Row],[CCP]],tblLog[Date],tblLog[[#This Row],[Date]],tblLog[Time],"&lt;="&amp;tblLog[[#This Row],[Time]])))</f>
        <v>2</v>
      </c>
      <c r="R12" s="44">
        <f>IF(tblLog[[#This Row],[Date]]="","",IF(AND(tblLog[[#This Row],[Date]]&gt;=FFrom,tblLog[[#This Row],[Date]]&lt;=FTo),tblLog[[#This Row],[Date]],""))</f>
        <v>46279</v>
      </c>
      <c r="S1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 s="28" t="s">
        <v>122</v>
      </c>
    </row>
    <row r="13" spans="1:20">
      <c r="B13" s="37">
        <v>46279</v>
      </c>
      <c r="C13" s="38">
        <v>0.4375</v>
      </c>
      <c r="D13" s="28" t="s">
        <v>85</v>
      </c>
      <c r="E13" s="28" t="s">
        <v>129</v>
      </c>
      <c r="F13" s="34">
        <v>80.8</v>
      </c>
      <c r="G13" s="39" t="str">
        <f>IF(tblLog[[#This Row],[Date]]="","",IFERROR(IF(INDEX(tblCCPs[Unit],MATCH(tblLog[[#This Row],[CCP]],tblCCPs[CCP],0))="","",INDEX(tblCCPs[Unit],MATCH(tblLog[[#This Row],[CCP]],tblCCPs[CCP],0))),""))</f>
        <v>°C</v>
      </c>
      <c r="H13" s="39" t="str">
        <f>IF(tblLog[[#This Row],[Date]]="","",IFERROR(IF(INDEX(tblCCPs[Limit type],MATCH(tblLog[[#This Row],[CCP]],tblCCPs[CCP],0))="","",INDEX(tblCCPs[Limit type],MATCH(tblLog[[#This Row],[CCP]],tblCCPs[CCP],0))),""))</f>
        <v>Minimum</v>
      </c>
      <c r="I13" s="40">
        <f>IF(tblLog[[#This Row],[Date]]="","",IFERROR(IF(INDEX(tblCCPs[Critical limit],MATCH(tblLog[[#This Row],[CCP]],tblCCPs[CCP],0))="","",INDEX(tblCCPs[Critical limit],MATCH(tblLog[[#This Row],[CCP]],tblCCPs[CCP],0))),""))</f>
        <v>75</v>
      </c>
      <c r="J13" s="40">
        <f>IF(tblLog[[#This Row],[Date]]="","",IFERROR(IF(INDEX(tblCCPs[Operating limit],MATCH(tblLog[[#This Row],[CCP]],tblCCPs[CCP],0))="","",INDEX(tblCCPs[Operating limit],MATCH(tblLog[[#This Row],[CCP]],tblCCPs[CCP],0))),""))</f>
        <v>78</v>
      </c>
      <c r="K1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 s="28" t="s">
        <v>130</v>
      </c>
      <c r="M13" s="42" t="s">
        <v>122</v>
      </c>
      <c r="N13" s="35">
        <v>0</v>
      </c>
      <c r="O13" s="28" t="s">
        <v>123</v>
      </c>
      <c r="P13" s="43">
        <f>IF(tblLog[[#This Row],[Date]]="","",IF(N(tblLog[[#This Row],[Product held]])&gt;0,tblLog[[#This Row],[Product held]]*HoldValue+QACost,0))</f>
        <v>0</v>
      </c>
      <c r="Q13" s="43">
        <f>IF(tblLog[[#This Row],[Date]]="","",IF(tblLog[[#This Row],[CCP]]="","",COUNTIFS(tblLog[CCP],tblLog[[#This Row],[CCP]],tblLog[Date],"&lt;"&amp;tblLog[[#This Row],[Date]])+COUNTIFS(tblLog[CCP],tblLog[[#This Row],[CCP]],tblLog[Date],tblLog[[#This Row],[Date]],tblLog[Time],"&lt;="&amp;tblLog[[#This Row],[Time]])))</f>
        <v>3</v>
      </c>
      <c r="R13" s="44">
        <f>IF(tblLog[[#This Row],[Date]]="","",IF(AND(tblLog[[#This Row],[Date]]&gt;=FFrom,tblLog[[#This Row],[Date]]&lt;=FTo),tblLog[[#This Row],[Date]],""))</f>
        <v>46279</v>
      </c>
      <c r="S1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 s="28" t="s">
        <v>122</v>
      </c>
    </row>
    <row r="14" spans="1:20">
      <c r="B14" s="37">
        <v>46279</v>
      </c>
      <c r="C14" s="38">
        <v>0.4479166666666667</v>
      </c>
      <c r="D14" s="28" t="s">
        <v>91</v>
      </c>
      <c r="E14" s="28" t="s">
        <v>126</v>
      </c>
      <c r="F14" s="34">
        <v>2.3</v>
      </c>
      <c r="G14" s="39" t="str">
        <f>IF(tblLog[[#This Row],[Date]]="","",IFERROR(IF(INDEX(tblCCPs[Unit],MATCH(tblLog[[#This Row],[CCP]],tblCCPs[CCP],0))="","",INDEX(tblCCPs[Unit],MATCH(tblLog[[#This Row],[CCP]],tblCCPs[CCP],0))),""))</f>
        <v>°C</v>
      </c>
      <c r="H14" s="39" t="str">
        <f>IF(tblLog[[#This Row],[Date]]="","",IFERROR(IF(INDEX(tblCCPs[Limit type],MATCH(tblLog[[#This Row],[CCP]],tblCCPs[CCP],0))="","",INDEX(tblCCPs[Limit type],MATCH(tblLog[[#This Row],[CCP]],tblCCPs[CCP],0))),""))</f>
        <v>Maximum</v>
      </c>
      <c r="I14" s="40">
        <f>IF(tblLog[[#This Row],[Date]]="","",IFERROR(IF(INDEX(tblCCPs[Critical limit],MATCH(tblLog[[#This Row],[CCP]],tblCCPs[CCP],0))="","",INDEX(tblCCPs[Critical limit],MATCH(tblLog[[#This Row],[CCP]],tblCCPs[CCP],0))),""))</f>
        <v>5</v>
      </c>
      <c r="J14" s="40">
        <f>IF(tblLog[[#This Row],[Date]]="","",IFERROR(IF(INDEX(tblCCPs[Operating limit],MATCH(tblLog[[#This Row],[CCP]],tblCCPs[CCP],0))="","",INDEX(tblCCPs[Operating limit],MATCH(tblLog[[#This Row],[CCP]],tblCCPs[CCP],0))),""))</f>
        <v>4</v>
      </c>
      <c r="K1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 s="28" t="s">
        <v>127</v>
      </c>
      <c r="M14" s="42" t="s">
        <v>122</v>
      </c>
      <c r="N14" s="35">
        <v>0</v>
      </c>
      <c r="O14" s="28" t="s">
        <v>123</v>
      </c>
      <c r="P14" s="43">
        <f>IF(tblLog[[#This Row],[Date]]="","",IF(N(tblLog[[#This Row],[Product held]])&gt;0,tblLog[[#This Row],[Product held]]*HoldValue+QACost,0))</f>
        <v>0</v>
      </c>
      <c r="Q14" s="43">
        <f>IF(tblLog[[#This Row],[Date]]="","",IF(tblLog[[#This Row],[CCP]]="","",COUNTIFS(tblLog[CCP],tblLog[[#This Row],[CCP]],tblLog[Date],"&lt;"&amp;tblLog[[#This Row],[Date]])+COUNTIFS(tblLog[CCP],tblLog[[#This Row],[CCP]],tblLog[Date],tblLog[[#This Row],[Date]],tblLog[Time],"&lt;="&amp;tblLog[[#This Row],[Time]])))</f>
        <v>2</v>
      </c>
      <c r="R14" s="44">
        <f>IF(tblLog[[#This Row],[Date]]="","",IF(AND(tblLog[[#This Row],[Date]]&gt;=FFrom,tblLog[[#This Row],[Date]]&lt;=FTo),tblLog[[#This Row],[Date]],""))</f>
        <v>46279</v>
      </c>
      <c r="S1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 s="28" t="s">
        <v>122</v>
      </c>
    </row>
    <row r="15" spans="1:20">
      <c r="B15" s="37">
        <v>46279</v>
      </c>
      <c r="C15" s="38">
        <v>0.5</v>
      </c>
      <c r="D15" s="28" t="s">
        <v>85</v>
      </c>
      <c r="E15" s="28" t="s">
        <v>131</v>
      </c>
      <c r="F15" s="34">
        <v>79.59999999999999</v>
      </c>
      <c r="G15" s="39" t="str">
        <f>IF(tblLog[[#This Row],[Date]]="","",IFERROR(IF(INDEX(tblCCPs[Unit],MATCH(tblLog[[#This Row],[CCP]],tblCCPs[CCP],0))="","",INDEX(tblCCPs[Unit],MATCH(tblLog[[#This Row],[CCP]],tblCCPs[CCP],0))),""))</f>
        <v>°C</v>
      </c>
      <c r="H15" s="39" t="str">
        <f>IF(tblLog[[#This Row],[Date]]="","",IFERROR(IF(INDEX(tblCCPs[Limit type],MATCH(tblLog[[#This Row],[CCP]],tblCCPs[CCP],0))="","",INDEX(tblCCPs[Limit type],MATCH(tblLog[[#This Row],[CCP]],tblCCPs[CCP],0))),""))</f>
        <v>Minimum</v>
      </c>
      <c r="I15" s="40">
        <f>IF(tblLog[[#This Row],[Date]]="","",IFERROR(IF(INDEX(tblCCPs[Critical limit],MATCH(tblLog[[#This Row],[CCP]],tblCCPs[CCP],0))="","",INDEX(tblCCPs[Critical limit],MATCH(tblLog[[#This Row],[CCP]],tblCCPs[CCP],0))),""))</f>
        <v>75</v>
      </c>
      <c r="J15" s="40">
        <f>IF(tblLog[[#This Row],[Date]]="","",IFERROR(IF(INDEX(tblCCPs[Operating limit],MATCH(tblLog[[#This Row],[CCP]],tblCCPs[CCP],0))="","",INDEX(tblCCPs[Operating limit],MATCH(tblLog[[#This Row],[CCP]],tblCCPs[CCP],0))),""))</f>
        <v>78</v>
      </c>
      <c r="K1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 s="28" t="s">
        <v>132</v>
      </c>
      <c r="M15" s="42" t="s">
        <v>122</v>
      </c>
      <c r="N15" s="35">
        <v>0</v>
      </c>
      <c r="O15" s="28" t="s">
        <v>123</v>
      </c>
      <c r="P15" s="43">
        <f>IF(tblLog[[#This Row],[Date]]="","",IF(N(tblLog[[#This Row],[Product held]])&gt;0,tblLog[[#This Row],[Product held]]*HoldValue+QACost,0))</f>
        <v>0</v>
      </c>
      <c r="Q15" s="43">
        <f>IF(tblLog[[#This Row],[Date]]="","",IF(tblLog[[#This Row],[CCP]]="","",COUNTIFS(tblLog[CCP],tblLog[[#This Row],[CCP]],tblLog[Date],"&lt;"&amp;tblLog[[#This Row],[Date]])+COUNTIFS(tblLog[CCP],tblLog[[#This Row],[CCP]],tblLog[Date],tblLog[[#This Row],[Date]],tblLog[Time],"&lt;="&amp;tblLog[[#This Row],[Time]])))</f>
        <v>4</v>
      </c>
      <c r="R15" s="44">
        <f>IF(tblLog[[#This Row],[Date]]="","",IF(AND(tblLog[[#This Row],[Date]]&gt;=FFrom,tblLog[[#This Row],[Date]]&lt;=FTo),tblLog[[#This Row],[Date]],""))</f>
        <v>46279</v>
      </c>
      <c r="S1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 s="28" t="s">
        <v>122</v>
      </c>
    </row>
    <row r="16" spans="1:20">
      <c r="B16" s="37">
        <v>46279</v>
      </c>
      <c r="C16" s="38">
        <v>0.5104166666666666</v>
      </c>
      <c r="D16" s="28" t="s">
        <v>91</v>
      </c>
      <c r="E16" s="28" t="s">
        <v>129</v>
      </c>
      <c r="F16" s="34">
        <v>3.4</v>
      </c>
      <c r="G16" s="39" t="str">
        <f>IF(tblLog[[#This Row],[Date]]="","",IFERROR(IF(INDEX(tblCCPs[Unit],MATCH(tblLog[[#This Row],[CCP]],tblCCPs[CCP],0))="","",INDEX(tblCCPs[Unit],MATCH(tblLog[[#This Row],[CCP]],tblCCPs[CCP],0))),""))</f>
        <v>°C</v>
      </c>
      <c r="H16" s="39" t="str">
        <f>IF(tblLog[[#This Row],[Date]]="","",IFERROR(IF(INDEX(tblCCPs[Limit type],MATCH(tblLog[[#This Row],[CCP]],tblCCPs[CCP],0))="","",INDEX(tblCCPs[Limit type],MATCH(tblLog[[#This Row],[CCP]],tblCCPs[CCP],0))),""))</f>
        <v>Maximum</v>
      </c>
      <c r="I16" s="40">
        <f>IF(tblLog[[#This Row],[Date]]="","",IFERROR(IF(INDEX(tblCCPs[Critical limit],MATCH(tblLog[[#This Row],[CCP]],tblCCPs[CCP],0))="","",INDEX(tblCCPs[Critical limit],MATCH(tblLog[[#This Row],[CCP]],tblCCPs[CCP],0))),""))</f>
        <v>5</v>
      </c>
      <c r="J16" s="40">
        <f>IF(tblLog[[#This Row],[Date]]="","",IFERROR(IF(INDEX(tblCCPs[Operating limit],MATCH(tblLog[[#This Row],[CCP]],tblCCPs[CCP],0))="","",INDEX(tblCCPs[Operating limit],MATCH(tblLog[[#This Row],[CCP]],tblCCPs[CCP],0))),""))</f>
        <v>4</v>
      </c>
      <c r="K1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 s="28" t="s">
        <v>130</v>
      </c>
      <c r="M16" s="42" t="s">
        <v>122</v>
      </c>
      <c r="N16" s="35">
        <v>0</v>
      </c>
      <c r="O16" s="28" t="s">
        <v>123</v>
      </c>
      <c r="P16" s="43">
        <f>IF(tblLog[[#This Row],[Date]]="","",IF(N(tblLog[[#This Row],[Product held]])&gt;0,tblLog[[#This Row],[Product held]]*HoldValue+QACost,0))</f>
        <v>0</v>
      </c>
      <c r="Q16" s="43">
        <f>IF(tblLog[[#This Row],[Date]]="","",IF(tblLog[[#This Row],[CCP]]="","",COUNTIFS(tblLog[CCP],tblLog[[#This Row],[CCP]],tblLog[Date],"&lt;"&amp;tblLog[[#This Row],[Date]])+COUNTIFS(tblLog[CCP],tblLog[[#This Row],[CCP]],tblLog[Date],tblLog[[#This Row],[Date]],tblLog[Time],"&lt;="&amp;tblLog[[#This Row],[Time]])))</f>
        <v>3</v>
      </c>
      <c r="R16" s="44">
        <f>IF(tblLog[[#This Row],[Date]]="","",IF(AND(tblLog[[#This Row],[Date]]&gt;=FFrom,tblLog[[#This Row],[Date]]&lt;=FTo),tblLog[[#This Row],[Date]],""))</f>
        <v>46279</v>
      </c>
      <c r="S1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 s="28" t="s">
        <v>122</v>
      </c>
    </row>
    <row r="17" spans="2:20">
      <c r="B17" s="37">
        <v>46279</v>
      </c>
      <c r="C17" s="38">
        <v>0.5416666666666666</v>
      </c>
      <c r="D17" s="28" t="s">
        <v>96</v>
      </c>
      <c r="E17" s="28" t="s">
        <v>133</v>
      </c>
      <c r="F17" s="34">
        <v>3</v>
      </c>
      <c r="G17" s="39" t="str">
        <f>IF(tblLog[[#This Row],[Date]]="","",IFERROR(IF(INDEX(tblCCPs[Unit],MATCH(tblLog[[#This Row],[CCP]],tblCCPs[CCP],0))="","",INDEX(tblCCPs[Unit],MATCH(tblLog[[#This Row],[CCP]],tblCCPs[CCP],0))),""))</f>
        <v>of 3</v>
      </c>
      <c r="H17" s="39" t="str">
        <f>IF(tblLog[[#This Row],[Date]]="","",IFERROR(IF(INDEX(tblCCPs[Limit type],MATCH(tblLog[[#This Row],[CCP]],tblCCPs[CCP],0))="","",INDEX(tblCCPs[Limit type],MATCH(tblLog[[#This Row],[CCP]],tblCCPs[CCP],0))),""))</f>
        <v>Minimum</v>
      </c>
      <c r="I17" s="40">
        <f>IF(tblLog[[#This Row],[Date]]="","",IFERROR(IF(INDEX(tblCCPs[Critical limit],MATCH(tblLog[[#This Row],[CCP]],tblCCPs[CCP],0))="","",INDEX(tblCCPs[Critical limit],MATCH(tblLog[[#This Row],[CCP]],tblCCPs[CCP],0))),""))</f>
        <v>3</v>
      </c>
      <c r="J17" s="40">
        <f>IF(tblLog[[#This Row],[Date]]="","",IFERROR(IF(INDEX(tblCCPs[Operating limit],MATCH(tblLog[[#This Row],[CCP]],tblCCPs[CCP],0))="","",INDEX(tblCCPs[Operating limit],MATCH(tblLog[[#This Row],[CCP]],tblCCPs[CCP],0))),""))</f>
        <v/>
      </c>
      <c r="K1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 s="28" t="s">
        <v>130</v>
      </c>
      <c r="M17" s="42" t="s">
        <v>122</v>
      </c>
      <c r="N17" s="35">
        <v>0</v>
      </c>
      <c r="O17" s="28" t="s">
        <v>123</v>
      </c>
      <c r="P17" s="43">
        <f>IF(tblLog[[#This Row],[Date]]="","",IF(N(tblLog[[#This Row],[Product held]])&gt;0,tblLog[[#This Row],[Product held]]*HoldValue+QACost,0))</f>
        <v>0</v>
      </c>
      <c r="Q17" s="43">
        <f>IF(tblLog[[#This Row],[Date]]="","",IF(tblLog[[#This Row],[CCP]]="","",COUNTIFS(tblLog[CCP],tblLog[[#This Row],[CCP]],tblLog[Date],"&lt;"&amp;tblLog[[#This Row],[Date]])+COUNTIFS(tblLog[CCP],tblLog[[#This Row],[CCP]],tblLog[Date],tblLog[[#This Row],[Date]],tblLog[Time],"&lt;="&amp;tblLog[[#This Row],[Time]])))</f>
        <v>3</v>
      </c>
      <c r="R17" s="44">
        <f>IF(tblLog[[#This Row],[Date]]="","",IF(AND(tblLog[[#This Row],[Date]]&gt;=FFrom,tblLog[[#This Row],[Date]]&lt;=FTo),tblLog[[#This Row],[Date]],""))</f>
        <v>46279</v>
      </c>
      <c r="S1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 s="28" t="s">
        <v>122</v>
      </c>
    </row>
    <row r="18" spans="2:20">
      <c r="B18" s="37">
        <v>46279</v>
      </c>
      <c r="C18" s="38">
        <v>0.5625</v>
      </c>
      <c r="D18" s="28" t="s">
        <v>85</v>
      </c>
      <c r="E18" s="28" t="s">
        <v>134</v>
      </c>
      <c r="F18" s="34">
        <v>84.59999999999999</v>
      </c>
      <c r="G18" s="39" t="str">
        <f>IF(tblLog[[#This Row],[Date]]="","",IFERROR(IF(INDEX(tblCCPs[Unit],MATCH(tblLog[[#This Row],[CCP]],tblCCPs[CCP],0))="","",INDEX(tblCCPs[Unit],MATCH(tblLog[[#This Row],[CCP]],tblCCPs[CCP],0))),""))</f>
        <v>°C</v>
      </c>
      <c r="H18" s="39" t="str">
        <f>IF(tblLog[[#This Row],[Date]]="","",IFERROR(IF(INDEX(tblCCPs[Limit type],MATCH(tblLog[[#This Row],[CCP]],tblCCPs[CCP],0))="","",INDEX(tblCCPs[Limit type],MATCH(tblLog[[#This Row],[CCP]],tblCCPs[CCP],0))),""))</f>
        <v>Minimum</v>
      </c>
      <c r="I18" s="40">
        <f>IF(tblLog[[#This Row],[Date]]="","",IFERROR(IF(INDEX(tblCCPs[Critical limit],MATCH(tblLog[[#This Row],[CCP]],tblCCPs[CCP],0))="","",INDEX(tblCCPs[Critical limit],MATCH(tblLog[[#This Row],[CCP]],tblCCPs[CCP],0))),""))</f>
        <v>75</v>
      </c>
      <c r="J18" s="40">
        <f>IF(tblLog[[#This Row],[Date]]="","",IFERROR(IF(INDEX(tblCCPs[Operating limit],MATCH(tblLog[[#This Row],[CCP]],tblCCPs[CCP],0))="","",INDEX(tblCCPs[Operating limit],MATCH(tblLog[[#This Row],[CCP]],tblCCPs[CCP],0))),""))</f>
        <v>78</v>
      </c>
      <c r="K1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 s="28" t="s">
        <v>121</v>
      </c>
      <c r="M18" s="42" t="s">
        <v>122</v>
      </c>
      <c r="N18" s="35">
        <v>0</v>
      </c>
      <c r="O18" s="28" t="s">
        <v>123</v>
      </c>
      <c r="P18" s="43">
        <f>IF(tblLog[[#This Row],[Date]]="","",IF(N(tblLog[[#This Row],[Product held]])&gt;0,tblLog[[#This Row],[Product held]]*HoldValue+QACost,0))</f>
        <v>0</v>
      </c>
      <c r="Q18" s="43">
        <f>IF(tblLog[[#This Row],[Date]]="","",IF(tblLog[[#This Row],[CCP]]="","",COUNTIFS(tblLog[CCP],tblLog[[#This Row],[CCP]],tblLog[Date],"&lt;"&amp;tblLog[[#This Row],[Date]])+COUNTIFS(tblLog[CCP],tblLog[[#This Row],[CCP]],tblLog[Date],tblLog[[#This Row],[Date]],tblLog[Time],"&lt;="&amp;tblLog[[#This Row],[Time]])))</f>
        <v>5</v>
      </c>
      <c r="R18" s="44">
        <f>IF(tblLog[[#This Row],[Date]]="","",IF(AND(tblLog[[#This Row],[Date]]&gt;=FFrom,tblLog[[#This Row],[Date]]&lt;=FTo),tblLog[[#This Row],[Date]],""))</f>
        <v>46279</v>
      </c>
      <c r="S1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 s="28" t="s">
        <v>122</v>
      </c>
    </row>
    <row r="19" spans="2:20">
      <c r="B19" s="37">
        <v>46279</v>
      </c>
      <c r="C19" s="38">
        <v>0.5729166666666666</v>
      </c>
      <c r="D19" s="28" t="s">
        <v>91</v>
      </c>
      <c r="E19" s="28" t="s">
        <v>131</v>
      </c>
      <c r="F19" s="34">
        <v>2.4</v>
      </c>
      <c r="G19" s="39" t="str">
        <f>IF(tblLog[[#This Row],[Date]]="","",IFERROR(IF(INDEX(tblCCPs[Unit],MATCH(tblLog[[#This Row],[CCP]],tblCCPs[CCP],0))="","",INDEX(tblCCPs[Unit],MATCH(tblLog[[#This Row],[CCP]],tblCCPs[CCP],0))),""))</f>
        <v>°C</v>
      </c>
      <c r="H19" s="39" t="str">
        <f>IF(tblLog[[#This Row],[Date]]="","",IFERROR(IF(INDEX(tblCCPs[Limit type],MATCH(tblLog[[#This Row],[CCP]],tblCCPs[CCP],0))="","",INDEX(tblCCPs[Limit type],MATCH(tblLog[[#This Row],[CCP]],tblCCPs[CCP],0))),""))</f>
        <v>Maximum</v>
      </c>
      <c r="I19" s="40">
        <f>IF(tblLog[[#This Row],[Date]]="","",IFERROR(IF(INDEX(tblCCPs[Critical limit],MATCH(tblLog[[#This Row],[CCP]],tblCCPs[CCP],0))="","",INDEX(tblCCPs[Critical limit],MATCH(tblLog[[#This Row],[CCP]],tblCCPs[CCP],0))),""))</f>
        <v>5</v>
      </c>
      <c r="J19" s="40">
        <f>IF(tblLog[[#This Row],[Date]]="","",IFERROR(IF(INDEX(tblCCPs[Operating limit],MATCH(tblLog[[#This Row],[CCP]],tblCCPs[CCP],0))="","",INDEX(tblCCPs[Operating limit],MATCH(tblLog[[#This Row],[CCP]],tblCCPs[CCP],0))),""))</f>
        <v>4</v>
      </c>
      <c r="K1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9" s="28" t="s">
        <v>132</v>
      </c>
      <c r="M19" s="42" t="s">
        <v>122</v>
      </c>
      <c r="N19" s="35">
        <v>0</v>
      </c>
      <c r="O19" s="28" t="s">
        <v>123</v>
      </c>
      <c r="P19" s="43">
        <f>IF(tblLog[[#This Row],[Date]]="","",IF(N(tblLog[[#This Row],[Product held]])&gt;0,tblLog[[#This Row],[Product held]]*HoldValue+QACost,0))</f>
        <v>0</v>
      </c>
      <c r="Q19" s="43">
        <f>IF(tblLog[[#This Row],[Date]]="","",IF(tblLog[[#This Row],[CCP]]="","",COUNTIFS(tblLog[CCP],tblLog[[#This Row],[CCP]],tblLog[Date],"&lt;"&amp;tblLog[[#This Row],[Date]])+COUNTIFS(tblLog[CCP],tblLog[[#This Row],[CCP]],tblLog[Date],tblLog[[#This Row],[Date]],tblLog[Time],"&lt;="&amp;tblLog[[#This Row],[Time]])))</f>
        <v>4</v>
      </c>
      <c r="R19" s="44">
        <f>IF(tblLog[[#This Row],[Date]]="","",IF(AND(tblLog[[#This Row],[Date]]&gt;=FFrom,tblLog[[#This Row],[Date]]&lt;=FTo),tblLog[[#This Row],[Date]],""))</f>
        <v>46279</v>
      </c>
      <c r="S1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9" s="28" t="s">
        <v>122</v>
      </c>
    </row>
    <row r="20" spans="2:20">
      <c r="B20" s="37">
        <v>46279</v>
      </c>
      <c r="C20" s="38">
        <v>0.625</v>
      </c>
      <c r="D20" s="28" t="s">
        <v>85</v>
      </c>
      <c r="E20" s="28" t="s">
        <v>135</v>
      </c>
      <c r="F20" s="34">
        <v>78.8</v>
      </c>
      <c r="G20" s="39" t="str">
        <f>IF(tblLog[[#This Row],[Date]]="","",IFERROR(IF(INDEX(tblCCPs[Unit],MATCH(tblLog[[#This Row],[CCP]],tblCCPs[CCP],0))="","",INDEX(tblCCPs[Unit],MATCH(tblLog[[#This Row],[CCP]],tblCCPs[CCP],0))),""))</f>
        <v>°C</v>
      </c>
      <c r="H20" s="39" t="str">
        <f>IF(tblLog[[#This Row],[Date]]="","",IFERROR(IF(INDEX(tblCCPs[Limit type],MATCH(tblLog[[#This Row],[CCP]],tblCCPs[CCP],0))="","",INDEX(tblCCPs[Limit type],MATCH(tblLog[[#This Row],[CCP]],tblCCPs[CCP],0))),""))</f>
        <v>Minimum</v>
      </c>
      <c r="I20" s="40">
        <f>IF(tblLog[[#This Row],[Date]]="","",IFERROR(IF(INDEX(tblCCPs[Critical limit],MATCH(tblLog[[#This Row],[CCP]],tblCCPs[CCP],0))="","",INDEX(tblCCPs[Critical limit],MATCH(tblLog[[#This Row],[CCP]],tblCCPs[CCP],0))),""))</f>
        <v>75</v>
      </c>
      <c r="J20" s="40">
        <f>IF(tblLog[[#This Row],[Date]]="","",IFERROR(IF(INDEX(tblCCPs[Operating limit],MATCH(tblLog[[#This Row],[CCP]],tblCCPs[CCP],0))="","",INDEX(tblCCPs[Operating limit],MATCH(tblLog[[#This Row],[CCP]],tblCCPs[CCP],0))),""))</f>
        <v>78</v>
      </c>
      <c r="K2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0" s="28" t="s">
        <v>127</v>
      </c>
      <c r="M20" s="42" t="s">
        <v>122</v>
      </c>
      <c r="N20" s="35">
        <v>0</v>
      </c>
      <c r="O20" s="28" t="s">
        <v>123</v>
      </c>
      <c r="P20" s="43">
        <f>IF(tblLog[[#This Row],[Date]]="","",IF(N(tblLog[[#This Row],[Product held]])&gt;0,tblLog[[#This Row],[Product held]]*HoldValue+QACost,0))</f>
        <v>0</v>
      </c>
      <c r="Q20" s="43">
        <f>IF(tblLog[[#This Row],[Date]]="","",IF(tblLog[[#This Row],[CCP]]="","",COUNTIFS(tblLog[CCP],tblLog[[#This Row],[CCP]],tblLog[Date],"&lt;"&amp;tblLog[[#This Row],[Date]])+COUNTIFS(tblLog[CCP],tblLog[[#This Row],[CCP]],tblLog[Date],tblLog[[#This Row],[Date]],tblLog[Time],"&lt;="&amp;tblLog[[#This Row],[Time]])))</f>
        <v>6</v>
      </c>
      <c r="R20" s="44">
        <f>IF(tblLog[[#This Row],[Date]]="","",IF(AND(tblLog[[#This Row],[Date]]&gt;=FFrom,tblLog[[#This Row],[Date]]&lt;=FTo),tblLog[[#This Row],[Date]],""))</f>
        <v>46279</v>
      </c>
      <c r="S2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0" s="28" t="s">
        <v>122</v>
      </c>
    </row>
    <row r="21" spans="2:20">
      <c r="B21" s="37">
        <v>46279</v>
      </c>
      <c r="C21" s="38">
        <v>0.6354166666666666</v>
      </c>
      <c r="D21" s="28" t="s">
        <v>91</v>
      </c>
      <c r="E21" s="28" t="s">
        <v>134</v>
      </c>
      <c r="F21" s="34">
        <v>3.4</v>
      </c>
      <c r="G21" s="39" t="str">
        <f>IF(tblLog[[#This Row],[Date]]="","",IFERROR(IF(INDEX(tblCCPs[Unit],MATCH(tblLog[[#This Row],[CCP]],tblCCPs[CCP],0))="","",INDEX(tblCCPs[Unit],MATCH(tblLog[[#This Row],[CCP]],tblCCPs[CCP],0))),""))</f>
        <v>°C</v>
      </c>
      <c r="H21" s="39" t="str">
        <f>IF(tblLog[[#This Row],[Date]]="","",IFERROR(IF(INDEX(tblCCPs[Limit type],MATCH(tblLog[[#This Row],[CCP]],tblCCPs[CCP],0))="","",INDEX(tblCCPs[Limit type],MATCH(tblLog[[#This Row],[CCP]],tblCCPs[CCP],0))),""))</f>
        <v>Maximum</v>
      </c>
      <c r="I21" s="40">
        <f>IF(tblLog[[#This Row],[Date]]="","",IFERROR(IF(INDEX(tblCCPs[Critical limit],MATCH(tblLog[[#This Row],[CCP]],tblCCPs[CCP],0))="","",INDEX(tblCCPs[Critical limit],MATCH(tblLog[[#This Row],[CCP]],tblCCPs[CCP],0))),""))</f>
        <v>5</v>
      </c>
      <c r="J21" s="40">
        <f>IF(tblLog[[#This Row],[Date]]="","",IFERROR(IF(INDEX(tblCCPs[Operating limit],MATCH(tblLog[[#This Row],[CCP]],tblCCPs[CCP],0))="","",INDEX(tblCCPs[Operating limit],MATCH(tblLog[[#This Row],[CCP]],tblCCPs[CCP],0))),""))</f>
        <v>4</v>
      </c>
      <c r="K2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1" s="28" t="s">
        <v>121</v>
      </c>
      <c r="M21" s="42" t="s">
        <v>122</v>
      </c>
      <c r="N21" s="35">
        <v>0</v>
      </c>
      <c r="O21" s="28" t="s">
        <v>123</v>
      </c>
      <c r="P21" s="43">
        <f>IF(tblLog[[#This Row],[Date]]="","",IF(N(tblLog[[#This Row],[Product held]])&gt;0,tblLog[[#This Row],[Product held]]*HoldValue+QACost,0))</f>
        <v>0</v>
      </c>
      <c r="Q21" s="43">
        <f>IF(tblLog[[#This Row],[Date]]="","",IF(tblLog[[#This Row],[CCP]]="","",COUNTIFS(tblLog[CCP],tblLog[[#This Row],[CCP]],tblLog[Date],"&lt;"&amp;tblLog[[#This Row],[Date]])+COUNTIFS(tblLog[CCP],tblLog[[#This Row],[CCP]],tblLog[Date],tblLog[[#This Row],[Date]],tblLog[Time],"&lt;="&amp;tblLog[[#This Row],[Time]])))</f>
        <v>5</v>
      </c>
      <c r="R21" s="44">
        <f>IF(tblLog[[#This Row],[Date]]="","",IF(AND(tblLog[[#This Row],[Date]]&gt;=FFrom,tblLog[[#This Row],[Date]]&lt;=FTo),tblLog[[#This Row],[Date]],""))</f>
        <v>46279</v>
      </c>
      <c r="S2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1" s="28" t="s">
        <v>122</v>
      </c>
    </row>
    <row r="22" spans="2:20">
      <c r="B22" s="37">
        <v>46279</v>
      </c>
      <c r="C22" s="38">
        <v>0.6458333333333334</v>
      </c>
      <c r="D22" s="28" t="s">
        <v>96</v>
      </c>
      <c r="E22" s="28" t="s">
        <v>136</v>
      </c>
      <c r="F22" s="34">
        <v>3</v>
      </c>
      <c r="G22" s="39" t="str">
        <f>IF(tblLog[[#This Row],[Date]]="","",IFERROR(IF(INDEX(tblCCPs[Unit],MATCH(tblLog[[#This Row],[CCP]],tblCCPs[CCP],0))="","",INDEX(tblCCPs[Unit],MATCH(tblLog[[#This Row],[CCP]],tblCCPs[CCP],0))),""))</f>
        <v>of 3</v>
      </c>
      <c r="H22" s="39" t="str">
        <f>IF(tblLog[[#This Row],[Date]]="","",IFERROR(IF(INDEX(tblCCPs[Limit type],MATCH(tblLog[[#This Row],[CCP]],tblCCPs[CCP],0))="","",INDEX(tblCCPs[Limit type],MATCH(tblLog[[#This Row],[CCP]],tblCCPs[CCP],0))),""))</f>
        <v>Minimum</v>
      </c>
      <c r="I22" s="40">
        <f>IF(tblLog[[#This Row],[Date]]="","",IFERROR(IF(INDEX(tblCCPs[Critical limit],MATCH(tblLog[[#This Row],[CCP]],tblCCPs[CCP],0))="","",INDEX(tblCCPs[Critical limit],MATCH(tblLog[[#This Row],[CCP]],tblCCPs[CCP],0))),""))</f>
        <v>3</v>
      </c>
      <c r="J22" s="40">
        <f>IF(tblLog[[#This Row],[Date]]="","",IFERROR(IF(INDEX(tblCCPs[Operating limit],MATCH(tblLog[[#This Row],[CCP]],tblCCPs[CCP],0))="","",INDEX(tblCCPs[Operating limit],MATCH(tblLog[[#This Row],[CCP]],tblCCPs[CCP],0))),""))</f>
        <v/>
      </c>
      <c r="K2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2" s="28" t="s">
        <v>132</v>
      </c>
      <c r="M22" s="42" t="s">
        <v>122</v>
      </c>
      <c r="N22" s="35">
        <v>0</v>
      </c>
      <c r="O22" s="28" t="s">
        <v>123</v>
      </c>
      <c r="P22" s="43">
        <f>IF(tblLog[[#This Row],[Date]]="","",IF(N(tblLog[[#This Row],[Product held]])&gt;0,tblLog[[#This Row],[Product held]]*HoldValue+QACost,0))</f>
        <v>0</v>
      </c>
      <c r="Q22" s="43">
        <f>IF(tblLog[[#This Row],[Date]]="","",IF(tblLog[[#This Row],[CCP]]="","",COUNTIFS(tblLog[CCP],tblLog[[#This Row],[CCP]],tblLog[Date],"&lt;"&amp;tblLog[[#This Row],[Date]])+COUNTIFS(tblLog[CCP],tblLog[[#This Row],[CCP]],tblLog[Date],tblLog[[#This Row],[Date]],tblLog[Time],"&lt;="&amp;tblLog[[#This Row],[Time]])))</f>
        <v>4</v>
      </c>
      <c r="R22" s="44">
        <f>IF(tblLog[[#This Row],[Date]]="","",IF(AND(tblLog[[#This Row],[Date]]&gt;=FFrom,tblLog[[#This Row],[Date]]&lt;=FTo),tblLog[[#This Row],[Date]],""))</f>
        <v>46279</v>
      </c>
      <c r="S2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2" s="28" t="s">
        <v>122</v>
      </c>
    </row>
    <row r="23" spans="2:20">
      <c r="B23" s="37">
        <v>46279</v>
      </c>
      <c r="C23" s="38">
        <v>0.6666666666666666</v>
      </c>
      <c r="D23" s="28" t="s">
        <v>101</v>
      </c>
      <c r="E23" s="28" t="s">
        <v>125</v>
      </c>
      <c r="F23" s="34">
        <v>3.1</v>
      </c>
      <c r="G23" s="39" t="str">
        <f>IF(tblLog[[#This Row],[Date]]="","",IFERROR(IF(INDEX(tblCCPs[Unit],MATCH(tblLog[[#This Row],[CCP]],tblCCPs[CCP],0))="","",INDEX(tblCCPs[Unit],MATCH(tblLog[[#This Row],[CCP]],tblCCPs[CCP],0))),""))</f>
        <v>°C</v>
      </c>
      <c r="H23" s="39" t="str">
        <f>IF(tblLog[[#This Row],[Date]]="","",IFERROR(IF(INDEX(tblCCPs[Limit type],MATCH(tblLog[[#This Row],[CCP]],tblCCPs[CCP],0))="","",INDEX(tblCCPs[Limit type],MATCH(tblLog[[#This Row],[CCP]],tblCCPs[CCP],0))),""))</f>
        <v>Maximum</v>
      </c>
      <c r="I23" s="40">
        <f>IF(tblLog[[#This Row],[Date]]="","",IFERROR(IF(INDEX(tblCCPs[Critical limit],MATCH(tblLog[[#This Row],[CCP]],tblCCPs[CCP],0))="","",INDEX(tblCCPs[Critical limit],MATCH(tblLog[[#This Row],[CCP]],tblCCPs[CCP],0))),""))</f>
        <v>5</v>
      </c>
      <c r="J23" s="40">
        <f>IF(tblLog[[#This Row],[Date]]="","",IFERROR(IF(INDEX(tblCCPs[Operating limit],MATCH(tblLog[[#This Row],[CCP]],tblCCPs[CCP],0))="","",INDEX(tblCCPs[Operating limit],MATCH(tblLog[[#This Row],[CCP]],tblCCPs[CCP],0))),""))</f>
        <v>4</v>
      </c>
      <c r="K2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3" s="28" t="s">
        <v>127</v>
      </c>
      <c r="M23" s="42" t="s">
        <v>122</v>
      </c>
      <c r="N23" s="35">
        <v>0</v>
      </c>
      <c r="O23" s="28" t="s">
        <v>123</v>
      </c>
      <c r="P23" s="43">
        <f>IF(tblLog[[#This Row],[Date]]="","",IF(N(tblLog[[#This Row],[Product held]])&gt;0,tblLog[[#This Row],[Product held]]*HoldValue+QACost,0))</f>
        <v>0</v>
      </c>
      <c r="Q23" s="43">
        <f>IF(tblLog[[#This Row],[Date]]="","",IF(tblLog[[#This Row],[CCP]]="","",COUNTIFS(tblLog[CCP],tblLog[[#This Row],[CCP]],tblLog[Date],"&lt;"&amp;tblLog[[#This Row],[Date]])+COUNTIFS(tblLog[CCP],tblLog[[#This Row],[CCP]],tblLog[Date],tblLog[[#This Row],[Date]],tblLog[Time],"&lt;="&amp;tblLog[[#This Row],[Time]])))</f>
        <v>2</v>
      </c>
      <c r="R23" s="44">
        <f>IF(tblLog[[#This Row],[Date]]="","",IF(AND(tblLog[[#This Row],[Date]]&gt;=FFrom,tblLog[[#This Row],[Date]]&lt;=FTo),tblLog[[#This Row],[Date]],""))</f>
        <v>46279</v>
      </c>
      <c r="S2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3" s="28" t="s">
        <v>122</v>
      </c>
    </row>
    <row r="24" spans="2:20">
      <c r="B24" s="37">
        <v>46279</v>
      </c>
      <c r="C24" s="38">
        <v>0.6979166666666666</v>
      </c>
      <c r="D24" s="28" t="s">
        <v>91</v>
      </c>
      <c r="E24" s="28" t="s">
        <v>135</v>
      </c>
      <c r="F24" s="34">
        <v>3.9</v>
      </c>
      <c r="G24" s="39" t="str">
        <f>IF(tblLog[[#This Row],[Date]]="","",IFERROR(IF(INDEX(tblCCPs[Unit],MATCH(tblLog[[#This Row],[CCP]],tblCCPs[CCP],0))="","",INDEX(tblCCPs[Unit],MATCH(tblLog[[#This Row],[CCP]],tblCCPs[CCP],0))),""))</f>
        <v>°C</v>
      </c>
      <c r="H24" s="39" t="str">
        <f>IF(tblLog[[#This Row],[Date]]="","",IFERROR(IF(INDEX(tblCCPs[Limit type],MATCH(tblLog[[#This Row],[CCP]],tblCCPs[CCP],0))="","",INDEX(tblCCPs[Limit type],MATCH(tblLog[[#This Row],[CCP]],tblCCPs[CCP],0))),""))</f>
        <v>Maximum</v>
      </c>
      <c r="I24" s="40">
        <f>IF(tblLog[[#This Row],[Date]]="","",IFERROR(IF(INDEX(tblCCPs[Critical limit],MATCH(tblLog[[#This Row],[CCP]],tblCCPs[CCP],0))="","",INDEX(tblCCPs[Critical limit],MATCH(tblLog[[#This Row],[CCP]],tblCCPs[CCP],0))),""))</f>
        <v>5</v>
      </c>
      <c r="J24" s="40">
        <f>IF(tblLog[[#This Row],[Date]]="","",IFERROR(IF(INDEX(tblCCPs[Operating limit],MATCH(tblLog[[#This Row],[CCP]],tblCCPs[CCP],0))="","",INDEX(tblCCPs[Operating limit],MATCH(tblLog[[#This Row],[CCP]],tblCCPs[CCP],0))),""))</f>
        <v>4</v>
      </c>
      <c r="K2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4" s="28" t="s">
        <v>127</v>
      </c>
      <c r="M24" s="42" t="s">
        <v>122</v>
      </c>
      <c r="N24" s="35">
        <v>0</v>
      </c>
      <c r="O24" s="28" t="s">
        <v>123</v>
      </c>
      <c r="P24" s="43">
        <f>IF(tblLog[[#This Row],[Date]]="","",IF(N(tblLog[[#This Row],[Product held]])&gt;0,tblLog[[#This Row],[Product held]]*HoldValue+QACost,0))</f>
        <v>0</v>
      </c>
      <c r="Q24" s="43">
        <f>IF(tblLog[[#This Row],[Date]]="","",IF(tblLog[[#This Row],[CCP]]="","",COUNTIFS(tblLog[CCP],tblLog[[#This Row],[CCP]],tblLog[Date],"&lt;"&amp;tblLog[[#This Row],[Date]])+COUNTIFS(tblLog[CCP],tblLog[[#This Row],[CCP]],tblLog[Date],tblLog[[#This Row],[Date]],tblLog[Time],"&lt;="&amp;tblLog[[#This Row],[Time]])))</f>
        <v>6</v>
      </c>
      <c r="R24" s="44">
        <f>IF(tblLog[[#This Row],[Date]]="","",IF(AND(tblLog[[#This Row],[Date]]&gt;=FFrom,tblLog[[#This Row],[Date]]&lt;=FTo),tblLog[[#This Row],[Date]],""))</f>
        <v>46279</v>
      </c>
      <c r="S2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4" s="28" t="s">
        <v>122</v>
      </c>
    </row>
    <row r="25" spans="2:20">
      <c r="B25" s="37">
        <v>46280</v>
      </c>
      <c r="C25" s="38">
        <v>0.2916666666666667</v>
      </c>
      <c r="D25" s="28" t="s">
        <v>96</v>
      </c>
      <c r="E25" s="28" t="s">
        <v>120</v>
      </c>
      <c r="F25" s="34">
        <v>3</v>
      </c>
      <c r="G25" s="39" t="str">
        <f>IF(tblLog[[#This Row],[Date]]="","",IFERROR(IF(INDEX(tblCCPs[Unit],MATCH(tblLog[[#This Row],[CCP]],tblCCPs[CCP],0))="","",INDEX(tblCCPs[Unit],MATCH(tblLog[[#This Row],[CCP]],tblCCPs[CCP],0))),""))</f>
        <v>of 3</v>
      </c>
      <c r="H25" s="39" t="str">
        <f>IF(tblLog[[#This Row],[Date]]="","",IFERROR(IF(INDEX(tblCCPs[Limit type],MATCH(tblLog[[#This Row],[CCP]],tblCCPs[CCP],0))="","",INDEX(tblCCPs[Limit type],MATCH(tblLog[[#This Row],[CCP]],tblCCPs[CCP],0))),""))</f>
        <v>Minimum</v>
      </c>
      <c r="I25" s="40">
        <f>IF(tblLog[[#This Row],[Date]]="","",IFERROR(IF(INDEX(tblCCPs[Critical limit],MATCH(tblLog[[#This Row],[CCP]],tblCCPs[CCP],0))="","",INDEX(tblCCPs[Critical limit],MATCH(tblLog[[#This Row],[CCP]],tblCCPs[CCP],0))),""))</f>
        <v>3</v>
      </c>
      <c r="J25" s="40">
        <f>IF(tblLog[[#This Row],[Date]]="","",IFERROR(IF(INDEX(tblCCPs[Operating limit],MATCH(tblLog[[#This Row],[CCP]],tblCCPs[CCP],0))="","",INDEX(tblCCPs[Operating limit],MATCH(tblLog[[#This Row],[CCP]],tblCCPs[CCP],0))),""))</f>
        <v/>
      </c>
      <c r="K2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5" s="28" t="s">
        <v>127</v>
      </c>
      <c r="M25" s="42" t="s">
        <v>122</v>
      </c>
      <c r="N25" s="35">
        <v>0</v>
      </c>
      <c r="O25" s="28" t="s">
        <v>123</v>
      </c>
      <c r="P25" s="43">
        <f>IF(tblLog[[#This Row],[Date]]="","",IF(N(tblLog[[#This Row],[Product held]])&gt;0,tblLog[[#This Row],[Product held]]*HoldValue+QACost,0))</f>
        <v>0</v>
      </c>
      <c r="Q25" s="43">
        <f>IF(tblLog[[#This Row],[Date]]="","",IF(tblLog[[#This Row],[CCP]]="","",COUNTIFS(tblLog[CCP],tblLog[[#This Row],[CCP]],tblLog[Date],"&lt;"&amp;tblLog[[#This Row],[Date]])+COUNTIFS(tblLog[CCP],tblLog[[#This Row],[CCP]],tblLog[Date],tblLog[[#This Row],[Date]],tblLog[Time],"&lt;="&amp;tblLog[[#This Row],[Time]])))</f>
        <v>5</v>
      </c>
      <c r="R25" s="44">
        <f>IF(tblLog[[#This Row],[Date]]="","",IF(AND(tblLog[[#This Row],[Date]]&gt;=FFrom,tblLog[[#This Row],[Date]]&lt;=FTo),tblLog[[#This Row],[Date]],""))</f>
        <v>46280</v>
      </c>
      <c r="S2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5" s="28" t="s">
        <v>122</v>
      </c>
    </row>
    <row r="26" spans="2:20">
      <c r="B26" s="37">
        <v>46280</v>
      </c>
      <c r="C26" s="38">
        <v>0.3125</v>
      </c>
      <c r="D26" s="28" t="s">
        <v>85</v>
      </c>
      <c r="E26" s="28" t="s">
        <v>137</v>
      </c>
      <c r="F26" s="34">
        <v>83.5</v>
      </c>
      <c r="G26" s="39" t="str">
        <f>IF(tblLog[[#This Row],[Date]]="","",IFERROR(IF(INDEX(tblCCPs[Unit],MATCH(tblLog[[#This Row],[CCP]],tblCCPs[CCP],0))="","",INDEX(tblCCPs[Unit],MATCH(tblLog[[#This Row],[CCP]],tblCCPs[CCP],0))),""))</f>
        <v>°C</v>
      </c>
      <c r="H26" s="39" t="str">
        <f>IF(tblLog[[#This Row],[Date]]="","",IFERROR(IF(INDEX(tblCCPs[Limit type],MATCH(tblLog[[#This Row],[CCP]],tblCCPs[CCP],0))="","",INDEX(tblCCPs[Limit type],MATCH(tblLog[[#This Row],[CCP]],tblCCPs[CCP],0))),""))</f>
        <v>Minimum</v>
      </c>
      <c r="I26" s="40">
        <f>IF(tblLog[[#This Row],[Date]]="","",IFERROR(IF(INDEX(tblCCPs[Critical limit],MATCH(tblLog[[#This Row],[CCP]],tblCCPs[CCP],0))="","",INDEX(tblCCPs[Critical limit],MATCH(tblLog[[#This Row],[CCP]],tblCCPs[CCP],0))),""))</f>
        <v>75</v>
      </c>
      <c r="J26" s="40">
        <f>IF(tblLog[[#This Row],[Date]]="","",IFERROR(IF(INDEX(tblCCPs[Operating limit],MATCH(tblLog[[#This Row],[CCP]],tblCCPs[CCP],0))="","",INDEX(tblCCPs[Operating limit],MATCH(tblLog[[#This Row],[CCP]],tblCCPs[CCP],0))),""))</f>
        <v>78</v>
      </c>
      <c r="K2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6" s="28" t="s">
        <v>127</v>
      </c>
      <c r="M26" s="42" t="s">
        <v>122</v>
      </c>
      <c r="N26" s="35">
        <v>0</v>
      </c>
      <c r="O26" s="28" t="s">
        <v>123</v>
      </c>
      <c r="P26" s="43">
        <f>IF(tblLog[[#This Row],[Date]]="","",IF(N(tblLog[[#This Row],[Product held]])&gt;0,tblLog[[#This Row],[Product held]]*HoldValue+QACost,0))</f>
        <v>0</v>
      </c>
      <c r="Q26" s="43">
        <f>IF(tblLog[[#This Row],[Date]]="","",IF(tblLog[[#This Row],[CCP]]="","",COUNTIFS(tblLog[CCP],tblLog[[#This Row],[CCP]],tblLog[Date],"&lt;"&amp;tblLog[[#This Row],[Date]])+COUNTIFS(tblLog[CCP],tblLog[[#This Row],[CCP]],tblLog[Date],tblLog[[#This Row],[Date]],tblLog[Time],"&lt;="&amp;tblLog[[#This Row],[Time]])))</f>
        <v>7</v>
      </c>
      <c r="R26" s="44">
        <f>IF(tblLog[[#This Row],[Date]]="","",IF(AND(tblLog[[#This Row],[Date]]&gt;=FFrom,tblLog[[#This Row],[Date]]&lt;=FTo),tblLog[[#This Row],[Date]],""))</f>
        <v>46280</v>
      </c>
      <c r="S2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6" s="28" t="s">
        <v>122</v>
      </c>
    </row>
    <row r="27" spans="2:20">
      <c r="B27" s="37">
        <v>46280</v>
      </c>
      <c r="C27" s="38">
        <v>0.3333333333333333</v>
      </c>
      <c r="D27" s="28" t="s">
        <v>101</v>
      </c>
      <c r="E27" s="28" t="s">
        <v>125</v>
      </c>
      <c r="F27" s="34">
        <v>2.5</v>
      </c>
      <c r="G27" s="39" t="str">
        <f>IF(tblLog[[#This Row],[Date]]="","",IFERROR(IF(INDEX(tblCCPs[Unit],MATCH(tblLog[[#This Row],[CCP]],tblCCPs[CCP],0))="","",INDEX(tblCCPs[Unit],MATCH(tblLog[[#This Row],[CCP]],tblCCPs[CCP],0))),""))</f>
        <v>°C</v>
      </c>
      <c r="H27" s="39" t="str">
        <f>IF(tblLog[[#This Row],[Date]]="","",IFERROR(IF(INDEX(tblCCPs[Limit type],MATCH(tblLog[[#This Row],[CCP]],tblCCPs[CCP],0))="","",INDEX(tblCCPs[Limit type],MATCH(tblLog[[#This Row],[CCP]],tblCCPs[CCP],0))),""))</f>
        <v>Maximum</v>
      </c>
      <c r="I27" s="40">
        <f>IF(tblLog[[#This Row],[Date]]="","",IFERROR(IF(INDEX(tblCCPs[Critical limit],MATCH(tblLog[[#This Row],[CCP]],tblCCPs[CCP],0))="","",INDEX(tblCCPs[Critical limit],MATCH(tblLog[[#This Row],[CCP]],tblCCPs[CCP],0))),""))</f>
        <v>5</v>
      </c>
      <c r="J27" s="40">
        <f>IF(tblLog[[#This Row],[Date]]="","",IFERROR(IF(INDEX(tblCCPs[Operating limit],MATCH(tblLog[[#This Row],[CCP]],tblCCPs[CCP],0))="","",INDEX(tblCCPs[Operating limit],MATCH(tblLog[[#This Row],[CCP]],tblCCPs[CCP],0))),""))</f>
        <v>4</v>
      </c>
      <c r="K2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7" s="28" t="s">
        <v>127</v>
      </c>
      <c r="M27" s="42" t="s">
        <v>122</v>
      </c>
      <c r="N27" s="35">
        <v>0</v>
      </c>
      <c r="O27" s="28" t="s">
        <v>123</v>
      </c>
      <c r="P27" s="43">
        <f>IF(tblLog[[#This Row],[Date]]="","",IF(N(tblLog[[#This Row],[Product held]])&gt;0,tblLog[[#This Row],[Product held]]*HoldValue+QACost,0))</f>
        <v>0</v>
      </c>
      <c r="Q27" s="43">
        <f>IF(tblLog[[#This Row],[Date]]="","",IF(tblLog[[#This Row],[CCP]]="","",COUNTIFS(tblLog[CCP],tblLog[[#This Row],[CCP]],tblLog[Date],"&lt;"&amp;tblLog[[#This Row],[Date]])+COUNTIFS(tblLog[CCP],tblLog[[#This Row],[CCP]],tblLog[Date],tblLog[[#This Row],[Date]],tblLog[Time],"&lt;="&amp;tblLog[[#This Row],[Time]])))</f>
        <v>3</v>
      </c>
      <c r="R27" s="44">
        <f>IF(tblLog[[#This Row],[Date]]="","",IF(AND(tblLog[[#This Row],[Date]]&gt;=FFrom,tblLog[[#This Row],[Date]]&lt;=FTo),tblLog[[#This Row],[Date]],""))</f>
        <v>46280</v>
      </c>
      <c r="S2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7" s="28" t="s">
        <v>122</v>
      </c>
    </row>
    <row r="28" spans="2:20">
      <c r="B28" s="37">
        <v>46280</v>
      </c>
      <c r="C28" s="38">
        <v>0.375</v>
      </c>
      <c r="D28" s="28" t="s">
        <v>85</v>
      </c>
      <c r="E28" s="28" t="s">
        <v>138</v>
      </c>
      <c r="F28" s="34">
        <v>84.09999999999999</v>
      </c>
      <c r="G28" s="39" t="str">
        <f>IF(tblLog[[#This Row],[Date]]="","",IFERROR(IF(INDEX(tblCCPs[Unit],MATCH(tblLog[[#This Row],[CCP]],tblCCPs[CCP],0))="","",INDEX(tblCCPs[Unit],MATCH(tblLog[[#This Row],[CCP]],tblCCPs[CCP],0))),""))</f>
        <v>°C</v>
      </c>
      <c r="H28" s="39" t="str">
        <f>IF(tblLog[[#This Row],[Date]]="","",IFERROR(IF(INDEX(tblCCPs[Limit type],MATCH(tblLog[[#This Row],[CCP]],tblCCPs[CCP],0))="","",INDEX(tblCCPs[Limit type],MATCH(tblLog[[#This Row],[CCP]],tblCCPs[CCP],0))),""))</f>
        <v>Minimum</v>
      </c>
      <c r="I28" s="40">
        <f>IF(tblLog[[#This Row],[Date]]="","",IFERROR(IF(INDEX(tblCCPs[Critical limit],MATCH(tblLog[[#This Row],[CCP]],tblCCPs[CCP],0))="","",INDEX(tblCCPs[Critical limit],MATCH(tblLog[[#This Row],[CCP]],tblCCPs[CCP],0))),""))</f>
        <v>75</v>
      </c>
      <c r="J28" s="40">
        <f>IF(tblLog[[#This Row],[Date]]="","",IFERROR(IF(INDEX(tblCCPs[Operating limit],MATCH(tblLog[[#This Row],[CCP]],tblCCPs[CCP],0))="","",INDEX(tblCCPs[Operating limit],MATCH(tblLog[[#This Row],[CCP]],tblCCPs[CCP],0))),""))</f>
        <v>78</v>
      </c>
      <c r="K2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8" s="28" t="s">
        <v>130</v>
      </c>
      <c r="M28" s="42" t="s">
        <v>122</v>
      </c>
      <c r="N28" s="35">
        <v>0</v>
      </c>
      <c r="O28" s="28" t="s">
        <v>123</v>
      </c>
      <c r="P28" s="43">
        <f>IF(tblLog[[#This Row],[Date]]="","",IF(N(tblLog[[#This Row],[Product held]])&gt;0,tblLog[[#This Row],[Product held]]*HoldValue+QACost,0))</f>
        <v>0</v>
      </c>
      <c r="Q28" s="43">
        <f>IF(tblLog[[#This Row],[Date]]="","",IF(tblLog[[#This Row],[CCP]]="","",COUNTIFS(tblLog[CCP],tblLog[[#This Row],[CCP]],tblLog[Date],"&lt;"&amp;tblLog[[#This Row],[Date]])+COUNTIFS(tblLog[CCP],tblLog[[#This Row],[CCP]],tblLog[Date],tblLog[[#This Row],[Date]],tblLog[Time],"&lt;="&amp;tblLog[[#This Row],[Time]])))</f>
        <v>8</v>
      </c>
      <c r="R28" s="44">
        <f>IF(tblLog[[#This Row],[Date]]="","",IF(AND(tblLog[[#This Row],[Date]]&gt;=FFrom,tblLog[[#This Row],[Date]]&lt;=FTo),tblLog[[#This Row],[Date]],""))</f>
        <v>46280</v>
      </c>
      <c r="S2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8" s="28" t="s">
        <v>122</v>
      </c>
    </row>
    <row r="29" spans="2:20">
      <c r="B29" s="37">
        <v>46280</v>
      </c>
      <c r="C29" s="38">
        <v>0.3854166666666667</v>
      </c>
      <c r="D29" s="28" t="s">
        <v>91</v>
      </c>
      <c r="E29" s="28" t="s">
        <v>137</v>
      </c>
      <c r="F29" s="34">
        <v>2.5</v>
      </c>
      <c r="G29" s="39" t="str">
        <f>IF(tblLog[[#This Row],[Date]]="","",IFERROR(IF(INDEX(tblCCPs[Unit],MATCH(tblLog[[#This Row],[CCP]],tblCCPs[CCP],0))="","",INDEX(tblCCPs[Unit],MATCH(tblLog[[#This Row],[CCP]],tblCCPs[CCP],0))),""))</f>
        <v>°C</v>
      </c>
      <c r="H29" s="39" t="str">
        <f>IF(tblLog[[#This Row],[Date]]="","",IFERROR(IF(INDEX(tblCCPs[Limit type],MATCH(tblLog[[#This Row],[CCP]],tblCCPs[CCP],0))="","",INDEX(tblCCPs[Limit type],MATCH(tblLog[[#This Row],[CCP]],tblCCPs[CCP],0))),""))</f>
        <v>Maximum</v>
      </c>
      <c r="I29" s="40">
        <f>IF(tblLog[[#This Row],[Date]]="","",IFERROR(IF(INDEX(tblCCPs[Critical limit],MATCH(tblLog[[#This Row],[CCP]],tblCCPs[CCP],0))="","",INDEX(tblCCPs[Critical limit],MATCH(tblLog[[#This Row],[CCP]],tblCCPs[CCP],0))),""))</f>
        <v>5</v>
      </c>
      <c r="J29" s="40">
        <f>IF(tblLog[[#This Row],[Date]]="","",IFERROR(IF(INDEX(tblCCPs[Operating limit],MATCH(tblLog[[#This Row],[CCP]],tblCCPs[CCP],0))="","",INDEX(tblCCPs[Operating limit],MATCH(tblLog[[#This Row],[CCP]],tblCCPs[CCP],0))),""))</f>
        <v>4</v>
      </c>
      <c r="K2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29" s="28" t="s">
        <v>127</v>
      </c>
      <c r="M29" s="42" t="s">
        <v>122</v>
      </c>
      <c r="N29" s="35">
        <v>0</v>
      </c>
      <c r="O29" s="28" t="s">
        <v>123</v>
      </c>
      <c r="P29" s="43">
        <f>IF(tblLog[[#This Row],[Date]]="","",IF(N(tblLog[[#This Row],[Product held]])&gt;0,tblLog[[#This Row],[Product held]]*HoldValue+QACost,0))</f>
        <v>0</v>
      </c>
      <c r="Q29" s="43">
        <f>IF(tblLog[[#This Row],[Date]]="","",IF(tblLog[[#This Row],[CCP]]="","",COUNTIFS(tblLog[CCP],tblLog[[#This Row],[CCP]],tblLog[Date],"&lt;"&amp;tblLog[[#This Row],[Date]])+COUNTIFS(tblLog[CCP],tblLog[[#This Row],[CCP]],tblLog[Date],tblLog[[#This Row],[Date]],tblLog[Time],"&lt;="&amp;tblLog[[#This Row],[Time]])))</f>
        <v>7</v>
      </c>
      <c r="R29" s="44">
        <f>IF(tblLog[[#This Row],[Date]]="","",IF(AND(tblLog[[#This Row],[Date]]&gt;=FFrom,tblLog[[#This Row],[Date]]&lt;=FTo),tblLog[[#This Row],[Date]],""))</f>
        <v>46280</v>
      </c>
      <c r="S2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29" s="28" t="s">
        <v>122</v>
      </c>
    </row>
    <row r="30" spans="2:20">
      <c r="B30" s="37">
        <v>46280</v>
      </c>
      <c r="C30" s="38">
        <v>0.4166666666666667</v>
      </c>
      <c r="D30" s="28" t="s">
        <v>96</v>
      </c>
      <c r="E30" s="28" t="s">
        <v>128</v>
      </c>
      <c r="F30" s="34">
        <v>3</v>
      </c>
      <c r="G30" s="39" t="str">
        <f>IF(tblLog[[#This Row],[Date]]="","",IFERROR(IF(INDEX(tblCCPs[Unit],MATCH(tblLog[[#This Row],[CCP]],tblCCPs[CCP],0))="","",INDEX(tblCCPs[Unit],MATCH(tblLog[[#This Row],[CCP]],tblCCPs[CCP],0))),""))</f>
        <v>of 3</v>
      </c>
      <c r="H30" s="39" t="str">
        <f>IF(tblLog[[#This Row],[Date]]="","",IFERROR(IF(INDEX(tblCCPs[Limit type],MATCH(tblLog[[#This Row],[CCP]],tblCCPs[CCP],0))="","",INDEX(tblCCPs[Limit type],MATCH(tblLog[[#This Row],[CCP]],tblCCPs[CCP],0))),""))</f>
        <v>Minimum</v>
      </c>
      <c r="I30" s="40">
        <f>IF(tblLog[[#This Row],[Date]]="","",IFERROR(IF(INDEX(tblCCPs[Critical limit],MATCH(tblLog[[#This Row],[CCP]],tblCCPs[CCP],0))="","",INDEX(tblCCPs[Critical limit],MATCH(tblLog[[#This Row],[CCP]],tblCCPs[CCP],0))),""))</f>
        <v>3</v>
      </c>
      <c r="J30" s="40">
        <f>IF(tblLog[[#This Row],[Date]]="","",IFERROR(IF(INDEX(tblCCPs[Operating limit],MATCH(tblLog[[#This Row],[CCP]],tblCCPs[CCP],0))="","",INDEX(tblCCPs[Operating limit],MATCH(tblLog[[#This Row],[CCP]],tblCCPs[CCP],0))),""))</f>
        <v/>
      </c>
      <c r="K3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0" s="28" t="s">
        <v>130</v>
      </c>
      <c r="M30" s="42" t="s">
        <v>122</v>
      </c>
      <c r="N30" s="35">
        <v>0</v>
      </c>
      <c r="O30" s="28" t="s">
        <v>123</v>
      </c>
      <c r="P30" s="43">
        <f>IF(tblLog[[#This Row],[Date]]="","",IF(N(tblLog[[#This Row],[Product held]])&gt;0,tblLog[[#This Row],[Product held]]*HoldValue+QACost,0))</f>
        <v>0</v>
      </c>
      <c r="Q30" s="43">
        <f>IF(tblLog[[#This Row],[Date]]="","",IF(tblLog[[#This Row],[CCP]]="","",COUNTIFS(tblLog[CCP],tblLog[[#This Row],[CCP]],tblLog[Date],"&lt;"&amp;tblLog[[#This Row],[Date]])+COUNTIFS(tblLog[CCP],tblLog[[#This Row],[CCP]],tblLog[Date],tblLog[[#This Row],[Date]],tblLog[Time],"&lt;="&amp;tblLog[[#This Row],[Time]])))</f>
        <v>6</v>
      </c>
      <c r="R30" s="44">
        <f>IF(tblLog[[#This Row],[Date]]="","",IF(AND(tblLog[[#This Row],[Date]]&gt;=FFrom,tblLog[[#This Row],[Date]]&lt;=FTo),tblLog[[#This Row],[Date]],""))</f>
        <v>46280</v>
      </c>
      <c r="S3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0" s="28" t="s">
        <v>122</v>
      </c>
    </row>
    <row r="31" spans="2:20">
      <c r="B31" s="37">
        <v>46280</v>
      </c>
      <c r="C31" s="38">
        <v>0.4375</v>
      </c>
      <c r="D31" s="28" t="s">
        <v>85</v>
      </c>
      <c r="E31" s="28" t="s">
        <v>139</v>
      </c>
      <c r="F31" s="34">
        <v>82.8</v>
      </c>
      <c r="G31" s="39" t="str">
        <f>IF(tblLog[[#This Row],[Date]]="","",IFERROR(IF(INDEX(tblCCPs[Unit],MATCH(tblLog[[#This Row],[CCP]],tblCCPs[CCP],0))="","",INDEX(tblCCPs[Unit],MATCH(tblLog[[#This Row],[CCP]],tblCCPs[CCP],0))),""))</f>
        <v>°C</v>
      </c>
      <c r="H31" s="39" t="str">
        <f>IF(tblLog[[#This Row],[Date]]="","",IFERROR(IF(INDEX(tblCCPs[Limit type],MATCH(tblLog[[#This Row],[CCP]],tblCCPs[CCP],0))="","",INDEX(tblCCPs[Limit type],MATCH(tblLog[[#This Row],[CCP]],tblCCPs[CCP],0))),""))</f>
        <v>Minimum</v>
      </c>
      <c r="I31" s="40">
        <f>IF(tblLog[[#This Row],[Date]]="","",IFERROR(IF(INDEX(tblCCPs[Critical limit],MATCH(tblLog[[#This Row],[CCP]],tblCCPs[CCP],0))="","",INDEX(tblCCPs[Critical limit],MATCH(tblLog[[#This Row],[CCP]],tblCCPs[CCP],0))),""))</f>
        <v>75</v>
      </c>
      <c r="J31" s="40">
        <f>IF(tblLog[[#This Row],[Date]]="","",IFERROR(IF(INDEX(tblCCPs[Operating limit],MATCH(tblLog[[#This Row],[CCP]],tblCCPs[CCP],0))="","",INDEX(tblCCPs[Operating limit],MATCH(tblLog[[#This Row],[CCP]],tblCCPs[CCP],0))),""))</f>
        <v>78</v>
      </c>
      <c r="K3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1" s="28" t="s">
        <v>132</v>
      </c>
      <c r="M31" s="42" t="s">
        <v>122</v>
      </c>
      <c r="N31" s="35">
        <v>0</v>
      </c>
      <c r="O31" s="28" t="s">
        <v>123</v>
      </c>
      <c r="P31" s="43">
        <f>IF(tblLog[[#This Row],[Date]]="","",IF(N(tblLog[[#This Row],[Product held]])&gt;0,tblLog[[#This Row],[Product held]]*HoldValue+QACost,0))</f>
        <v>0</v>
      </c>
      <c r="Q31" s="43">
        <f>IF(tblLog[[#This Row],[Date]]="","",IF(tblLog[[#This Row],[CCP]]="","",COUNTIFS(tblLog[CCP],tblLog[[#This Row],[CCP]],tblLog[Date],"&lt;"&amp;tblLog[[#This Row],[Date]])+COUNTIFS(tblLog[CCP],tblLog[[#This Row],[CCP]],tblLog[Date],tblLog[[#This Row],[Date]],tblLog[Time],"&lt;="&amp;tblLog[[#This Row],[Time]])))</f>
        <v>9</v>
      </c>
      <c r="R31" s="44">
        <f>IF(tblLog[[#This Row],[Date]]="","",IF(AND(tblLog[[#This Row],[Date]]&gt;=FFrom,tblLog[[#This Row],[Date]]&lt;=FTo),tblLog[[#This Row],[Date]],""))</f>
        <v>46280</v>
      </c>
      <c r="S3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1" s="28" t="s">
        <v>122</v>
      </c>
    </row>
    <row r="32" spans="2:20">
      <c r="B32" s="37">
        <v>46280</v>
      </c>
      <c r="C32" s="38">
        <v>0.4479166666666667</v>
      </c>
      <c r="D32" s="28" t="s">
        <v>91</v>
      </c>
      <c r="E32" s="28" t="s">
        <v>138</v>
      </c>
      <c r="F32" s="34">
        <v>3.2</v>
      </c>
      <c r="G32" s="39" t="str">
        <f>IF(tblLog[[#This Row],[Date]]="","",IFERROR(IF(INDEX(tblCCPs[Unit],MATCH(tblLog[[#This Row],[CCP]],tblCCPs[CCP],0))="","",INDEX(tblCCPs[Unit],MATCH(tblLog[[#This Row],[CCP]],tblCCPs[CCP],0))),""))</f>
        <v>°C</v>
      </c>
      <c r="H32" s="39" t="str">
        <f>IF(tblLog[[#This Row],[Date]]="","",IFERROR(IF(INDEX(tblCCPs[Limit type],MATCH(tblLog[[#This Row],[CCP]],tblCCPs[CCP],0))="","",INDEX(tblCCPs[Limit type],MATCH(tblLog[[#This Row],[CCP]],tblCCPs[CCP],0))),""))</f>
        <v>Maximum</v>
      </c>
      <c r="I32" s="40">
        <f>IF(tblLog[[#This Row],[Date]]="","",IFERROR(IF(INDEX(tblCCPs[Critical limit],MATCH(tblLog[[#This Row],[CCP]],tblCCPs[CCP],0))="","",INDEX(tblCCPs[Critical limit],MATCH(tblLog[[#This Row],[CCP]],tblCCPs[CCP],0))),""))</f>
        <v>5</v>
      </c>
      <c r="J32" s="40">
        <f>IF(tblLog[[#This Row],[Date]]="","",IFERROR(IF(INDEX(tblCCPs[Operating limit],MATCH(tblLog[[#This Row],[CCP]],tblCCPs[CCP],0))="","",INDEX(tblCCPs[Operating limit],MATCH(tblLog[[#This Row],[CCP]],tblCCPs[CCP],0))),""))</f>
        <v>4</v>
      </c>
      <c r="K3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2" s="28" t="s">
        <v>130</v>
      </c>
      <c r="M32" s="42" t="s">
        <v>122</v>
      </c>
      <c r="N32" s="35">
        <v>0</v>
      </c>
      <c r="O32" s="28" t="s">
        <v>123</v>
      </c>
      <c r="P32" s="43">
        <f>IF(tblLog[[#This Row],[Date]]="","",IF(N(tblLog[[#This Row],[Product held]])&gt;0,tblLog[[#This Row],[Product held]]*HoldValue+QACost,0))</f>
        <v>0</v>
      </c>
      <c r="Q32" s="43">
        <f>IF(tblLog[[#This Row],[Date]]="","",IF(tblLog[[#This Row],[CCP]]="","",COUNTIFS(tblLog[CCP],tblLog[[#This Row],[CCP]],tblLog[Date],"&lt;"&amp;tblLog[[#This Row],[Date]])+COUNTIFS(tblLog[CCP],tblLog[[#This Row],[CCP]],tblLog[Date],tblLog[[#This Row],[Date]],tblLog[Time],"&lt;="&amp;tblLog[[#This Row],[Time]])))</f>
        <v>8</v>
      </c>
      <c r="R32" s="44">
        <f>IF(tblLog[[#This Row],[Date]]="","",IF(AND(tblLog[[#This Row],[Date]]&gt;=FFrom,tblLog[[#This Row],[Date]]&lt;=FTo),tblLog[[#This Row],[Date]],""))</f>
        <v>46280</v>
      </c>
      <c r="S3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2" s="28" t="s">
        <v>122</v>
      </c>
    </row>
    <row r="33" spans="2:20">
      <c r="B33" s="37">
        <v>46280</v>
      </c>
      <c r="C33" s="38">
        <v>0.5</v>
      </c>
      <c r="D33" s="28" t="s">
        <v>85</v>
      </c>
      <c r="E33" s="28" t="s">
        <v>140</v>
      </c>
      <c r="F33" s="34">
        <v>81.40000000000001</v>
      </c>
      <c r="G33" s="39" t="str">
        <f>IF(tblLog[[#This Row],[Date]]="","",IFERROR(IF(INDEX(tblCCPs[Unit],MATCH(tblLog[[#This Row],[CCP]],tblCCPs[CCP],0))="","",INDEX(tblCCPs[Unit],MATCH(tblLog[[#This Row],[CCP]],tblCCPs[CCP],0))),""))</f>
        <v>°C</v>
      </c>
      <c r="H33" s="39" t="str">
        <f>IF(tblLog[[#This Row],[Date]]="","",IFERROR(IF(INDEX(tblCCPs[Limit type],MATCH(tblLog[[#This Row],[CCP]],tblCCPs[CCP],0))="","",INDEX(tblCCPs[Limit type],MATCH(tblLog[[#This Row],[CCP]],tblCCPs[CCP],0))),""))</f>
        <v>Minimum</v>
      </c>
      <c r="I33" s="40">
        <f>IF(tblLog[[#This Row],[Date]]="","",IFERROR(IF(INDEX(tblCCPs[Critical limit],MATCH(tblLog[[#This Row],[CCP]],tblCCPs[CCP],0))="","",INDEX(tblCCPs[Critical limit],MATCH(tblLog[[#This Row],[CCP]],tblCCPs[CCP],0))),""))</f>
        <v>75</v>
      </c>
      <c r="J33" s="40">
        <f>IF(tblLog[[#This Row],[Date]]="","",IFERROR(IF(INDEX(tblCCPs[Operating limit],MATCH(tblLog[[#This Row],[CCP]],tblCCPs[CCP],0))="","",INDEX(tblCCPs[Operating limit],MATCH(tblLog[[#This Row],[CCP]],tblCCPs[CCP],0))),""))</f>
        <v>78</v>
      </c>
      <c r="K3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3" s="28" t="s">
        <v>121</v>
      </c>
      <c r="M33" s="42" t="s">
        <v>122</v>
      </c>
      <c r="N33" s="35">
        <v>0</v>
      </c>
      <c r="O33" s="28" t="s">
        <v>123</v>
      </c>
      <c r="P33" s="43">
        <f>IF(tblLog[[#This Row],[Date]]="","",IF(N(tblLog[[#This Row],[Product held]])&gt;0,tblLog[[#This Row],[Product held]]*HoldValue+QACost,0))</f>
        <v>0</v>
      </c>
      <c r="Q33" s="43">
        <f>IF(tblLog[[#This Row],[Date]]="","",IF(tblLog[[#This Row],[CCP]]="","",COUNTIFS(tblLog[CCP],tblLog[[#This Row],[CCP]],tblLog[Date],"&lt;"&amp;tblLog[[#This Row],[Date]])+COUNTIFS(tblLog[CCP],tblLog[[#This Row],[CCP]],tblLog[Date],tblLog[[#This Row],[Date]],tblLog[Time],"&lt;="&amp;tblLog[[#This Row],[Time]])))</f>
        <v>10</v>
      </c>
      <c r="R33" s="44">
        <f>IF(tblLog[[#This Row],[Date]]="","",IF(AND(tblLog[[#This Row],[Date]]&gt;=FFrom,tblLog[[#This Row],[Date]]&lt;=FTo),tblLog[[#This Row],[Date]],""))</f>
        <v>46280</v>
      </c>
      <c r="S3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3" s="28" t="s">
        <v>122</v>
      </c>
    </row>
    <row r="34" spans="2:20">
      <c r="B34" s="37">
        <v>46280</v>
      </c>
      <c r="C34" s="38">
        <v>0.5104166666666666</v>
      </c>
      <c r="D34" s="28" t="s">
        <v>91</v>
      </c>
      <c r="E34" s="28" t="s">
        <v>139</v>
      </c>
      <c r="F34" s="34">
        <v>2.1</v>
      </c>
      <c r="G34" s="39" t="str">
        <f>IF(tblLog[[#This Row],[Date]]="","",IFERROR(IF(INDEX(tblCCPs[Unit],MATCH(tblLog[[#This Row],[CCP]],tblCCPs[CCP],0))="","",INDEX(tblCCPs[Unit],MATCH(tblLog[[#This Row],[CCP]],tblCCPs[CCP],0))),""))</f>
        <v>°C</v>
      </c>
      <c r="H34" s="39" t="str">
        <f>IF(tblLog[[#This Row],[Date]]="","",IFERROR(IF(INDEX(tblCCPs[Limit type],MATCH(tblLog[[#This Row],[CCP]],tblCCPs[CCP],0))="","",INDEX(tblCCPs[Limit type],MATCH(tblLog[[#This Row],[CCP]],tblCCPs[CCP],0))),""))</f>
        <v>Maximum</v>
      </c>
      <c r="I34" s="40">
        <f>IF(tblLog[[#This Row],[Date]]="","",IFERROR(IF(INDEX(tblCCPs[Critical limit],MATCH(tblLog[[#This Row],[CCP]],tblCCPs[CCP],0))="","",INDEX(tblCCPs[Critical limit],MATCH(tblLog[[#This Row],[CCP]],tblCCPs[CCP],0))),""))</f>
        <v>5</v>
      </c>
      <c r="J34" s="40">
        <f>IF(tblLog[[#This Row],[Date]]="","",IFERROR(IF(INDEX(tblCCPs[Operating limit],MATCH(tblLog[[#This Row],[CCP]],tblCCPs[CCP],0))="","",INDEX(tblCCPs[Operating limit],MATCH(tblLog[[#This Row],[CCP]],tblCCPs[CCP],0))),""))</f>
        <v>4</v>
      </c>
      <c r="K3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4" s="28" t="s">
        <v>132</v>
      </c>
      <c r="M34" s="42" t="s">
        <v>122</v>
      </c>
      <c r="N34" s="35">
        <v>0</v>
      </c>
      <c r="O34" s="28" t="s">
        <v>123</v>
      </c>
      <c r="P34" s="43">
        <f>IF(tblLog[[#This Row],[Date]]="","",IF(N(tblLog[[#This Row],[Product held]])&gt;0,tblLog[[#This Row],[Product held]]*HoldValue+QACost,0))</f>
        <v>0</v>
      </c>
      <c r="Q34" s="43">
        <f>IF(tblLog[[#This Row],[Date]]="","",IF(tblLog[[#This Row],[CCP]]="","",COUNTIFS(tblLog[CCP],tblLog[[#This Row],[CCP]],tblLog[Date],"&lt;"&amp;tblLog[[#This Row],[Date]])+COUNTIFS(tblLog[CCP],tblLog[[#This Row],[CCP]],tblLog[Date],tblLog[[#This Row],[Date]],tblLog[Time],"&lt;="&amp;tblLog[[#This Row],[Time]])))</f>
        <v>9</v>
      </c>
      <c r="R34" s="44">
        <f>IF(tblLog[[#This Row],[Date]]="","",IF(AND(tblLog[[#This Row],[Date]]&gt;=FFrom,tblLog[[#This Row],[Date]]&lt;=FTo),tblLog[[#This Row],[Date]],""))</f>
        <v>46280</v>
      </c>
      <c r="S3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4" s="28" t="s">
        <v>122</v>
      </c>
    </row>
    <row r="35" spans="2:20">
      <c r="B35" s="37">
        <v>46280</v>
      </c>
      <c r="C35" s="38">
        <v>0.5416666666666666</v>
      </c>
      <c r="D35" s="28" t="s">
        <v>96</v>
      </c>
      <c r="E35" s="28" t="s">
        <v>133</v>
      </c>
      <c r="F35" s="34">
        <v>3</v>
      </c>
      <c r="G35" s="39" t="str">
        <f>IF(tblLog[[#This Row],[Date]]="","",IFERROR(IF(INDEX(tblCCPs[Unit],MATCH(tblLog[[#This Row],[CCP]],tblCCPs[CCP],0))="","",INDEX(tblCCPs[Unit],MATCH(tblLog[[#This Row],[CCP]],tblCCPs[CCP],0))),""))</f>
        <v>of 3</v>
      </c>
      <c r="H35" s="39" t="str">
        <f>IF(tblLog[[#This Row],[Date]]="","",IFERROR(IF(INDEX(tblCCPs[Limit type],MATCH(tblLog[[#This Row],[CCP]],tblCCPs[CCP],0))="","",INDEX(tblCCPs[Limit type],MATCH(tblLog[[#This Row],[CCP]],tblCCPs[CCP],0))),""))</f>
        <v>Minimum</v>
      </c>
      <c r="I35" s="40">
        <f>IF(tblLog[[#This Row],[Date]]="","",IFERROR(IF(INDEX(tblCCPs[Critical limit],MATCH(tblLog[[#This Row],[CCP]],tblCCPs[CCP],0))="","",INDEX(tblCCPs[Critical limit],MATCH(tblLog[[#This Row],[CCP]],tblCCPs[CCP],0))),""))</f>
        <v>3</v>
      </c>
      <c r="J35" s="40">
        <f>IF(tblLog[[#This Row],[Date]]="","",IFERROR(IF(INDEX(tblCCPs[Operating limit],MATCH(tblLog[[#This Row],[CCP]],tblCCPs[CCP],0))="","",INDEX(tblCCPs[Operating limit],MATCH(tblLog[[#This Row],[CCP]],tblCCPs[CCP],0))),""))</f>
        <v/>
      </c>
      <c r="K3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5" s="28" t="s">
        <v>132</v>
      </c>
      <c r="M35" s="42" t="s">
        <v>122</v>
      </c>
      <c r="N35" s="35">
        <v>0</v>
      </c>
      <c r="O35" s="28" t="s">
        <v>123</v>
      </c>
      <c r="P35" s="43">
        <f>IF(tblLog[[#This Row],[Date]]="","",IF(N(tblLog[[#This Row],[Product held]])&gt;0,tblLog[[#This Row],[Product held]]*HoldValue+QACost,0))</f>
        <v>0</v>
      </c>
      <c r="Q35" s="43">
        <f>IF(tblLog[[#This Row],[Date]]="","",IF(tblLog[[#This Row],[CCP]]="","",COUNTIFS(tblLog[CCP],tblLog[[#This Row],[CCP]],tblLog[Date],"&lt;"&amp;tblLog[[#This Row],[Date]])+COUNTIFS(tblLog[CCP],tblLog[[#This Row],[CCP]],tblLog[Date],tblLog[[#This Row],[Date]],tblLog[Time],"&lt;="&amp;tblLog[[#This Row],[Time]])))</f>
        <v>7</v>
      </c>
      <c r="R35" s="44">
        <f>IF(tblLog[[#This Row],[Date]]="","",IF(AND(tblLog[[#This Row],[Date]]&gt;=FFrom,tblLog[[#This Row],[Date]]&lt;=FTo),tblLog[[#This Row],[Date]],""))</f>
        <v>46280</v>
      </c>
      <c r="S3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5" s="28" t="s">
        <v>122</v>
      </c>
    </row>
    <row r="36" spans="2:20">
      <c r="B36" s="37">
        <v>46280</v>
      </c>
      <c r="C36" s="38">
        <v>0.5625</v>
      </c>
      <c r="D36" s="28" t="s">
        <v>85</v>
      </c>
      <c r="E36" s="28" t="s">
        <v>141</v>
      </c>
      <c r="F36" s="34">
        <v>79.59999999999999</v>
      </c>
      <c r="G36" s="39" t="str">
        <f>IF(tblLog[[#This Row],[Date]]="","",IFERROR(IF(INDEX(tblCCPs[Unit],MATCH(tblLog[[#This Row],[CCP]],tblCCPs[CCP],0))="","",INDEX(tblCCPs[Unit],MATCH(tblLog[[#This Row],[CCP]],tblCCPs[CCP],0))),""))</f>
        <v>°C</v>
      </c>
      <c r="H36" s="39" t="str">
        <f>IF(tblLog[[#This Row],[Date]]="","",IFERROR(IF(INDEX(tblCCPs[Limit type],MATCH(tblLog[[#This Row],[CCP]],tblCCPs[CCP],0))="","",INDEX(tblCCPs[Limit type],MATCH(tblLog[[#This Row],[CCP]],tblCCPs[CCP],0))),""))</f>
        <v>Minimum</v>
      </c>
      <c r="I36" s="40">
        <f>IF(tblLog[[#This Row],[Date]]="","",IFERROR(IF(INDEX(tblCCPs[Critical limit],MATCH(tblLog[[#This Row],[CCP]],tblCCPs[CCP],0))="","",INDEX(tblCCPs[Critical limit],MATCH(tblLog[[#This Row],[CCP]],tblCCPs[CCP],0))),""))</f>
        <v>75</v>
      </c>
      <c r="J36" s="40">
        <f>IF(tblLog[[#This Row],[Date]]="","",IFERROR(IF(INDEX(tblCCPs[Operating limit],MATCH(tblLog[[#This Row],[CCP]],tblCCPs[CCP],0))="","",INDEX(tblCCPs[Operating limit],MATCH(tblLog[[#This Row],[CCP]],tblCCPs[CCP],0))),""))</f>
        <v>78</v>
      </c>
      <c r="K3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6" s="28" t="s">
        <v>127</v>
      </c>
      <c r="M36" s="42" t="s">
        <v>122</v>
      </c>
      <c r="N36" s="35">
        <v>0</v>
      </c>
      <c r="O36" s="28" t="s">
        <v>123</v>
      </c>
      <c r="P36" s="43">
        <f>IF(tblLog[[#This Row],[Date]]="","",IF(N(tblLog[[#This Row],[Product held]])&gt;0,tblLog[[#This Row],[Product held]]*HoldValue+QACost,0))</f>
        <v>0</v>
      </c>
      <c r="Q36" s="43">
        <f>IF(tblLog[[#This Row],[Date]]="","",IF(tblLog[[#This Row],[CCP]]="","",COUNTIFS(tblLog[CCP],tblLog[[#This Row],[CCP]],tblLog[Date],"&lt;"&amp;tblLog[[#This Row],[Date]])+COUNTIFS(tblLog[CCP],tblLog[[#This Row],[CCP]],tblLog[Date],tblLog[[#This Row],[Date]],tblLog[Time],"&lt;="&amp;tblLog[[#This Row],[Time]])))</f>
        <v>11</v>
      </c>
      <c r="R36" s="44">
        <f>IF(tblLog[[#This Row],[Date]]="","",IF(AND(tblLog[[#This Row],[Date]]&gt;=FFrom,tblLog[[#This Row],[Date]]&lt;=FTo),tblLog[[#This Row],[Date]],""))</f>
        <v>46280</v>
      </c>
      <c r="S3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6" s="28" t="s">
        <v>122</v>
      </c>
    </row>
    <row r="37" spans="2:20">
      <c r="B37" s="37">
        <v>46280</v>
      </c>
      <c r="C37" s="38">
        <v>0.5729166666666666</v>
      </c>
      <c r="D37" s="28" t="s">
        <v>91</v>
      </c>
      <c r="E37" s="28" t="s">
        <v>140</v>
      </c>
      <c r="F37" s="34">
        <v>3.3</v>
      </c>
      <c r="G37" s="39" t="str">
        <f>IF(tblLog[[#This Row],[Date]]="","",IFERROR(IF(INDEX(tblCCPs[Unit],MATCH(tblLog[[#This Row],[CCP]],tblCCPs[CCP],0))="","",INDEX(tblCCPs[Unit],MATCH(tblLog[[#This Row],[CCP]],tblCCPs[CCP],0))),""))</f>
        <v>°C</v>
      </c>
      <c r="H37" s="39" t="str">
        <f>IF(tblLog[[#This Row],[Date]]="","",IFERROR(IF(INDEX(tblCCPs[Limit type],MATCH(tblLog[[#This Row],[CCP]],tblCCPs[CCP],0))="","",INDEX(tblCCPs[Limit type],MATCH(tblLog[[#This Row],[CCP]],tblCCPs[CCP],0))),""))</f>
        <v>Maximum</v>
      </c>
      <c r="I37" s="40">
        <f>IF(tblLog[[#This Row],[Date]]="","",IFERROR(IF(INDEX(tblCCPs[Critical limit],MATCH(tblLog[[#This Row],[CCP]],tblCCPs[CCP],0))="","",INDEX(tblCCPs[Critical limit],MATCH(tblLog[[#This Row],[CCP]],tblCCPs[CCP],0))),""))</f>
        <v>5</v>
      </c>
      <c r="J37" s="40">
        <f>IF(tblLog[[#This Row],[Date]]="","",IFERROR(IF(INDEX(tblCCPs[Operating limit],MATCH(tblLog[[#This Row],[CCP]],tblCCPs[CCP],0))="","",INDEX(tblCCPs[Operating limit],MATCH(tblLog[[#This Row],[CCP]],tblCCPs[CCP],0))),""))</f>
        <v>4</v>
      </c>
      <c r="K3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7" s="28" t="s">
        <v>121</v>
      </c>
      <c r="M37" s="42" t="s">
        <v>122</v>
      </c>
      <c r="N37" s="35">
        <v>0</v>
      </c>
      <c r="O37" s="28" t="s">
        <v>123</v>
      </c>
      <c r="P37" s="43">
        <f>IF(tblLog[[#This Row],[Date]]="","",IF(N(tblLog[[#This Row],[Product held]])&gt;0,tblLog[[#This Row],[Product held]]*HoldValue+QACost,0))</f>
        <v>0</v>
      </c>
      <c r="Q37" s="43">
        <f>IF(tblLog[[#This Row],[Date]]="","",IF(tblLog[[#This Row],[CCP]]="","",COUNTIFS(tblLog[CCP],tblLog[[#This Row],[CCP]],tblLog[Date],"&lt;"&amp;tblLog[[#This Row],[Date]])+COUNTIFS(tblLog[CCP],tblLog[[#This Row],[CCP]],tblLog[Date],tblLog[[#This Row],[Date]],tblLog[Time],"&lt;="&amp;tblLog[[#This Row],[Time]])))</f>
        <v>10</v>
      </c>
      <c r="R37" s="44">
        <f>IF(tblLog[[#This Row],[Date]]="","",IF(AND(tblLog[[#This Row],[Date]]&gt;=FFrom,tblLog[[#This Row],[Date]]&lt;=FTo),tblLog[[#This Row],[Date]],""))</f>
        <v>46280</v>
      </c>
      <c r="S3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7" s="28" t="s">
        <v>122</v>
      </c>
    </row>
    <row r="38" spans="2:20">
      <c r="B38" s="37">
        <v>46280</v>
      </c>
      <c r="C38" s="38">
        <v>0.625</v>
      </c>
      <c r="D38" s="28" t="s">
        <v>85</v>
      </c>
      <c r="E38" s="28" t="s">
        <v>142</v>
      </c>
      <c r="F38" s="34">
        <v>86.59999999999999</v>
      </c>
      <c r="G38" s="39" t="str">
        <f>IF(tblLog[[#This Row],[Date]]="","",IFERROR(IF(INDEX(tblCCPs[Unit],MATCH(tblLog[[#This Row],[CCP]],tblCCPs[CCP],0))="","",INDEX(tblCCPs[Unit],MATCH(tblLog[[#This Row],[CCP]],tblCCPs[CCP],0))),""))</f>
        <v>°C</v>
      </c>
      <c r="H38" s="39" t="str">
        <f>IF(tblLog[[#This Row],[Date]]="","",IFERROR(IF(INDEX(tblCCPs[Limit type],MATCH(tblLog[[#This Row],[CCP]],tblCCPs[CCP],0))="","",INDEX(tblCCPs[Limit type],MATCH(tblLog[[#This Row],[CCP]],tblCCPs[CCP],0))),""))</f>
        <v>Minimum</v>
      </c>
      <c r="I38" s="40">
        <f>IF(tblLog[[#This Row],[Date]]="","",IFERROR(IF(INDEX(tblCCPs[Critical limit],MATCH(tblLog[[#This Row],[CCP]],tblCCPs[CCP],0))="","",INDEX(tblCCPs[Critical limit],MATCH(tblLog[[#This Row],[CCP]],tblCCPs[CCP],0))),""))</f>
        <v>75</v>
      </c>
      <c r="J38" s="40">
        <f>IF(tblLog[[#This Row],[Date]]="","",IFERROR(IF(INDEX(tblCCPs[Operating limit],MATCH(tblLog[[#This Row],[CCP]],tblCCPs[CCP],0))="","",INDEX(tblCCPs[Operating limit],MATCH(tblLog[[#This Row],[CCP]],tblCCPs[CCP],0))),""))</f>
        <v>78</v>
      </c>
      <c r="K3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8" s="28" t="s">
        <v>130</v>
      </c>
      <c r="M38" s="42" t="s">
        <v>122</v>
      </c>
      <c r="N38" s="35">
        <v>0</v>
      </c>
      <c r="O38" s="28" t="s">
        <v>123</v>
      </c>
      <c r="P38" s="43">
        <f>IF(tblLog[[#This Row],[Date]]="","",IF(N(tblLog[[#This Row],[Product held]])&gt;0,tblLog[[#This Row],[Product held]]*HoldValue+QACost,0))</f>
        <v>0</v>
      </c>
      <c r="Q38" s="43">
        <f>IF(tblLog[[#This Row],[Date]]="","",IF(tblLog[[#This Row],[CCP]]="","",COUNTIFS(tblLog[CCP],tblLog[[#This Row],[CCP]],tblLog[Date],"&lt;"&amp;tblLog[[#This Row],[Date]])+COUNTIFS(tblLog[CCP],tblLog[[#This Row],[CCP]],tblLog[Date],tblLog[[#This Row],[Date]],tblLog[Time],"&lt;="&amp;tblLog[[#This Row],[Time]])))</f>
        <v>12</v>
      </c>
      <c r="R38" s="44">
        <f>IF(tblLog[[#This Row],[Date]]="","",IF(AND(tblLog[[#This Row],[Date]]&gt;=FFrom,tblLog[[#This Row],[Date]]&lt;=FTo),tblLog[[#This Row],[Date]],""))</f>
        <v>46280</v>
      </c>
      <c r="S3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8" s="28" t="s">
        <v>122</v>
      </c>
    </row>
    <row r="39" spans="2:20">
      <c r="B39" s="37">
        <v>46280</v>
      </c>
      <c r="C39" s="38">
        <v>0.6354166666666666</v>
      </c>
      <c r="D39" s="28" t="s">
        <v>91</v>
      </c>
      <c r="E39" s="28" t="s">
        <v>141</v>
      </c>
      <c r="F39" s="34">
        <v>3.7</v>
      </c>
      <c r="G39" s="39" t="str">
        <f>IF(tblLog[[#This Row],[Date]]="","",IFERROR(IF(INDEX(tblCCPs[Unit],MATCH(tblLog[[#This Row],[CCP]],tblCCPs[CCP],0))="","",INDEX(tblCCPs[Unit],MATCH(tblLog[[#This Row],[CCP]],tblCCPs[CCP],0))),""))</f>
        <v>°C</v>
      </c>
      <c r="H39" s="39" t="str">
        <f>IF(tblLog[[#This Row],[Date]]="","",IFERROR(IF(INDEX(tblCCPs[Limit type],MATCH(tblLog[[#This Row],[CCP]],tblCCPs[CCP],0))="","",INDEX(tblCCPs[Limit type],MATCH(tblLog[[#This Row],[CCP]],tblCCPs[CCP],0))),""))</f>
        <v>Maximum</v>
      </c>
      <c r="I39" s="40">
        <f>IF(tblLog[[#This Row],[Date]]="","",IFERROR(IF(INDEX(tblCCPs[Critical limit],MATCH(tblLog[[#This Row],[CCP]],tblCCPs[CCP],0))="","",INDEX(tblCCPs[Critical limit],MATCH(tblLog[[#This Row],[CCP]],tblCCPs[CCP],0))),""))</f>
        <v>5</v>
      </c>
      <c r="J39" s="40">
        <f>IF(tblLog[[#This Row],[Date]]="","",IFERROR(IF(INDEX(tblCCPs[Operating limit],MATCH(tblLog[[#This Row],[CCP]],tblCCPs[CCP],0))="","",INDEX(tblCCPs[Operating limit],MATCH(tblLog[[#This Row],[CCP]],tblCCPs[CCP],0))),""))</f>
        <v>4</v>
      </c>
      <c r="K3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39" s="28" t="s">
        <v>127</v>
      </c>
      <c r="M39" s="42" t="s">
        <v>122</v>
      </c>
      <c r="N39" s="35">
        <v>0</v>
      </c>
      <c r="O39" s="28" t="s">
        <v>123</v>
      </c>
      <c r="P39" s="43">
        <f>IF(tblLog[[#This Row],[Date]]="","",IF(N(tblLog[[#This Row],[Product held]])&gt;0,tblLog[[#This Row],[Product held]]*HoldValue+QACost,0))</f>
        <v>0</v>
      </c>
      <c r="Q39" s="43">
        <f>IF(tblLog[[#This Row],[Date]]="","",IF(tblLog[[#This Row],[CCP]]="","",COUNTIFS(tblLog[CCP],tblLog[[#This Row],[CCP]],tblLog[Date],"&lt;"&amp;tblLog[[#This Row],[Date]])+COUNTIFS(tblLog[CCP],tblLog[[#This Row],[CCP]],tblLog[Date],tblLog[[#This Row],[Date]],tblLog[Time],"&lt;="&amp;tblLog[[#This Row],[Time]])))</f>
        <v>11</v>
      </c>
      <c r="R39" s="44">
        <f>IF(tblLog[[#This Row],[Date]]="","",IF(AND(tblLog[[#This Row],[Date]]&gt;=FFrom,tblLog[[#This Row],[Date]]&lt;=FTo),tblLog[[#This Row],[Date]],""))</f>
        <v>46280</v>
      </c>
      <c r="S3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39" s="28" t="s">
        <v>122</v>
      </c>
    </row>
    <row r="40" spans="2:20">
      <c r="B40" s="37">
        <v>46280</v>
      </c>
      <c r="C40" s="38">
        <v>0.6458333333333334</v>
      </c>
      <c r="D40" s="28" t="s">
        <v>96</v>
      </c>
      <c r="E40" s="28" t="s">
        <v>136</v>
      </c>
      <c r="F40" s="34">
        <v>3</v>
      </c>
      <c r="G40" s="39" t="str">
        <f>IF(tblLog[[#This Row],[Date]]="","",IFERROR(IF(INDEX(tblCCPs[Unit],MATCH(tblLog[[#This Row],[CCP]],tblCCPs[CCP],0))="","",INDEX(tblCCPs[Unit],MATCH(tblLog[[#This Row],[CCP]],tblCCPs[CCP],0))),""))</f>
        <v>of 3</v>
      </c>
      <c r="H40" s="39" t="str">
        <f>IF(tblLog[[#This Row],[Date]]="","",IFERROR(IF(INDEX(tblCCPs[Limit type],MATCH(tblLog[[#This Row],[CCP]],tblCCPs[CCP],0))="","",INDEX(tblCCPs[Limit type],MATCH(tblLog[[#This Row],[CCP]],tblCCPs[CCP],0))),""))</f>
        <v>Minimum</v>
      </c>
      <c r="I40" s="40">
        <f>IF(tblLog[[#This Row],[Date]]="","",IFERROR(IF(INDEX(tblCCPs[Critical limit],MATCH(tblLog[[#This Row],[CCP]],tblCCPs[CCP],0))="","",INDEX(tblCCPs[Critical limit],MATCH(tblLog[[#This Row],[CCP]],tblCCPs[CCP],0))),""))</f>
        <v>3</v>
      </c>
      <c r="J40" s="40">
        <f>IF(tblLog[[#This Row],[Date]]="","",IFERROR(IF(INDEX(tblCCPs[Operating limit],MATCH(tblLog[[#This Row],[CCP]],tblCCPs[CCP],0))="","",INDEX(tblCCPs[Operating limit],MATCH(tblLog[[#This Row],[CCP]],tblCCPs[CCP],0))),""))</f>
        <v/>
      </c>
      <c r="K4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0" s="28" t="s">
        <v>121</v>
      </c>
      <c r="M40" s="42" t="s">
        <v>122</v>
      </c>
      <c r="N40" s="35">
        <v>0</v>
      </c>
      <c r="O40" s="28" t="s">
        <v>123</v>
      </c>
      <c r="P40" s="43">
        <f>IF(tblLog[[#This Row],[Date]]="","",IF(N(tblLog[[#This Row],[Product held]])&gt;0,tblLog[[#This Row],[Product held]]*HoldValue+QACost,0))</f>
        <v>0</v>
      </c>
      <c r="Q40" s="43">
        <f>IF(tblLog[[#This Row],[Date]]="","",IF(tblLog[[#This Row],[CCP]]="","",COUNTIFS(tblLog[CCP],tblLog[[#This Row],[CCP]],tblLog[Date],"&lt;"&amp;tblLog[[#This Row],[Date]])+COUNTIFS(tblLog[CCP],tblLog[[#This Row],[CCP]],tblLog[Date],tblLog[[#This Row],[Date]],tblLog[Time],"&lt;="&amp;tblLog[[#This Row],[Time]])))</f>
        <v>8</v>
      </c>
      <c r="R40" s="44">
        <f>IF(tblLog[[#This Row],[Date]]="","",IF(AND(tblLog[[#This Row],[Date]]&gt;=FFrom,tblLog[[#This Row],[Date]]&lt;=FTo),tblLog[[#This Row],[Date]],""))</f>
        <v>46280</v>
      </c>
      <c r="S4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0" s="28" t="s">
        <v>122</v>
      </c>
    </row>
    <row r="41" spans="2:20">
      <c r="B41" s="37">
        <v>46280</v>
      </c>
      <c r="C41" s="38">
        <v>0.6666666666666666</v>
      </c>
      <c r="D41" s="28" t="s">
        <v>101</v>
      </c>
      <c r="E41" s="28" t="s">
        <v>125</v>
      </c>
      <c r="F41" s="34">
        <v>3.4</v>
      </c>
      <c r="G41" s="39" t="str">
        <f>IF(tblLog[[#This Row],[Date]]="","",IFERROR(IF(INDEX(tblCCPs[Unit],MATCH(tblLog[[#This Row],[CCP]],tblCCPs[CCP],0))="","",INDEX(tblCCPs[Unit],MATCH(tblLog[[#This Row],[CCP]],tblCCPs[CCP],0))),""))</f>
        <v>°C</v>
      </c>
      <c r="H41" s="39" t="str">
        <f>IF(tblLog[[#This Row],[Date]]="","",IFERROR(IF(INDEX(tblCCPs[Limit type],MATCH(tblLog[[#This Row],[CCP]],tblCCPs[CCP],0))="","",INDEX(tblCCPs[Limit type],MATCH(tblLog[[#This Row],[CCP]],tblCCPs[CCP],0))),""))</f>
        <v>Maximum</v>
      </c>
      <c r="I41" s="40">
        <f>IF(tblLog[[#This Row],[Date]]="","",IFERROR(IF(INDEX(tblCCPs[Critical limit],MATCH(tblLog[[#This Row],[CCP]],tblCCPs[CCP],0))="","",INDEX(tblCCPs[Critical limit],MATCH(tblLog[[#This Row],[CCP]],tblCCPs[CCP],0))),""))</f>
        <v>5</v>
      </c>
      <c r="J41" s="40">
        <f>IF(tblLog[[#This Row],[Date]]="","",IFERROR(IF(INDEX(tblCCPs[Operating limit],MATCH(tblLog[[#This Row],[CCP]],tblCCPs[CCP],0))="","",INDEX(tblCCPs[Operating limit],MATCH(tblLog[[#This Row],[CCP]],tblCCPs[CCP],0))),""))</f>
        <v>4</v>
      </c>
      <c r="K4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1" s="28" t="s">
        <v>130</v>
      </c>
      <c r="M41" s="42" t="s">
        <v>122</v>
      </c>
      <c r="N41" s="35">
        <v>0</v>
      </c>
      <c r="O41" s="28" t="s">
        <v>123</v>
      </c>
      <c r="P41" s="43">
        <f>IF(tblLog[[#This Row],[Date]]="","",IF(N(tblLog[[#This Row],[Product held]])&gt;0,tblLog[[#This Row],[Product held]]*HoldValue+QACost,0))</f>
        <v>0</v>
      </c>
      <c r="Q41" s="43">
        <f>IF(tblLog[[#This Row],[Date]]="","",IF(tblLog[[#This Row],[CCP]]="","",COUNTIFS(tblLog[CCP],tblLog[[#This Row],[CCP]],tblLog[Date],"&lt;"&amp;tblLog[[#This Row],[Date]])+COUNTIFS(tblLog[CCP],tblLog[[#This Row],[CCP]],tblLog[Date],tblLog[[#This Row],[Date]],tblLog[Time],"&lt;="&amp;tblLog[[#This Row],[Time]])))</f>
        <v>4</v>
      </c>
      <c r="R41" s="44">
        <f>IF(tblLog[[#This Row],[Date]]="","",IF(AND(tblLog[[#This Row],[Date]]&gt;=FFrom,tblLog[[#This Row],[Date]]&lt;=FTo),tblLog[[#This Row],[Date]],""))</f>
        <v>46280</v>
      </c>
      <c r="S4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1" s="28" t="s">
        <v>122</v>
      </c>
    </row>
    <row r="42" spans="2:20">
      <c r="B42" s="37">
        <v>46280</v>
      </c>
      <c r="C42" s="38">
        <v>0.6979166666666666</v>
      </c>
      <c r="D42" s="28" t="s">
        <v>91</v>
      </c>
      <c r="E42" s="28" t="s">
        <v>142</v>
      </c>
      <c r="F42" s="34">
        <v>3.5</v>
      </c>
      <c r="G42" s="39" t="str">
        <f>IF(tblLog[[#This Row],[Date]]="","",IFERROR(IF(INDEX(tblCCPs[Unit],MATCH(tblLog[[#This Row],[CCP]],tblCCPs[CCP],0))="","",INDEX(tblCCPs[Unit],MATCH(tblLog[[#This Row],[CCP]],tblCCPs[CCP],0))),""))</f>
        <v>°C</v>
      </c>
      <c r="H42" s="39" t="str">
        <f>IF(tblLog[[#This Row],[Date]]="","",IFERROR(IF(INDEX(tblCCPs[Limit type],MATCH(tblLog[[#This Row],[CCP]],tblCCPs[CCP],0))="","",INDEX(tblCCPs[Limit type],MATCH(tblLog[[#This Row],[CCP]],tblCCPs[CCP],0))),""))</f>
        <v>Maximum</v>
      </c>
      <c r="I42" s="40">
        <f>IF(tblLog[[#This Row],[Date]]="","",IFERROR(IF(INDEX(tblCCPs[Critical limit],MATCH(tblLog[[#This Row],[CCP]],tblCCPs[CCP],0))="","",INDEX(tblCCPs[Critical limit],MATCH(tblLog[[#This Row],[CCP]],tblCCPs[CCP],0))),""))</f>
        <v>5</v>
      </c>
      <c r="J42" s="40">
        <f>IF(tblLog[[#This Row],[Date]]="","",IFERROR(IF(INDEX(tblCCPs[Operating limit],MATCH(tblLog[[#This Row],[CCP]],tblCCPs[CCP],0))="","",INDEX(tblCCPs[Operating limit],MATCH(tblLog[[#This Row],[CCP]],tblCCPs[CCP],0))),""))</f>
        <v>4</v>
      </c>
      <c r="K4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2" s="28" t="s">
        <v>130</v>
      </c>
      <c r="M42" s="42" t="s">
        <v>122</v>
      </c>
      <c r="N42" s="35">
        <v>0</v>
      </c>
      <c r="O42" s="28" t="s">
        <v>123</v>
      </c>
      <c r="P42" s="43">
        <f>IF(tblLog[[#This Row],[Date]]="","",IF(N(tblLog[[#This Row],[Product held]])&gt;0,tblLog[[#This Row],[Product held]]*HoldValue+QACost,0))</f>
        <v>0</v>
      </c>
      <c r="Q42" s="43">
        <f>IF(tblLog[[#This Row],[Date]]="","",IF(tblLog[[#This Row],[CCP]]="","",COUNTIFS(tblLog[CCP],tblLog[[#This Row],[CCP]],tblLog[Date],"&lt;"&amp;tblLog[[#This Row],[Date]])+COUNTIFS(tblLog[CCP],tblLog[[#This Row],[CCP]],tblLog[Date],tblLog[[#This Row],[Date]],tblLog[Time],"&lt;="&amp;tblLog[[#This Row],[Time]])))</f>
        <v>12</v>
      </c>
      <c r="R42" s="44">
        <f>IF(tblLog[[#This Row],[Date]]="","",IF(AND(tblLog[[#This Row],[Date]]&gt;=FFrom,tblLog[[#This Row],[Date]]&lt;=FTo),tblLog[[#This Row],[Date]],""))</f>
        <v>46280</v>
      </c>
      <c r="S4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2" s="28" t="s">
        <v>122</v>
      </c>
    </row>
    <row r="43" spans="2:20">
      <c r="B43" s="37">
        <v>46281</v>
      </c>
      <c r="C43" s="38">
        <v>0.2916666666666667</v>
      </c>
      <c r="D43" s="28" t="s">
        <v>96</v>
      </c>
      <c r="E43" s="28" t="s">
        <v>120</v>
      </c>
      <c r="F43" s="34">
        <v>3</v>
      </c>
      <c r="G43" s="39" t="str">
        <f>IF(tblLog[[#This Row],[Date]]="","",IFERROR(IF(INDEX(tblCCPs[Unit],MATCH(tblLog[[#This Row],[CCP]],tblCCPs[CCP],0))="","",INDEX(tblCCPs[Unit],MATCH(tblLog[[#This Row],[CCP]],tblCCPs[CCP],0))),""))</f>
        <v>of 3</v>
      </c>
      <c r="H43" s="39" t="str">
        <f>IF(tblLog[[#This Row],[Date]]="","",IFERROR(IF(INDEX(tblCCPs[Limit type],MATCH(tblLog[[#This Row],[CCP]],tblCCPs[CCP],0))="","",INDEX(tblCCPs[Limit type],MATCH(tblLog[[#This Row],[CCP]],tblCCPs[CCP],0))),""))</f>
        <v>Minimum</v>
      </c>
      <c r="I43" s="40">
        <f>IF(tblLog[[#This Row],[Date]]="","",IFERROR(IF(INDEX(tblCCPs[Critical limit],MATCH(tblLog[[#This Row],[CCP]],tblCCPs[CCP],0))="","",INDEX(tblCCPs[Critical limit],MATCH(tblLog[[#This Row],[CCP]],tblCCPs[CCP],0))),""))</f>
        <v>3</v>
      </c>
      <c r="J43" s="40">
        <f>IF(tblLog[[#This Row],[Date]]="","",IFERROR(IF(INDEX(tblCCPs[Operating limit],MATCH(tblLog[[#This Row],[CCP]],tblCCPs[CCP],0))="","",INDEX(tblCCPs[Operating limit],MATCH(tblLog[[#This Row],[CCP]],tblCCPs[CCP],0))),""))</f>
        <v/>
      </c>
      <c r="K4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3" s="28" t="s">
        <v>130</v>
      </c>
      <c r="M43" s="42" t="s">
        <v>122</v>
      </c>
      <c r="N43" s="35">
        <v>0</v>
      </c>
      <c r="O43" s="28" t="s">
        <v>123</v>
      </c>
      <c r="P43" s="43">
        <f>IF(tblLog[[#This Row],[Date]]="","",IF(N(tblLog[[#This Row],[Product held]])&gt;0,tblLog[[#This Row],[Product held]]*HoldValue+QACost,0))</f>
        <v>0</v>
      </c>
      <c r="Q43" s="43">
        <f>IF(tblLog[[#This Row],[Date]]="","",IF(tblLog[[#This Row],[CCP]]="","",COUNTIFS(tblLog[CCP],tblLog[[#This Row],[CCP]],tblLog[Date],"&lt;"&amp;tblLog[[#This Row],[Date]])+COUNTIFS(tblLog[CCP],tblLog[[#This Row],[CCP]],tblLog[Date],tblLog[[#This Row],[Date]],tblLog[Time],"&lt;="&amp;tblLog[[#This Row],[Time]])))</f>
        <v>9</v>
      </c>
      <c r="R43" s="44">
        <f>IF(tblLog[[#This Row],[Date]]="","",IF(AND(tblLog[[#This Row],[Date]]&gt;=FFrom,tblLog[[#This Row],[Date]]&lt;=FTo),tblLog[[#This Row],[Date]],""))</f>
        <v>46281</v>
      </c>
      <c r="S4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3" s="28" t="s">
        <v>122</v>
      </c>
    </row>
    <row r="44" spans="2:20">
      <c r="B44" s="37">
        <v>46281</v>
      </c>
      <c r="C44" s="38">
        <v>0.3125</v>
      </c>
      <c r="D44" s="28" t="s">
        <v>85</v>
      </c>
      <c r="E44" s="28" t="s">
        <v>143</v>
      </c>
      <c r="F44" s="34">
        <v>86.90000000000001</v>
      </c>
      <c r="G44" s="39" t="str">
        <f>IF(tblLog[[#This Row],[Date]]="","",IFERROR(IF(INDEX(tblCCPs[Unit],MATCH(tblLog[[#This Row],[CCP]],tblCCPs[CCP],0))="","",INDEX(tblCCPs[Unit],MATCH(tblLog[[#This Row],[CCP]],tblCCPs[CCP],0))),""))</f>
        <v>°C</v>
      </c>
      <c r="H44" s="39" t="str">
        <f>IF(tblLog[[#This Row],[Date]]="","",IFERROR(IF(INDEX(tblCCPs[Limit type],MATCH(tblLog[[#This Row],[CCP]],tblCCPs[CCP],0))="","",INDEX(tblCCPs[Limit type],MATCH(tblLog[[#This Row],[CCP]],tblCCPs[CCP],0))),""))</f>
        <v>Minimum</v>
      </c>
      <c r="I44" s="40">
        <f>IF(tblLog[[#This Row],[Date]]="","",IFERROR(IF(INDEX(tblCCPs[Critical limit],MATCH(tblLog[[#This Row],[CCP]],tblCCPs[CCP],0))="","",INDEX(tblCCPs[Critical limit],MATCH(tblLog[[#This Row],[CCP]],tblCCPs[CCP],0))),""))</f>
        <v>75</v>
      </c>
      <c r="J44" s="40">
        <f>IF(tblLog[[#This Row],[Date]]="","",IFERROR(IF(INDEX(tblCCPs[Operating limit],MATCH(tblLog[[#This Row],[CCP]],tblCCPs[CCP],0))="","",INDEX(tblCCPs[Operating limit],MATCH(tblLog[[#This Row],[CCP]],tblCCPs[CCP],0))),""))</f>
        <v>78</v>
      </c>
      <c r="K4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4" s="28" t="s">
        <v>130</v>
      </c>
      <c r="M44" s="42" t="s">
        <v>122</v>
      </c>
      <c r="N44" s="35">
        <v>0</v>
      </c>
      <c r="O44" s="28" t="s">
        <v>123</v>
      </c>
      <c r="P44" s="43">
        <f>IF(tblLog[[#This Row],[Date]]="","",IF(N(tblLog[[#This Row],[Product held]])&gt;0,tblLog[[#This Row],[Product held]]*HoldValue+QACost,0))</f>
        <v>0</v>
      </c>
      <c r="Q44" s="43">
        <f>IF(tblLog[[#This Row],[Date]]="","",IF(tblLog[[#This Row],[CCP]]="","",COUNTIFS(tblLog[CCP],tblLog[[#This Row],[CCP]],tblLog[Date],"&lt;"&amp;tblLog[[#This Row],[Date]])+COUNTIFS(tblLog[CCP],tblLog[[#This Row],[CCP]],tblLog[Date],tblLog[[#This Row],[Date]],tblLog[Time],"&lt;="&amp;tblLog[[#This Row],[Time]])))</f>
        <v>13</v>
      </c>
      <c r="R44" s="44">
        <f>IF(tblLog[[#This Row],[Date]]="","",IF(AND(tblLog[[#This Row],[Date]]&gt;=FFrom,tblLog[[#This Row],[Date]]&lt;=FTo),tblLog[[#This Row],[Date]],""))</f>
        <v>46281</v>
      </c>
      <c r="S4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4" s="28" t="s">
        <v>122</v>
      </c>
    </row>
    <row r="45" spans="2:20">
      <c r="B45" s="37">
        <v>46281</v>
      </c>
      <c r="C45" s="38">
        <v>0.3333333333333333</v>
      </c>
      <c r="D45" s="28" t="s">
        <v>101</v>
      </c>
      <c r="E45" s="28" t="s">
        <v>125</v>
      </c>
      <c r="F45" s="34">
        <v>1.8</v>
      </c>
      <c r="G45" s="39" t="str">
        <f>IF(tblLog[[#This Row],[Date]]="","",IFERROR(IF(INDEX(tblCCPs[Unit],MATCH(tblLog[[#This Row],[CCP]],tblCCPs[CCP],0))="","",INDEX(tblCCPs[Unit],MATCH(tblLog[[#This Row],[CCP]],tblCCPs[CCP],0))),""))</f>
        <v>°C</v>
      </c>
      <c r="H45" s="39" t="str">
        <f>IF(tblLog[[#This Row],[Date]]="","",IFERROR(IF(INDEX(tblCCPs[Limit type],MATCH(tblLog[[#This Row],[CCP]],tblCCPs[CCP],0))="","",INDEX(tblCCPs[Limit type],MATCH(tblLog[[#This Row],[CCP]],tblCCPs[CCP],0))),""))</f>
        <v>Maximum</v>
      </c>
      <c r="I45" s="40">
        <f>IF(tblLog[[#This Row],[Date]]="","",IFERROR(IF(INDEX(tblCCPs[Critical limit],MATCH(tblLog[[#This Row],[CCP]],tblCCPs[CCP],0))="","",INDEX(tblCCPs[Critical limit],MATCH(tblLog[[#This Row],[CCP]],tblCCPs[CCP],0))),""))</f>
        <v>5</v>
      </c>
      <c r="J45" s="40">
        <f>IF(tblLog[[#This Row],[Date]]="","",IFERROR(IF(INDEX(tblCCPs[Operating limit],MATCH(tblLog[[#This Row],[CCP]],tblCCPs[CCP],0))="","",INDEX(tblCCPs[Operating limit],MATCH(tblLog[[#This Row],[CCP]],tblCCPs[CCP],0))),""))</f>
        <v>4</v>
      </c>
      <c r="K4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5" s="28" t="s">
        <v>130</v>
      </c>
      <c r="M45" s="42" t="s">
        <v>122</v>
      </c>
      <c r="N45" s="35">
        <v>0</v>
      </c>
      <c r="O45" s="28" t="s">
        <v>123</v>
      </c>
      <c r="P45" s="43">
        <f>IF(tblLog[[#This Row],[Date]]="","",IF(N(tblLog[[#This Row],[Product held]])&gt;0,tblLog[[#This Row],[Product held]]*HoldValue+QACost,0))</f>
        <v>0</v>
      </c>
      <c r="Q45" s="43">
        <f>IF(tblLog[[#This Row],[Date]]="","",IF(tblLog[[#This Row],[CCP]]="","",COUNTIFS(tblLog[CCP],tblLog[[#This Row],[CCP]],tblLog[Date],"&lt;"&amp;tblLog[[#This Row],[Date]])+COUNTIFS(tblLog[CCP],tblLog[[#This Row],[CCP]],tblLog[Date],tblLog[[#This Row],[Date]],tblLog[Time],"&lt;="&amp;tblLog[[#This Row],[Time]])))</f>
        <v>5</v>
      </c>
      <c r="R45" s="44">
        <f>IF(tblLog[[#This Row],[Date]]="","",IF(AND(tblLog[[#This Row],[Date]]&gt;=FFrom,tblLog[[#This Row],[Date]]&lt;=FTo),tblLog[[#This Row],[Date]],""))</f>
        <v>46281</v>
      </c>
      <c r="S4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5" s="28" t="s">
        <v>122</v>
      </c>
    </row>
    <row r="46" spans="2:20">
      <c r="B46" s="37">
        <v>46281</v>
      </c>
      <c r="C46" s="38">
        <v>0.375</v>
      </c>
      <c r="D46" s="28" t="s">
        <v>85</v>
      </c>
      <c r="E46" s="28" t="s">
        <v>144</v>
      </c>
      <c r="F46" s="34">
        <v>79.5</v>
      </c>
      <c r="G46" s="39" t="str">
        <f>IF(tblLog[[#This Row],[Date]]="","",IFERROR(IF(INDEX(tblCCPs[Unit],MATCH(tblLog[[#This Row],[CCP]],tblCCPs[CCP],0))="","",INDEX(tblCCPs[Unit],MATCH(tblLog[[#This Row],[CCP]],tblCCPs[CCP],0))),""))</f>
        <v>°C</v>
      </c>
      <c r="H46" s="39" t="str">
        <f>IF(tblLog[[#This Row],[Date]]="","",IFERROR(IF(INDEX(tblCCPs[Limit type],MATCH(tblLog[[#This Row],[CCP]],tblCCPs[CCP],0))="","",INDEX(tblCCPs[Limit type],MATCH(tblLog[[#This Row],[CCP]],tblCCPs[CCP],0))),""))</f>
        <v>Minimum</v>
      </c>
      <c r="I46" s="40">
        <f>IF(tblLog[[#This Row],[Date]]="","",IFERROR(IF(INDEX(tblCCPs[Critical limit],MATCH(tblLog[[#This Row],[CCP]],tblCCPs[CCP],0))="","",INDEX(tblCCPs[Critical limit],MATCH(tblLog[[#This Row],[CCP]],tblCCPs[CCP],0))),""))</f>
        <v>75</v>
      </c>
      <c r="J46" s="40">
        <f>IF(tblLog[[#This Row],[Date]]="","",IFERROR(IF(INDEX(tblCCPs[Operating limit],MATCH(tblLog[[#This Row],[CCP]],tblCCPs[CCP],0))="","",INDEX(tblCCPs[Operating limit],MATCH(tblLog[[#This Row],[CCP]],tblCCPs[CCP],0))),""))</f>
        <v>78</v>
      </c>
      <c r="K4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6" s="28" t="s">
        <v>132</v>
      </c>
      <c r="M46" s="42" t="s">
        <v>122</v>
      </c>
      <c r="N46" s="35">
        <v>0</v>
      </c>
      <c r="O46" s="28" t="s">
        <v>123</v>
      </c>
      <c r="P46" s="43">
        <f>IF(tblLog[[#This Row],[Date]]="","",IF(N(tblLog[[#This Row],[Product held]])&gt;0,tblLog[[#This Row],[Product held]]*HoldValue+QACost,0))</f>
        <v>0</v>
      </c>
      <c r="Q46" s="43">
        <f>IF(tblLog[[#This Row],[Date]]="","",IF(tblLog[[#This Row],[CCP]]="","",COUNTIFS(tblLog[CCP],tblLog[[#This Row],[CCP]],tblLog[Date],"&lt;"&amp;tblLog[[#This Row],[Date]])+COUNTIFS(tblLog[CCP],tblLog[[#This Row],[CCP]],tblLog[Date],tblLog[[#This Row],[Date]],tblLog[Time],"&lt;="&amp;tblLog[[#This Row],[Time]])))</f>
        <v>14</v>
      </c>
      <c r="R46" s="44">
        <f>IF(tblLog[[#This Row],[Date]]="","",IF(AND(tblLog[[#This Row],[Date]]&gt;=FFrom,tblLog[[#This Row],[Date]]&lt;=FTo),tblLog[[#This Row],[Date]],""))</f>
        <v>46281</v>
      </c>
      <c r="S4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6" s="28" t="s">
        <v>122</v>
      </c>
    </row>
    <row r="47" spans="2:20">
      <c r="B47" s="37">
        <v>46281</v>
      </c>
      <c r="C47" s="38">
        <v>0.3854166666666667</v>
      </c>
      <c r="D47" s="28" t="s">
        <v>91</v>
      </c>
      <c r="E47" s="28" t="s">
        <v>143</v>
      </c>
      <c r="F47" s="34">
        <v>3.8</v>
      </c>
      <c r="G47" s="39" t="str">
        <f>IF(tblLog[[#This Row],[Date]]="","",IFERROR(IF(INDEX(tblCCPs[Unit],MATCH(tblLog[[#This Row],[CCP]],tblCCPs[CCP],0))="","",INDEX(tblCCPs[Unit],MATCH(tblLog[[#This Row],[CCP]],tblCCPs[CCP],0))),""))</f>
        <v>°C</v>
      </c>
      <c r="H47" s="39" t="str">
        <f>IF(tblLog[[#This Row],[Date]]="","",IFERROR(IF(INDEX(tblCCPs[Limit type],MATCH(tblLog[[#This Row],[CCP]],tblCCPs[CCP],0))="","",INDEX(tblCCPs[Limit type],MATCH(tblLog[[#This Row],[CCP]],tblCCPs[CCP],0))),""))</f>
        <v>Maximum</v>
      </c>
      <c r="I47" s="40">
        <f>IF(tblLog[[#This Row],[Date]]="","",IFERROR(IF(INDEX(tblCCPs[Critical limit],MATCH(tblLog[[#This Row],[CCP]],tblCCPs[CCP],0))="","",INDEX(tblCCPs[Critical limit],MATCH(tblLog[[#This Row],[CCP]],tblCCPs[CCP],0))),""))</f>
        <v>5</v>
      </c>
      <c r="J47" s="40">
        <f>IF(tblLog[[#This Row],[Date]]="","",IFERROR(IF(INDEX(tblCCPs[Operating limit],MATCH(tblLog[[#This Row],[CCP]],tblCCPs[CCP],0))="","",INDEX(tblCCPs[Operating limit],MATCH(tblLog[[#This Row],[CCP]],tblCCPs[CCP],0))),""))</f>
        <v>4</v>
      </c>
      <c r="K4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7" s="28" t="s">
        <v>130</v>
      </c>
      <c r="M47" s="42" t="s">
        <v>122</v>
      </c>
      <c r="N47" s="35">
        <v>0</v>
      </c>
      <c r="O47" s="28" t="s">
        <v>123</v>
      </c>
      <c r="P47" s="43">
        <f>IF(tblLog[[#This Row],[Date]]="","",IF(N(tblLog[[#This Row],[Product held]])&gt;0,tblLog[[#This Row],[Product held]]*HoldValue+QACost,0))</f>
        <v>0</v>
      </c>
      <c r="Q47" s="43">
        <f>IF(tblLog[[#This Row],[Date]]="","",IF(tblLog[[#This Row],[CCP]]="","",COUNTIFS(tblLog[CCP],tblLog[[#This Row],[CCP]],tblLog[Date],"&lt;"&amp;tblLog[[#This Row],[Date]])+COUNTIFS(tblLog[CCP],tblLog[[#This Row],[CCP]],tblLog[Date],tblLog[[#This Row],[Date]],tblLog[Time],"&lt;="&amp;tblLog[[#This Row],[Time]])))</f>
        <v>13</v>
      </c>
      <c r="R47" s="44">
        <f>IF(tblLog[[#This Row],[Date]]="","",IF(AND(tblLog[[#This Row],[Date]]&gt;=FFrom,tblLog[[#This Row],[Date]]&lt;=FTo),tblLog[[#This Row],[Date]],""))</f>
        <v>46281</v>
      </c>
      <c r="S4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7" s="28" t="s">
        <v>122</v>
      </c>
    </row>
    <row r="48" spans="2:20">
      <c r="B48" s="37">
        <v>46281</v>
      </c>
      <c r="C48" s="38">
        <v>0.4166666666666667</v>
      </c>
      <c r="D48" s="28" t="s">
        <v>96</v>
      </c>
      <c r="E48" s="28" t="s">
        <v>128</v>
      </c>
      <c r="F48" s="34">
        <v>3</v>
      </c>
      <c r="G48" s="39" t="str">
        <f>IF(tblLog[[#This Row],[Date]]="","",IFERROR(IF(INDEX(tblCCPs[Unit],MATCH(tblLog[[#This Row],[CCP]],tblCCPs[CCP],0))="","",INDEX(tblCCPs[Unit],MATCH(tblLog[[#This Row],[CCP]],tblCCPs[CCP],0))),""))</f>
        <v>of 3</v>
      </c>
      <c r="H48" s="39" t="str">
        <f>IF(tblLog[[#This Row],[Date]]="","",IFERROR(IF(INDEX(tblCCPs[Limit type],MATCH(tblLog[[#This Row],[CCP]],tblCCPs[CCP],0))="","",INDEX(tblCCPs[Limit type],MATCH(tblLog[[#This Row],[CCP]],tblCCPs[CCP],0))),""))</f>
        <v>Minimum</v>
      </c>
      <c r="I48" s="40">
        <f>IF(tblLog[[#This Row],[Date]]="","",IFERROR(IF(INDEX(tblCCPs[Critical limit],MATCH(tblLog[[#This Row],[CCP]],tblCCPs[CCP],0))="","",INDEX(tblCCPs[Critical limit],MATCH(tblLog[[#This Row],[CCP]],tblCCPs[CCP],0))),""))</f>
        <v>3</v>
      </c>
      <c r="J48" s="40">
        <f>IF(tblLog[[#This Row],[Date]]="","",IFERROR(IF(INDEX(tblCCPs[Operating limit],MATCH(tblLog[[#This Row],[CCP]],tblCCPs[CCP],0))="","",INDEX(tblCCPs[Operating limit],MATCH(tblLog[[#This Row],[CCP]],tblCCPs[CCP],0))),""))</f>
        <v/>
      </c>
      <c r="K4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48" s="28" t="s">
        <v>132</v>
      </c>
      <c r="M48" s="42" t="s">
        <v>122</v>
      </c>
      <c r="N48" s="35">
        <v>0</v>
      </c>
      <c r="O48" s="28" t="s">
        <v>123</v>
      </c>
      <c r="P48" s="43">
        <f>IF(tblLog[[#This Row],[Date]]="","",IF(N(tblLog[[#This Row],[Product held]])&gt;0,tblLog[[#This Row],[Product held]]*HoldValue+QACost,0))</f>
        <v>0</v>
      </c>
      <c r="Q48" s="43">
        <f>IF(tblLog[[#This Row],[Date]]="","",IF(tblLog[[#This Row],[CCP]]="","",COUNTIFS(tblLog[CCP],tblLog[[#This Row],[CCP]],tblLog[Date],"&lt;"&amp;tblLog[[#This Row],[Date]])+COUNTIFS(tblLog[CCP],tblLog[[#This Row],[CCP]],tblLog[Date],tblLog[[#This Row],[Date]],tblLog[Time],"&lt;="&amp;tblLog[[#This Row],[Time]])))</f>
        <v>10</v>
      </c>
      <c r="R48" s="44">
        <f>IF(tblLog[[#This Row],[Date]]="","",IF(AND(tblLog[[#This Row],[Date]]&gt;=FFrom,tblLog[[#This Row],[Date]]&lt;=FTo),tblLog[[#This Row],[Date]],""))</f>
        <v>46281</v>
      </c>
      <c r="S4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8" s="28" t="s">
        <v>122</v>
      </c>
    </row>
    <row r="49" spans="2:20">
      <c r="B49" s="37">
        <v>46281</v>
      </c>
      <c r="C49" s="38">
        <v>0.4375</v>
      </c>
      <c r="D49" s="28" t="s">
        <v>85</v>
      </c>
      <c r="E49" s="28" t="s">
        <v>145</v>
      </c>
      <c r="F49" s="34">
        <v>72.40000000000001</v>
      </c>
      <c r="G49" s="39" t="str">
        <f>IF(tblLog[[#This Row],[Date]]="","",IFERROR(IF(INDEX(tblCCPs[Unit],MATCH(tblLog[[#This Row],[CCP]],tblCCPs[CCP],0))="","",INDEX(tblCCPs[Unit],MATCH(tblLog[[#This Row],[CCP]],tblCCPs[CCP],0))),""))</f>
        <v>°C</v>
      </c>
      <c r="H49" s="39" t="str">
        <f>IF(tblLog[[#This Row],[Date]]="","",IFERROR(IF(INDEX(tblCCPs[Limit type],MATCH(tblLog[[#This Row],[CCP]],tblCCPs[CCP],0))="","",INDEX(tblCCPs[Limit type],MATCH(tblLog[[#This Row],[CCP]],tblCCPs[CCP],0))),""))</f>
        <v>Minimum</v>
      </c>
      <c r="I49" s="40">
        <f>IF(tblLog[[#This Row],[Date]]="","",IFERROR(IF(INDEX(tblCCPs[Critical limit],MATCH(tblLog[[#This Row],[CCP]],tblCCPs[CCP],0))="","",INDEX(tblCCPs[Critical limit],MATCH(tblLog[[#This Row],[CCP]],tblCCPs[CCP],0))),""))</f>
        <v>75</v>
      </c>
      <c r="J49" s="40">
        <f>IF(tblLog[[#This Row],[Date]]="","",IFERROR(IF(INDEX(tblCCPs[Operating limit],MATCH(tblLog[[#This Row],[CCP]],tblCCPs[CCP],0))="","",INDEX(tblCCPs[Operating limit],MATCH(tblLog[[#This Row],[CCP]],tblCCPs[CCP],0))),""))</f>
        <v>78</v>
      </c>
      <c r="K4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Out of limits</v>
      </c>
      <c r="L49" s="28" t="s">
        <v>121</v>
      </c>
      <c r="M49" s="42" t="s">
        <v>146</v>
      </c>
      <c r="N49" s="35">
        <v>0</v>
      </c>
      <c r="O49" s="28" t="s">
        <v>123</v>
      </c>
      <c r="P49" s="43">
        <f>IF(tblLog[[#This Row],[Date]]="","",IF(N(tblLog[[#This Row],[Product held]])&gt;0,tblLog[[#This Row],[Product held]]*HoldValue+QACost,0))</f>
        <v>0</v>
      </c>
      <c r="Q49" s="43">
        <f>IF(tblLog[[#This Row],[Date]]="","",IF(tblLog[[#This Row],[CCP]]="","",COUNTIFS(tblLog[CCP],tblLog[[#This Row],[CCP]],tblLog[Date],"&lt;"&amp;tblLog[[#This Row],[Date]])+COUNTIFS(tblLog[CCP],tblLog[[#This Row],[CCP]],tblLog[Date],tblLog[[#This Row],[Date]],tblLog[Time],"&lt;="&amp;tblLog[[#This Row],[Time]])))</f>
        <v>15</v>
      </c>
      <c r="R49" s="44">
        <f>IF(tblLog[[#This Row],[Date]]="","",IF(AND(tblLog[[#This Row],[Date]]&gt;=FFrom,tblLog[[#This Row],[Date]]&lt;=FTo),tblLog[[#This Row],[Date]],""))</f>
        <v>46281</v>
      </c>
      <c r="S4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49" s="28" t="s">
        <v>122</v>
      </c>
    </row>
    <row r="50" spans="2:20">
      <c r="B50" s="37">
        <v>46281</v>
      </c>
      <c r="C50" s="38">
        <v>0.4479166666666667</v>
      </c>
      <c r="D50" s="28" t="s">
        <v>91</v>
      </c>
      <c r="E50" s="28" t="s">
        <v>144</v>
      </c>
      <c r="F50" s="34">
        <v>3.8</v>
      </c>
      <c r="G50" s="39" t="str">
        <f>IF(tblLog[[#This Row],[Date]]="","",IFERROR(IF(INDEX(tblCCPs[Unit],MATCH(tblLog[[#This Row],[CCP]],tblCCPs[CCP],0))="","",INDEX(tblCCPs[Unit],MATCH(tblLog[[#This Row],[CCP]],tblCCPs[CCP],0))),""))</f>
        <v>°C</v>
      </c>
      <c r="H50" s="39" t="str">
        <f>IF(tblLog[[#This Row],[Date]]="","",IFERROR(IF(INDEX(tblCCPs[Limit type],MATCH(tblLog[[#This Row],[CCP]],tblCCPs[CCP],0))="","",INDEX(tblCCPs[Limit type],MATCH(tblLog[[#This Row],[CCP]],tblCCPs[CCP],0))),""))</f>
        <v>Maximum</v>
      </c>
      <c r="I50" s="40">
        <f>IF(tblLog[[#This Row],[Date]]="","",IFERROR(IF(INDEX(tblCCPs[Critical limit],MATCH(tblLog[[#This Row],[CCP]],tblCCPs[CCP],0))="","",INDEX(tblCCPs[Critical limit],MATCH(tblLog[[#This Row],[CCP]],tblCCPs[CCP],0))),""))</f>
        <v>5</v>
      </c>
      <c r="J50" s="40">
        <f>IF(tblLog[[#This Row],[Date]]="","",IFERROR(IF(INDEX(tblCCPs[Operating limit],MATCH(tblLog[[#This Row],[CCP]],tblCCPs[CCP],0))="","",INDEX(tblCCPs[Operating limit],MATCH(tblLog[[#This Row],[CCP]],tblCCPs[CCP],0))),""))</f>
        <v>4</v>
      </c>
      <c r="K5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0" s="28" t="s">
        <v>132</v>
      </c>
      <c r="M50" s="42" t="s">
        <v>122</v>
      </c>
      <c r="N50" s="35">
        <v>0</v>
      </c>
      <c r="O50" s="28" t="s">
        <v>123</v>
      </c>
      <c r="P50" s="43">
        <f>IF(tblLog[[#This Row],[Date]]="","",IF(N(tblLog[[#This Row],[Product held]])&gt;0,tblLog[[#This Row],[Product held]]*HoldValue+QACost,0))</f>
        <v>0</v>
      </c>
      <c r="Q50" s="43">
        <f>IF(tblLog[[#This Row],[Date]]="","",IF(tblLog[[#This Row],[CCP]]="","",COUNTIFS(tblLog[CCP],tblLog[[#This Row],[CCP]],tblLog[Date],"&lt;"&amp;tblLog[[#This Row],[Date]])+COUNTIFS(tblLog[CCP],tblLog[[#This Row],[CCP]],tblLog[Date],tblLog[[#This Row],[Date]],tblLog[Time],"&lt;="&amp;tblLog[[#This Row],[Time]])))</f>
        <v>14</v>
      </c>
      <c r="R50" s="44">
        <f>IF(tblLog[[#This Row],[Date]]="","",IF(AND(tblLog[[#This Row],[Date]]&gt;=FFrom,tblLog[[#This Row],[Date]]&lt;=FTo),tblLog[[#This Row],[Date]],""))</f>
        <v>46281</v>
      </c>
      <c r="S5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0" s="28" t="s">
        <v>122</v>
      </c>
    </row>
    <row r="51" spans="2:20">
      <c r="B51" s="37">
        <v>46281</v>
      </c>
      <c r="C51" s="38">
        <v>0.5</v>
      </c>
      <c r="D51" s="28" t="s">
        <v>85</v>
      </c>
      <c r="E51" s="28" t="s">
        <v>147</v>
      </c>
      <c r="F51" s="34">
        <v>81.09999999999999</v>
      </c>
      <c r="G51" s="39" t="str">
        <f>IF(tblLog[[#This Row],[Date]]="","",IFERROR(IF(INDEX(tblCCPs[Unit],MATCH(tblLog[[#This Row],[CCP]],tblCCPs[CCP],0))="","",INDEX(tblCCPs[Unit],MATCH(tblLog[[#This Row],[CCP]],tblCCPs[CCP],0))),""))</f>
        <v>°C</v>
      </c>
      <c r="H51" s="39" t="str">
        <f>IF(tblLog[[#This Row],[Date]]="","",IFERROR(IF(INDEX(tblCCPs[Limit type],MATCH(tblLog[[#This Row],[CCP]],tblCCPs[CCP],0))="","",INDEX(tblCCPs[Limit type],MATCH(tblLog[[#This Row],[CCP]],tblCCPs[CCP],0))),""))</f>
        <v>Minimum</v>
      </c>
      <c r="I51" s="40">
        <f>IF(tblLog[[#This Row],[Date]]="","",IFERROR(IF(INDEX(tblCCPs[Critical limit],MATCH(tblLog[[#This Row],[CCP]],tblCCPs[CCP],0))="","",INDEX(tblCCPs[Critical limit],MATCH(tblLog[[#This Row],[CCP]],tblCCPs[CCP],0))),""))</f>
        <v>75</v>
      </c>
      <c r="J51" s="40">
        <f>IF(tblLog[[#This Row],[Date]]="","",IFERROR(IF(INDEX(tblCCPs[Operating limit],MATCH(tblLog[[#This Row],[CCP]],tblCCPs[CCP],0))="","",INDEX(tblCCPs[Operating limit],MATCH(tblLog[[#This Row],[CCP]],tblCCPs[CCP],0))),""))</f>
        <v>78</v>
      </c>
      <c r="K5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1" s="28" t="s">
        <v>127</v>
      </c>
      <c r="M51" s="42" t="s">
        <v>122</v>
      </c>
      <c r="N51" s="35">
        <v>0</v>
      </c>
      <c r="O51" s="28" t="s">
        <v>123</v>
      </c>
      <c r="P51" s="43">
        <f>IF(tblLog[[#This Row],[Date]]="","",IF(N(tblLog[[#This Row],[Product held]])&gt;0,tblLog[[#This Row],[Product held]]*HoldValue+QACost,0))</f>
        <v>0</v>
      </c>
      <c r="Q51" s="43">
        <f>IF(tblLog[[#This Row],[Date]]="","",IF(tblLog[[#This Row],[CCP]]="","",COUNTIFS(tblLog[CCP],tblLog[[#This Row],[CCP]],tblLog[Date],"&lt;"&amp;tblLog[[#This Row],[Date]])+COUNTIFS(tblLog[CCP],tblLog[[#This Row],[CCP]],tblLog[Date],tblLog[[#This Row],[Date]],tblLog[Time],"&lt;="&amp;tblLog[[#This Row],[Time]])))</f>
        <v>16</v>
      </c>
      <c r="R51" s="44">
        <f>IF(tblLog[[#This Row],[Date]]="","",IF(AND(tblLog[[#This Row],[Date]]&gt;=FFrom,tblLog[[#This Row],[Date]]&lt;=FTo),tblLog[[#This Row],[Date]],""))</f>
        <v>46281</v>
      </c>
      <c r="S5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1" s="28" t="s">
        <v>122</v>
      </c>
    </row>
    <row r="52" spans="2:20">
      <c r="B52" s="37">
        <v>46281</v>
      </c>
      <c r="C52" s="38">
        <v>0.5104166666666666</v>
      </c>
      <c r="D52" s="28" t="s">
        <v>91</v>
      </c>
      <c r="E52" s="28" t="s">
        <v>145</v>
      </c>
      <c r="F52" s="34">
        <v>3.6</v>
      </c>
      <c r="G52" s="39" t="str">
        <f>IF(tblLog[[#This Row],[Date]]="","",IFERROR(IF(INDEX(tblCCPs[Unit],MATCH(tblLog[[#This Row],[CCP]],tblCCPs[CCP],0))="","",INDEX(tblCCPs[Unit],MATCH(tblLog[[#This Row],[CCP]],tblCCPs[CCP],0))),""))</f>
        <v>°C</v>
      </c>
      <c r="H52" s="39" t="str">
        <f>IF(tblLog[[#This Row],[Date]]="","",IFERROR(IF(INDEX(tblCCPs[Limit type],MATCH(tblLog[[#This Row],[CCP]],tblCCPs[CCP],0))="","",INDEX(tblCCPs[Limit type],MATCH(tblLog[[#This Row],[CCP]],tblCCPs[CCP],0))),""))</f>
        <v>Maximum</v>
      </c>
      <c r="I52" s="40">
        <f>IF(tblLog[[#This Row],[Date]]="","",IFERROR(IF(INDEX(tblCCPs[Critical limit],MATCH(tblLog[[#This Row],[CCP]],tblCCPs[CCP],0))="","",INDEX(tblCCPs[Critical limit],MATCH(tblLog[[#This Row],[CCP]],tblCCPs[CCP],0))),""))</f>
        <v>5</v>
      </c>
      <c r="J52" s="40">
        <f>IF(tblLog[[#This Row],[Date]]="","",IFERROR(IF(INDEX(tblCCPs[Operating limit],MATCH(tblLog[[#This Row],[CCP]],tblCCPs[CCP],0))="","",INDEX(tblCCPs[Operating limit],MATCH(tblLog[[#This Row],[CCP]],tblCCPs[CCP],0))),""))</f>
        <v>4</v>
      </c>
      <c r="K5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2" s="28" t="s">
        <v>121</v>
      </c>
      <c r="M52" s="42" t="s">
        <v>122</v>
      </c>
      <c r="N52" s="35">
        <v>0</v>
      </c>
      <c r="O52" s="28" t="s">
        <v>123</v>
      </c>
      <c r="P52" s="43">
        <f>IF(tblLog[[#This Row],[Date]]="","",IF(N(tblLog[[#This Row],[Product held]])&gt;0,tblLog[[#This Row],[Product held]]*HoldValue+QACost,0))</f>
        <v>0</v>
      </c>
      <c r="Q52" s="43">
        <f>IF(tblLog[[#This Row],[Date]]="","",IF(tblLog[[#This Row],[CCP]]="","",COUNTIFS(tblLog[CCP],tblLog[[#This Row],[CCP]],tblLog[Date],"&lt;"&amp;tblLog[[#This Row],[Date]])+COUNTIFS(tblLog[CCP],tblLog[[#This Row],[CCP]],tblLog[Date],tblLog[[#This Row],[Date]],tblLog[Time],"&lt;="&amp;tblLog[[#This Row],[Time]])))</f>
        <v>15</v>
      </c>
      <c r="R52" s="44">
        <f>IF(tblLog[[#This Row],[Date]]="","",IF(AND(tblLog[[#This Row],[Date]]&gt;=FFrom,tblLog[[#This Row],[Date]]&lt;=FTo),tblLog[[#This Row],[Date]],""))</f>
        <v>46281</v>
      </c>
      <c r="S5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2" s="28" t="s">
        <v>122</v>
      </c>
    </row>
    <row r="53" spans="2:20">
      <c r="B53" s="37">
        <v>46281</v>
      </c>
      <c r="C53" s="38">
        <v>0.5416666666666666</v>
      </c>
      <c r="D53" s="28" t="s">
        <v>96</v>
      </c>
      <c r="E53" s="28" t="s">
        <v>133</v>
      </c>
      <c r="F53" s="34">
        <v>3</v>
      </c>
      <c r="G53" s="39" t="str">
        <f>IF(tblLog[[#This Row],[Date]]="","",IFERROR(IF(INDEX(tblCCPs[Unit],MATCH(tblLog[[#This Row],[CCP]],tblCCPs[CCP],0))="","",INDEX(tblCCPs[Unit],MATCH(tblLog[[#This Row],[CCP]],tblCCPs[CCP],0))),""))</f>
        <v>of 3</v>
      </c>
      <c r="H53" s="39" t="str">
        <f>IF(tblLog[[#This Row],[Date]]="","",IFERROR(IF(INDEX(tblCCPs[Limit type],MATCH(tblLog[[#This Row],[CCP]],tblCCPs[CCP],0))="","",INDEX(tblCCPs[Limit type],MATCH(tblLog[[#This Row],[CCP]],tblCCPs[CCP],0))),""))</f>
        <v>Minimum</v>
      </c>
      <c r="I53" s="40">
        <f>IF(tblLog[[#This Row],[Date]]="","",IFERROR(IF(INDEX(tblCCPs[Critical limit],MATCH(tblLog[[#This Row],[CCP]],tblCCPs[CCP],0))="","",INDEX(tblCCPs[Critical limit],MATCH(tblLog[[#This Row],[CCP]],tblCCPs[CCP],0))),""))</f>
        <v>3</v>
      </c>
      <c r="J53" s="40">
        <f>IF(tblLog[[#This Row],[Date]]="","",IFERROR(IF(INDEX(tblCCPs[Operating limit],MATCH(tblLog[[#This Row],[CCP]],tblCCPs[CCP],0))="","",INDEX(tblCCPs[Operating limit],MATCH(tblLog[[#This Row],[CCP]],tblCCPs[CCP],0))),""))</f>
        <v/>
      </c>
      <c r="K5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3" s="28" t="s">
        <v>121</v>
      </c>
      <c r="M53" s="42" t="s">
        <v>122</v>
      </c>
      <c r="N53" s="35">
        <v>0</v>
      </c>
      <c r="O53" s="28" t="s">
        <v>123</v>
      </c>
      <c r="P53" s="43">
        <f>IF(tblLog[[#This Row],[Date]]="","",IF(N(tblLog[[#This Row],[Product held]])&gt;0,tblLog[[#This Row],[Product held]]*HoldValue+QACost,0))</f>
        <v>0</v>
      </c>
      <c r="Q53" s="43">
        <f>IF(tblLog[[#This Row],[Date]]="","",IF(tblLog[[#This Row],[CCP]]="","",COUNTIFS(tblLog[CCP],tblLog[[#This Row],[CCP]],tblLog[Date],"&lt;"&amp;tblLog[[#This Row],[Date]])+COUNTIFS(tblLog[CCP],tblLog[[#This Row],[CCP]],tblLog[Date],tblLog[[#This Row],[Date]],tblLog[Time],"&lt;="&amp;tblLog[[#This Row],[Time]])))</f>
        <v>11</v>
      </c>
      <c r="R53" s="44">
        <f>IF(tblLog[[#This Row],[Date]]="","",IF(AND(tblLog[[#This Row],[Date]]&gt;=FFrom,tblLog[[#This Row],[Date]]&lt;=FTo),tblLog[[#This Row],[Date]],""))</f>
        <v>46281</v>
      </c>
      <c r="S5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3" s="28" t="s">
        <v>122</v>
      </c>
    </row>
    <row r="54" spans="2:20">
      <c r="B54" s="37">
        <v>46281</v>
      </c>
      <c r="C54" s="38">
        <v>0.5625</v>
      </c>
      <c r="D54" s="28" t="s">
        <v>85</v>
      </c>
      <c r="E54" s="28" t="s">
        <v>148</v>
      </c>
      <c r="F54" s="34">
        <v>78.59999999999999</v>
      </c>
      <c r="G54" s="39" t="str">
        <f>IF(tblLog[[#This Row],[Date]]="","",IFERROR(IF(INDEX(tblCCPs[Unit],MATCH(tblLog[[#This Row],[CCP]],tblCCPs[CCP],0))="","",INDEX(tblCCPs[Unit],MATCH(tblLog[[#This Row],[CCP]],tblCCPs[CCP],0))),""))</f>
        <v>°C</v>
      </c>
      <c r="H54" s="39" t="str">
        <f>IF(tblLog[[#This Row],[Date]]="","",IFERROR(IF(INDEX(tblCCPs[Limit type],MATCH(tblLog[[#This Row],[CCP]],tblCCPs[CCP],0))="","",INDEX(tblCCPs[Limit type],MATCH(tblLog[[#This Row],[CCP]],tblCCPs[CCP],0))),""))</f>
        <v>Minimum</v>
      </c>
      <c r="I54" s="40">
        <f>IF(tblLog[[#This Row],[Date]]="","",IFERROR(IF(INDEX(tblCCPs[Critical limit],MATCH(tblLog[[#This Row],[CCP]],tblCCPs[CCP],0))="","",INDEX(tblCCPs[Critical limit],MATCH(tblLog[[#This Row],[CCP]],tblCCPs[CCP],0))),""))</f>
        <v>75</v>
      </c>
      <c r="J54" s="40">
        <f>IF(tblLog[[#This Row],[Date]]="","",IFERROR(IF(INDEX(tblCCPs[Operating limit],MATCH(tblLog[[#This Row],[CCP]],tblCCPs[CCP],0))="","",INDEX(tblCCPs[Operating limit],MATCH(tblLog[[#This Row],[CCP]],tblCCPs[CCP],0))),""))</f>
        <v>78</v>
      </c>
      <c r="K5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4" s="28" t="s">
        <v>130</v>
      </c>
      <c r="M54" s="42" t="s">
        <v>122</v>
      </c>
      <c r="N54" s="35">
        <v>0</v>
      </c>
      <c r="O54" s="28" t="s">
        <v>123</v>
      </c>
      <c r="P54" s="43">
        <f>IF(tblLog[[#This Row],[Date]]="","",IF(N(tblLog[[#This Row],[Product held]])&gt;0,tblLog[[#This Row],[Product held]]*HoldValue+QACost,0))</f>
        <v>0</v>
      </c>
      <c r="Q54" s="43">
        <f>IF(tblLog[[#This Row],[Date]]="","",IF(tblLog[[#This Row],[CCP]]="","",COUNTIFS(tblLog[CCP],tblLog[[#This Row],[CCP]],tblLog[Date],"&lt;"&amp;tblLog[[#This Row],[Date]])+COUNTIFS(tblLog[CCP],tblLog[[#This Row],[CCP]],tblLog[Date],tblLog[[#This Row],[Date]],tblLog[Time],"&lt;="&amp;tblLog[[#This Row],[Time]])))</f>
        <v>17</v>
      </c>
      <c r="R54" s="44">
        <f>IF(tblLog[[#This Row],[Date]]="","",IF(AND(tblLog[[#This Row],[Date]]&gt;=FFrom,tblLog[[#This Row],[Date]]&lt;=FTo),tblLog[[#This Row],[Date]],""))</f>
        <v>46281</v>
      </c>
      <c r="S5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4" s="28" t="s">
        <v>122</v>
      </c>
    </row>
    <row r="55" spans="2:20">
      <c r="B55" s="37">
        <v>46281</v>
      </c>
      <c r="C55" s="38">
        <v>0.5729166666666666</v>
      </c>
      <c r="D55" s="28" t="s">
        <v>91</v>
      </c>
      <c r="E55" s="28" t="s">
        <v>147</v>
      </c>
      <c r="F55" s="34">
        <v>2.5</v>
      </c>
      <c r="G55" s="39" t="str">
        <f>IF(tblLog[[#This Row],[Date]]="","",IFERROR(IF(INDEX(tblCCPs[Unit],MATCH(tblLog[[#This Row],[CCP]],tblCCPs[CCP],0))="","",INDEX(tblCCPs[Unit],MATCH(tblLog[[#This Row],[CCP]],tblCCPs[CCP],0))),""))</f>
        <v>°C</v>
      </c>
      <c r="H55" s="39" t="str">
        <f>IF(tblLog[[#This Row],[Date]]="","",IFERROR(IF(INDEX(tblCCPs[Limit type],MATCH(tblLog[[#This Row],[CCP]],tblCCPs[CCP],0))="","",INDEX(tblCCPs[Limit type],MATCH(tblLog[[#This Row],[CCP]],tblCCPs[CCP],0))),""))</f>
        <v>Maximum</v>
      </c>
      <c r="I55" s="40">
        <f>IF(tblLog[[#This Row],[Date]]="","",IFERROR(IF(INDEX(tblCCPs[Critical limit],MATCH(tblLog[[#This Row],[CCP]],tblCCPs[CCP],0))="","",INDEX(tblCCPs[Critical limit],MATCH(tblLog[[#This Row],[CCP]],tblCCPs[CCP],0))),""))</f>
        <v>5</v>
      </c>
      <c r="J55" s="40">
        <f>IF(tblLog[[#This Row],[Date]]="","",IFERROR(IF(INDEX(tblCCPs[Operating limit],MATCH(tblLog[[#This Row],[CCP]],tblCCPs[CCP],0))="","",INDEX(tblCCPs[Operating limit],MATCH(tblLog[[#This Row],[CCP]],tblCCPs[CCP],0))),""))</f>
        <v>4</v>
      </c>
      <c r="K5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5" s="28" t="s">
        <v>127</v>
      </c>
      <c r="M55" s="42" t="s">
        <v>122</v>
      </c>
      <c r="N55" s="35">
        <v>0</v>
      </c>
      <c r="O55" s="28" t="s">
        <v>123</v>
      </c>
      <c r="P55" s="43">
        <f>IF(tblLog[[#This Row],[Date]]="","",IF(N(tblLog[[#This Row],[Product held]])&gt;0,tblLog[[#This Row],[Product held]]*HoldValue+QACost,0))</f>
        <v>0</v>
      </c>
      <c r="Q55" s="43">
        <f>IF(tblLog[[#This Row],[Date]]="","",IF(tblLog[[#This Row],[CCP]]="","",COUNTIFS(tblLog[CCP],tblLog[[#This Row],[CCP]],tblLog[Date],"&lt;"&amp;tblLog[[#This Row],[Date]])+COUNTIFS(tblLog[CCP],tblLog[[#This Row],[CCP]],tblLog[Date],tblLog[[#This Row],[Date]],tblLog[Time],"&lt;="&amp;tblLog[[#This Row],[Time]])))</f>
        <v>16</v>
      </c>
      <c r="R55" s="44">
        <f>IF(tblLog[[#This Row],[Date]]="","",IF(AND(tblLog[[#This Row],[Date]]&gt;=FFrom,tblLog[[#This Row],[Date]]&lt;=FTo),tblLog[[#This Row],[Date]],""))</f>
        <v>46281</v>
      </c>
      <c r="S5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5" s="28" t="s">
        <v>122</v>
      </c>
    </row>
    <row r="56" spans="2:20">
      <c r="B56" s="37">
        <v>46281</v>
      </c>
      <c r="C56" s="38">
        <v>0.625</v>
      </c>
      <c r="D56" s="28" t="s">
        <v>85</v>
      </c>
      <c r="E56" s="28" t="s">
        <v>149</v>
      </c>
      <c r="F56" s="34">
        <v>86.2</v>
      </c>
      <c r="G56" s="39" t="str">
        <f>IF(tblLog[[#This Row],[Date]]="","",IFERROR(IF(INDEX(tblCCPs[Unit],MATCH(tblLog[[#This Row],[CCP]],tblCCPs[CCP],0))="","",INDEX(tblCCPs[Unit],MATCH(tblLog[[#This Row],[CCP]],tblCCPs[CCP],0))),""))</f>
        <v>°C</v>
      </c>
      <c r="H56" s="39" t="str">
        <f>IF(tblLog[[#This Row],[Date]]="","",IFERROR(IF(INDEX(tblCCPs[Limit type],MATCH(tblLog[[#This Row],[CCP]],tblCCPs[CCP],0))="","",INDEX(tblCCPs[Limit type],MATCH(tblLog[[#This Row],[CCP]],tblCCPs[CCP],0))),""))</f>
        <v>Minimum</v>
      </c>
      <c r="I56" s="40">
        <f>IF(tblLog[[#This Row],[Date]]="","",IFERROR(IF(INDEX(tblCCPs[Critical limit],MATCH(tblLog[[#This Row],[CCP]],tblCCPs[CCP],0))="","",INDEX(tblCCPs[Critical limit],MATCH(tblLog[[#This Row],[CCP]],tblCCPs[CCP],0))),""))</f>
        <v>75</v>
      </c>
      <c r="J56" s="40">
        <f>IF(tblLog[[#This Row],[Date]]="","",IFERROR(IF(INDEX(tblCCPs[Operating limit],MATCH(tblLog[[#This Row],[CCP]],tblCCPs[CCP],0))="","",INDEX(tblCCPs[Operating limit],MATCH(tblLog[[#This Row],[CCP]],tblCCPs[CCP],0))),""))</f>
        <v>78</v>
      </c>
      <c r="K5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6" s="28" t="s">
        <v>132</v>
      </c>
      <c r="M56" s="42" t="s">
        <v>122</v>
      </c>
      <c r="N56" s="35">
        <v>0</v>
      </c>
      <c r="O56" s="28" t="s">
        <v>123</v>
      </c>
      <c r="P56" s="43">
        <f>IF(tblLog[[#This Row],[Date]]="","",IF(N(tblLog[[#This Row],[Product held]])&gt;0,tblLog[[#This Row],[Product held]]*HoldValue+QACost,0))</f>
        <v>0</v>
      </c>
      <c r="Q56" s="43">
        <f>IF(tblLog[[#This Row],[Date]]="","",IF(tblLog[[#This Row],[CCP]]="","",COUNTIFS(tblLog[CCP],tblLog[[#This Row],[CCP]],tblLog[Date],"&lt;"&amp;tblLog[[#This Row],[Date]])+COUNTIFS(tblLog[CCP],tblLog[[#This Row],[CCP]],tblLog[Date],tblLog[[#This Row],[Date]],tblLog[Time],"&lt;="&amp;tblLog[[#This Row],[Time]])))</f>
        <v>18</v>
      </c>
      <c r="R56" s="44">
        <f>IF(tblLog[[#This Row],[Date]]="","",IF(AND(tblLog[[#This Row],[Date]]&gt;=FFrom,tblLog[[#This Row],[Date]]&lt;=FTo),tblLog[[#This Row],[Date]],""))</f>
        <v>46281</v>
      </c>
      <c r="S5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6" s="28" t="s">
        <v>122</v>
      </c>
    </row>
    <row r="57" spans="2:20">
      <c r="B57" s="37">
        <v>46281</v>
      </c>
      <c r="C57" s="38">
        <v>0.6354166666666666</v>
      </c>
      <c r="D57" s="28" t="s">
        <v>91</v>
      </c>
      <c r="E57" s="28" t="s">
        <v>148</v>
      </c>
      <c r="F57" s="34">
        <v>3.5</v>
      </c>
      <c r="G57" s="39" t="str">
        <f>IF(tblLog[[#This Row],[Date]]="","",IFERROR(IF(INDEX(tblCCPs[Unit],MATCH(tblLog[[#This Row],[CCP]],tblCCPs[CCP],0))="","",INDEX(tblCCPs[Unit],MATCH(tblLog[[#This Row],[CCP]],tblCCPs[CCP],0))),""))</f>
        <v>°C</v>
      </c>
      <c r="H57" s="39" t="str">
        <f>IF(tblLog[[#This Row],[Date]]="","",IFERROR(IF(INDEX(tblCCPs[Limit type],MATCH(tblLog[[#This Row],[CCP]],tblCCPs[CCP],0))="","",INDEX(tblCCPs[Limit type],MATCH(tblLog[[#This Row],[CCP]],tblCCPs[CCP],0))),""))</f>
        <v>Maximum</v>
      </c>
      <c r="I57" s="40">
        <f>IF(tblLog[[#This Row],[Date]]="","",IFERROR(IF(INDEX(tblCCPs[Critical limit],MATCH(tblLog[[#This Row],[CCP]],tblCCPs[CCP],0))="","",INDEX(tblCCPs[Critical limit],MATCH(tblLog[[#This Row],[CCP]],tblCCPs[CCP],0))),""))</f>
        <v>5</v>
      </c>
      <c r="J57" s="40">
        <f>IF(tblLog[[#This Row],[Date]]="","",IFERROR(IF(INDEX(tblCCPs[Operating limit],MATCH(tblLog[[#This Row],[CCP]],tblCCPs[CCP],0))="","",INDEX(tblCCPs[Operating limit],MATCH(tblLog[[#This Row],[CCP]],tblCCPs[CCP],0))),""))</f>
        <v>4</v>
      </c>
      <c r="K5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7" s="28" t="s">
        <v>130</v>
      </c>
      <c r="M57" s="42" t="s">
        <v>122</v>
      </c>
      <c r="N57" s="35">
        <v>0</v>
      </c>
      <c r="O57" s="28" t="s">
        <v>123</v>
      </c>
      <c r="P57" s="43">
        <f>IF(tblLog[[#This Row],[Date]]="","",IF(N(tblLog[[#This Row],[Product held]])&gt;0,tblLog[[#This Row],[Product held]]*HoldValue+QACost,0))</f>
        <v>0</v>
      </c>
      <c r="Q57" s="43">
        <f>IF(tblLog[[#This Row],[Date]]="","",IF(tblLog[[#This Row],[CCP]]="","",COUNTIFS(tblLog[CCP],tblLog[[#This Row],[CCP]],tblLog[Date],"&lt;"&amp;tblLog[[#This Row],[Date]])+COUNTIFS(tblLog[CCP],tblLog[[#This Row],[CCP]],tblLog[Date],tblLog[[#This Row],[Date]],tblLog[Time],"&lt;="&amp;tblLog[[#This Row],[Time]])))</f>
        <v>17</v>
      </c>
      <c r="R57" s="44">
        <f>IF(tblLog[[#This Row],[Date]]="","",IF(AND(tblLog[[#This Row],[Date]]&gt;=FFrom,tblLog[[#This Row],[Date]]&lt;=FTo),tblLog[[#This Row],[Date]],""))</f>
        <v>46281</v>
      </c>
      <c r="S5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7" s="28" t="s">
        <v>122</v>
      </c>
    </row>
    <row r="58" spans="2:20">
      <c r="B58" s="37">
        <v>46281</v>
      </c>
      <c r="C58" s="38">
        <v>0.6458333333333334</v>
      </c>
      <c r="D58" s="28" t="s">
        <v>96</v>
      </c>
      <c r="E58" s="28" t="s">
        <v>136</v>
      </c>
      <c r="F58" s="34">
        <v>3</v>
      </c>
      <c r="G58" s="39" t="str">
        <f>IF(tblLog[[#This Row],[Date]]="","",IFERROR(IF(INDEX(tblCCPs[Unit],MATCH(tblLog[[#This Row],[CCP]],tblCCPs[CCP],0))="","",INDEX(tblCCPs[Unit],MATCH(tblLog[[#This Row],[CCP]],tblCCPs[CCP],0))),""))</f>
        <v>of 3</v>
      </c>
      <c r="H58" s="39" t="str">
        <f>IF(tblLog[[#This Row],[Date]]="","",IFERROR(IF(INDEX(tblCCPs[Limit type],MATCH(tblLog[[#This Row],[CCP]],tblCCPs[CCP],0))="","",INDEX(tblCCPs[Limit type],MATCH(tblLog[[#This Row],[CCP]],tblCCPs[CCP],0))),""))</f>
        <v>Minimum</v>
      </c>
      <c r="I58" s="40">
        <f>IF(tblLog[[#This Row],[Date]]="","",IFERROR(IF(INDEX(tblCCPs[Critical limit],MATCH(tblLog[[#This Row],[CCP]],tblCCPs[CCP],0))="","",INDEX(tblCCPs[Critical limit],MATCH(tblLog[[#This Row],[CCP]],tblCCPs[CCP],0))),""))</f>
        <v>3</v>
      </c>
      <c r="J58" s="40">
        <f>IF(tblLog[[#This Row],[Date]]="","",IFERROR(IF(INDEX(tblCCPs[Operating limit],MATCH(tblLog[[#This Row],[CCP]],tblCCPs[CCP],0))="","",INDEX(tblCCPs[Operating limit],MATCH(tblLog[[#This Row],[CCP]],tblCCPs[CCP],0))),""))</f>
        <v/>
      </c>
      <c r="K5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8" s="28" t="s">
        <v>127</v>
      </c>
      <c r="M58" s="42" t="s">
        <v>122</v>
      </c>
      <c r="N58" s="35">
        <v>0</v>
      </c>
      <c r="O58" s="28" t="s">
        <v>123</v>
      </c>
      <c r="P58" s="43">
        <f>IF(tblLog[[#This Row],[Date]]="","",IF(N(tblLog[[#This Row],[Product held]])&gt;0,tblLog[[#This Row],[Product held]]*HoldValue+QACost,0))</f>
        <v>0</v>
      </c>
      <c r="Q58" s="43">
        <f>IF(tblLog[[#This Row],[Date]]="","",IF(tblLog[[#This Row],[CCP]]="","",COUNTIFS(tblLog[CCP],tblLog[[#This Row],[CCP]],tblLog[Date],"&lt;"&amp;tblLog[[#This Row],[Date]])+COUNTIFS(tblLog[CCP],tblLog[[#This Row],[CCP]],tblLog[Date],tblLog[[#This Row],[Date]],tblLog[Time],"&lt;="&amp;tblLog[[#This Row],[Time]])))</f>
        <v>12</v>
      </c>
      <c r="R58" s="44">
        <f>IF(tblLog[[#This Row],[Date]]="","",IF(AND(tblLog[[#This Row],[Date]]&gt;=FFrom,tblLog[[#This Row],[Date]]&lt;=FTo),tblLog[[#This Row],[Date]],""))</f>
        <v>46281</v>
      </c>
      <c r="S5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8" s="28" t="s">
        <v>122</v>
      </c>
    </row>
    <row r="59" spans="2:20">
      <c r="B59" s="37">
        <v>46281</v>
      </c>
      <c r="C59" s="38">
        <v>0.6666666666666666</v>
      </c>
      <c r="D59" s="28" t="s">
        <v>101</v>
      </c>
      <c r="E59" s="28" t="s">
        <v>125</v>
      </c>
      <c r="F59" s="34">
        <v>3.1</v>
      </c>
      <c r="G59" s="39" t="str">
        <f>IF(tblLog[[#This Row],[Date]]="","",IFERROR(IF(INDEX(tblCCPs[Unit],MATCH(tblLog[[#This Row],[CCP]],tblCCPs[CCP],0))="","",INDEX(tblCCPs[Unit],MATCH(tblLog[[#This Row],[CCP]],tblCCPs[CCP],0))),""))</f>
        <v>°C</v>
      </c>
      <c r="H59" s="39" t="str">
        <f>IF(tblLog[[#This Row],[Date]]="","",IFERROR(IF(INDEX(tblCCPs[Limit type],MATCH(tblLog[[#This Row],[CCP]],tblCCPs[CCP],0))="","",INDEX(tblCCPs[Limit type],MATCH(tblLog[[#This Row],[CCP]],tblCCPs[CCP],0))),""))</f>
        <v>Maximum</v>
      </c>
      <c r="I59" s="40">
        <f>IF(tblLog[[#This Row],[Date]]="","",IFERROR(IF(INDEX(tblCCPs[Critical limit],MATCH(tblLog[[#This Row],[CCP]],tblCCPs[CCP],0))="","",INDEX(tblCCPs[Critical limit],MATCH(tblLog[[#This Row],[CCP]],tblCCPs[CCP],0))),""))</f>
        <v>5</v>
      </c>
      <c r="J59" s="40">
        <f>IF(tblLog[[#This Row],[Date]]="","",IFERROR(IF(INDEX(tblCCPs[Operating limit],MATCH(tblLog[[#This Row],[CCP]],tblCCPs[CCP],0))="","",INDEX(tblCCPs[Operating limit],MATCH(tblLog[[#This Row],[CCP]],tblCCPs[CCP],0))),""))</f>
        <v>4</v>
      </c>
      <c r="K5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59" s="28" t="s">
        <v>132</v>
      </c>
      <c r="M59" s="42" t="s">
        <v>122</v>
      </c>
      <c r="N59" s="35">
        <v>0</v>
      </c>
      <c r="O59" s="28" t="s">
        <v>123</v>
      </c>
      <c r="P59" s="43">
        <f>IF(tblLog[[#This Row],[Date]]="","",IF(N(tblLog[[#This Row],[Product held]])&gt;0,tblLog[[#This Row],[Product held]]*HoldValue+QACost,0))</f>
        <v>0</v>
      </c>
      <c r="Q59" s="43">
        <f>IF(tblLog[[#This Row],[Date]]="","",IF(tblLog[[#This Row],[CCP]]="","",COUNTIFS(tblLog[CCP],tblLog[[#This Row],[CCP]],tblLog[Date],"&lt;"&amp;tblLog[[#This Row],[Date]])+COUNTIFS(tblLog[CCP],tblLog[[#This Row],[CCP]],tblLog[Date],tblLog[[#This Row],[Date]],tblLog[Time],"&lt;="&amp;tblLog[[#This Row],[Time]])))</f>
        <v>6</v>
      </c>
      <c r="R59" s="44">
        <f>IF(tblLog[[#This Row],[Date]]="","",IF(AND(tblLog[[#This Row],[Date]]&gt;=FFrom,tblLog[[#This Row],[Date]]&lt;=FTo),tblLog[[#This Row],[Date]],""))</f>
        <v>46281</v>
      </c>
      <c r="S5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59" s="28" t="s">
        <v>122</v>
      </c>
    </row>
    <row r="60" spans="2:20">
      <c r="B60" s="37">
        <v>46281</v>
      </c>
      <c r="C60" s="38">
        <v>0.6979166666666666</v>
      </c>
      <c r="D60" s="28" t="s">
        <v>91</v>
      </c>
      <c r="E60" s="28" t="s">
        <v>149</v>
      </c>
      <c r="F60" s="34">
        <v>3.4</v>
      </c>
      <c r="G60" s="39" t="str">
        <f>IF(tblLog[[#This Row],[Date]]="","",IFERROR(IF(INDEX(tblCCPs[Unit],MATCH(tblLog[[#This Row],[CCP]],tblCCPs[CCP],0))="","",INDEX(tblCCPs[Unit],MATCH(tblLog[[#This Row],[CCP]],tblCCPs[CCP],0))),""))</f>
        <v>°C</v>
      </c>
      <c r="H60" s="39" t="str">
        <f>IF(tblLog[[#This Row],[Date]]="","",IFERROR(IF(INDEX(tblCCPs[Limit type],MATCH(tblLog[[#This Row],[CCP]],tblCCPs[CCP],0))="","",INDEX(tblCCPs[Limit type],MATCH(tblLog[[#This Row],[CCP]],tblCCPs[CCP],0))),""))</f>
        <v>Maximum</v>
      </c>
      <c r="I60" s="40">
        <f>IF(tblLog[[#This Row],[Date]]="","",IFERROR(IF(INDEX(tblCCPs[Critical limit],MATCH(tblLog[[#This Row],[CCP]],tblCCPs[CCP],0))="","",INDEX(tblCCPs[Critical limit],MATCH(tblLog[[#This Row],[CCP]],tblCCPs[CCP],0))),""))</f>
        <v>5</v>
      </c>
      <c r="J60" s="40">
        <f>IF(tblLog[[#This Row],[Date]]="","",IFERROR(IF(INDEX(tblCCPs[Operating limit],MATCH(tblLog[[#This Row],[CCP]],tblCCPs[CCP],0))="","",INDEX(tblCCPs[Operating limit],MATCH(tblLog[[#This Row],[CCP]],tblCCPs[CCP],0))),""))</f>
        <v>4</v>
      </c>
      <c r="K6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0" s="28" t="s">
        <v>132</v>
      </c>
      <c r="M60" s="42" t="s">
        <v>122</v>
      </c>
      <c r="N60" s="35">
        <v>0</v>
      </c>
      <c r="O60" s="28" t="s">
        <v>123</v>
      </c>
      <c r="P60" s="43">
        <f>IF(tblLog[[#This Row],[Date]]="","",IF(N(tblLog[[#This Row],[Product held]])&gt;0,tblLog[[#This Row],[Product held]]*HoldValue+QACost,0))</f>
        <v>0</v>
      </c>
      <c r="Q60" s="43">
        <f>IF(tblLog[[#This Row],[Date]]="","",IF(tblLog[[#This Row],[CCP]]="","",COUNTIFS(tblLog[CCP],tblLog[[#This Row],[CCP]],tblLog[Date],"&lt;"&amp;tblLog[[#This Row],[Date]])+COUNTIFS(tblLog[CCP],tblLog[[#This Row],[CCP]],tblLog[Date],tblLog[[#This Row],[Date]],tblLog[Time],"&lt;="&amp;tblLog[[#This Row],[Time]])))</f>
        <v>18</v>
      </c>
      <c r="R60" s="44">
        <f>IF(tblLog[[#This Row],[Date]]="","",IF(AND(tblLog[[#This Row],[Date]]&gt;=FFrom,tblLog[[#This Row],[Date]]&lt;=FTo),tblLog[[#This Row],[Date]],""))</f>
        <v>46281</v>
      </c>
      <c r="S6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0" s="28" t="s">
        <v>122</v>
      </c>
    </row>
    <row r="61" spans="2:20">
      <c r="B61" s="37">
        <v>46282</v>
      </c>
      <c r="C61" s="38">
        <v>0.2916666666666667</v>
      </c>
      <c r="D61" s="28" t="s">
        <v>96</v>
      </c>
      <c r="E61" s="28" t="s">
        <v>120</v>
      </c>
      <c r="F61" s="34">
        <v>3</v>
      </c>
      <c r="G61" s="39" t="str">
        <f>IF(tblLog[[#This Row],[Date]]="","",IFERROR(IF(INDEX(tblCCPs[Unit],MATCH(tblLog[[#This Row],[CCP]],tblCCPs[CCP],0))="","",INDEX(tblCCPs[Unit],MATCH(tblLog[[#This Row],[CCP]],tblCCPs[CCP],0))),""))</f>
        <v>of 3</v>
      </c>
      <c r="H61" s="39" t="str">
        <f>IF(tblLog[[#This Row],[Date]]="","",IFERROR(IF(INDEX(tblCCPs[Limit type],MATCH(tblLog[[#This Row],[CCP]],tblCCPs[CCP],0))="","",INDEX(tblCCPs[Limit type],MATCH(tblLog[[#This Row],[CCP]],tblCCPs[CCP],0))),""))</f>
        <v>Minimum</v>
      </c>
      <c r="I61" s="40">
        <f>IF(tblLog[[#This Row],[Date]]="","",IFERROR(IF(INDEX(tblCCPs[Critical limit],MATCH(tblLog[[#This Row],[CCP]],tblCCPs[CCP],0))="","",INDEX(tblCCPs[Critical limit],MATCH(tblLog[[#This Row],[CCP]],tblCCPs[CCP],0))),""))</f>
        <v>3</v>
      </c>
      <c r="J61" s="40">
        <f>IF(tblLog[[#This Row],[Date]]="","",IFERROR(IF(INDEX(tblCCPs[Operating limit],MATCH(tblLog[[#This Row],[CCP]],tblCCPs[CCP],0))="","",INDEX(tblCCPs[Operating limit],MATCH(tblLog[[#This Row],[CCP]],tblCCPs[CCP],0))),""))</f>
        <v/>
      </c>
      <c r="K6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1" s="28" t="s">
        <v>132</v>
      </c>
      <c r="M61" s="42" t="s">
        <v>122</v>
      </c>
      <c r="N61" s="35">
        <v>0</v>
      </c>
      <c r="O61" s="28" t="s">
        <v>123</v>
      </c>
      <c r="P61" s="43">
        <f>IF(tblLog[[#This Row],[Date]]="","",IF(N(tblLog[[#This Row],[Product held]])&gt;0,tblLog[[#This Row],[Product held]]*HoldValue+QACost,0))</f>
        <v>0</v>
      </c>
      <c r="Q61" s="43">
        <f>IF(tblLog[[#This Row],[Date]]="","",IF(tblLog[[#This Row],[CCP]]="","",COUNTIFS(tblLog[CCP],tblLog[[#This Row],[CCP]],tblLog[Date],"&lt;"&amp;tblLog[[#This Row],[Date]])+COUNTIFS(tblLog[CCP],tblLog[[#This Row],[CCP]],tblLog[Date],tblLog[[#This Row],[Date]],tblLog[Time],"&lt;="&amp;tblLog[[#This Row],[Time]])))</f>
        <v>13</v>
      </c>
      <c r="R61" s="44">
        <f>IF(tblLog[[#This Row],[Date]]="","",IF(AND(tblLog[[#This Row],[Date]]&gt;=FFrom,tblLog[[#This Row],[Date]]&lt;=FTo),tblLog[[#This Row],[Date]],""))</f>
        <v>46282</v>
      </c>
      <c r="S6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1" s="28" t="s">
        <v>122</v>
      </c>
    </row>
    <row r="62" spans="2:20">
      <c r="B62" s="37">
        <v>46282</v>
      </c>
      <c r="C62" s="38">
        <v>0.3125</v>
      </c>
      <c r="D62" s="28" t="s">
        <v>85</v>
      </c>
      <c r="E62" s="28" t="s">
        <v>150</v>
      </c>
      <c r="F62" s="34">
        <v>81.3</v>
      </c>
      <c r="G62" s="39" t="str">
        <f>IF(tblLog[[#This Row],[Date]]="","",IFERROR(IF(INDEX(tblCCPs[Unit],MATCH(tblLog[[#This Row],[CCP]],tblCCPs[CCP],0))="","",INDEX(tblCCPs[Unit],MATCH(tblLog[[#This Row],[CCP]],tblCCPs[CCP],0))),""))</f>
        <v>°C</v>
      </c>
      <c r="H62" s="39" t="str">
        <f>IF(tblLog[[#This Row],[Date]]="","",IFERROR(IF(INDEX(tblCCPs[Limit type],MATCH(tblLog[[#This Row],[CCP]],tblCCPs[CCP],0))="","",INDEX(tblCCPs[Limit type],MATCH(tblLog[[#This Row],[CCP]],tblCCPs[CCP],0))),""))</f>
        <v>Minimum</v>
      </c>
      <c r="I62" s="40">
        <f>IF(tblLog[[#This Row],[Date]]="","",IFERROR(IF(INDEX(tblCCPs[Critical limit],MATCH(tblLog[[#This Row],[CCP]],tblCCPs[CCP],0))="","",INDEX(tblCCPs[Critical limit],MATCH(tblLog[[#This Row],[CCP]],tblCCPs[CCP],0))),""))</f>
        <v>75</v>
      </c>
      <c r="J62" s="40">
        <f>IF(tblLog[[#This Row],[Date]]="","",IFERROR(IF(INDEX(tblCCPs[Operating limit],MATCH(tblLog[[#This Row],[CCP]],tblCCPs[CCP],0))="","",INDEX(tblCCPs[Operating limit],MATCH(tblLog[[#This Row],[CCP]],tblCCPs[CCP],0))),""))</f>
        <v>78</v>
      </c>
      <c r="K6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2" s="28" t="s">
        <v>132</v>
      </c>
      <c r="M62" s="42" t="s">
        <v>122</v>
      </c>
      <c r="N62" s="35">
        <v>0</v>
      </c>
      <c r="O62" s="28" t="s">
        <v>123</v>
      </c>
      <c r="P62" s="43">
        <f>IF(tblLog[[#This Row],[Date]]="","",IF(N(tblLog[[#This Row],[Product held]])&gt;0,tblLog[[#This Row],[Product held]]*HoldValue+QACost,0))</f>
        <v>0</v>
      </c>
      <c r="Q62" s="43">
        <f>IF(tblLog[[#This Row],[Date]]="","",IF(tblLog[[#This Row],[CCP]]="","",COUNTIFS(tblLog[CCP],tblLog[[#This Row],[CCP]],tblLog[Date],"&lt;"&amp;tblLog[[#This Row],[Date]])+COUNTIFS(tblLog[CCP],tblLog[[#This Row],[CCP]],tblLog[Date],tblLog[[#This Row],[Date]],tblLog[Time],"&lt;="&amp;tblLog[[#This Row],[Time]])))</f>
        <v>19</v>
      </c>
      <c r="R62" s="44">
        <f>IF(tblLog[[#This Row],[Date]]="","",IF(AND(tblLog[[#This Row],[Date]]&gt;=FFrom,tblLog[[#This Row],[Date]]&lt;=FTo),tblLog[[#This Row],[Date]],""))</f>
        <v>46282</v>
      </c>
      <c r="S6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2" s="28" t="s">
        <v>122</v>
      </c>
    </row>
    <row r="63" spans="2:20">
      <c r="B63" s="37">
        <v>46282</v>
      </c>
      <c r="C63" s="38">
        <v>0.3333333333333333</v>
      </c>
      <c r="D63" s="28" t="s">
        <v>101</v>
      </c>
      <c r="E63" s="28" t="s">
        <v>125</v>
      </c>
      <c r="F63" s="34">
        <v>2.3</v>
      </c>
      <c r="G63" s="39" t="str">
        <f>IF(tblLog[[#This Row],[Date]]="","",IFERROR(IF(INDEX(tblCCPs[Unit],MATCH(tblLog[[#This Row],[CCP]],tblCCPs[CCP],0))="","",INDEX(tblCCPs[Unit],MATCH(tblLog[[#This Row],[CCP]],tblCCPs[CCP],0))),""))</f>
        <v>°C</v>
      </c>
      <c r="H63" s="39" t="str">
        <f>IF(tblLog[[#This Row],[Date]]="","",IFERROR(IF(INDEX(tblCCPs[Limit type],MATCH(tblLog[[#This Row],[CCP]],tblCCPs[CCP],0))="","",INDEX(tblCCPs[Limit type],MATCH(tblLog[[#This Row],[CCP]],tblCCPs[CCP],0))),""))</f>
        <v>Maximum</v>
      </c>
      <c r="I63" s="40">
        <f>IF(tblLog[[#This Row],[Date]]="","",IFERROR(IF(INDEX(tblCCPs[Critical limit],MATCH(tblLog[[#This Row],[CCP]],tblCCPs[CCP],0))="","",INDEX(tblCCPs[Critical limit],MATCH(tblLog[[#This Row],[CCP]],tblCCPs[CCP],0))),""))</f>
        <v>5</v>
      </c>
      <c r="J63" s="40">
        <f>IF(tblLog[[#This Row],[Date]]="","",IFERROR(IF(INDEX(tblCCPs[Operating limit],MATCH(tblLog[[#This Row],[CCP]],tblCCPs[CCP],0))="","",INDEX(tblCCPs[Operating limit],MATCH(tblLog[[#This Row],[CCP]],tblCCPs[CCP],0))),""))</f>
        <v>4</v>
      </c>
      <c r="K6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3" s="28" t="s">
        <v>132</v>
      </c>
      <c r="M63" s="42" t="s">
        <v>122</v>
      </c>
      <c r="N63" s="35">
        <v>0</v>
      </c>
      <c r="O63" s="28" t="s">
        <v>123</v>
      </c>
      <c r="P63" s="43">
        <f>IF(tblLog[[#This Row],[Date]]="","",IF(N(tblLog[[#This Row],[Product held]])&gt;0,tblLog[[#This Row],[Product held]]*HoldValue+QACost,0))</f>
        <v>0</v>
      </c>
      <c r="Q63" s="43">
        <f>IF(tblLog[[#This Row],[Date]]="","",IF(tblLog[[#This Row],[CCP]]="","",COUNTIFS(tblLog[CCP],tblLog[[#This Row],[CCP]],tblLog[Date],"&lt;"&amp;tblLog[[#This Row],[Date]])+COUNTIFS(tblLog[CCP],tblLog[[#This Row],[CCP]],tblLog[Date],tblLog[[#This Row],[Date]],tblLog[Time],"&lt;="&amp;tblLog[[#This Row],[Time]])))</f>
        <v>7</v>
      </c>
      <c r="R63" s="44">
        <f>IF(tblLog[[#This Row],[Date]]="","",IF(AND(tblLog[[#This Row],[Date]]&gt;=FFrom,tblLog[[#This Row],[Date]]&lt;=FTo),tblLog[[#This Row],[Date]],""))</f>
        <v>46282</v>
      </c>
      <c r="S6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3" s="28" t="s">
        <v>122</v>
      </c>
    </row>
    <row r="64" spans="2:20">
      <c r="B64" s="37">
        <v>46282</v>
      </c>
      <c r="C64" s="38">
        <v>0.375</v>
      </c>
      <c r="D64" s="28" t="s">
        <v>85</v>
      </c>
      <c r="E64" s="28" t="s">
        <v>151</v>
      </c>
      <c r="F64" s="34">
        <v>84.09999999999999</v>
      </c>
      <c r="G64" s="39" t="str">
        <f>IF(tblLog[[#This Row],[Date]]="","",IFERROR(IF(INDEX(tblCCPs[Unit],MATCH(tblLog[[#This Row],[CCP]],tblCCPs[CCP],0))="","",INDEX(tblCCPs[Unit],MATCH(tblLog[[#This Row],[CCP]],tblCCPs[CCP],0))),""))</f>
        <v>°C</v>
      </c>
      <c r="H64" s="39" t="str">
        <f>IF(tblLog[[#This Row],[Date]]="","",IFERROR(IF(INDEX(tblCCPs[Limit type],MATCH(tblLog[[#This Row],[CCP]],tblCCPs[CCP],0))="","",INDEX(tblCCPs[Limit type],MATCH(tblLog[[#This Row],[CCP]],tblCCPs[CCP],0))),""))</f>
        <v>Minimum</v>
      </c>
      <c r="I64" s="40">
        <f>IF(tblLog[[#This Row],[Date]]="","",IFERROR(IF(INDEX(tblCCPs[Critical limit],MATCH(tblLog[[#This Row],[CCP]],tblCCPs[CCP],0))="","",INDEX(tblCCPs[Critical limit],MATCH(tblLog[[#This Row],[CCP]],tblCCPs[CCP],0))),""))</f>
        <v>75</v>
      </c>
      <c r="J64" s="40">
        <f>IF(tblLog[[#This Row],[Date]]="","",IFERROR(IF(INDEX(tblCCPs[Operating limit],MATCH(tblLog[[#This Row],[CCP]],tblCCPs[CCP],0))="","",INDEX(tblCCPs[Operating limit],MATCH(tblLog[[#This Row],[CCP]],tblCCPs[CCP],0))),""))</f>
        <v>78</v>
      </c>
      <c r="K6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4" s="28" t="s">
        <v>121</v>
      </c>
      <c r="M64" s="42" t="s">
        <v>122</v>
      </c>
      <c r="N64" s="35">
        <v>0</v>
      </c>
      <c r="O64" s="28" t="s">
        <v>123</v>
      </c>
      <c r="P64" s="43">
        <f>IF(tblLog[[#This Row],[Date]]="","",IF(N(tblLog[[#This Row],[Product held]])&gt;0,tblLog[[#This Row],[Product held]]*HoldValue+QACost,0))</f>
        <v>0</v>
      </c>
      <c r="Q64" s="43">
        <f>IF(tblLog[[#This Row],[Date]]="","",IF(tblLog[[#This Row],[CCP]]="","",COUNTIFS(tblLog[CCP],tblLog[[#This Row],[CCP]],tblLog[Date],"&lt;"&amp;tblLog[[#This Row],[Date]])+COUNTIFS(tblLog[CCP],tblLog[[#This Row],[CCP]],tblLog[Date],tblLog[[#This Row],[Date]],tblLog[Time],"&lt;="&amp;tblLog[[#This Row],[Time]])))</f>
        <v>20</v>
      </c>
      <c r="R64" s="44">
        <f>IF(tblLog[[#This Row],[Date]]="","",IF(AND(tblLog[[#This Row],[Date]]&gt;=FFrom,tblLog[[#This Row],[Date]]&lt;=FTo),tblLog[[#This Row],[Date]],""))</f>
        <v>46282</v>
      </c>
      <c r="S6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4" s="28" t="s">
        <v>122</v>
      </c>
    </row>
    <row r="65" spans="2:20">
      <c r="B65" s="37">
        <v>46282</v>
      </c>
      <c r="C65" s="38">
        <v>0.3854166666666667</v>
      </c>
      <c r="D65" s="28" t="s">
        <v>91</v>
      </c>
      <c r="E65" s="28" t="s">
        <v>150</v>
      </c>
      <c r="F65" s="34">
        <v>2.4</v>
      </c>
      <c r="G65" s="39" t="str">
        <f>IF(tblLog[[#This Row],[Date]]="","",IFERROR(IF(INDEX(tblCCPs[Unit],MATCH(tblLog[[#This Row],[CCP]],tblCCPs[CCP],0))="","",INDEX(tblCCPs[Unit],MATCH(tblLog[[#This Row],[CCP]],tblCCPs[CCP],0))),""))</f>
        <v>°C</v>
      </c>
      <c r="H65" s="39" t="str">
        <f>IF(tblLog[[#This Row],[Date]]="","",IFERROR(IF(INDEX(tblCCPs[Limit type],MATCH(tblLog[[#This Row],[CCP]],tblCCPs[CCP],0))="","",INDEX(tblCCPs[Limit type],MATCH(tblLog[[#This Row],[CCP]],tblCCPs[CCP],0))),""))</f>
        <v>Maximum</v>
      </c>
      <c r="I65" s="40">
        <f>IF(tblLog[[#This Row],[Date]]="","",IFERROR(IF(INDEX(tblCCPs[Critical limit],MATCH(tblLog[[#This Row],[CCP]],tblCCPs[CCP],0))="","",INDEX(tblCCPs[Critical limit],MATCH(tblLog[[#This Row],[CCP]],tblCCPs[CCP],0))),""))</f>
        <v>5</v>
      </c>
      <c r="J65" s="40">
        <f>IF(tblLog[[#This Row],[Date]]="","",IFERROR(IF(INDEX(tblCCPs[Operating limit],MATCH(tblLog[[#This Row],[CCP]],tblCCPs[CCP],0))="","",INDEX(tblCCPs[Operating limit],MATCH(tblLog[[#This Row],[CCP]],tblCCPs[CCP],0))),""))</f>
        <v>4</v>
      </c>
      <c r="K6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5" s="28" t="s">
        <v>132</v>
      </c>
      <c r="M65" s="42" t="s">
        <v>122</v>
      </c>
      <c r="N65" s="35">
        <v>0</v>
      </c>
      <c r="O65" s="28" t="s">
        <v>123</v>
      </c>
      <c r="P65" s="43">
        <f>IF(tblLog[[#This Row],[Date]]="","",IF(N(tblLog[[#This Row],[Product held]])&gt;0,tblLog[[#This Row],[Product held]]*HoldValue+QACost,0))</f>
        <v>0</v>
      </c>
      <c r="Q65" s="43">
        <f>IF(tblLog[[#This Row],[Date]]="","",IF(tblLog[[#This Row],[CCP]]="","",COUNTIFS(tblLog[CCP],tblLog[[#This Row],[CCP]],tblLog[Date],"&lt;"&amp;tblLog[[#This Row],[Date]])+COUNTIFS(tblLog[CCP],tblLog[[#This Row],[CCP]],tblLog[Date],tblLog[[#This Row],[Date]],tblLog[Time],"&lt;="&amp;tblLog[[#This Row],[Time]])))</f>
        <v>19</v>
      </c>
      <c r="R65" s="44">
        <f>IF(tblLog[[#This Row],[Date]]="","",IF(AND(tblLog[[#This Row],[Date]]&gt;=FFrom,tblLog[[#This Row],[Date]]&lt;=FTo),tblLog[[#This Row],[Date]],""))</f>
        <v>46282</v>
      </c>
      <c r="S6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5" s="28" t="s">
        <v>122</v>
      </c>
    </row>
    <row r="66" spans="2:20">
      <c r="B66" s="37">
        <v>46282</v>
      </c>
      <c r="C66" s="38">
        <v>0.4166666666666667</v>
      </c>
      <c r="D66" s="28" t="s">
        <v>96</v>
      </c>
      <c r="E66" s="28" t="s">
        <v>128</v>
      </c>
      <c r="F66" s="34">
        <v>3</v>
      </c>
      <c r="G66" s="39" t="str">
        <f>IF(tblLog[[#This Row],[Date]]="","",IFERROR(IF(INDEX(tblCCPs[Unit],MATCH(tblLog[[#This Row],[CCP]],tblCCPs[CCP],0))="","",INDEX(tblCCPs[Unit],MATCH(tblLog[[#This Row],[CCP]],tblCCPs[CCP],0))),""))</f>
        <v>of 3</v>
      </c>
      <c r="H66" s="39" t="str">
        <f>IF(tblLog[[#This Row],[Date]]="","",IFERROR(IF(INDEX(tblCCPs[Limit type],MATCH(tblLog[[#This Row],[CCP]],tblCCPs[CCP],0))="","",INDEX(tblCCPs[Limit type],MATCH(tblLog[[#This Row],[CCP]],tblCCPs[CCP],0))),""))</f>
        <v>Minimum</v>
      </c>
      <c r="I66" s="40">
        <f>IF(tblLog[[#This Row],[Date]]="","",IFERROR(IF(INDEX(tblCCPs[Critical limit],MATCH(tblLog[[#This Row],[CCP]],tblCCPs[CCP],0))="","",INDEX(tblCCPs[Critical limit],MATCH(tblLog[[#This Row],[CCP]],tblCCPs[CCP],0))),""))</f>
        <v>3</v>
      </c>
      <c r="J66" s="40">
        <f>IF(tblLog[[#This Row],[Date]]="","",IFERROR(IF(INDEX(tblCCPs[Operating limit],MATCH(tblLog[[#This Row],[CCP]],tblCCPs[CCP],0))="","",INDEX(tblCCPs[Operating limit],MATCH(tblLog[[#This Row],[CCP]],tblCCPs[CCP],0))),""))</f>
        <v/>
      </c>
      <c r="K6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6" s="28" t="s">
        <v>121</v>
      </c>
      <c r="M66" s="42" t="s">
        <v>122</v>
      </c>
      <c r="N66" s="35">
        <v>0</v>
      </c>
      <c r="O66" s="28" t="s">
        <v>123</v>
      </c>
      <c r="P66" s="43">
        <f>IF(tblLog[[#This Row],[Date]]="","",IF(N(tblLog[[#This Row],[Product held]])&gt;0,tblLog[[#This Row],[Product held]]*HoldValue+QACost,0))</f>
        <v>0</v>
      </c>
      <c r="Q66" s="43">
        <f>IF(tblLog[[#This Row],[Date]]="","",IF(tblLog[[#This Row],[CCP]]="","",COUNTIFS(tblLog[CCP],tblLog[[#This Row],[CCP]],tblLog[Date],"&lt;"&amp;tblLog[[#This Row],[Date]])+COUNTIFS(tblLog[CCP],tblLog[[#This Row],[CCP]],tblLog[Date],tblLog[[#This Row],[Date]],tblLog[Time],"&lt;="&amp;tblLog[[#This Row],[Time]])))</f>
        <v>14</v>
      </c>
      <c r="R66" s="44">
        <f>IF(tblLog[[#This Row],[Date]]="","",IF(AND(tblLog[[#This Row],[Date]]&gt;=FFrom,tblLog[[#This Row],[Date]]&lt;=FTo),tblLog[[#This Row],[Date]],""))</f>
        <v>46282</v>
      </c>
      <c r="S6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6" s="28" t="s">
        <v>122</v>
      </c>
    </row>
    <row r="67" spans="2:20">
      <c r="B67" s="37">
        <v>46282</v>
      </c>
      <c r="C67" s="38">
        <v>0.4375</v>
      </c>
      <c r="D67" s="28" t="s">
        <v>85</v>
      </c>
      <c r="E67" s="28" t="s">
        <v>152</v>
      </c>
      <c r="F67" s="34">
        <v>81.2</v>
      </c>
      <c r="G67" s="39" t="str">
        <f>IF(tblLog[[#This Row],[Date]]="","",IFERROR(IF(INDEX(tblCCPs[Unit],MATCH(tblLog[[#This Row],[CCP]],tblCCPs[CCP],0))="","",INDEX(tblCCPs[Unit],MATCH(tblLog[[#This Row],[CCP]],tblCCPs[CCP],0))),""))</f>
        <v>°C</v>
      </c>
      <c r="H67" s="39" t="str">
        <f>IF(tblLog[[#This Row],[Date]]="","",IFERROR(IF(INDEX(tblCCPs[Limit type],MATCH(tblLog[[#This Row],[CCP]],tblCCPs[CCP],0))="","",INDEX(tblCCPs[Limit type],MATCH(tblLog[[#This Row],[CCP]],tblCCPs[CCP],0))),""))</f>
        <v>Minimum</v>
      </c>
      <c r="I67" s="40">
        <f>IF(tblLog[[#This Row],[Date]]="","",IFERROR(IF(INDEX(tblCCPs[Critical limit],MATCH(tblLog[[#This Row],[CCP]],tblCCPs[CCP],0))="","",INDEX(tblCCPs[Critical limit],MATCH(tblLog[[#This Row],[CCP]],tblCCPs[CCP],0))),""))</f>
        <v>75</v>
      </c>
      <c r="J67" s="40">
        <f>IF(tblLog[[#This Row],[Date]]="","",IFERROR(IF(INDEX(tblCCPs[Operating limit],MATCH(tblLog[[#This Row],[CCP]],tblCCPs[CCP],0))="","",INDEX(tblCCPs[Operating limit],MATCH(tblLog[[#This Row],[CCP]],tblCCPs[CCP],0))),""))</f>
        <v>78</v>
      </c>
      <c r="K6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7" s="28" t="s">
        <v>127</v>
      </c>
      <c r="M67" s="42" t="s">
        <v>122</v>
      </c>
      <c r="N67" s="35">
        <v>0</v>
      </c>
      <c r="O67" s="28" t="s">
        <v>123</v>
      </c>
      <c r="P67" s="43">
        <f>IF(tblLog[[#This Row],[Date]]="","",IF(N(tblLog[[#This Row],[Product held]])&gt;0,tblLog[[#This Row],[Product held]]*HoldValue+QACost,0))</f>
        <v>0</v>
      </c>
      <c r="Q67" s="43">
        <f>IF(tblLog[[#This Row],[Date]]="","",IF(tblLog[[#This Row],[CCP]]="","",COUNTIFS(tblLog[CCP],tblLog[[#This Row],[CCP]],tblLog[Date],"&lt;"&amp;tblLog[[#This Row],[Date]])+COUNTIFS(tblLog[CCP],tblLog[[#This Row],[CCP]],tblLog[Date],tblLog[[#This Row],[Date]],tblLog[Time],"&lt;="&amp;tblLog[[#This Row],[Time]])))</f>
        <v>21</v>
      </c>
      <c r="R67" s="44">
        <f>IF(tblLog[[#This Row],[Date]]="","",IF(AND(tblLog[[#This Row],[Date]]&gt;=FFrom,tblLog[[#This Row],[Date]]&lt;=FTo),tblLog[[#This Row],[Date]],""))</f>
        <v>46282</v>
      </c>
      <c r="S6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7" s="28" t="s">
        <v>122</v>
      </c>
    </row>
    <row r="68" spans="2:20">
      <c r="B68" s="37">
        <v>46282</v>
      </c>
      <c r="C68" s="38">
        <v>0.4479166666666667</v>
      </c>
      <c r="D68" s="28" t="s">
        <v>91</v>
      </c>
      <c r="E68" s="28" t="s">
        <v>151</v>
      </c>
      <c r="F68" s="34">
        <v>3.7</v>
      </c>
      <c r="G68" s="39" t="str">
        <f>IF(tblLog[[#This Row],[Date]]="","",IFERROR(IF(INDEX(tblCCPs[Unit],MATCH(tblLog[[#This Row],[CCP]],tblCCPs[CCP],0))="","",INDEX(tblCCPs[Unit],MATCH(tblLog[[#This Row],[CCP]],tblCCPs[CCP],0))),""))</f>
        <v>°C</v>
      </c>
      <c r="H68" s="39" t="str">
        <f>IF(tblLog[[#This Row],[Date]]="","",IFERROR(IF(INDEX(tblCCPs[Limit type],MATCH(tblLog[[#This Row],[CCP]],tblCCPs[CCP],0))="","",INDEX(tblCCPs[Limit type],MATCH(tblLog[[#This Row],[CCP]],tblCCPs[CCP],0))),""))</f>
        <v>Maximum</v>
      </c>
      <c r="I68" s="40">
        <f>IF(tblLog[[#This Row],[Date]]="","",IFERROR(IF(INDEX(tblCCPs[Critical limit],MATCH(tblLog[[#This Row],[CCP]],tblCCPs[CCP],0))="","",INDEX(tblCCPs[Critical limit],MATCH(tblLog[[#This Row],[CCP]],tblCCPs[CCP],0))),""))</f>
        <v>5</v>
      </c>
      <c r="J68" s="40">
        <f>IF(tblLog[[#This Row],[Date]]="","",IFERROR(IF(INDEX(tblCCPs[Operating limit],MATCH(tblLog[[#This Row],[CCP]],tblCCPs[CCP],0))="","",INDEX(tblCCPs[Operating limit],MATCH(tblLog[[#This Row],[CCP]],tblCCPs[CCP],0))),""))</f>
        <v>4</v>
      </c>
      <c r="K6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8" s="28" t="s">
        <v>121</v>
      </c>
      <c r="M68" s="42" t="s">
        <v>122</v>
      </c>
      <c r="N68" s="35">
        <v>0</v>
      </c>
      <c r="O68" s="28" t="s">
        <v>123</v>
      </c>
      <c r="P68" s="43">
        <f>IF(tblLog[[#This Row],[Date]]="","",IF(N(tblLog[[#This Row],[Product held]])&gt;0,tblLog[[#This Row],[Product held]]*HoldValue+QACost,0))</f>
        <v>0</v>
      </c>
      <c r="Q68" s="43">
        <f>IF(tblLog[[#This Row],[Date]]="","",IF(tblLog[[#This Row],[CCP]]="","",COUNTIFS(tblLog[CCP],tblLog[[#This Row],[CCP]],tblLog[Date],"&lt;"&amp;tblLog[[#This Row],[Date]])+COUNTIFS(tblLog[CCP],tblLog[[#This Row],[CCP]],tblLog[Date],tblLog[[#This Row],[Date]],tblLog[Time],"&lt;="&amp;tblLog[[#This Row],[Time]])))</f>
        <v>20</v>
      </c>
      <c r="R68" s="44">
        <f>IF(tblLog[[#This Row],[Date]]="","",IF(AND(tblLog[[#This Row],[Date]]&gt;=FFrom,tblLog[[#This Row],[Date]]&lt;=FTo),tblLog[[#This Row],[Date]],""))</f>
        <v>46282</v>
      </c>
      <c r="S6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8" s="28" t="s">
        <v>122</v>
      </c>
    </row>
    <row r="69" spans="2:20">
      <c r="B69" s="37">
        <v>46282</v>
      </c>
      <c r="C69" s="38">
        <v>0.5</v>
      </c>
      <c r="D69" s="28" t="s">
        <v>85</v>
      </c>
      <c r="E69" s="28" t="s">
        <v>153</v>
      </c>
      <c r="F69" s="34">
        <v>82.3</v>
      </c>
      <c r="G69" s="39" t="str">
        <f>IF(tblLog[[#This Row],[Date]]="","",IFERROR(IF(INDEX(tblCCPs[Unit],MATCH(tblLog[[#This Row],[CCP]],tblCCPs[CCP],0))="","",INDEX(tblCCPs[Unit],MATCH(tblLog[[#This Row],[CCP]],tblCCPs[CCP],0))),""))</f>
        <v>°C</v>
      </c>
      <c r="H69" s="39" t="str">
        <f>IF(tblLog[[#This Row],[Date]]="","",IFERROR(IF(INDEX(tblCCPs[Limit type],MATCH(tblLog[[#This Row],[CCP]],tblCCPs[CCP],0))="","",INDEX(tblCCPs[Limit type],MATCH(tblLog[[#This Row],[CCP]],tblCCPs[CCP],0))),""))</f>
        <v>Minimum</v>
      </c>
      <c r="I69" s="40">
        <f>IF(tblLog[[#This Row],[Date]]="","",IFERROR(IF(INDEX(tblCCPs[Critical limit],MATCH(tblLog[[#This Row],[CCP]],tblCCPs[CCP],0))="","",INDEX(tblCCPs[Critical limit],MATCH(tblLog[[#This Row],[CCP]],tblCCPs[CCP],0))),""))</f>
        <v>75</v>
      </c>
      <c r="J69" s="40">
        <f>IF(tblLog[[#This Row],[Date]]="","",IFERROR(IF(INDEX(tblCCPs[Operating limit],MATCH(tblLog[[#This Row],[CCP]],tblCCPs[CCP],0))="","",INDEX(tblCCPs[Operating limit],MATCH(tblLog[[#This Row],[CCP]],tblCCPs[CCP],0))),""))</f>
        <v>78</v>
      </c>
      <c r="K6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69" s="28" t="s">
        <v>130</v>
      </c>
      <c r="M69" s="42" t="s">
        <v>122</v>
      </c>
      <c r="N69" s="35">
        <v>0</v>
      </c>
      <c r="O69" s="28" t="s">
        <v>123</v>
      </c>
      <c r="P69" s="43">
        <f>IF(tblLog[[#This Row],[Date]]="","",IF(N(tblLog[[#This Row],[Product held]])&gt;0,tblLog[[#This Row],[Product held]]*HoldValue+QACost,0))</f>
        <v>0</v>
      </c>
      <c r="Q69" s="43">
        <f>IF(tblLog[[#This Row],[Date]]="","",IF(tblLog[[#This Row],[CCP]]="","",COUNTIFS(tblLog[CCP],tblLog[[#This Row],[CCP]],tblLog[Date],"&lt;"&amp;tblLog[[#This Row],[Date]])+COUNTIFS(tblLog[CCP],tblLog[[#This Row],[CCP]],tblLog[Date],tblLog[[#This Row],[Date]],tblLog[Time],"&lt;="&amp;tblLog[[#This Row],[Time]])))</f>
        <v>22</v>
      </c>
      <c r="R69" s="44">
        <f>IF(tblLog[[#This Row],[Date]]="","",IF(AND(tblLog[[#This Row],[Date]]&gt;=FFrom,tblLog[[#This Row],[Date]]&lt;=FTo),tblLog[[#This Row],[Date]],""))</f>
        <v>46282</v>
      </c>
      <c r="S6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69" s="28" t="s">
        <v>122</v>
      </c>
    </row>
    <row r="70" spans="2:20">
      <c r="B70" s="37">
        <v>46282</v>
      </c>
      <c r="C70" s="38">
        <v>0.5104166666666666</v>
      </c>
      <c r="D70" s="28" t="s">
        <v>91</v>
      </c>
      <c r="E70" s="28" t="s">
        <v>152</v>
      </c>
      <c r="F70" s="34">
        <v>3.1</v>
      </c>
      <c r="G70" s="39" t="str">
        <f>IF(tblLog[[#This Row],[Date]]="","",IFERROR(IF(INDEX(tblCCPs[Unit],MATCH(tblLog[[#This Row],[CCP]],tblCCPs[CCP],0))="","",INDEX(tblCCPs[Unit],MATCH(tblLog[[#This Row],[CCP]],tblCCPs[CCP],0))),""))</f>
        <v>°C</v>
      </c>
      <c r="H70" s="39" t="str">
        <f>IF(tblLog[[#This Row],[Date]]="","",IFERROR(IF(INDEX(tblCCPs[Limit type],MATCH(tblLog[[#This Row],[CCP]],tblCCPs[CCP],0))="","",INDEX(tblCCPs[Limit type],MATCH(tblLog[[#This Row],[CCP]],tblCCPs[CCP],0))),""))</f>
        <v>Maximum</v>
      </c>
      <c r="I70" s="40">
        <f>IF(tblLog[[#This Row],[Date]]="","",IFERROR(IF(INDEX(tblCCPs[Critical limit],MATCH(tblLog[[#This Row],[CCP]],tblCCPs[CCP],0))="","",INDEX(tblCCPs[Critical limit],MATCH(tblLog[[#This Row],[CCP]],tblCCPs[CCP],0))),""))</f>
        <v>5</v>
      </c>
      <c r="J70" s="40">
        <f>IF(tblLog[[#This Row],[Date]]="","",IFERROR(IF(INDEX(tblCCPs[Operating limit],MATCH(tblLog[[#This Row],[CCP]],tblCCPs[CCP],0))="","",INDEX(tblCCPs[Operating limit],MATCH(tblLog[[#This Row],[CCP]],tblCCPs[CCP],0))),""))</f>
        <v>4</v>
      </c>
      <c r="K7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0" s="28" t="s">
        <v>127</v>
      </c>
      <c r="M70" s="42" t="s">
        <v>122</v>
      </c>
      <c r="N70" s="35">
        <v>0</v>
      </c>
      <c r="O70" s="28" t="s">
        <v>123</v>
      </c>
      <c r="P70" s="43">
        <f>IF(tblLog[[#This Row],[Date]]="","",IF(N(tblLog[[#This Row],[Product held]])&gt;0,tblLog[[#This Row],[Product held]]*HoldValue+QACost,0))</f>
        <v>0</v>
      </c>
      <c r="Q70" s="43">
        <f>IF(tblLog[[#This Row],[Date]]="","",IF(tblLog[[#This Row],[CCP]]="","",COUNTIFS(tblLog[CCP],tblLog[[#This Row],[CCP]],tblLog[Date],"&lt;"&amp;tblLog[[#This Row],[Date]])+COUNTIFS(tblLog[CCP],tblLog[[#This Row],[CCP]],tblLog[Date],tblLog[[#This Row],[Date]],tblLog[Time],"&lt;="&amp;tblLog[[#This Row],[Time]])))</f>
        <v>21</v>
      </c>
      <c r="R70" s="44">
        <f>IF(tblLog[[#This Row],[Date]]="","",IF(AND(tblLog[[#This Row],[Date]]&gt;=FFrom,tblLog[[#This Row],[Date]]&lt;=FTo),tblLog[[#This Row],[Date]],""))</f>
        <v>46282</v>
      </c>
      <c r="S7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0" s="28" t="s">
        <v>122</v>
      </c>
    </row>
    <row r="71" spans="2:20">
      <c r="B71" s="37">
        <v>46282</v>
      </c>
      <c r="C71" s="38">
        <v>0.5416666666666666</v>
      </c>
      <c r="D71" s="28" t="s">
        <v>96</v>
      </c>
      <c r="E71" s="28" t="s">
        <v>133</v>
      </c>
      <c r="F71" s="34">
        <v>3</v>
      </c>
      <c r="G71" s="39" t="str">
        <f>IF(tblLog[[#This Row],[Date]]="","",IFERROR(IF(INDEX(tblCCPs[Unit],MATCH(tblLog[[#This Row],[CCP]],tblCCPs[CCP],0))="","",INDEX(tblCCPs[Unit],MATCH(tblLog[[#This Row],[CCP]],tblCCPs[CCP],0))),""))</f>
        <v>of 3</v>
      </c>
      <c r="H71" s="39" t="str">
        <f>IF(tblLog[[#This Row],[Date]]="","",IFERROR(IF(INDEX(tblCCPs[Limit type],MATCH(tblLog[[#This Row],[CCP]],tblCCPs[CCP],0))="","",INDEX(tblCCPs[Limit type],MATCH(tblLog[[#This Row],[CCP]],tblCCPs[CCP],0))),""))</f>
        <v>Minimum</v>
      </c>
      <c r="I71" s="40">
        <f>IF(tblLog[[#This Row],[Date]]="","",IFERROR(IF(INDEX(tblCCPs[Critical limit],MATCH(tblLog[[#This Row],[CCP]],tblCCPs[CCP],0))="","",INDEX(tblCCPs[Critical limit],MATCH(tblLog[[#This Row],[CCP]],tblCCPs[CCP],0))),""))</f>
        <v>3</v>
      </c>
      <c r="J71" s="40">
        <f>IF(tblLog[[#This Row],[Date]]="","",IFERROR(IF(INDEX(tblCCPs[Operating limit],MATCH(tblLog[[#This Row],[CCP]],tblCCPs[CCP],0))="","",INDEX(tblCCPs[Operating limit],MATCH(tblLog[[#This Row],[CCP]],tblCCPs[CCP],0))),""))</f>
        <v/>
      </c>
      <c r="K7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1" s="28" t="s">
        <v>127</v>
      </c>
      <c r="M71" s="42" t="s">
        <v>122</v>
      </c>
      <c r="N71" s="35">
        <v>0</v>
      </c>
      <c r="O71" s="28" t="s">
        <v>123</v>
      </c>
      <c r="P71" s="43">
        <f>IF(tblLog[[#This Row],[Date]]="","",IF(N(tblLog[[#This Row],[Product held]])&gt;0,tblLog[[#This Row],[Product held]]*HoldValue+QACost,0))</f>
        <v>0</v>
      </c>
      <c r="Q71" s="43">
        <f>IF(tblLog[[#This Row],[Date]]="","",IF(tblLog[[#This Row],[CCP]]="","",COUNTIFS(tblLog[CCP],tblLog[[#This Row],[CCP]],tblLog[Date],"&lt;"&amp;tblLog[[#This Row],[Date]])+COUNTIFS(tblLog[CCP],tblLog[[#This Row],[CCP]],tblLog[Date],tblLog[[#This Row],[Date]],tblLog[Time],"&lt;="&amp;tblLog[[#This Row],[Time]])))</f>
        <v>15</v>
      </c>
      <c r="R71" s="44">
        <f>IF(tblLog[[#This Row],[Date]]="","",IF(AND(tblLog[[#This Row],[Date]]&gt;=FFrom,tblLog[[#This Row],[Date]]&lt;=FTo),tblLog[[#This Row],[Date]],""))</f>
        <v>46282</v>
      </c>
      <c r="S7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1" s="28" t="s">
        <v>122</v>
      </c>
    </row>
    <row r="72" spans="2:20">
      <c r="B72" s="37">
        <v>46282</v>
      </c>
      <c r="C72" s="38">
        <v>0.5625</v>
      </c>
      <c r="D72" s="28" t="s">
        <v>85</v>
      </c>
      <c r="E72" s="28" t="s">
        <v>154</v>
      </c>
      <c r="F72" s="34">
        <v>82.90000000000001</v>
      </c>
      <c r="G72" s="39" t="str">
        <f>IF(tblLog[[#This Row],[Date]]="","",IFERROR(IF(INDEX(tblCCPs[Unit],MATCH(tblLog[[#This Row],[CCP]],tblCCPs[CCP],0))="","",INDEX(tblCCPs[Unit],MATCH(tblLog[[#This Row],[CCP]],tblCCPs[CCP],0))),""))</f>
        <v>°C</v>
      </c>
      <c r="H72" s="39" t="str">
        <f>IF(tblLog[[#This Row],[Date]]="","",IFERROR(IF(INDEX(tblCCPs[Limit type],MATCH(tblLog[[#This Row],[CCP]],tblCCPs[CCP],0))="","",INDEX(tblCCPs[Limit type],MATCH(tblLog[[#This Row],[CCP]],tblCCPs[CCP],0))),""))</f>
        <v>Minimum</v>
      </c>
      <c r="I72" s="40">
        <f>IF(tblLog[[#This Row],[Date]]="","",IFERROR(IF(INDEX(tblCCPs[Critical limit],MATCH(tblLog[[#This Row],[CCP]],tblCCPs[CCP],0))="","",INDEX(tblCCPs[Critical limit],MATCH(tblLog[[#This Row],[CCP]],tblCCPs[CCP],0))),""))</f>
        <v>75</v>
      </c>
      <c r="J72" s="40">
        <f>IF(tblLog[[#This Row],[Date]]="","",IFERROR(IF(INDEX(tblCCPs[Operating limit],MATCH(tblLog[[#This Row],[CCP]],tblCCPs[CCP],0))="","",INDEX(tblCCPs[Operating limit],MATCH(tblLog[[#This Row],[CCP]],tblCCPs[CCP],0))),""))</f>
        <v>78</v>
      </c>
      <c r="K7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2" s="28" t="s">
        <v>132</v>
      </c>
      <c r="M72" s="42" t="s">
        <v>122</v>
      </c>
      <c r="N72" s="35">
        <v>0</v>
      </c>
      <c r="O72" s="28" t="s">
        <v>123</v>
      </c>
      <c r="P72" s="43">
        <f>IF(tblLog[[#This Row],[Date]]="","",IF(N(tblLog[[#This Row],[Product held]])&gt;0,tblLog[[#This Row],[Product held]]*HoldValue+QACost,0))</f>
        <v>0</v>
      </c>
      <c r="Q72" s="43">
        <f>IF(tblLog[[#This Row],[Date]]="","",IF(tblLog[[#This Row],[CCP]]="","",COUNTIFS(tblLog[CCP],tblLog[[#This Row],[CCP]],tblLog[Date],"&lt;"&amp;tblLog[[#This Row],[Date]])+COUNTIFS(tblLog[CCP],tblLog[[#This Row],[CCP]],tblLog[Date],tblLog[[#This Row],[Date]],tblLog[Time],"&lt;="&amp;tblLog[[#This Row],[Time]])))</f>
        <v>23</v>
      </c>
      <c r="R72" s="44">
        <f>IF(tblLog[[#This Row],[Date]]="","",IF(AND(tblLog[[#This Row],[Date]]&gt;=FFrom,tblLog[[#This Row],[Date]]&lt;=FTo),tblLog[[#This Row],[Date]],""))</f>
        <v>46282</v>
      </c>
      <c r="S7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2" s="28" t="s">
        <v>122</v>
      </c>
    </row>
    <row r="73" spans="2:20">
      <c r="B73" s="37">
        <v>46282</v>
      </c>
      <c r="C73" s="38">
        <v>0.5729166666666666</v>
      </c>
      <c r="D73" s="28" t="s">
        <v>91</v>
      </c>
      <c r="E73" s="28" t="s">
        <v>153</v>
      </c>
      <c r="F73" s="34">
        <v>3</v>
      </c>
      <c r="G73" s="39" t="str">
        <f>IF(tblLog[[#This Row],[Date]]="","",IFERROR(IF(INDEX(tblCCPs[Unit],MATCH(tblLog[[#This Row],[CCP]],tblCCPs[CCP],0))="","",INDEX(tblCCPs[Unit],MATCH(tblLog[[#This Row],[CCP]],tblCCPs[CCP],0))),""))</f>
        <v>°C</v>
      </c>
      <c r="H73" s="39" t="str">
        <f>IF(tblLog[[#This Row],[Date]]="","",IFERROR(IF(INDEX(tblCCPs[Limit type],MATCH(tblLog[[#This Row],[CCP]],tblCCPs[CCP],0))="","",INDEX(tblCCPs[Limit type],MATCH(tblLog[[#This Row],[CCP]],tblCCPs[CCP],0))),""))</f>
        <v>Maximum</v>
      </c>
      <c r="I73" s="40">
        <f>IF(tblLog[[#This Row],[Date]]="","",IFERROR(IF(INDEX(tblCCPs[Critical limit],MATCH(tblLog[[#This Row],[CCP]],tblCCPs[CCP],0))="","",INDEX(tblCCPs[Critical limit],MATCH(tblLog[[#This Row],[CCP]],tblCCPs[CCP],0))),""))</f>
        <v>5</v>
      </c>
      <c r="J73" s="40">
        <f>IF(tblLog[[#This Row],[Date]]="","",IFERROR(IF(INDEX(tblCCPs[Operating limit],MATCH(tblLog[[#This Row],[CCP]],tblCCPs[CCP],0))="","",INDEX(tblCCPs[Operating limit],MATCH(tblLog[[#This Row],[CCP]],tblCCPs[CCP],0))),""))</f>
        <v>4</v>
      </c>
      <c r="K7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3" s="28" t="s">
        <v>130</v>
      </c>
      <c r="M73" s="42" t="s">
        <v>122</v>
      </c>
      <c r="N73" s="35">
        <v>0</v>
      </c>
      <c r="O73" s="28" t="s">
        <v>123</v>
      </c>
      <c r="P73" s="43">
        <f>IF(tblLog[[#This Row],[Date]]="","",IF(N(tblLog[[#This Row],[Product held]])&gt;0,tblLog[[#This Row],[Product held]]*HoldValue+QACost,0))</f>
        <v>0</v>
      </c>
      <c r="Q73" s="43">
        <f>IF(tblLog[[#This Row],[Date]]="","",IF(tblLog[[#This Row],[CCP]]="","",COUNTIFS(tblLog[CCP],tblLog[[#This Row],[CCP]],tblLog[Date],"&lt;"&amp;tblLog[[#This Row],[Date]])+COUNTIFS(tblLog[CCP],tblLog[[#This Row],[CCP]],tblLog[Date],tblLog[[#This Row],[Date]],tblLog[Time],"&lt;="&amp;tblLog[[#This Row],[Time]])))</f>
        <v>22</v>
      </c>
      <c r="R73" s="44">
        <f>IF(tblLog[[#This Row],[Date]]="","",IF(AND(tblLog[[#This Row],[Date]]&gt;=FFrom,tblLog[[#This Row],[Date]]&lt;=FTo),tblLog[[#This Row],[Date]],""))</f>
        <v>46282</v>
      </c>
      <c r="S7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3" s="28" t="s">
        <v>122</v>
      </c>
    </row>
    <row r="74" spans="2:20">
      <c r="B74" s="37">
        <v>46282</v>
      </c>
      <c r="C74" s="38">
        <v>0.625</v>
      </c>
      <c r="D74" s="28" t="s">
        <v>85</v>
      </c>
      <c r="E74" s="28" t="s">
        <v>155</v>
      </c>
      <c r="F74" s="34">
        <v>82.59999999999999</v>
      </c>
      <c r="G74" s="39" t="str">
        <f>IF(tblLog[[#This Row],[Date]]="","",IFERROR(IF(INDEX(tblCCPs[Unit],MATCH(tblLog[[#This Row],[CCP]],tblCCPs[CCP],0))="","",INDEX(tblCCPs[Unit],MATCH(tblLog[[#This Row],[CCP]],tblCCPs[CCP],0))),""))</f>
        <v>°C</v>
      </c>
      <c r="H74" s="39" t="str">
        <f>IF(tblLog[[#This Row],[Date]]="","",IFERROR(IF(INDEX(tblCCPs[Limit type],MATCH(tblLog[[#This Row],[CCP]],tblCCPs[CCP],0))="","",INDEX(tblCCPs[Limit type],MATCH(tblLog[[#This Row],[CCP]],tblCCPs[CCP],0))),""))</f>
        <v>Minimum</v>
      </c>
      <c r="I74" s="40">
        <f>IF(tblLog[[#This Row],[Date]]="","",IFERROR(IF(INDEX(tblCCPs[Critical limit],MATCH(tblLog[[#This Row],[CCP]],tblCCPs[CCP],0))="","",INDEX(tblCCPs[Critical limit],MATCH(tblLog[[#This Row],[CCP]],tblCCPs[CCP],0))),""))</f>
        <v>75</v>
      </c>
      <c r="J74" s="40">
        <f>IF(tblLog[[#This Row],[Date]]="","",IFERROR(IF(INDEX(tblCCPs[Operating limit],MATCH(tblLog[[#This Row],[CCP]],tblCCPs[CCP],0))="","",INDEX(tblCCPs[Operating limit],MATCH(tblLog[[#This Row],[CCP]],tblCCPs[CCP],0))),""))</f>
        <v>78</v>
      </c>
      <c r="K7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4" s="28" t="s">
        <v>121</v>
      </c>
      <c r="M74" s="42" t="s">
        <v>122</v>
      </c>
      <c r="N74" s="35">
        <v>0</v>
      </c>
      <c r="O74" s="28" t="s">
        <v>123</v>
      </c>
      <c r="P74" s="43">
        <f>IF(tblLog[[#This Row],[Date]]="","",IF(N(tblLog[[#This Row],[Product held]])&gt;0,tblLog[[#This Row],[Product held]]*HoldValue+QACost,0))</f>
        <v>0</v>
      </c>
      <c r="Q74" s="43">
        <f>IF(tblLog[[#This Row],[Date]]="","",IF(tblLog[[#This Row],[CCP]]="","",COUNTIFS(tblLog[CCP],tblLog[[#This Row],[CCP]],tblLog[Date],"&lt;"&amp;tblLog[[#This Row],[Date]])+COUNTIFS(tblLog[CCP],tblLog[[#This Row],[CCP]],tblLog[Date],tblLog[[#This Row],[Date]],tblLog[Time],"&lt;="&amp;tblLog[[#This Row],[Time]])))</f>
        <v>24</v>
      </c>
      <c r="R74" s="44">
        <f>IF(tblLog[[#This Row],[Date]]="","",IF(AND(tblLog[[#This Row],[Date]]&gt;=FFrom,tblLog[[#This Row],[Date]]&lt;=FTo),tblLog[[#This Row],[Date]],""))</f>
        <v>46282</v>
      </c>
      <c r="S7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4" s="28" t="s">
        <v>122</v>
      </c>
    </row>
    <row r="75" spans="2:20">
      <c r="B75" s="37">
        <v>46282</v>
      </c>
      <c r="C75" s="38">
        <v>0.6354166666666666</v>
      </c>
      <c r="D75" s="28" t="s">
        <v>91</v>
      </c>
      <c r="E75" s="28" t="s">
        <v>154</v>
      </c>
      <c r="F75" s="34">
        <v>4</v>
      </c>
      <c r="G75" s="39" t="str">
        <f>IF(tblLog[[#This Row],[Date]]="","",IFERROR(IF(INDEX(tblCCPs[Unit],MATCH(tblLog[[#This Row],[CCP]],tblCCPs[CCP],0))="","",INDEX(tblCCPs[Unit],MATCH(tblLog[[#This Row],[CCP]],tblCCPs[CCP],0))),""))</f>
        <v>°C</v>
      </c>
      <c r="H75" s="39" t="str">
        <f>IF(tblLog[[#This Row],[Date]]="","",IFERROR(IF(INDEX(tblCCPs[Limit type],MATCH(tblLog[[#This Row],[CCP]],tblCCPs[CCP],0))="","",INDEX(tblCCPs[Limit type],MATCH(tblLog[[#This Row],[CCP]],tblCCPs[CCP],0))),""))</f>
        <v>Maximum</v>
      </c>
      <c r="I75" s="40">
        <f>IF(tblLog[[#This Row],[Date]]="","",IFERROR(IF(INDEX(tblCCPs[Critical limit],MATCH(tblLog[[#This Row],[CCP]],tblCCPs[CCP],0))="","",INDEX(tblCCPs[Critical limit],MATCH(tblLog[[#This Row],[CCP]],tblCCPs[CCP],0))),""))</f>
        <v>5</v>
      </c>
      <c r="J75" s="40">
        <f>IF(tblLog[[#This Row],[Date]]="","",IFERROR(IF(INDEX(tblCCPs[Operating limit],MATCH(tblLog[[#This Row],[CCP]],tblCCPs[CCP],0))="","",INDEX(tblCCPs[Operating limit],MATCH(tblLog[[#This Row],[CCP]],tblCCPs[CCP],0))),""))</f>
        <v>4</v>
      </c>
      <c r="K7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5" s="28" t="s">
        <v>132</v>
      </c>
      <c r="M75" s="42" t="s">
        <v>122</v>
      </c>
      <c r="N75" s="35">
        <v>0</v>
      </c>
      <c r="O75" s="28" t="s">
        <v>123</v>
      </c>
      <c r="P75" s="43">
        <f>IF(tblLog[[#This Row],[Date]]="","",IF(N(tblLog[[#This Row],[Product held]])&gt;0,tblLog[[#This Row],[Product held]]*HoldValue+QACost,0))</f>
        <v>0</v>
      </c>
      <c r="Q75" s="43">
        <f>IF(tblLog[[#This Row],[Date]]="","",IF(tblLog[[#This Row],[CCP]]="","",COUNTIFS(tblLog[CCP],tblLog[[#This Row],[CCP]],tblLog[Date],"&lt;"&amp;tblLog[[#This Row],[Date]])+COUNTIFS(tblLog[CCP],tblLog[[#This Row],[CCP]],tblLog[Date],tblLog[[#This Row],[Date]],tblLog[Time],"&lt;="&amp;tblLog[[#This Row],[Time]])))</f>
        <v>23</v>
      </c>
      <c r="R75" s="44">
        <f>IF(tblLog[[#This Row],[Date]]="","",IF(AND(tblLog[[#This Row],[Date]]&gt;=FFrom,tblLog[[#This Row],[Date]]&lt;=FTo),tblLog[[#This Row],[Date]],""))</f>
        <v>46282</v>
      </c>
      <c r="S7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5" s="28" t="s">
        <v>122</v>
      </c>
    </row>
    <row r="76" spans="2:20">
      <c r="B76" s="37">
        <v>46282</v>
      </c>
      <c r="C76" s="38">
        <v>0.6458333333333334</v>
      </c>
      <c r="D76" s="28" t="s">
        <v>96</v>
      </c>
      <c r="E76" s="28" t="s">
        <v>136</v>
      </c>
      <c r="F76" s="34">
        <v>3</v>
      </c>
      <c r="G76" s="39" t="str">
        <f>IF(tblLog[[#This Row],[Date]]="","",IFERROR(IF(INDEX(tblCCPs[Unit],MATCH(tblLog[[#This Row],[CCP]],tblCCPs[CCP],0))="","",INDEX(tblCCPs[Unit],MATCH(tblLog[[#This Row],[CCP]],tblCCPs[CCP],0))),""))</f>
        <v>of 3</v>
      </c>
      <c r="H76" s="39" t="str">
        <f>IF(tblLog[[#This Row],[Date]]="","",IFERROR(IF(INDEX(tblCCPs[Limit type],MATCH(tblLog[[#This Row],[CCP]],tblCCPs[CCP],0))="","",INDEX(tblCCPs[Limit type],MATCH(tblLog[[#This Row],[CCP]],tblCCPs[CCP],0))),""))</f>
        <v>Minimum</v>
      </c>
      <c r="I76" s="40">
        <f>IF(tblLog[[#This Row],[Date]]="","",IFERROR(IF(INDEX(tblCCPs[Critical limit],MATCH(tblLog[[#This Row],[CCP]],tblCCPs[CCP],0))="","",INDEX(tblCCPs[Critical limit],MATCH(tblLog[[#This Row],[CCP]],tblCCPs[CCP],0))),""))</f>
        <v>3</v>
      </c>
      <c r="J76" s="40">
        <f>IF(tblLog[[#This Row],[Date]]="","",IFERROR(IF(INDEX(tblCCPs[Operating limit],MATCH(tblLog[[#This Row],[CCP]],tblCCPs[CCP],0))="","",INDEX(tblCCPs[Operating limit],MATCH(tblLog[[#This Row],[CCP]],tblCCPs[CCP],0))),""))</f>
        <v/>
      </c>
      <c r="K7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6" s="28" t="s">
        <v>130</v>
      </c>
      <c r="M76" s="42" t="s">
        <v>122</v>
      </c>
      <c r="N76" s="35">
        <v>0</v>
      </c>
      <c r="O76" s="28" t="s">
        <v>123</v>
      </c>
      <c r="P76" s="43">
        <f>IF(tblLog[[#This Row],[Date]]="","",IF(N(tblLog[[#This Row],[Product held]])&gt;0,tblLog[[#This Row],[Product held]]*HoldValue+QACost,0))</f>
        <v>0</v>
      </c>
      <c r="Q76" s="43">
        <f>IF(tblLog[[#This Row],[Date]]="","",IF(tblLog[[#This Row],[CCP]]="","",COUNTIFS(tblLog[CCP],tblLog[[#This Row],[CCP]],tblLog[Date],"&lt;"&amp;tblLog[[#This Row],[Date]])+COUNTIFS(tblLog[CCP],tblLog[[#This Row],[CCP]],tblLog[Date],tblLog[[#This Row],[Date]],tblLog[Time],"&lt;="&amp;tblLog[[#This Row],[Time]])))</f>
        <v>16</v>
      </c>
      <c r="R76" s="44">
        <f>IF(tblLog[[#This Row],[Date]]="","",IF(AND(tblLog[[#This Row],[Date]]&gt;=FFrom,tblLog[[#This Row],[Date]]&lt;=FTo),tblLog[[#This Row],[Date]],""))</f>
        <v>46282</v>
      </c>
      <c r="S7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6" s="28" t="s">
        <v>122</v>
      </c>
    </row>
    <row r="77" spans="2:20">
      <c r="B77" s="37">
        <v>46282</v>
      </c>
      <c r="C77" s="38">
        <v>0.6666666666666666</v>
      </c>
      <c r="D77" s="28" t="s">
        <v>101</v>
      </c>
      <c r="E77" s="28" t="s">
        <v>125</v>
      </c>
      <c r="F77" s="34">
        <v>2.9</v>
      </c>
      <c r="G77" s="39" t="str">
        <f>IF(tblLog[[#This Row],[Date]]="","",IFERROR(IF(INDEX(tblCCPs[Unit],MATCH(tblLog[[#This Row],[CCP]],tblCCPs[CCP],0))="","",INDEX(tblCCPs[Unit],MATCH(tblLog[[#This Row],[CCP]],tblCCPs[CCP],0))),""))</f>
        <v>°C</v>
      </c>
      <c r="H77" s="39" t="str">
        <f>IF(tblLog[[#This Row],[Date]]="","",IFERROR(IF(INDEX(tblCCPs[Limit type],MATCH(tblLog[[#This Row],[CCP]],tblCCPs[CCP],0))="","",INDEX(tblCCPs[Limit type],MATCH(tblLog[[#This Row],[CCP]],tblCCPs[CCP],0))),""))</f>
        <v>Maximum</v>
      </c>
      <c r="I77" s="40">
        <f>IF(tblLog[[#This Row],[Date]]="","",IFERROR(IF(INDEX(tblCCPs[Critical limit],MATCH(tblLog[[#This Row],[CCP]],tblCCPs[CCP],0))="","",INDEX(tblCCPs[Critical limit],MATCH(tblLog[[#This Row],[CCP]],tblCCPs[CCP],0))),""))</f>
        <v>5</v>
      </c>
      <c r="J77" s="40">
        <f>IF(tblLog[[#This Row],[Date]]="","",IFERROR(IF(INDEX(tblCCPs[Operating limit],MATCH(tblLog[[#This Row],[CCP]],tblCCPs[CCP],0))="","",INDEX(tblCCPs[Operating limit],MATCH(tblLog[[#This Row],[CCP]],tblCCPs[CCP],0))),""))</f>
        <v>4</v>
      </c>
      <c r="K7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7" s="28" t="s">
        <v>121</v>
      </c>
      <c r="M77" s="42" t="s">
        <v>122</v>
      </c>
      <c r="N77" s="35">
        <v>0</v>
      </c>
      <c r="O77" s="28" t="s">
        <v>123</v>
      </c>
      <c r="P77" s="43">
        <f>IF(tblLog[[#This Row],[Date]]="","",IF(N(tblLog[[#This Row],[Product held]])&gt;0,tblLog[[#This Row],[Product held]]*HoldValue+QACost,0))</f>
        <v>0</v>
      </c>
      <c r="Q77" s="43">
        <f>IF(tblLog[[#This Row],[Date]]="","",IF(tblLog[[#This Row],[CCP]]="","",COUNTIFS(tblLog[CCP],tblLog[[#This Row],[CCP]],tblLog[Date],"&lt;"&amp;tblLog[[#This Row],[Date]])+COUNTIFS(tblLog[CCP],tblLog[[#This Row],[CCP]],tblLog[Date],tblLog[[#This Row],[Date]],tblLog[Time],"&lt;="&amp;tblLog[[#This Row],[Time]])))</f>
        <v>8</v>
      </c>
      <c r="R77" s="44">
        <f>IF(tblLog[[#This Row],[Date]]="","",IF(AND(tblLog[[#This Row],[Date]]&gt;=FFrom,tblLog[[#This Row],[Date]]&lt;=FTo),tblLog[[#This Row],[Date]],""))</f>
        <v>46282</v>
      </c>
      <c r="S7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7" s="28" t="s">
        <v>122</v>
      </c>
    </row>
    <row r="78" spans="2:20">
      <c r="B78" s="37">
        <v>46282</v>
      </c>
      <c r="C78" s="38">
        <v>0.6979166666666666</v>
      </c>
      <c r="D78" s="28" t="s">
        <v>91</v>
      </c>
      <c r="E78" s="28" t="s">
        <v>155</v>
      </c>
      <c r="F78" s="34">
        <v>2.6</v>
      </c>
      <c r="G78" s="39" t="str">
        <f>IF(tblLog[[#This Row],[Date]]="","",IFERROR(IF(INDEX(tblCCPs[Unit],MATCH(tblLog[[#This Row],[CCP]],tblCCPs[CCP],0))="","",INDEX(tblCCPs[Unit],MATCH(tblLog[[#This Row],[CCP]],tblCCPs[CCP],0))),""))</f>
        <v>°C</v>
      </c>
      <c r="H78" s="39" t="str">
        <f>IF(tblLog[[#This Row],[Date]]="","",IFERROR(IF(INDEX(tblCCPs[Limit type],MATCH(tblLog[[#This Row],[CCP]],tblCCPs[CCP],0))="","",INDEX(tblCCPs[Limit type],MATCH(tblLog[[#This Row],[CCP]],tblCCPs[CCP],0))),""))</f>
        <v>Maximum</v>
      </c>
      <c r="I78" s="40">
        <f>IF(tblLog[[#This Row],[Date]]="","",IFERROR(IF(INDEX(tblCCPs[Critical limit],MATCH(tblLog[[#This Row],[CCP]],tblCCPs[CCP],0))="","",INDEX(tblCCPs[Critical limit],MATCH(tblLog[[#This Row],[CCP]],tblCCPs[CCP],0))),""))</f>
        <v>5</v>
      </c>
      <c r="J78" s="40">
        <f>IF(tblLog[[#This Row],[Date]]="","",IFERROR(IF(INDEX(tblCCPs[Operating limit],MATCH(tblLog[[#This Row],[CCP]],tblCCPs[CCP],0))="","",INDEX(tblCCPs[Operating limit],MATCH(tblLog[[#This Row],[CCP]],tblCCPs[CCP],0))),""))</f>
        <v>4</v>
      </c>
      <c r="K7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78" s="28" t="s">
        <v>121</v>
      </c>
      <c r="M78" s="42" t="s">
        <v>122</v>
      </c>
      <c r="N78" s="35">
        <v>0</v>
      </c>
      <c r="O78" s="28" t="s">
        <v>123</v>
      </c>
      <c r="P78" s="43">
        <f>IF(tblLog[[#This Row],[Date]]="","",IF(N(tblLog[[#This Row],[Product held]])&gt;0,tblLog[[#This Row],[Product held]]*HoldValue+QACost,0))</f>
        <v>0</v>
      </c>
      <c r="Q78" s="43">
        <f>IF(tblLog[[#This Row],[Date]]="","",IF(tblLog[[#This Row],[CCP]]="","",COUNTIFS(tblLog[CCP],tblLog[[#This Row],[CCP]],tblLog[Date],"&lt;"&amp;tblLog[[#This Row],[Date]])+COUNTIFS(tblLog[CCP],tblLog[[#This Row],[CCP]],tblLog[Date],tblLog[[#This Row],[Date]],tblLog[Time],"&lt;="&amp;tblLog[[#This Row],[Time]])))</f>
        <v>24</v>
      </c>
      <c r="R78" s="44">
        <f>IF(tblLog[[#This Row],[Date]]="","",IF(AND(tblLog[[#This Row],[Date]]&gt;=FFrom,tblLog[[#This Row],[Date]]&lt;=FTo),tblLog[[#This Row],[Date]],""))</f>
        <v>46282</v>
      </c>
      <c r="S7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8" s="28" t="s">
        <v>122</v>
      </c>
    </row>
    <row r="79" spans="2:20">
      <c r="B79" s="37">
        <v>46283</v>
      </c>
      <c r="C79" s="38">
        <v>0.2916666666666667</v>
      </c>
      <c r="D79" s="28" t="s">
        <v>96</v>
      </c>
      <c r="E79" s="28" t="s">
        <v>120</v>
      </c>
      <c r="F79" s="34">
        <v>2</v>
      </c>
      <c r="G79" s="39" t="str">
        <f>IF(tblLog[[#This Row],[Date]]="","",IFERROR(IF(INDEX(tblCCPs[Unit],MATCH(tblLog[[#This Row],[CCP]],tblCCPs[CCP],0))="","",INDEX(tblCCPs[Unit],MATCH(tblLog[[#This Row],[CCP]],tblCCPs[CCP],0))),""))</f>
        <v>of 3</v>
      </c>
      <c r="H79" s="39" t="str">
        <f>IF(tblLog[[#This Row],[Date]]="","",IFERROR(IF(INDEX(tblCCPs[Limit type],MATCH(tblLog[[#This Row],[CCP]],tblCCPs[CCP],0))="","",INDEX(tblCCPs[Limit type],MATCH(tblLog[[#This Row],[CCP]],tblCCPs[CCP],0))),""))</f>
        <v>Minimum</v>
      </c>
      <c r="I79" s="40">
        <f>IF(tblLog[[#This Row],[Date]]="","",IFERROR(IF(INDEX(tblCCPs[Critical limit],MATCH(tblLog[[#This Row],[CCP]],tblCCPs[CCP],0))="","",INDEX(tblCCPs[Critical limit],MATCH(tblLog[[#This Row],[CCP]],tblCCPs[CCP],0))),""))</f>
        <v>3</v>
      </c>
      <c r="J79" s="40">
        <f>IF(tblLog[[#This Row],[Date]]="","",IFERROR(IF(INDEX(tblCCPs[Operating limit],MATCH(tblLog[[#This Row],[CCP]],tblCCPs[CCP],0))="","",INDEX(tblCCPs[Operating limit],MATCH(tblLog[[#This Row],[CCP]],tblCCPs[CCP],0))),""))</f>
        <v/>
      </c>
      <c r="K7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Out of limits</v>
      </c>
      <c r="L79" s="28" t="s">
        <v>121</v>
      </c>
      <c r="M79" s="42" t="s">
        <v>156</v>
      </c>
      <c r="N79" s="35">
        <v>60</v>
      </c>
      <c r="O79" s="28" t="s">
        <v>123</v>
      </c>
      <c r="P79" s="43">
        <f>IF(tblLog[[#This Row],[Date]]="","",IF(N(tblLog[[#This Row],[Product held]])&gt;0,tblLog[[#This Row],[Product held]]*HoldValue+QACost,0))</f>
        <v>2330</v>
      </c>
      <c r="Q79" s="43">
        <f>IF(tblLog[[#This Row],[Date]]="","",IF(tblLog[[#This Row],[CCP]]="","",COUNTIFS(tblLog[CCP],tblLog[[#This Row],[CCP]],tblLog[Date],"&lt;"&amp;tblLog[[#This Row],[Date]])+COUNTIFS(tblLog[CCP],tblLog[[#This Row],[CCP]],tblLog[Date],tblLog[[#This Row],[Date]],tblLog[Time],"&lt;="&amp;tblLog[[#This Row],[Time]])))</f>
        <v>17</v>
      </c>
      <c r="R79" s="44">
        <f>IF(tblLog[[#This Row],[Date]]="","",IF(AND(tblLog[[#This Row],[Date]]&gt;=FFrom,tblLog[[#This Row],[Date]]&lt;=FTo),tblLog[[#This Row],[Date]],""))</f>
        <v>46283</v>
      </c>
      <c r="S7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79" s="28" t="s">
        <v>122</v>
      </c>
    </row>
    <row r="80" spans="2:20">
      <c r="B80" s="37">
        <v>46283</v>
      </c>
      <c r="C80" s="38">
        <v>0.3125</v>
      </c>
      <c r="D80" s="28" t="s">
        <v>85</v>
      </c>
      <c r="E80" s="28" t="s">
        <v>157</v>
      </c>
      <c r="F80" s="34">
        <v>80.09999999999999</v>
      </c>
      <c r="G80" s="39" t="str">
        <f>IF(tblLog[[#This Row],[Date]]="","",IFERROR(IF(INDEX(tblCCPs[Unit],MATCH(tblLog[[#This Row],[CCP]],tblCCPs[CCP],0))="","",INDEX(tblCCPs[Unit],MATCH(tblLog[[#This Row],[CCP]],tblCCPs[CCP],0))),""))</f>
        <v>°C</v>
      </c>
      <c r="H80" s="39" t="str">
        <f>IF(tblLog[[#This Row],[Date]]="","",IFERROR(IF(INDEX(tblCCPs[Limit type],MATCH(tblLog[[#This Row],[CCP]],tblCCPs[CCP],0))="","",INDEX(tblCCPs[Limit type],MATCH(tblLog[[#This Row],[CCP]],tblCCPs[CCP],0))),""))</f>
        <v>Minimum</v>
      </c>
      <c r="I80" s="40">
        <f>IF(tblLog[[#This Row],[Date]]="","",IFERROR(IF(INDEX(tblCCPs[Critical limit],MATCH(tblLog[[#This Row],[CCP]],tblCCPs[CCP],0))="","",INDEX(tblCCPs[Critical limit],MATCH(tblLog[[#This Row],[CCP]],tblCCPs[CCP],0))),""))</f>
        <v>75</v>
      </c>
      <c r="J80" s="40">
        <f>IF(tblLog[[#This Row],[Date]]="","",IFERROR(IF(INDEX(tblCCPs[Operating limit],MATCH(tblLog[[#This Row],[CCP]],tblCCPs[CCP],0))="","",INDEX(tblCCPs[Operating limit],MATCH(tblLog[[#This Row],[CCP]],tblCCPs[CCP],0))),""))</f>
        <v>78</v>
      </c>
      <c r="K8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0" s="28" t="s">
        <v>121</v>
      </c>
      <c r="M80" s="42" t="s">
        <v>122</v>
      </c>
      <c r="N80" s="35">
        <v>0</v>
      </c>
      <c r="O80" s="28" t="s">
        <v>123</v>
      </c>
      <c r="P80" s="43">
        <f>IF(tblLog[[#This Row],[Date]]="","",IF(N(tblLog[[#This Row],[Product held]])&gt;0,tblLog[[#This Row],[Product held]]*HoldValue+QACost,0))</f>
        <v>0</v>
      </c>
      <c r="Q80" s="43">
        <f>IF(tblLog[[#This Row],[Date]]="","",IF(tblLog[[#This Row],[CCP]]="","",COUNTIFS(tblLog[CCP],tblLog[[#This Row],[CCP]],tblLog[Date],"&lt;"&amp;tblLog[[#This Row],[Date]])+COUNTIFS(tblLog[CCP],tblLog[[#This Row],[CCP]],tblLog[Date],tblLog[[#This Row],[Date]],tblLog[Time],"&lt;="&amp;tblLog[[#This Row],[Time]])))</f>
        <v>25</v>
      </c>
      <c r="R80" s="44">
        <f>IF(tblLog[[#This Row],[Date]]="","",IF(AND(tblLog[[#This Row],[Date]]&gt;=FFrom,tblLog[[#This Row],[Date]]&lt;=FTo),tblLog[[#This Row],[Date]],""))</f>
        <v>46283</v>
      </c>
      <c r="S8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0" s="28" t="s">
        <v>122</v>
      </c>
    </row>
    <row r="81" spans="2:20">
      <c r="B81" s="37">
        <v>46283</v>
      </c>
      <c r="C81" s="38">
        <v>0.3333333333333333</v>
      </c>
      <c r="D81" s="28" t="s">
        <v>101</v>
      </c>
      <c r="E81" s="28" t="s">
        <v>125</v>
      </c>
      <c r="F81" s="34">
        <v>4</v>
      </c>
      <c r="G81" s="39" t="str">
        <f>IF(tblLog[[#This Row],[Date]]="","",IFERROR(IF(INDEX(tblCCPs[Unit],MATCH(tblLog[[#This Row],[CCP]],tblCCPs[CCP],0))="","",INDEX(tblCCPs[Unit],MATCH(tblLog[[#This Row],[CCP]],tblCCPs[CCP],0))),""))</f>
        <v>°C</v>
      </c>
      <c r="H81" s="39" t="str">
        <f>IF(tblLog[[#This Row],[Date]]="","",IFERROR(IF(INDEX(tblCCPs[Limit type],MATCH(tblLog[[#This Row],[CCP]],tblCCPs[CCP],0))="","",INDEX(tblCCPs[Limit type],MATCH(tblLog[[#This Row],[CCP]],tblCCPs[CCP],0))),""))</f>
        <v>Maximum</v>
      </c>
      <c r="I81" s="40">
        <f>IF(tblLog[[#This Row],[Date]]="","",IFERROR(IF(INDEX(tblCCPs[Critical limit],MATCH(tblLog[[#This Row],[CCP]],tblCCPs[CCP],0))="","",INDEX(tblCCPs[Critical limit],MATCH(tblLog[[#This Row],[CCP]],tblCCPs[CCP],0))),""))</f>
        <v>5</v>
      </c>
      <c r="J81" s="40">
        <f>IF(tblLog[[#This Row],[Date]]="","",IFERROR(IF(INDEX(tblCCPs[Operating limit],MATCH(tblLog[[#This Row],[CCP]],tblCCPs[CCP],0))="","",INDEX(tblCCPs[Operating limit],MATCH(tblLog[[#This Row],[CCP]],tblCCPs[CCP],0))),""))</f>
        <v>4</v>
      </c>
      <c r="K8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1" s="28" t="s">
        <v>121</v>
      </c>
      <c r="M81" s="42" t="s">
        <v>122</v>
      </c>
      <c r="N81" s="35">
        <v>0</v>
      </c>
      <c r="O81" s="28" t="s">
        <v>123</v>
      </c>
      <c r="P81" s="43">
        <f>IF(tblLog[[#This Row],[Date]]="","",IF(N(tblLog[[#This Row],[Product held]])&gt;0,tblLog[[#This Row],[Product held]]*HoldValue+QACost,0))</f>
        <v>0</v>
      </c>
      <c r="Q81" s="43">
        <f>IF(tblLog[[#This Row],[Date]]="","",IF(tblLog[[#This Row],[CCP]]="","",COUNTIFS(tblLog[CCP],tblLog[[#This Row],[CCP]],tblLog[Date],"&lt;"&amp;tblLog[[#This Row],[Date]])+COUNTIFS(tblLog[CCP],tblLog[[#This Row],[CCP]],tblLog[Date],tblLog[[#This Row],[Date]],tblLog[Time],"&lt;="&amp;tblLog[[#This Row],[Time]])))</f>
        <v>9</v>
      </c>
      <c r="R81" s="44">
        <f>IF(tblLog[[#This Row],[Date]]="","",IF(AND(tblLog[[#This Row],[Date]]&gt;=FFrom,tblLog[[#This Row],[Date]]&lt;=FTo),tblLog[[#This Row],[Date]],""))</f>
        <v>46283</v>
      </c>
      <c r="S8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1" s="28" t="s">
        <v>122</v>
      </c>
    </row>
    <row r="82" spans="2:20">
      <c r="B82" s="37">
        <v>46283</v>
      </c>
      <c r="C82" s="38">
        <v>0.375</v>
      </c>
      <c r="D82" s="28" t="s">
        <v>85</v>
      </c>
      <c r="E82" s="28" t="s">
        <v>158</v>
      </c>
      <c r="F82" s="34">
        <v>80.40000000000001</v>
      </c>
      <c r="G82" s="39" t="str">
        <f>IF(tblLog[[#This Row],[Date]]="","",IFERROR(IF(INDEX(tblCCPs[Unit],MATCH(tblLog[[#This Row],[CCP]],tblCCPs[CCP],0))="","",INDEX(tblCCPs[Unit],MATCH(tblLog[[#This Row],[CCP]],tblCCPs[CCP],0))),""))</f>
        <v>°C</v>
      </c>
      <c r="H82" s="39" t="str">
        <f>IF(tblLog[[#This Row],[Date]]="","",IFERROR(IF(INDEX(tblCCPs[Limit type],MATCH(tblLog[[#This Row],[CCP]],tblCCPs[CCP],0))="","",INDEX(tblCCPs[Limit type],MATCH(tblLog[[#This Row],[CCP]],tblCCPs[CCP],0))),""))</f>
        <v>Minimum</v>
      </c>
      <c r="I82" s="40">
        <f>IF(tblLog[[#This Row],[Date]]="","",IFERROR(IF(INDEX(tblCCPs[Critical limit],MATCH(tblLog[[#This Row],[CCP]],tblCCPs[CCP],0))="","",INDEX(tblCCPs[Critical limit],MATCH(tblLog[[#This Row],[CCP]],tblCCPs[CCP],0))),""))</f>
        <v>75</v>
      </c>
      <c r="J82" s="40">
        <f>IF(tblLog[[#This Row],[Date]]="","",IFERROR(IF(INDEX(tblCCPs[Operating limit],MATCH(tblLog[[#This Row],[CCP]],tblCCPs[CCP],0))="","",INDEX(tblCCPs[Operating limit],MATCH(tblLog[[#This Row],[CCP]],tblCCPs[CCP],0))),""))</f>
        <v>78</v>
      </c>
      <c r="K8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2" s="28" t="s">
        <v>127</v>
      </c>
      <c r="M82" s="42" t="s">
        <v>122</v>
      </c>
      <c r="N82" s="35">
        <v>0</v>
      </c>
      <c r="O82" s="28" t="s">
        <v>123</v>
      </c>
      <c r="P82" s="43">
        <f>IF(tblLog[[#This Row],[Date]]="","",IF(N(tblLog[[#This Row],[Product held]])&gt;0,tblLog[[#This Row],[Product held]]*HoldValue+QACost,0))</f>
        <v>0</v>
      </c>
      <c r="Q82" s="43">
        <f>IF(tblLog[[#This Row],[Date]]="","",IF(tblLog[[#This Row],[CCP]]="","",COUNTIFS(tblLog[CCP],tblLog[[#This Row],[CCP]],tblLog[Date],"&lt;"&amp;tblLog[[#This Row],[Date]])+COUNTIFS(tblLog[CCP],tblLog[[#This Row],[CCP]],tblLog[Date],tblLog[[#This Row],[Date]],tblLog[Time],"&lt;="&amp;tblLog[[#This Row],[Time]])))</f>
        <v>26</v>
      </c>
      <c r="R82" s="44">
        <f>IF(tblLog[[#This Row],[Date]]="","",IF(AND(tblLog[[#This Row],[Date]]&gt;=FFrom,tblLog[[#This Row],[Date]]&lt;=FTo),tblLog[[#This Row],[Date]],""))</f>
        <v>46283</v>
      </c>
      <c r="S8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2" s="28" t="s">
        <v>122</v>
      </c>
    </row>
    <row r="83" spans="2:20">
      <c r="B83" s="37">
        <v>46283</v>
      </c>
      <c r="C83" s="38">
        <v>0.3854166666666667</v>
      </c>
      <c r="D83" s="28" t="s">
        <v>91</v>
      </c>
      <c r="E83" s="28" t="s">
        <v>157</v>
      </c>
      <c r="F83" s="34">
        <v>2.7</v>
      </c>
      <c r="G83" s="39" t="str">
        <f>IF(tblLog[[#This Row],[Date]]="","",IFERROR(IF(INDEX(tblCCPs[Unit],MATCH(tblLog[[#This Row],[CCP]],tblCCPs[CCP],0))="","",INDEX(tblCCPs[Unit],MATCH(tblLog[[#This Row],[CCP]],tblCCPs[CCP],0))),""))</f>
        <v>°C</v>
      </c>
      <c r="H83" s="39" t="str">
        <f>IF(tblLog[[#This Row],[Date]]="","",IFERROR(IF(INDEX(tblCCPs[Limit type],MATCH(tblLog[[#This Row],[CCP]],tblCCPs[CCP],0))="","",INDEX(tblCCPs[Limit type],MATCH(tblLog[[#This Row],[CCP]],tblCCPs[CCP],0))),""))</f>
        <v>Maximum</v>
      </c>
      <c r="I83" s="40">
        <f>IF(tblLog[[#This Row],[Date]]="","",IFERROR(IF(INDEX(tblCCPs[Critical limit],MATCH(tblLog[[#This Row],[CCP]],tblCCPs[CCP],0))="","",INDEX(tblCCPs[Critical limit],MATCH(tblLog[[#This Row],[CCP]],tblCCPs[CCP],0))),""))</f>
        <v>5</v>
      </c>
      <c r="J83" s="40">
        <f>IF(tblLog[[#This Row],[Date]]="","",IFERROR(IF(INDEX(tblCCPs[Operating limit],MATCH(tblLog[[#This Row],[CCP]],tblCCPs[CCP],0))="","",INDEX(tblCCPs[Operating limit],MATCH(tblLog[[#This Row],[CCP]],tblCCPs[CCP],0))),""))</f>
        <v>4</v>
      </c>
      <c r="K8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3" s="28" t="s">
        <v>121</v>
      </c>
      <c r="M83" s="42" t="s">
        <v>122</v>
      </c>
      <c r="N83" s="35">
        <v>0</v>
      </c>
      <c r="O83" s="28" t="s">
        <v>123</v>
      </c>
      <c r="P83" s="43">
        <f>IF(tblLog[[#This Row],[Date]]="","",IF(N(tblLog[[#This Row],[Product held]])&gt;0,tblLog[[#This Row],[Product held]]*HoldValue+QACost,0))</f>
        <v>0</v>
      </c>
      <c r="Q83" s="43">
        <f>IF(tblLog[[#This Row],[Date]]="","",IF(tblLog[[#This Row],[CCP]]="","",COUNTIFS(tblLog[CCP],tblLog[[#This Row],[CCP]],tblLog[Date],"&lt;"&amp;tblLog[[#This Row],[Date]])+COUNTIFS(tblLog[CCP],tblLog[[#This Row],[CCP]],tblLog[Date],tblLog[[#This Row],[Date]],tblLog[Time],"&lt;="&amp;tblLog[[#This Row],[Time]])))</f>
        <v>25</v>
      </c>
      <c r="R83" s="44">
        <f>IF(tblLog[[#This Row],[Date]]="","",IF(AND(tblLog[[#This Row],[Date]]&gt;=FFrom,tblLog[[#This Row],[Date]]&lt;=FTo),tblLog[[#This Row],[Date]],""))</f>
        <v>46283</v>
      </c>
      <c r="S8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3" s="28" t="s">
        <v>122</v>
      </c>
    </row>
    <row r="84" spans="2:20">
      <c r="B84" s="37">
        <v>46283</v>
      </c>
      <c r="C84" s="38">
        <v>0.4166666666666667</v>
      </c>
      <c r="D84" s="28" t="s">
        <v>96</v>
      </c>
      <c r="E84" s="28" t="s">
        <v>128</v>
      </c>
      <c r="F84" s="34">
        <v>3</v>
      </c>
      <c r="G84" s="39" t="str">
        <f>IF(tblLog[[#This Row],[Date]]="","",IFERROR(IF(INDEX(tblCCPs[Unit],MATCH(tblLog[[#This Row],[CCP]],tblCCPs[CCP],0))="","",INDEX(tblCCPs[Unit],MATCH(tblLog[[#This Row],[CCP]],tblCCPs[CCP],0))),""))</f>
        <v>of 3</v>
      </c>
      <c r="H84" s="39" t="str">
        <f>IF(tblLog[[#This Row],[Date]]="","",IFERROR(IF(INDEX(tblCCPs[Limit type],MATCH(tblLog[[#This Row],[CCP]],tblCCPs[CCP],0))="","",INDEX(tblCCPs[Limit type],MATCH(tblLog[[#This Row],[CCP]],tblCCPs[CCP],0))),""))</f>
        <v>Minimum</v>
      </c>
      <c r="I84" s="40">
        <f>IF(tblLog[[#This Row],[Date]]="","",IFERROR(IF(INDEX(tblCCPs[Critical limit],MATCH(tblLog[[#This Row],[CCP]],tblCCPs[CCP],0))="","",INDEX(tblCCPs[Critical limit],MATCH(tblLog[[#This Row],[CCP]],tblCCPs[CCP],0))),""))</f>
        <v>3</v>
      </c>
      <c r="J84" s="40">
        <f>IF(tblLog[[#This Row],[Date]]="","",IFERROR(IF(INDEX(tblCCPs[Operating limit],MATCH(tblLog[[#This Row],[CCP]],tblCCPs[CCP],0))="","",INDEX(tblCCPs[Operating limit],MATCH(tblLog[[#This Row],[CCP]],tblCCPs[CCP],0))),""))</f>
        <v/>
      </c>
      <c r="K8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4" s="28" t="s">
        <v>127</v>
      </c>
      <c r="M84" s="42" t="s">
        <v>122</v>
      </c>
      <c r="N84" s="35">
        <v>0</v>
      </c>
      <c r="O84" s="28" t="s">
        <v>123</v>
      </c>
      <c r="P84" s="43">
        <f>IF(tblLog[[#This Row],[Date]]="","",IF(N(tblLog[[#This Row],[Product held]])&gt;0,tblLog[[#This Row],[Product held]]*HoldValue+QACost,0))</f>
        <v>0</v>
      </c>
      <c r="Q84" s="43">
        <f>IF(tblLog[[#This Row],[Date]]="","",IF(tblLog[[#This Row],[CCP]]="","",COUNTIFS(tblLog[CCP],tblLog[[#This Row],[CCP]],tblLog[Date],"&lt;"&amp;tblLog[[#This Row],[Date]])+COUNTIFS(tblLog[CCP],tblLog[[#This Row],[CCP]],tblLog[Date],tblLog[[#This Row],[Date]],tblLog[Time],"&lt;="&amp;tblLog[[#This Row],[Time]])))</f>
        <v>18</v>
      </c>
      <c r="R84" s="44">
        <f>IF(tblLog[[#This Row],[Date]]="","",IF(AND(tblLog[[#This Row],[Date]]&gt;=FFrom,tblLog[[#This Row],[Date]]&lt;=FTo),tblLog[[#This Row],[Date]],""))</f>
        <v>46283</v>
      </c>
      <c r="S8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4" s="28" t="s">
        <v>122</v>
      </c>
    </row>
    <row r="85" spans="2:20">
      <c r="B85" s="37">
        <v>46283</v>
      </c>
      <c r="C85" s="38">
        <v>0.4375</v>
      </c>
      <c r="D85" s="28" t="s">
        <v>85</v>
      </c>
      <c r="E85" s="28" t="s">
        <v>159</v>
      </c>
      <c r="F85" s="34">
        <v>83</v>
      </c>
      <c r="G85" s="39" t="str">
        <f>IF(tblLog[[#This Row],[Date]]="","",IFERROR(IF(INDEX(tblCCPs[Unit],MATCH(tblLog[[#This Row],[CCP]],tblCCPs[CCP],0))="","",INDEX(tblCCPs[Unit],MATCH(tblLog[[#This Row],[CCP]],tblCCPs[CCP],0))),""))</f>
        <v>°C</v>
      </c>
      <c r="H85" s="39" t="str">
        <f>IF(tblLog[[#This Row],[Date]]="","",IFERROR(IF(INDEX(tblCCPs[Limit type],MATCH(tblLog[[#This Row],[CCP]],tblCCPs[CCP],0))="","",INDEX(tblCCPs[Limit type],MATCH(tblLog[[#This Row],[CCP]],tblCCPs[CCP],0))),""))</f>
        <v>Minimum</v>
      </c>
      <c r="I85" s="40">
        <f>IF(tblLog[[#This Row],[Date]]="","",IFERROR(IF(INDEX(tblCCPs[Critical limit],MATCH(tblLog[[#This Row],[CCP]],tblCCPs[CCP],0))="","",INDEX(tblCCPs[Critical limit],MATCH(tblLog[[#This Row],[CCP]],tblCCPs[CCP],0))),""))</f>
        <v>75</v>
      </c>
      <c r="J85" s="40">
        <f>IF(tblLog[[#This Row],[Date]]="","",IFERROR(IF(INDEX(tblCCPs[Operating limit],MATCH(tblLog[[#This Row],[CCP]],tblCCPs[CCP],0))="","",INDEX(tblCCPs[Operating limit],MATCH(tblLog[[#This Row],[CCP]],tblCCPs[CCP],0))),""))</f>
        <v>78</v>
      </c>
      <c r="K8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5" s="28" t="s">
        <v>130</v>
      </c>
      <c r="M85" s="42" t="s">
        <v>122</v>
      </c>
      <c r="N85" s="35">
        <v>0</v>
      </c>
      <c r="O85" s="28" t="s">
        <v>123</v>
      </c>
      <c r="P85" s="43">
        <f>IF(tblLog[[#This Row],[Date]]="","",IF(N(tblLog[[#This Row],[Product held]])&gt;0,tblLog[[#This Row],[Product held]]*HoldValue+QACost,0))</f>
        <v>0</v>
      </c>
      <c r="Q85" s="43">
        <f>IF(tblLog[[#This Row],[Date]]="","",IF(tblLog[[#This Row],[CCP]]="","",COUNTIFS(tblLog[CCP],tblLog[[#This Row],[CCP]],tblLog[Date],"&lt;"&amp;tblLog[[#This Row],[Date]])+COUNTIFS(tblLog[CCP],tblLog[[#This Row],[CCP]],tblLog[Date],tblLog[[#This Row],[Date]],tblLog[Time],"&lt;="&amp;tblLog[[#This Row],[Time]])))</f>
        <v>27</v>
      </c>
      <c r="R85" s="44">
        <f>IF(tblLog[[#This Row],[Date]]="","",IF(AND(tblLog[[#This Row],[Date]]&gt;=FFrom,tblLog[[#This Row],[Date]]&lt;=FTo),tblLog[[#This Row],[Date]],""))</f>
        <v>46283</v>
      </c>
      <c r="S8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5" s="28" t="s">
        <v>122</v>
      </c>
    </row>
    <row r="86" spans="2:20">
      <c r="B86" s="37">
        <v>46283</v>
      </c>
      <c r="C86" s="38">
        <v>0.4479166666666667</v>
      </c>
      <c r="D86" s="28" t="s">
        <v>91</v>
      </c>
      <c r="E86" s="28" t="s">
        <v>158</v>
      </c>
      <c r="F86" s="34">
        <v>2.7</v>
      </c>
      <c r="G86" s="39" t="str">
        <f>IF(tblLog[[#This Row],[Date]]="","",IFERROR(IF(INDEX(tblCCPs[Unit],MATCH(tblLog[[#This Row],[CCP]],tblCCPs[CCP],0))="","",INDEX(tblCCPs[Unit],MATCH(tblLog[[#This Row],[CCP]],tblCCPs[CCP],0))),""))</f>
        <v>°C</v>
      </c>
      <c r="H86" s="39" t="str">
        <f>IF(tblLog[[#This Row],[Date]]="","",IFERROR(IF(INDEX(tblCCPs[Limit type],MATCH(tblLog[[#This Row],[CCP]],tblCCPs[CCP],0))="","",INDEX(tblCCPs[Limit type],MATCH(tblLog[[#This Row],[CCP]],tblCCPs[CCP],0))),""))</f>
        <v>Maximum</v>
      </c>
      <c r="I86" s="40">
        <f>IF(tblLog[[#This Row],[Date]]="","",IFERROR(IF(INDEX(tblCCPs[Critical limit],MATCH(tblLog[[#This Row],[CCP]],tblCCPs[CCP],0))="","",INDEX(tblCCPs[Critical limit],MATCH(tblLog[[#This Row],[CCP]],tblCCPs[CCP],0))),""))</f>
        <v>5</v>
      </c>
      <c r="J86" s="40">
        <f>IF(tblLog[[#This Row],[Date]]="","",IFERROR(IF(INDEX(tblCCPs[Operating limit],MATCH(tblLog[[#This Row],[CCP]],tblCCPs[CCP],0))="","",INDEX(tblCCPs[Operating limit],MATCH(tblLog[[#This Row],[CCP]],tblCCPs[CCP],0))),""))</f>
        <v>4</v>
      </c>
      <c r="K8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6" s="28" t="s">
        <v>127</v>
      </c>
      <c r="M86" s="42" t="s">
        <v>122</v>
      </c>
      <c r="N86" s="35">
        <v>0</v>
      </c>
      <c r="O86" s="28" t="s">
        <v>123</v>
      </c>
      <c r="P86" s="43">
        <f>IF(tblLog[[#This Row],[Date]]="","",IF(N(tblLog[[#This Row],[Product held]])&gt;0,tblLog[[#This Row],[Product held]]*HoldValue+QACost,0))</f>
        <v>0</v>
      </c>
      <c r="Q86" s="43">
        <f>IF(tblLog[[#This Row],[Date]]="","",IF(tblLog[[#This Row],[CCP]]="","",COUNTIFS(tblLog[CCP],tblLog[[#This Row],[CCP]],tblLog[Date],"&lt;"&amp;tblLog[[#This Row],[Date]])+COUNTIFS(tblLog[CCP],tblLog[[#This Row],[CCP]],tblLog[Date],tblLog[[#This Row],[Date]],tblLog[Time],"&lt;="&amp;tblLog[[#This Row],[Time]])))</f>
        <v>26</v>
      </c>
      <c r="R86" s="44">
        <f>IF(tblLog[[#This Row],[Date]]="","",IF(AND(tblLog[[#This Row],[Date]]&gt;=FFrom,tblLog[[#This Row],[Date]]&lt;=FTo),tblLog[[#This Row],[Date]],""))</f>
        <v>46283</v>
      </c>
      <c r="S8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6" s="28" t="s">
        <v>122</v>
      </c>
    </row>
    <row r="87" spans="2:20">
      <c r="B87" s="37">
        <v>46283</v>
      </c>
      <c r="C87" s="38">
        <v>0.5</v>
      </c>
      <c r="D87" s="28" t="s">
        <v>85</v>
      </c>
      <c r="E87" s="28" t="s">
        <v>160</v>
      </c>
      <c r="F87" s="34">
        <v>78.5</v>
      </c>
      <c r="G87" s="39" t="str">
        <f>IF(tblLog[[#This Row],[Date]]="","",IFERROR(IF(INDEX(tblCCPs[Unit],MATCH(tblLog[[#This Row],[CCP]],tblCCPs[CCP],0))="","",INDEX(tblCCPs[Unit],MATCH(tblLog[[#This Row],[CCP]],tblCCPs[CCP],0))),""))</f>
        <v>°C</v>
      </c>
      <c r="H87" s="39" t="str">
        <f>IF(tblLog[[#This Row],[Date]]="","",IFERROR(IF(INDEX(tblCCPs[Limit type],MATCH(tblLog[[#This Row],[CCP]],tblCCPs[CCP],0))="","",INDEX(tblCCPs[Limit type],MATCH(tblLog[[#This Row],[CCP]],tblCCPs[CCP],0))),""))</f>
        <v>Minimum</v>
      </c>
      <c r="I87" s="40">
        <f>IF(tblLog[[#This Row],[Date]]="","",IFERROR(IF(INDEX(tblCCPs[Critical limit],MATCH(tblLog[[#This Row],[CCP]],tblCCPs[CCP],0))="","",INDEX(tblCCPs[Critical limit],MATCH(tblLog[[#This Row],[CCP]],tblCCPs[CCP],0))),""))</f>
        <v>75</v>
      </c>
      <c r="J87" s="40">
        <f>IF(tblLog[[#This Row],[Date]]="","",IFERROR(IF(INDEX(tblCCPs[Operating limit],MATCH(tblLog[[#This Row],[CCP]],tblCCPs[CCP],0))="","",INDEX(tblCCPs[Operating limit],MATCH(tblLog[[#This Row],[CCP]],tblCCPs[CCP],0))),""))</f>
        <v>78</v>
      </c>
      <c r="K8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7" s="28" t="s">
        <v>132</v>
      </c>
      <c r="M87" s="42" t="s">
        <v>122</v>
      </c>
      <c r="N87" s="35">
        <v>0</v>
      </c>
      <c r="O87" s="28" t="s">
        <v>123</v>
      </c>
      <c r="P87" s="43">
        <f>IF(tblLog[[#This Row],[Date]]="","",IF(N(tblLog[[#This Row],[Product held]])&gt;0,tblLog[[#This Row],[Product held]]*HoldValue+QACost,0))</f>
        <v>0</v>
      </c>
      <c r="Q87" s="43">
        <f>IF(tblLog[[#This Row],[Date]]="","",IF(tblLog[[#This Row],[CCP]]="","",COUNTIFS(tblLog[CCP],tblLog[[#This Row],[CCP]],tblLog[Date],"&lt;"&amp;tblLog[[#This Row],[Date]])+COUNTIFS(tblLog[CCP],tblLog[[#This Row],[CCP]],tblLog[Date],tblLog[[#This Row],[Date]],tblLog[Time],"&lt;="&amp;tblLog[[#This Row],[Time]])))</f>
        <v>28</v>
      </c>
      <c r="R87" s="44">
        <f>IF(tblLog[[#This Row],[Date]]="","",IF(AND(tblLog[[#This Row],[Date]]&gt;=FFrom,tblLog[[#This Row],[Date]]&lt;=FTo),tblLog[[#This Row],[Date]],""))</f>
        <v>46283</v>
      </c>
      <c r="S8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7" s="28" t="s">
        <v>122</v>
      </c>
    </row>
    <row r="88" spans="2:20">
      <c r="B88" s="37">
        <v>46283</v>
      </c>
      <c r="C88" s="38">
        <v>0.5104166666666666</v>
      </c>
      <c r="D88" s="28" t="s">
        <v>91</v>
      </c>
      <c r="E88" s="28" t="s">
        <v>159</v>
      </c>
      <c r="F88" s="34">
        <v>3.4</v>
      </c>
      <c r="G88" s="39" t="str">
        <f>IF(tblLog[[#This Row],[Date]]="","",IFERROR(IF(INDEX(tblCCPs[Unit],MATCH(tblLog[[#This Row],[CCP]],tblCCPs[CCP],0))="","",INDEX(tblCCPs[Unit],MATCH(tblLog[[#This Row],[CCP]],tblCCPs[CCP],0))),""))</f>
        <v>°C</v>
      </c>
      <c r="H88" s="39" t="str">
        <f>IF(tblLog[[#This Row],[Date]]="","",IFERROR(IF(INDEX(tblCCPs[Limit type],MATCH(tblLog[[#This Row],[CCP]],tblCCPs[CCP],0))="","",INDEX(tblCCPs[Limit type],MATCH(tblLog[[#This Row],[CCP]],tblCCPs[CCP],0))),""))</f>
        <v>Maximum</v>
      </c>
      <c r="I88" s="40">
        <f>IF(tblLog[[#This Row],[Date]]="","",IFERROR(IF(INDEX(tblCCPs[Critical limit],MATCH(tblLog[[#This Row],[CCP]],tblCCPs[CCP],0))="","",INDEX(tblCCPs[Critical limit],MATCH(tblLog[[#This Row],[CCP]],tblCCPs[CCP],0))),""))</f>
        <v>5</v>
      </c>
      <c r="J88" s="40">
        <f>IF(tblLog[[#This Row],[Date]]="","",IFERROR(IF(INDEX(tblCCPs[Operating limit],MATCH(tblLog[[#This Row],[CCP]],tblCCPs[CCP],0))="","",INDEX(tblCCPs[Operating limit],MATCH(tblLog[[#This Row],[CCP]],tblCCPs[CCP],0))),""))</f>
        <v>4</v>
      </c>
      <c r="K8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8" s="28" t="s">
        <v>130</v>
      </c>
      <c r="M88" s="42" t="s">
        <v>122</v>
      </c>
      <c r="N88" s="35">
        <v>0</v>
      </c>
      <c r="O88" s="28" t="s">
        <v>123</v>
      </c>
      <c r="P88" s="43">
        <f>IF(tblLog[[#This Row],[Date]]="","",IF(N(tblLog[[#This Row],[Product held]])&gt;0,tblLog[[#This Row],[Product held]]*HoldValue+QACost,0))</f>
        <v>0</v>
      </c>
      <c r="Q88" s="43">
        <f>IF(tblLog[[#This Row],[Date]]="","",IF(tblLog[[#This Row],[CCP]]="","",COUNTIFS(tblLog[CCP],tblLog[[#This Row],[CCP]],tblLog[Date],"&lt;"&amp;tblLog[[#This Row],[Date]])+COUNTIFS(tblLog[CCP],tblLog[[#This Row],[CCP]],tblLog[Date],tblLog[[#This Row],[Date]],tblLog[Time],"&lt;="&amp;tblLog[[#This Row],[Time]])))</f>
        <v>27</v>
      </c>
      <c r="R88" s="44">
        <f>IF(tblLog[[#This Row],[Date]]="","",IF(AND(tblLog[[#This Row],[Date]]&gt;=FFrom,tblLog[[#This Row],[Date]]&lt;=FTo),tblLog[[#This Row],[Date]],""))</f>
        <v>46283</v>
      </c>
      <c r="S8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8" s="28" t="s">
        <v>122</v>
      </c>
    </row>
    <row r="89" spans="2:20">
      <c r="B89" s="37">
        <v>46283</v>
      </c>
      <c r="C89" s="38">
        <v>0.5416666666666666</v>
      </c>
      <c r="D89" s="28" t="s">
        <v>96</v>
      </c>
      <c r="E89" s="28" t="s">
        <v>133</v>
      </c>
      <c r="F89" s="34">
        <v>3</v>
      </c>
      <c r="G89" s="39" t="str">
        <f>IF(tblLog[[#This Row],[Date]]="","",IFERROR(IF(INDEX(tblCCPs[Unit],MATCH(tblLog[[#This Row],[CCP]],tblCCPs[CCP],0))="","",INDEX(tblCCPs[Unit],MATCH(tblLog[[#This Row],[CCP]],tblCCPs[CCP],0))),""))</f>
        <v>of 3</v>
      </c>
      <c r="H89" s="39" t="str">
        <f>IF(tblLog[[#This Row],[Date]]="","",IFERROR(IF(INDEX(tblCCPs[Limit type],MATCH(tblLog[[#This Row],[CCP]],tblCCPs[CCP],0))="","",INDEX(tblCCPs[Limit type],MATCH(tblLog[[#This Row],[CCP]],tblCCPs[CCP],0))),""))</f>
        <v>Minimum</v>
      </c>
      <c r="I89" s="40">
        <f>IF(tblLog[[#This Row],[Date]]="","",IFERROR(IF(INDEX(tblCCPs[Critical limit],MATCH(tblLog[[#This Row],[CCP]],tblCCPs[CCP],0))="","",INDEX(tblCCPs[Critical limit],MATCH(tblLog[[#This Row],[CCP]],tblCCPs[CCP],0))),""))</f>
        <v>3</v>
      </c>
      <c r="J89" s="40">
        <f>IF(tblLog[[#This Row],[Date]]="","",IFERROR(IF(INDEX(tblCCPs[Operating limit],MATCH(tblLog[[#This Row],[CCP]],tblCCPs[CCP],0))="","",INDEX(tblCCPs[Operating limit],MATCH(tblLog[[#This Row],[CCP]],tblCCPs[CCP],0))),""))</f>
        <v/>
      </c>
      <c r="K8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89" s="28" t="s">
        <v>130</v>
      </c>
      <c r="M89" s="42" t="s">
        <v>122</v>
      </c>
      <c r="N89" s="35">
        <v>0</v>
      </c>
      <c r="O89" s="28" t="s">
        <v>123</v>
      </c>
      <c r="P89" s="43">
        <f>IF(tblLog[[#This Row],[Date]]="","",IF(N(tblLog[[#This Row],[Product held]])&gt;0,tblLog[[#This Row],[Product held]]*HoldValue+QACost,0))</f>
        <v>0</v>
      </c>
      <c r="Q89" s="43">
        <f>IF(tblLog[[#This Row],[Date]]="","",IF(tblLog[[#This Row],[CCP]]="","",COUNTIFS(tblLog[CCP],tblLog[[#This Row],[CCP]],tblLog[Date],"&lt;"&amp;tblLog[[#This Row],[Date]])+COUNTIFS(tblLog[CCP],tblLog[[#This Row],[CCP]],tblLog[Date],tblLog[[#This Row],[Date]],tblLog[Time],"&lt;="&amp;tblLog[[#This Row],[Time]])))</f>
        <v>19</v>
      </c>
      <c r="R89" s="44">
        <f>IF(tblLog[[#This Row],[Date]]="","",IF(AND(tblLog[[#This Row],[Date]]&gt;=FFrom,tblLog[[#This Row],[Date]]&lt;=FTo),tblLog[[#This Row],[Date]],""))</f>
        <v>46283</v>
      </c>
      <c r="S8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89" s="28" t="s">
        <v>122</v>
      </c>
    </row>
    <row r="90" spans="2:20">
      <c r="B90" s="37">
        <v>46283</v>
      </c>
      <c r="C90" s="38">
        <v>0.5625</v>
      </c>
      <c r="D90" s="28" t="s">
        <v>85</v>
      </c>
      <c r="E90" s="28" t="s">
        <v>161</v>
      </c>
      <c r="F90" s="34">
        <v>83.90000000000001</v>
      </c>
      <c r="G90" s="39" t="str">
        <f>IF(tblLog[[#This Row],[Date]]="","",IFERROR(IF(INDEX(tblCCPs[Unit],MATCH(tblLog[[#This Row],[CCP]],tblCCPs[CCP],0))="","",INDEX(tblCCPs[Unit],MATCH(tblLog[[#This Row],[CCP]],tblCCPs[CCP],0))),""))</f>
        <v>°C</v>
      </c>
      <c r="H90" s="39" t="str">
        <f>IF(tblLog[[#This Row],[Date]]="","",IFERROR(IF(INDEX(tblCCPs[Limit type],MATCH(tblLog[[#This Row],[CCP]],tblCCPs[CCP],0))="","",INDEX(tblCCPs[Limit type],MATCH(tblLog[[#This Row],[CCP]],tblCCPs[CCP],0))),""))</f>
        <v>Minimum</v>
      </c>
      <c r="I90" s="40">
        <f>IF(tblLog[[#This Row],[Date]]="","",IFERROR(IF(INDEX(tblCCPs[Critical limit],MATCH(tblLog[[#This Row],[CCP]],tblCCPs[CCP],0))="","",INDEX(tblCCPs[Critical limit],MATCH(tblLog[[#This Row],[CCP]],tblCCPs[CCP],0))),""))</f>
        <v>75</v>
      </c>
      <c r="J90" s="40">
        <f>IF(tblLog[[#This Row],[Date]]="","",IFERROR(IF(INDEX(tblCCPs[Operating limit],MATCH(tblLog[[#This Row],[CCP]],tblCCPs[CCP],0))="","",INDEX(tblCCPs[Operating limit],MATCH(tblLog[[#This Row],[CCP]],tblCCPs[CCP],0))),""))</f>
        <v>78</v>
      </c>
      <c r="K9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0" s="28" t="s">
        <v>121</v>
      </c>
      <c r="M90" s="42" t="s">
        <v>122</v>
      </c>
      <c r="N90" s="35">
        <v>0</v>
      </c>
      <c r="O90" s="28" t="s">
        <v>123</v>
      </c>
      <c r="P90" s="43">
        <f>IF(tblLog[[#This Row],[Date]]="","",IF(N(tblLog[[#This Row],[Product held]])&gt;0,tblLog[[#This Row],[Product held]]*HoldValue+QACost,0))</f>
        <v>0</v>
      </c>
      <c r="Q90" s="43">
        <f>IF(tblLog[[#This Row],[Date]]="","",IF(tblLog[[#This Row],[CCP]]="","",COUNTIFS(tblLog[CCP],tblLog[[#This Row],[CCP]],tblLog[Date],"&lt;"&amp;tblLog[[#This Row],[Date]])+COUNTIFS(tblLog[CCP],tblLog[[#This Row],[CCP]],tblLog[Date],tblLog[[#This Row],[Date]],tblLog[Time],"&lt;="&amp;tblLog[[#This Row],[Time]])))</f>
        <v>29</v>
      </c>
      <c r="R90" s="44">
        <f>IF(tblLog[[#This Row],[Date]]="","",IF(AND(tblLog[[#This Row],[Date]]&gt;=FFrom,tblLog[[#This Row],[Date]]&lt;=FTo),tblLog[[#This Row],[Date]],""))</f>
        <v>46283</v>
      </c>
      <c r="S9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0" s="28" t="s">
        <v>122</v>
      </c>
    </row>
    <row r="91" spans="2:20">
      <c r="B91" s="37">
        <v>46283</v>
      </c>
      <c r="C91" s="38">
        <v>0.5729166666666666</v>
      </c>
      <c r="D91" s="28" t="s">
        <v>91</v>
      </c>
      <c r="E91" s="28" t="s">
        <v>160</v>
      </c>
      <c r="F91" s="34">
        <v>2.8</v>
      </c>
      <c r="G91" s="39" t="str">
        <f>IF(tblLog[[#This Row],[Date]]="","",IFERROR(IF(INDEX(tblCCPs[Unit],MATCH(tblLog[[#This Row],[CCP]],tblCCPs[CCP],0))="","",INDEX(tblCCPs[Unit],MATCH(tblLog[[#This Row],[CCP]],tblCCPs[CCP],0))),""))</f>
        <v>°C</v>
      </c>
      <c r="H91" s="39" t="str">
        <f>IF(tblLog[[#This Row],[Date]]="","",IFERROR(IF(INDEX(tblCCPs[Limit type],MATCH(tblLog[[#This Row],[CCP]],tblCCPs[CCP],0))="","",INDEX(tblCCPs[Limit type],MATCH(tblLog[[#This Row],[CCP]],tblCCPs[CCP],0))),""))</f>
        <v>Maximum</v>
      </c>
      <c r="I91" s="40">
        <f>IF(tblLog[[#This Row],[Date]]="","",IFERROR(IF(INDEX(tblCCPs[Critical limit],MATCH(tblLog[[#This Row],[CCP]],tblCCPs[CCP],0))="","",INDEX(tblCCPs[Critical limit],MATCH(tblLog[[#This Row],[CCP]],tblCCPs[CCP],0))),""))</f>
        <v>5</v>
      </c>
      <c r="J91" s="40">
        <f>IF(tblLog[[#This Row],[Date]]="","",IFERROR(IF(INDEX(tblCCPs[Operating limit],MATCH(tblLog[[#This Row],[CCP]],tblCCPs[CCP],0))="","",INDEX(tblCCPs[Operating limit],MATCH(tblLog[[#This Row],[CCP]],tblCCPs[CCP],0))),""))</f>
        <v>4</v>
      </c>
      <c r="K9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1" s="28" t="s">
        <v>132</v>
      </c>
      <c r="M91" s="42" t="s">
        <v>122</v>
      </c>
      <c r="N91" s="35">
        <v>0</v>
      </c>
      <c r="O91" s="28" t="s">
        <v>123</v>
      </c>
      <c r="P91" s="43">
        <f>IF(tblLog[[#This Row],[Date]]="","",IF(N(tblLog[[#This Row],[Product held]])&gt;0,tblLog[[#This Row],[Product held]]*HoldValue+QACost,0))</f>
        <v>0</v>
      </c>
      <c r="Q91" s="43">
        <f>IF(tblLog[[#This Row],[Date]]="","",IF(tblLog[[#This Row],[CCP]]="","",COUNTIFS(tblLog[CCP],tblLog[[#This Row],[CCP]],tblLog[Date],"&lt;"&amp;tblLog[[#This Row],[Date]])+COUNTIFS(tblLog[CCP],tblLog[[#This Row],[CCP]],tblLog[Date],tblLog[[#This Row],[Date]],tblLog[Time],"&lt;="&amp;tblLog[[#This Row],[Time]])))</f>
        <v>28</v>
      </c>
      <c r="R91" s="44">
        <f>IF(tblLog[[#This Row],[Date]]="","",IF(AND(tblLog[[#This Row],[Date]]&gt;=FFrom,tblLog[[#This Row],[Date]]&lt;=FTo),tblLog[[#This Row],[Date]],""))</f>
        <v>46283</v>
      </c>
      <c r="S9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1" s="28" t="s">
        <v>122</v>
      </c>
    </row>
    <row r="92" spans="2:20">
      <c r="B92" s="37">
        <v>46283</v>
      </c>
      <c r="C92" s="38">
        <v>0.625</v>
      </c>
      <c r="D92" s="28" t="s">
        <v>85</v>
      </c>
      <c r="E92" s="28" t="s">
        <v>162</v>
      </c>
      <c r="F92" s="34">
        <v>84.59999999999999</v>
      </c>
      <c r="G92" s="39" t="str">
        <f>IF(tblLog[[#This Row],[Date]]="","",IFERROR(IF(INDEX(tblCCPs[Unit],MATCH(tblLog[[#This Row],[CCP]],tblCCPs[CCP],0))="","",INDEX(tblCCPs[Unit],MATCH(tblLog[[#This Row],[CCP]],tblCCPs[CCP],0))),""))</f>
        <v>°C</v>
      </c>
      <c r="H92" s="39" t="str">
        <f>IF(tblLog[[#This Row],[Date]]="","",IFERROR(IF(INDEX(tblCCPs[Limit type],MATCH(tblLog[[#This Row],[CCP]],tblCCPs[CCP],0))="","",INDEX(tblCCPs[Limit type],MATCH(tblLog[[#This Row],[CCP]],tblCCPs[CCP],0))),""))</f>
        <v>Minimum</v>
      </c>
      <c r="I92" s="40">
        <f>IF(tblLog[[#This Row],[Date]]="","",IFERROR(IF(INDEX(tblCCPs[Critical limit],MATCH(tblLog[[#This Row],[CCP]],tblCCPs[CCP],0))="","",INDEX(tblCCPs[Critical limit],MATCH(tblLog[[#This Row],[CCP]],tblCCPs[CCP],0))),""))</f>
        <v>75</v>
      </c>
      <c r="J92" s="40">
        <f>IF(tblLog[[#This Row],[Date]]="","",IFERROR(IF(INDEX(tblCCPs[Operating limit],MATCH(tblLog[[#This Row],[CCP]],tblCCPs[CCP],0))="","",INDEX(tblCCPs[Operating limit],MATCH(tblLog[[#This Row],[CCP]],tblCCPs[CCP],0))),""))</f>
        <v>78</v>
      </c>
      <c r="K9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2" s="28" t="s">
        <v>127</v>
      </c>
      <c r="M92" s="42" t="s">
        <v>122</v>
      </c>
      <c r="N92" s="35">
        <v>0</v>
      </c>
      <c r="O92" s="28" t="s">
        <v>123</v>
      </c>
      <c r="P92" s="43">
        <f>IF(tblLog[[#This Row],[Date]]="","",IF(N(tblLog[[#This Row],[Product held]])&gt;0,tblLog[[#This Row],[Product held]]*HoldValue+QACost,0))</f>
        <v>0</v>
      </c>
      <c r="Q92" s="43">
        <f>IF(tblLog[[#This Row],[Date]]="","",IF(tblLog[[#This Row],[CCP]]="","",COUNTIFS(tblLog[CCP],tblLog[[#This Row],[CCP]],tblLog[Date],"&lt;"&amp;tblLog[[#This Row],[Date]])+COUNTIFS(tblLog[CCP],tblLog[[#This Row],[CCP]],tblLog[Date],tblLog[[#This Row],[Date]],tblLog[Time],"&lt;="&amp;tblLog[[#This Row],[Time]])))</f>
        <v>30</v>
      </c>
      <c r="R92" s="44">
        <f>IF(tblLog[[#This Row],[Date]]="","",IF(AND(tblLog[[#This Row],[Date]]&gt;=FFrom,tblLog[[#This Row],[Date]]&lt;=FTo),tblLog[[#This Row],[Date]],""))</f>
        <v>46283</v>
      </c>
      <c r="S9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2" s="28" t="s">
        <v>122</v>
      </c>
    </row>
    <row r="93" spans="2:20">
      <c r="B93" s="37">
        <v>46283</v>
      </c>
      <c r="C93" s="38">
        <v>0.6354166666666666</v>
      </c>
      <c r="D93" s="28" t="s">
        <v>91</v>
      </c>
      <c r="E93" s="28" t="s">
        <v>161</v>
      </c>
      <c r="F93" s="34">
        <v>2.3</v>
      </c>
      <c r="G93" s="39" t="str">
        <f>IF(tblLog[[#This Row],[Date]]="","",IFERROR(IF(INDEX(tblCCPs[Unit],MATCH(tblLog[[#This Row],[CCP]],tblCCPs[CCP],0))="","",INDEX(tblCCPs[Unit],MATCH(tblLog[[#This Row],[CCP]],tblCCPs[CCP],0))),""))</f>
        <v>°C</v>
      </c>
      <c r="H93" s="39" t="str">
        <f>IF(tblLog[[#This Row],[Date]]="","",IFERROR(IF(INDEX(tblCCPs[Limit type],MATCH(tblLog[[#This Row],[CCP]],tblCCPs[CCP],0))="","",INDEX(tblCCPs[Limit type],MATCH(tblLog[[#This Row],[CCP]],tblCCPs[CCP],0))),""))</f>
        <v>Maximum</v>
      </c>
      <c r="I93" s="40">
        <f>IF(tblLog[[#This Row],[Date]]="","",IFERROR(IF(INDEX(tblCCPs[Critical limit],MATCH(tblLog[[#This Row],[CCP]],tblCCPs[CCP],0))="","",INDEX(tblCCPs[Critical limit],MATCH(tblLog[[#This Row],[CCP]],tblCCPs[CCP],0))),""))</f>
        <v>5</v>
      </c>
      <c r="J93" s="40">
        <f>IF(tblLog[[#This Row],[Date]]="","",IFERROR(IF(INDEX(tblCCPs[Operating limit],MATCH(tblLog[[#This Row],[CCP]],tblCCPs[CCP],0))="","",INDEX(tblCCPs[Operating limit],MATCH(tblLog[[#This Row],[CCP]],tblCCPs[CCP],0))),""))</f>
        <v>4</v>
      </c>
      <c r="K9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3" s="28" t="s">
        <v>121</v>
      </c>
      <c r="M93" s="42" t="s">
        <v>122</v>
      </c>
      <c r="N93" s="35">
        <v>0</v>
      </c>
      <c r="O93" s="28" t="s">
        <v>123</v>
      </c>
      <c r="P93" s="43">
        <f>IF(tblLog[[#This Row],[Date]]="","",IF(N(tblLog[[#This Row],[Product held]])&gt;0,tblLog[[#This Row],[Product held]]*HoldValue+QACost,0))</f>
        <v>0</v>
      </c>
      <c r="Q93" s="43">
        <f>IF(tblLog[[#This Row],[Date]]="","",IF(tblLog[[#This Row],[CCP]]="","",COUNTIFS(tblLog[CCP],tblLog[[#This Row],[CCP]],tblLog[Date],"&lt;"&amp;tblLog[[#This Row],[Date]])+COUNTIFS(tblLog[CCP],tblLog[[#This Row],[CCP]],tblLog[Date],tblLog[[#This Row],[Date]],tblLog[Time],"&lt;="&amp;tblLog[[#This Row],[Time]])))</f>
        <v>29</v>
      </c>
      <c r="R93" s="44">
        <f>IF(tblLog[[#This Row],[Date]]="","",IF(AND(tblLog[[#This Row],[Date]]&gt;=FFrom,tblLog[[#This Row],[Date]]&lt;=FTo),tblLog[[#This Row],[Date]],""))</f>
        <v>46283</v>
      </c>
      <c r="S9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3" s="28" t="s">
        <v>122</v>
      </c>
    </row>
    <row r="94" spans="2:20">
      <c r="B94" s="37">
        <v>46283</v>
      </c>
      <c r="C94" s="38">
        <v>0.6458333333333334</v>
      </c>
      <c r="D94" s="28" t="s">
        <v>96</v>
      </c>
      <c r="E94" s="28" t="s">
        <v>136</v>
      </c>
      <c r="F94" s="34">
        <v>3</v>
      </c>
      <c r="G94" s="39" t="str">
        <f>IF(tblLog[[#This Row],[Date]]="","",IFERROR(IF(INDEX(tblCCPs[Unit],MATCH(tblLog[[#This Row],[CCP]],tblCCPs[CCP],0))="","",INDEX(tblCCPs[Unit],MATCH(tblLog[[#This Row],[CCP]],tblCCPs[CCP],0))),""))</f>
        <v>of 3</v>
      </c>
      <c r="H94" s="39" t="str">
        <f>IF(tblLog[[#This Row],[Date]]="","",IFERROR(IF(INDEX(tblCCPs[Limit type],MATCH(tblLog[[#This Row],[CCP]],tblCCPs[CCP],0))="","",INDEX(tblCCPs[Limit type],MATCH(tblLog[[#This Row],[CCP]],tblCCPs[CCP],0))),""))</f>
        <v>Minimum</v>
      </c>
      <c r="I94" s="40">
        <f>IF(tblLog[[#This Row],[Date]]="","",IFERROR(IF(INDEX(tblCCPs[Critical limit],MATCH(tblLog[[#This Row],[CCP]],tblCCPs[CCP],0))="","",INDEX(tblCCPs[Critical limit],MATCH(tblLog[[#This Row],[CCP]],tblCCPs[CCP],0))),""))</f>
        <v>3</v>
      </c>
      <c r="J94" s="40">
        <f>IF(tblLog[[#This Row],[Date]]="","",IFERROR(IF(INDEX(tblCCPs[Operating limit],MATCH(tblLog[[#This Row],[CCP]],tblCCPs[CCP],0))="","",INDEX(tblCCPs[Operating limit],MATCH(tblLog[[#This Row],[CCP]],tblCCPs[CCP],0))),""))</f>
        <v/>
      </c>
      <c r="K9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4" s="28" t="s">
        <v>132</v>
      </c>
      <c r="M94" s="42" t="s">
        <v>122</v>
      </c>
      <c r="N94" s="35">
        <v>0</v>
      </c>
      <c r="O94" s="28" t="s">
        <v>123</v>
      </c>
      <c r="P94" s="43">
        <f>IF(tblLog[[#This Row],[Date]]="","",IF(N(tblLog[[#This Row],[Product held]])&gt;0,tblLog[[#This Row],[Product held]]*HoldValue+QACost,0))</f>
        <v>0</v>
      </c>
      <c r="Q94" s="43">
        <f>IF(tblLog[[#This Row],[Date]]="","",IF(tblLog[[#This Row],[CCP]]="","",COUNTIFS(tblLog[CCP],tblLog[[#This Row],[CCP]],tblLog[Date],"&lt;"&amp;tblLog[[#This Row],[Date]])+COUNTIFS(tblLog[CCP],tblLog[[#This Row],[CCP]],tblLog[Date],tblLog[[#This Row],[Date]],tblLog[Time],"&lt;="&amp;tblLog[[#This Row],[Time]])))</f>
        <v>20</v>
      </c>
      <c r="R94" s="44">
        <f>IF(tblLog[[#This Row],[Date]]="","",IF(AND(tblLog[[#This Row],[Date]]&gt;=FFrom,tblLog[[#This Row],[Date]]&lt;=FTo),tblLog[[#This Row],[Date]],""))</f>
        <v>46283</v>
      </c>
      <c r="S9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4" s="28" t="s">
        <v>122</v>
      </c>
    </row>
    <row r="95" spans="2:20">
      <c r="B95" s="37">
        <v>46283</v>
      </c>
      <c r="C95" s="38">
        <v>0.6666666666666666</v>
      </c>
      <c r="D95" s="28" t="s">
        <v>101</v>
      </c>
      <c r="E95" s="28" t="s">
        <v>125</v>
      </c>
      <c r="F95" s="34">
        <v>2.4</v>
      </c>
      <c r="G95" s="39" t="str">
        <f>IF(tblLog[[#This Row],[Date]]="","",IFERROR(IF(INDEX(tblCCPs[Unit],MATCH(tblLog[[#This Row],[CCP]],tblCCPs[CCP],0))="","",INDEX(tblCCPs[Unit],MATCH(tblLog[[#This Row],[CCP]],tblCCPs[CCP],0))),""))</f>
        <v>°C</v>
      </c>
      <c r="H95" s="39" t="str">
        <f>IF(tblLog[[#This Row],[Date]]="","",IFERROR(IF(INDEX(tblCCPs[Limit type],MATCH(tblLog[[#This Row],[CCP]],tblCCPs[CCP],0))="","",INDEX(tblCCPs[Limit type],MATCH(tblLog[[#This Row],[CCP]],tblCCPs[CCP],0))),""))</f>
        <v>Maximum</v>
      </c>
      <c r="I95" s="40">
        <f>IF(tblLog[[#This Row],[Date]]="","",IFERROR(IF(INDEX(tblCCPs[Critical limit],MATCH(tblLog[[#This Row],[CCP]],tblCCPs[CCP],0))="","",INDEX(tblCCPs[Critical limit],MATCH(tblLog[[#This Row],[CCP]],tblCCPs[CCP],0))),""))</f>
        <v>5</v>
      </c>
      <c r="J95" s="40">
        <f>IF(tblLog[[#This Row],[Date]]="","",IFERROR(IF(INDEX(tblCCPs[Operating limit],MATCH(tblLog[[#This Row],[CCP]],tblCCPs[CCP],0))="","",INDEX(tblCCPs[Operating limit],MATCH(tblLog[[#This Row],[CCP]],tblCCPs[CCP],0))),""))</f>
        <v>4</v>
      </c>
      <c r="K9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5" s="28" t="s">
        <v>127</v>
      </c>
      <c r="M95" s="42" t="s">
        <v>122</v>
      </c>
      <c r="N95" s="35">
        <v>0</v>
      </c>
      <c r="O95" s="28" t="s">
        <v>123</v>
      </c>
      <c r="P95" s="43">
        <f>IF(tblLog[[#This Row],[Date]]="","",IF(N(tblLog[[#This Row],[Product held]])&gt;0,tblLog[[#This Row],[Product held]]*HoldValue+QACost,0))</f>
        <v>0</v>
      </c>
      <c r="Q95" s="43">
        <f>IF(tblLog[[#This Row],[Date]]="","",IF(tblLog[[#This Row],[CCP]]="","",COUNTIFS(tblLog[CCP],tblLog[[#This Row],[CCP]],tblLog[Date],"&lt;"&amp;tblLog[[#This Row],[Date]])+COUNTIFS(tblLog[CCP],tblLog[[#This Row],[CCP]],tblLog[Date],tblLog[[#This Row],[Date]],tblLog[Time],"&lt;="&amp;tblLog[[#This Row],[Time]])))</f>
        <v>10</v>
      </c>
      <c r="R95" s="44">
        <f>IF(tblLog[[#This Row],[Date]]="","",IF(AND(tblLog[[#This Row],[Date]]&gt;=FFrom,tblLog[[#This Row],[Date]]&lt;=FTo),tblLog[[#This Row],[Date]],""))</f>
        <v>46283</v>
      </c>
      <c r="S9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5" s="28" t="s">
        <v>122</v>
      </c>
    </row>
    <row r="96" spans="2:20">
      <c r="B96" s="37">
        <v>46283</v>
      </c>
      <c r="C96" s="38">
        <v>0.6979166666666666</v>
      </c>
      <c r="D96" s="28" t="s">
        <v>91</v>
      </c>
      <c r="E96" s="28" t="s">
        <v>162</v>
      </c>
      <c r="F96" s="34">
        <v>3.5</v>
      </c>
      <c r="G96" s="39" t="str">
        <f>IF(tblLog[[#This Row],[Date]]="","",IFERROR(IF(INDEX(tblCCPs[Unit],MATCH(tblLog[[#This Row],[CCP]],tblCCPs[CCP],0))="","",INDEX(tblCCPs[Unit],MATCH(tblLog[[#This Row],[CCP]],tblCCPs[CCP],0))),""))</f>
        <v>°C</v>
      </c>
      <c r="H96" s="39" t="str">
        <f>IF(tblLog[[#This Row],[Date]]="","",IFERROR(IF(INDEX(tblCCPs[Limit type],MATCH(tblLog[[#This Row],[CCP]],tblCCPs[CCP],0))="","",INDEX(tblCCPs[Limit type],MATCH(tblLog[[#This Row],[CCP]],tblCCPs[CCP],0))),""))</f>
        <v>Maximum</v>
      </c>
      <c r="I96" s="40">
        <f>IF(tblLog[[#This Row],[Date]]="","",IFERROR(IF(INDEX(tblCCPs[Critical limit],MATCH(tblLog[[#This Row],[CCP]],tblCCPs[CCP],0))="","",INDEX(tblCCPs[Critical limit],MATCH(tblLog[[#This Row],[CCP]],tblCCPs[CCP],0))),""))</f>
        <v>5</v>
      </c>
      <c r="J96" s="40">
        <f>IF(tblLog[[#This Row],[Date]]="","",IFERROR(IF(INDEX(tblCCPs[Operating limit],MATCH(tblLog[[#This Row],[CCP]],tblCCPs[CCP],0))="","",INDEX(tblCCPs[Operating limit],MATCH(tblLog[[#This Row],[CCP]],tblCCPs[CCP],0))),""))</f>
        <v>4</v>
      </c>
      <c r="K9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6" s="28" t="s">
        <v>127</v>
      </c>
      <c r="M96" s="42" t="s">
        <v>122</v>
      </c>
      <c r="N96" s="35">
        <v>0</v>
      </c>
      <c r="O96" s="28" t="s">
        <v>123</v>
      </c>
      <c r="P96" s="43">
        <f>IF(tblLog[[#This Row],[Date]]="","",IF(N(tblLog[[#This Row],[Product held]])&gt;0,tblLog[[#This Row],[Product held]]*HoldValue+QACost,0))</f>
        <v>0</v>
      </c>
      <c r="Q96" s="43">
        <f>IF(tblLog[[#This Row],[Date]]="","",IF(tblLog[[#This Row],[CCP]]="","",COUNTIFS(tblLog[CCP],tblLog[[#This Row],[CCP]],tblLog[Date],"&lt;"&amp;tblLog[[#This Row],[Date]])+COUNTIFS(tblLog[CCP],tblLog[[#This Row],[CCP]],tblLog[Date],tblLog[[#This Row],[Date]],tblLog[Time],"&lt;="&amp;tblLog[[#This Row],[Time]])))</f>
        <v>30</v>
      </c>
      <c r="R96" s="44">
        <f>IF(tblLog[[#This Row],[Date]]="","",IF(AND(tblLog[[#This Row],[Date]]&gt;=FFrom,tblLog[[#This Row],[Date]]&lt;=FTo),tblLog[[#This Row],[Date]],""))</f>
        <v>46283</v>
      </c>
      <c r="S9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6" s="28" t="s">
        <v>122</v>
      </c>
    </row>
    <row r="97" spans="2:20">
      <c r="B97" s="37">
        <v>46286</v>
      </c>
      <c r="C97" s="38">
        <v>0.2916666666666667</v>
      </c>
      <c r="D97" s="28" t="s">
        <v>96</v>
      </c>
      <c r="E97" s="28" t="s">
        <v>120</v>
      </c>
      <c r="F97" s="34">
        <v>3</v>
      </c>
      <c r="G97" s="39" t="str">
        <f>IF(tblLog[[#This Row],[Date]]="","",IFERROR(IF(INDEX(tblCCPs[Unit],MATCH(tblLog[[#This Row],[CCP]],tblCCPs[CCP],0))="","",INDEX(tblCCPs[Unit],MATCH(tblLog[[#This Row],[CCP]],tblCCPs[CCP],0))),""))</f>
        <v>of 3</v>
      </c>
      <c r="H97" s="39" t="str">
        <f>IF(tblLog[[#This Row],[Date]]="","",IFERROR(IF(INDEX(tblCCPs[Limit type],MATCH(tblLog[[#This Row],[CCP]],tblCCPs[CCP],0))="","",INDEX(tblCCPs[Limit type],MATCH(tblLog[[#This Row],[CCP]],tblCCPs[CCP],0))),""))</f>
        <v>Minimum</v>
      </c>
      <c r="I97" s="40">
        <f>IF(tblLog[[#This Row],[Date]]="","",IFERROR(IF(INDEX(tblCCPs[Critical limit],MATCH(tblLog[[#This Row],[CCP]],tblCCPs[CCP],0))="","",INDEX(tblCCPs[Critical limit],MATCH(tblLog[[#This Row],[CCP]],tblCCPs[CCP],0))),""))</f>
        <v>3</v>
      </c>
      <c r="J97" s="40">
        <f>IF(tblLog[[#This Row],[Date]]="","",IFERROR(IF(INDEX(tblCCPs[Operating limit],MATCH(tblLog[[#This Row],[CCP]],tblCCPs[CCP],0))="","",INDEX(tblCCPs[Operating limit],MATCH(tblLog[[#This Row],[CCP]],tblCCPs[CCP],0))),""))</f>
        <v/>
      </c>
      <c r="K9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7" s="28" t="s">
        <v>127</v>
      </c>
      <c r="M97" s="42" t="s">
        <v>122</v>
      </c>
      <c r="N97" s="35">
        <v>0</v>
      </c>
      <c r="O97" s="28" t="s">
        <v>123</v>
      </c>
      <c r="P97" s="43">
        <f>IF(tblLog[[#This Row],[Date]]="","",IF(N(tblLog[[#This Row],[Product held]])&gt;0,tblLog[[#This Row],[Product held]]*HoldValue+QACost,0))</f>
        <v>0</v>
      </c>
      <c r="Q97" s="43">
        <f>IF(tblLog[[#This Row],[Date]]="","",IF(tblLog[[#This Row],[CCP]]="","",COUNTIFS(tblLog[CCP],tblLog[[#This Row],[CCP]],tblLog[Date],"&lt;"&amp;tblLog[[#This Row],[Date]])+COUNTIFS(tblLog[CCP],tblLog[[#This Row],[CCP]],tblLog[Date],tblLog[[#This Row],[Date]],tblLog[Time],"&lt;="&amp;tblLog[[#This Row],[Time]])))</f>
        <v>21</v>
      </c>
      <c r="R97" s="44">
        <f>IF(tblLog[[#This Row],[Date]]="","",IF(AND(tblLog[[#This Row],[Date]]&gt;=FFrom,tblLog[[#This Row],[Date]]&lt;=FTo),tblLog[[#This Row],[Date]],""))</f>
        <v>46286</v>
      </c>
      <c r="S9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7" s="28" t="s">
        <v>122</v>
      </c>
    </row>
    <row r="98" spans="2:20">
      <c r="B98" s="37">
        <v>46286</v>
      </c>
      <c r="C98" s="38">
        <v>0.3125</v>
      </c>
      <c r="D98" s="28" t="s">
        <v>85</v>
      </c>
      <c r="E98" s="28" t="s">
        <v>163</v>
      </c>
      <c r="F98" s="34">
        <v>80.90000000000001</v>
      </c>
      <c r="G98" s="39" t="str">
        <f>IF(tblLog[[#This Row],[Date]]="","",IFERROR(IF(INDEX(tblCCPs[Unit],MATCH(tblLog[[#This Row],[CCP]],tblCCPs[CCP],0))="","",INDEX(tblCCPs[Unit],MATCH(tblLog[[#This Row],[CCP]],tblCCPs[CCP],0))),""))</f>
        <v>°C</v>
      </c>
      <c r="H98" s="39" t="str">
        <f>IF(tblLog[[#This Row],[Date]]="","",IFERROR(IF(INDEX(tblCCPs[Limit type],MATCH(tblLog[[#This Row],[CCP]],tblCCPs[CCP],0))="","",INDEX(tblCCPs[Limit type],MATCH(tblLog[[#This Row],[CCP]],tblCCPs[CCP],0))),""))</f>
        <v>Minimum</v>
      </c>
      <c r="I98" s="40">
        <f>IF(tblLog[[#This Row],[Date]]="","",IFERROR(IF(INDEX(tblCCPs[Critical limit],MATCH(tblLog[[#This Row],[CCP]],tblCCPs[CCP],0))="","",INDEX(tblCCPs[Critical limit],MATCH(tblLog[[#This Row],[CCP]],tblCCPs[CCP],0))),""))</f>
        <v>75</v>
      </c>
      <c r="J98" s="40">
        <f>IF(tblLog[[#This Row],[Date]]="","",IFERROR(IF(INDEX(tblCCPs[Operating limit],MATCH(tblLog[[#This Row],[CCP]],tblCCPs[CCP],0))="","",INDEX(tblCCPs[Operating limit],MATCH(tblLog[[#This Row],[CCP]],tblCCPs[CCP],0))),""))</f>
        <v>78</v>
      </c>
      <c r="K9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8" s="28" t="s">
        <v>127</v>
      </c>
      <c r="M98" s="42" t="s">
        <v>122</v>
      </c>
      <c r="N98" s="35">
        <v>0</v>
      </c>
      <c r="O98" s="28" t="s">
        <v>123</v>
      </c>
      <c r="P98" s="43">
        <f>IF(tblLog[[#This Row],[Date]]="","",IF(N(tblLog[[#This Row],[Product held]])&gt;0,tblLog[[#This Row],[Product held]]*HoldValue+QACost,0))</f>
        <v>0</v>
      </c>
      <c r="Q98" s="43">
        <f>IF(tblLog[[#This Row],[Date]]="","",IF(tblLog[[#This Row],[CCP]]="","",COUNTIFS(tblLog[CCP],tblLog[[#This Row],[CCP]],tblLog[Date],"&lt;"&amp;tblLog[[#This Row],[Date]])+COUNTIFS(tblLog[CCP],tblLog[[#This Row],[CCP]],tblLog[Date],tblLog[[#This Row],[Date]],tblLog[Time],"&lt;="&amp;tblLog[[#This Row],[Time]])))</f>
        <v>31</v>
      </c>
      <c r="R98" s="44">
        <f>IF(tblLog[[#This Row],[Date]]="","",IF(AND(tblLog[[#This Row],[Date]]&gt;=FFrom,tblLog[[#This Row],[Date]]&lt;=FTo),tblLog[[#This Row],[Date]],""))</f>
        <v>46286</v>
      </c>
      <c r="S9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8" s="28" t="s">
        <v>122</v>
      </c>
    </row>
    <row r="99" spans="2:20">
      <c r="B99" s="37">
        <v>46286</v>
      </c>
      <c r="C99" s="38">
        <v>0.3333333333333333</v>
      </c>
      <c r="D99" s="28" t="s">
        <v>101</v>
      </c>
      <c r="E99" s="28" t="s">
        <v>125</v>
      </c>
      <c r="F99" s="34">
        <v>3</v>
      </c>
      <c r="G99" s="39" t="str">
        <f>IF(tblLog[[#This Row],[Date]]="","",IFERROR(IF(INDEX(tblCCPs[Unit],MATCH(tblLog[[#This Row],[CCP]],tblCCPs[CCP],0))="","",INDEX(tblCCPs[Unit],MATCH(tblLog[[#This Row],[CCP]],tblCCPs[CCP],0))),""))</f>
        <v>°C</v>
      </c>
      <c r="H99" s="39" t="str">
        <f>IF(tblLog[[#This Row],[Date]]="","",IFERROR(IF(INDEX(tblCCPs[Limit type],MATCH(tblLog[[#This Row],[CCP]],tblCCPs[CCP],0))="","",INDEX(tblCCPs[Limit type],MATCH(tblLog[[#This Row],[CCP]],tblCCPs[CCP],0))),""))</f>
        <v>Maximum</v>
      </c>
      <c r="I99" s="40">
        <f>IF(tblLog[[#This Row],[Date]]="","",IFERROR(IF(INDEX(tblCCPs[Critical limit],MATCH(tblLog[[#This Row],[CCP]],tblCCPs[CCP],0))="","",INDEX(tblCCPs[Critical limit],MATCH(tblLog[[#This Row],[CCP]],tblCCPs[CCP],0))),""))</f>
        <v>5</v>
      </c>
      <c r="J99" s="40">
        <f>IF(tblLog[[#This Row],[Date]]="","",IFERROR(IF(INDEX(tblCCPs[Operating limit],MATCH(tblLog[[#This Row],[CCP]],tblCCPs[CCP],0))="","",INDEX(tblCCPs[Operating limit],MATCH(tblLog[[#This Row],[CCP]],tblCCPs[CCP],0))),""))</f>
        <v>4</v>
      </c>
      <c r="K9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99" s="28" t="s">
        <v>127</v>
      </c>
      <c r="M99" s="42" t="s">
        <v>122</v>
      </c>
      <c r="N99" s="35">
        <v>0</v>
      </c>
      <c r="O99" s="28" t="s">
        <v>123</v>
      </c>
      <c r="P99" s="43">
        <f>IF(tblLog[[#This Row],[Date]]="","",IF(N(tblLog[[#This Row],[Product held]])&gt;0,tblLog[[#This Row],[Product held]]*HoldValue+QACost,0))</f>
        <v>0</v>
      </c>
      <c r="Q99" s="43">
        <f>IF(tblLog[[#This Row],[Date]]="","",IF(tblLog[[#This Row],[CCP]]="","",COUNTIFS(tblLog[CCP],tblLog[[#This Row],[CCP]],tblLog[Date],"&lt;"&amp;tblLog[[#This Row],[Date]])+COUNTIFS(tblLog[CCP],tblLog[[#This Row],[CCP]],tblLog[Date],tblLog[[#This Row],[Date]],tblLog[Time],"&lt;="&amp;tblLog[[#This Row],[Time]])))</f>
        <v>11</v>
      </c>
      <c r="R99" s="44">
        <f>IF(tblLog[[#This Row],[Date]]="","",IF(AND(tblLog[[#This Row],[Date]]&gt;=FFrom,tblLog[[#This Row],[Date]]&lt;=FTo),tblLog[[#This Row],[Date]],""))</f>
        <v>46286</v>
      </c>
      <c r="S9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99" s="28" t="s">
        <v>122</v>
      </c>
    </row>
    <row r="100" spans="2:20">
      <c r="B100" s="37">
        <v>46286</v>
      </c>
      <c r="C100" s="38">
        <v>0.375</v>
      </c>
      <c r="D100" s="28" t="s">
        <v>85</v>
      </c>
      <c r="E100" s="28" t="s">
        <v>164</v>
      </c>
      <c r="F100" s="34">
        <v>85.8</v>
      </c>
      <c r="G100" s="39" t="str">
        <f>IF(tblLog[[#This Row],[Date]]="","",IFERROR(IF(INDEX(tblCCPs[Unit],MATCH(tblLog[[#This Row],[CCP]],tblCCPs[CCP],0))="","",INDEX(tblCCPs[Unit],MATCH(tblLog[[#This Row],[CCP]],tblCCPs[CCP],0))),""))</f>
        <v>°C</v>
      </c>
      <c r="H100" s="39" t="str">
        <f>IF(tblLog[[#This Row],[Date]]="","",IFERROR(IF(INDEX(tblCCPs[Limit type],MATCH(tblLog[[#This Row],[CCP]],tblCCPs[CCP],0))="","",INDEX(tblCCPs[Limit type],MATCH(tblLog[[#This Row],[CCP]],tblCCPs[CCP],0))),""))</f>
        <v>Minimum</v>
      </c>
      <c r="I100" s="40">
        <f>IF(tblLog[[#This Row],[Date]]="","",IFERROR(IF(INDEX(tblCCPs[Critical limit],MATCH(tblLog[[#This Row],[CCP]],tblCCPs[CCP],0))="","",INDEX(tblCCPs[Critical limit],MATCH(tblLog[[#This Row],[CCP]],tblCCPs[CCP],0))),""))</f>
        <v>75</v>
      </c>
      <c r="J100" s="40">
        <f>IF(tblLog[[#This Row],[Date]]="","",IFERROR(IF(INDEX(tblCCPs[Operating limit],MATCH(tblLog[[#This Row],[CCP]],tblCCPs[CCP],0))="","",INDEX(tblCCPs[Operating limit],MATCH(tblLog[[#This Row],[CCP]],tblCCPs[CCP],0))),""))</f>
        <v>78</v>
      </c>
      <c r="K10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0" s="28" t="s">
        <v>130</v>
      </c>
      <c r="M100" s="42" t="s">
        <v>122</v>
      </c>
      <c r="N100" s="35">
        <v>0</v>
      </c>
      <c r="O100" s="28" t="s">
        <v>123</v>
      </c>
      <c r="P100" s="43">
        <f>IF(tblLog[[#This Row],[Date]]="","",IF(N(tblLog[[#This Row],[Product held]])&gt;0,tblLog[[#This Row],[Product held]]*HoldValue+QACost,0))</f>
        <v>0</v>
      </c>
      <c r="Q100" s="43">
        <f>IF(tblLog[[#This Row],[Date]]="","",IF(tblLog[[#This Row],[CCP]]="","",COUNTIFS(tblLog[CCP],tblLog[[#This Row],[CCP]],tblLog[Date],"&lt;"&amp;tblLog[[#This Row],[Date]])+COUNTIFS(tblLog[CCP],tblLog[[#This Row],[CCP]],tblLog[Date],tblLog[[#This Row],[Date]],tblLog[Time],"&lt;="&amp;tblLog[[#This Row],[Time]])))</f>
        <v>32</v>
      </c>
      <c r="R100" s="44">
        <f>IF(tblLog[[#This Row],[Date]]="","",IF(AND(tblLog[[#This Row],[Date]]&gt;=FFrom,tblLog[[#This Row],[Date]]&lt;=FTo),tblLog[[#This Row],[Date]],""))</f>
        <v>46286</v>
      </c>
      <c r="S10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0" s="28" t="s">
        <v>122</v>
      </c>
    </row>
    <row r="101" spans="2:20">
      <c r="B101" s="37">
        <v>46286</v>
      </c>
      <c r="C101" s="38">
        <v>0.3854166666666667</v>
      </c>
      <c r="D101" s="28" t="s">
        <v>91</v>
      </c>
      <c r="E101" s="28" t="s">
        <v>163</v>
      </c>
      <c r="F101" s="34">
        <v>2.4</v>
      </c>
      <c r="G101" s="39" t="str">
        <f>IF(tblLog[[#This Row],[Date]]="","",IFERROR(IF(INDEX(tblCCPs[Unit],MATCH(tblLog[[#This Row],[CCP]],tblCCPs[CCP],0))="","",INDEX(tblCCPs[Unit],MATCH(tblLog[[#This Row],[CCP]],tblCCPs[CCP],0))),""))</f>
        <v>°C</v>
      </c>
      <c r="H101" s="39" t="str">
        <f>IF(tblLog[[#This Row],[Date]]="","",IFERROR(IF(INDEX(tblCCPs[Limit type],MATCH(tblLog[[#This Row],[CCP]],tblCCPs[CCP],0))="","",INDEX(tblCCPs[Limit type],MATCH(tblLog[[#This Row],[CCP]],tblCCPs[CCP],0))),""))</f>
        <v>Maximum</v>
      </c>
      <c r="I101" s="40">
        <f>IF(tblLog[[#This Row],[Date]]="","",IFERROR(IF(INDEX(tblCCPs[Critical limit],MATCH(tblLog[[#This Row],[CCP]],tblCCPs[CCP],0))="","",INDEX(tblCCPs[Critical limit],MATCH(tblLog[[#This Row],[CCP]],tblCCPs[CCP],0))),""))</f>
        <v>5</v>
      </c>
      <c r="J101" s="40">
        <f>IF(tblLog[[#This Row],[Date]]="","",IFERROR(IF(INDEX(tblCCPs[Operating limit],MATCH(tblLog[[#This Row],[CCP]],tblCCPs[CCP],0))="","",INDEX(tblCCPs[Operating limit],MATCH(tblLog[[#This Row],[CCP]],tblCCPs[CCP],0))),""))</f>
        <v>4</v>
      </c>
      <c r="K10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1" s="28" t="s">
        <v>127</v>
      </c>
      <c r="M101" s="42" t="s">
        <v>122</v>
      </c>
      <c r="N101" s="35">
        <v>0</v>
      </c>
      <c r="O101" s="28" t="s">
        <v>123</v>
      </c>
      <c r="P101" s="43">
        <f>IF(tblLog[[#This Row],[Date]]="","",IF(N(tblLog[[#This Row],[Product held]])&gt;0,tblLog[[#This Row],[Product held]]*HoldValue+QACost,0))</f>
        <v>0</v>
      </c>
      <c r="Q101" s="43">
        <f>IF(tblLog[[#This Row],[Date]]="","",IF(tblLog[[#This Row],[CCP]]="","",COUNTIFS(tblLog[CCP],tblLog[[#This Row],[CCP]],tblLog[Date],"&lt;"&amp;tblLog[[#This Row],[Date]])+COUNTIFS(tblLog[CCP],tblLog[[#This Row],[CCP]],tblLog[Date],tblLog[[#This Row],[Date]],tblLog[Time],"&lt;="&amp;tblLog[[#This Row],[Time]])))</f>
        <v>31</v>
      </c>
      <c r="R101" s="44">
        <f>IF(tblLog[[#This Row],[Date]]="","",IF(AND(tblLog[[#This Row],[Date]]&gt;=FFrom,tblLog[[#This Row],[Date]]&lt;=FTo),tblLog[[#This Row],[Date]],""))</f>
        <v>46286</v>
      </c>
      <c r="S10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1" s="28" t="s">
        <v>122</v>
      </c>
    </row>
    <row r="102" spans="2:20">
      <c r="B102" s="37">
        <v>46286</v>
      </c>
      <c r="C102" s="38">
        <v>0.4166666666666667</v>
      </c>
      <c r="D102" s="28" t="s">
        <v>96</v>
      </c>
      <c r="E102" s="28" t="s">
        <v>128</v>
      </c>
      <c r="F102" s="34">
        <v>3</v>
      </c>
      <c r="G102" s="39" t="str">
        <f>IF(tblLog[[#This Row],[Date]]="","",IFERROR(IF(INDEX(tblCCPs[Unit],MATCH(tblLog[[#This Row],[CCP]],tblCCPs[CCP],0))="","",INDEX(tblCCPs[Unit],MATCH(tblLog[[#This Row],[CCP]],tblCCPs[CCP],0))),""))</f>
        <v>of 3</v>
      </c>
      <c r="H102" s="39" t="str">
        <f>IF(tblLog[[#This Row],[Date]]="","",IFERROR(IF(INDEX(tblCCPs[Limit type],MATCH(tblLog[[#This Row],[CCP]],tblCCPs[CCP],0))="","",INDEX(tblCCPs[Limit type],MATCH(tblLog[[#This Row],[CCP]],tblCCPs[CCP],0))),""))</f>
        <v>Minimum</v>
      </c>
      <c r="I102" s="40">
        <f>IF(tblLog[[#This Row],[Date]]="","",IFERROR(IF(INDEX(tblCCPs[Critical limit],MATCH(tblLog[[#This Row],[CCP]],tblCCPs[CCP],0))="","",INDEX(tblCCPs[Critical limit],MATCH(tblLog[[#This Row],[CCP]],tblCCPs[CCP],0))),""))</f>
        <v>3</v>
      </c>
      <c r="J102" s="40">
        <f>IF(tblLog[[#This Row],[Date]]="","",IFERROR(IF(INDEX(tblCCPs[Operating limit],MATCH(tblLog[[#This Row],[CCP]],tblCCPs[CCP],0))="","",INDEX(tblCCPs[Operating limit],MATCH(tblLog[[#This Row],[CCP]],tblCCPs[CCP],0))),""))</f>
        <v/>
      </c>
      <c r="K10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2" s="28" t="s">
        <v>130</v>
      </c>
      <c r="M102" s="42" t="s">
        <v>122</v>
      </c>
      <c r="N102" s="35">
        <v>0</v>
      </c>
      <c r="O102" s="28" t="s">
        <v>123</v>
      </c>
      <c r="P102" s="43">
        <f>IF(tblLog[[#This Row],[Date]]="","",IF(N(tblLog[[#This Row],[Product held]])&gt;0,tblLog[[#This Row],[Product held]]*HoldValue+QACost,0))</f>
        <v>0</v>
      </c>
      <c r="Q102" s="43">
        <f>IF(tblLog[[#This Row],[Date]]="","",IF(tblLog[[#This Row],[CCP]]="","",COUNTIFS(tblLog[CCP],tblLog[[#This Row],[CCP]],tblLog[Date],"&lt;"&amp;tblLog[[#This Row],[Date]])+COUNTIFS(tblLog[CCP],tblLog[[#This Row],[CCP]],tblLog[Date],tblLog[[#This Row],[Date]],tblLog[Time],"&lt;="&amp;tblLog[[#This Row],[Time]])))</f>
        <v>22</v>
      </c>
      <c r="R102" s="44">
        <f>IF(tblLog[[#This Row],[Date]]="","",IF(AND(tblLog[[#This Row],[Date]]&gt;=FFrom,tblLog[[#This Row],[Date]]&lt;=FTo),tblLog[[#This Row],[Date]],""))</f>
        <v>46286</v>
      </c>
      <c r="S10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2" s="28" t="s">
        <v>122</v>
      </c>
    </row>
    <row r="103" spans="2:20">
      <c r="B103" s="37">
        <v>46286</v>
      </c>
      <c r="C103" s="38">
        <v>0.4375</v>
      </c>
      <c r="D103" s="28" t="s">
        <v>85</v>
      </c>
      <c r="E103" s="28" t="s">
        <v>165</v>
      </c>
      <c r="F103" s="34">
        <v>80.5</v>
      </c>
      <c r="G103" s="39" t="str">
        <f>IF(tblLog[[#This Row],[Date]]="","",IFERROR(IF(INDEX(tblCCPs[Unit],MATCH(tblLog[[#This Row],[CCP]],tblCCPs[CCP],0))="","",INDEX(tblCCPs[Unit],MATCH(tblLog[[#This Row],[CCP]],tblCCPs[CCP],0))),""))</f>
        <v>°C</v>
      </c>
      <c r="H103" s="39" t="str">
        <f>IF(tblLog[[#This Row],[Date]]="","",IFERROR(IF(INDEX(tblCCPs[Limit type],MATCH(tblLog[[#This Row],[CCP]],tblCCPs[CCP],0))="","",INDEX(tblCCPs[Limit type],MATCH(tblLog[[#This Row],[CCP]],tblCCPs[CCP],0))),""))</f>
        <v>Minimum</v>
      </c>
      <c r="I103" s="40">
        <f>IF(tblLog[[#This Row],[Date]]="","",IFERROR(IF(INDEX(tblCCPs[Critical limit],MATCH(tblLog[[#This Row],[CCP]],tblCCPs[CCP],0))="","",INDEX(tblCCPs[Critical limit],MATCH(tblLog[[#This Row],[CCP]],tblCCPs[CCP],0))),""))</f>
        <v>75</v>
      </c>
      <c r="J103" s="40">
        <f>IF(tblLog[[#This Row],[Date]]="","",IFERROR(IF(INDEX(tblCCPs[Operating limit],MATCH(tblLog[[#This Row],[CCP]],tblCCPs[CCP],0))="","",INDEX(tblCCPs[Operating limit],MATCH(tblLog[[#This Row],[CCP]],tblCCPs[CCP],0))),""))</f>
        <v>78</v>
      </c>
      <c r="K10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3" s="28" t="s">
        <v>132</v>
      </c>
      <c r="M103" s="42" t="s">
        <v>122</v>
      </c>
      <c r="N103" s="35">
        <v>0</v>
      </c>
      <c r="O103" s="28" t="s">
        <v>123</v>
      </c>
      <c r="P103" s="43">
        <f>IF(tblLog[[#This Row],[Date]]="","",IF(N(tblLog[[#This Row],[Product held]])&gt;0,tblLog[[#This Row],[Product held]]*HoldValue+QACost,0))</f>
        <v>0</v>
      </c>
      <c r="Q103" s="43">
        <f>IF(tblLog[[#This Row],[Date]]="","",IF(tblLog[[#This Row],[CCP]]="","",COUNTIFS(tblLog[CCP],tblLog[[#This Row],[CCP]],tblLog[Date],"&lt;"&amp;tblLog[[#This Row],[Date]])+COUNTIFS(tblLog[CCP],tblLog[[#This Row],[CCP]],tblLog[Date],tblLog[[#This Row],[Date]],tblLog[Time],"&lt;="&amp;tblLog[[#This Row],[Time]])))</f>
        <v>33</v>
      </c>
      <c r="R103" s="44">
        <f>IF(tblLog[[#This Row],[Date]]="","",IF(AND(tblLog[[#This Row],[Date]]&gt;=FFrom,tblLog[[#This Row],[Date]]&lt;=FTo),tblLog[[#This Row],[Date]],""))</f>
        <v>46286</v>
      </c>
      <c r="S10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3" s="28" t="s">
        <v>122</v>
      </c>
    </row>
    <row r="104" spans="2:20">
      <c r="B104" s="37">
        <v>46286</v>
      </c>
      <c r="C104" s="38">
        <v>0.4479166666666667</v>
      </c>
      <c r="D104" s="28" t="s">
        <v>91</v>
      </c>
      <c r="E104" s="28" t="s">
        <v>164</v>
      </c>
      <c r="F104" s="34">
        <v>3.3</v>
      </c>
      <c r="G104" s="39" t="str">
        <f>IF(tblLog[[#This Row],[Date]]="","",IFERROR(IF(INDEX(tblCCPs[Unit],MATCH(tblLog[[#This Row],[CCP]],tblCCPs[CCP],0))="","",INDEX(tblCCPs[Unit],MATCH(tblLog[[#This Row],[CCP]],tblCCPs[CCP],0))),""))</f>
        <v>°C</v>
      </c>
      <c r="H104" s="39" t="str">
        <f>IF(tblLog[[#This Row],[Date]]="","",IFERROR(IF(INDEX(tblCCPs[Limit type],MATCH(tblLog[[#This Row],[CCP]],tblCCPs[CCP],0))="","",INDEX(tblCCPs[Limit type],MATCH(tblLog[[#This Row],[CCP]],tblCCPs[CCP],0))),""))</f>
        <v>Maximum</v>
      </c>
      <c r="I104" s="40">
        <f>IF(tblLog[[#This Row],[Date]]="","",IFERROR(IF(INDEX(tblCCPs[Critical limit],MATCH(tblLog[[#This Row],[CCP]],tblCCPs[CCP],0))="","",INDEX(tblCCPs[Critical limit],MATCH(tblLog[[#This Row],[CCP]],tblCCPs[CCP],0))),""))</f>
        <v>5</v>
      </c>
      <c r="J104" s="40">
        <f>IF(tblLog[[#This Row],[Date]]="","",IFERROR(IF(INDEX(tblCCPs[Operating limit],MATCH(tblLog[[#This Row],[CCP]],tblCCPs[CCP],0))="","",INDEX(tblCCPs[Operating limit],MATCH(tblLog[[#This Row],[CCP]],tblCCPs[CCP],0))),""))</f>
        <v>4</v>
      </c>
      <c r="K10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4" s="28" t="s">
        <v>130</v>
      </c>
      <c r="M104" s="42" t="s">
        <v>122</v>
      </c>
      <c r="N104" s="35">
        <v>0</v>
      </c>
      <c r="O104" s="28" t="s">
        <v>123</v>
      </c>
      <c r="P104" s="43">
        <f>IF(tblLog[[#This Row],[Date]]="","",IF(N(tblLog[[#This Row],[Product held]])&gt;0,tblLog[[#This Row],[Product held]]*HoldValue+QACost,0))</f>
        <v>0</v>
      </c>
      <c r="Q104" s="43">
        <f>IF(tblLog[[#This Row],[Date]]="","",IF(tblLog[[#This Row],[CCP]]="","",COUNTIFS(tblLog[CCP],tblLog[[#This Row],[CCP]],tblLog[Date],"&lt;"&amp;tblLog[[#This Row],[Date]])+COUNTIFS(tblLog[CCP],tblLog[[#This Row],[CCP]],tblLog[Date],tblLog[[#This Row],[Date]],tblLog[Time],"&lt;="&amp;tblLog[[#This Row],[Time]])))</f>
        <v>32</v>
      </c>
      <c r="R104" s="44">
        <f>IF(tblLog[[#This Row],[Date]]="","",IF(AND(tblLog[[#This Row],[Date]]&gt;=FFrom,tblLog[[#This Row],[Date]]&lt;=FTo),tblLog[[#This Row],[Date]],""))</f>
        <v>46286</v>
      </c>
      <c r="S10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4" s="28" t="s">
        <v>122</v>
      </c>
    </row>
    <row r="105" spans="2:20">
      <c r="B105" s="37">
        <v>46286</v>
      </c>
      <c r="C105" s="38">
        <v>0.5</v>
      </c>
      <c r="D105" s="28" t="s">
        <v>85</v>
      </c>
      <c r="E105" s="28" t="s">
        <v>166</v>
      </c>
      <c r="F105" s="34">
        <v>82.90000000000001</v>
      </c>
      <c r="G105" s="39" t="str">
        <f>IF(tblLog[[#This Row],[Date]]="","",IFERROR(IF(INDEX(tblCCPs[Unit],MATCH(tblLog[[#This Row],[CCP]],tblCCPs[CCP],0))="","",INDEX(tblCCPs[Unit],MATCH(tblLog[[#This Row],[CCP]],tblCCPs[CCP],0))),""))</f>
        <v>°C</v>
      </c>
      <c r="H105" s="39" t="str">
        <f>IF(tblLog[[#This Row],[Date]]="","",IFERROR(IF(INDEX(tblCCPs[Limit type],MATCH(tblLog[[#This Row],[CCP]],tblCCPs[CCP],0))="","",INDEX(tblCCPs[Limit type],MATCH(tblLog[[#This Row],[CCP]],tblCCPs[CCP],0))),""))</f>
        <v>Minimum</v>
      </c>
      <c r="I105" s="40">
        <f>IF(tblLog[[#This Row],[Date]]="","",IFERROR(IF(INDEX(tblCCPs[Critical limit],MATCH(tblLog[[#This Row],[CCP]],tblCCPs[CCP],0))="","",INDEX(tblCCPs[Critical limit],MATCH(tblLog[[#This Row],[CCP]],tblCCPs[CCP],0))),""))</f>
        <v>75</v>
      </c>
      <c r="J105" s="40">
        <f>IF(tblLog[[#This Row],[Date]]="","",IFERROR(IF(INDEX(tblCCPs[Operating limit],MATCH(tblLog[[#This Row],[CCP]],tblCCPs[CCP],0))="","",INDEX(tblCCPs[Operating limit],MATCH(tblLog[[#This Row],[CCP]],tblCCPs[CCP],0))),""))</f>
        <v>78</v>
      </c>
      <c r="K10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5" s="28" t="s">
        <v>121</v>
      </c>
      <c r="M105" s="42" t="s">
        <v>122</v>
      </c>
      <c r="N105" s="35">
        <v>0</v>
      </c>
      <c r="O105" s="28" t="s">
        <v>123</v>
      </c>
      <c r="P105" s="43">
        <f>IF(tblLog[[#This Row],[Date]]="","",IF(N(tblLog[[#This Row],[Product held]])&gt;0,tblLog[[#This Row],[Product held]]*HoldValue+QACost,0))</f>
        <v>0</v>
      </c>
      <c r="Q105" s="43">
        <f>IF(tblLog[[#This Row],[Date]]="","",IF(tblLog[[#This Row],[CCP]]="","",COUNTIFS(tblLog[CCP],tblLog[[#This Row],[CCP]],tblLog[Date],"&lt;"&amp;tblLog[[#This Row],[Date]])+COUNTIFS(tblLog[CCP],tblLog[[#This Row],[CCP]],tblLog[Date],tblLog[[#This Row],[Date]],tblLog[Time],"&lt;="&amp;tblLog[[#This Row],[Time]])))</f>
        <v>34</v>
      </c>
      <c r="R105" s="44">
        <f>IF(tblLog[[#This Row],[Date]]="","",IF(AND(tblLog[[#This Row],[Date]]&gt;=FFrom,tblLog[[#This Row],[Date]]&lt;=FTo),tblLog[[#This Row],[Date]],""))</f>
        <v>46286</v>
      </c>
      <c r="S10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5" s="28" t="s">
        <v>122</v>
      </c>
    </row>
    <row r="106" spans="2:20">
      <c r="B106" s="37">
        <v>46286</v>
      </c>
      <c r="C106" s="38">
        <v>0.5104166666666666</v>
      </c>
      <c r="D106" s="28" t="s">
        <v>91</v>
      </c>
      <c r="E106" s="28" t="s">
        <v>165</v>
      </c>
      <c r="F106" s="34">
        <v>2.7</v>
      </c>
      <c r="G106" s="39" t="str">
        <f>IF(tblLog[[#This Row],[Date]]="","",IFERROR(IF(INDEX(tblCCPs[Unit],MATCH(tblLog[[#This Row],[CCP]],tblCCPs[CCP],0))="","",INDEX(tblCCPs[Unit],MATCH(tblLog[[#This Row],[CCP]],tblCCPs[CCP],0))),""))</f>
        <v>°C</v>
      </c>
      <c r="H106" s="39" t="str">
        <f>IF(tblLog[[#This Row],[Date]]="","",IFERROR(IF(INDEX(tblCCPs[Limit type],MATCH(tblLog[[#This Row],[CCP]],tblCCPs[CCP],0))="","",INDEX(tblCCPs[Limit type],MATCH(tblLog[[#This Row],[CCP]],tblCCPs[CCP],0))),""))</f>
        <v>Maximum</v>
      </c>
      <c r="I106" s="40">
        <f>IF(tblLog[[#This Row],[Date]]="","",IFERROR(IF(INDEX(tblCCPs[Critical limit],MATCH(tblLog[[#This Row],[CCP]],tblCCPs[CCP],0))="","",INDEX(tblCCPs[Critical limit],MATCH(tblLog[[#This Row],[CCP]],tblCCPs[CCP],0))),""))</f>
        <v>5</v>
      </c>
      <c r="J106" s="40">
        <f>IF(tblLog[[#This Row],[Date]]="","",IFERROR(IF(INDEX(tblCCPs[Operating limit],MATCH(tblLog[[#This Row],[CCP]],tblCCPs[CCP],0))="","",INDEX(tblCCPs[Operating limit],MATCH(tblLog[[#This Row],[CCP]],tblCCPs[CCP],0))),""))</f>
        <v>4</v>
      </c>
      <c r="K10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6" s="28" t="s">
        <v>132</v>
      </c>
      <c r="M106" s="42" t="s">
        <v>122</v>
      </c>
      <c r="N106" s="35">
        <v>0</v>
      </c>
      <c r="O106" s="28" t="s">
        <v>123</v>
      </c>
      <c r="P106" s="43">
        <f>IF(tblLog[[#This Row],[Date]]="","",IF(N(tblLog[[#This Row],[Product held]])&gt;0,tblLog[[#This Row],[Product held]]*HoldValue+QACost,0))</f>
        <v>0</v>
      </c>
      <c r="Q106" s="43">
        <f>IF(tblLog[[#This Row],[Date]]="","",IF(tblLog[[#This Row],[CCP]]="","",COUNTIFS(tblLog[CCP],tblLog[[#This Row],[CCP]],tblLog[Date],"&lt;"&amp;tblLog[[#This Row],[Date]])+COUNTIFS(tblLog[CCP],tblLog[[#This Row],[CCP]],tblLog[Date],tblLog[[#This Row],[Date]],tblLog[Time],"&lt;="&amp;tblLog[[#This Row],[Time]])))</f>
        <v>33</v>
      </c>
      <c r="R106" s="44">
        <f>IF(tblLog[[#This Row],[Date]]="","",IF(AND(tblLog[[#This Row],[Date]]&gt;=FFrom,tblLog[[#This Row],[Date]]&lt;=FTo),tblLog[[#This Row],[Date]],""))</f>
        <v>46286</v>
      </c>
      <c r="S10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6" s="28" t="s">
        <v>122</v>
      </c>
    </row>
    <row r="107" spans="2:20">
      <c r="B107" s="37">
        <v>46286</v>
      </c>
      <c r="C107" s="38">
        <v>0.5416666666666666</v>
      </c>
      <c r="D107" s="28" t="s">
        <v>96</v>
      </c>
      <c r="E107" s="28" t="s">
        <v>133</v>
      </c>
      <c r="F107" s="34">
        <v>3</v>
      </c>
      <c r="G107" s="39" t="str">
        <f>IF(tblLog[[#This Row],[Date]]="","",IFERROR(IF(INDEX(tblCCPs[Unit],MATCH(tblLog[[#This Row],[CCP]],tblCCPs[CCP],0))="","",INDEX(tblCCPs[Unit],MATCH(tblLog[[#This Row],[CCP]],tblCCPs[CCP],0))),""))</f>
        <v>of 3</v>
      </c>
      <c r="H107" s="39" t="str">
        <f>IF(tblLog[[#This Row],[Date]]="","",IFERROR(IF(INDEX(tblCCPs[Limit type],MATCH(tblLog[[#This Row],[CCP]],tblCCPs[CCP],0))="","",INDEX(tblCCPs[Limit type],MATCH(tblLog[[#This Row],[CCP]],tblCCPs[CCP],0))),""))</f>
        <v>Minimum</v>
      </c>
      <c r="I107" s="40">
        <f>IF(tblLog[[#This Row],[Date]]="","",IFERROR(IF(INDEX(tblCCPs[Critical limit],MATCH(tblLog[[#This Row],[CCP]],tblCCPs[CCP],0))="","",INDEX(tblCCPs[Critical limit],MATCH(tblLog[[#This Row],[CCP]],tblCCPs[CCP],0))),""))</f>
        <v>3</v>
      </c>
      <c r="J107" s="40">
        <f>IF(tblLog[[#This Row],[Date]]="","",IFERROR(IF(INDEX(tblCCPs[Operating limit],MATCH(tblLog[[#This Row],[CCP]],tblCCPs[CCP],0))="","",INDEX(tblCCPs[Operating limit],MATCH(tblLog[[#This Row],[CCP]],tblCCPs[CCP],0))),""))</f>
        <v/>
      </c>
      <c r="K10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7" s="28" t="s">
        <v>132</v>
      </c>
      <c r="M107" s="42" t="s">
        <v>122</v>
      </c>
      <c r="N107" s="35">
        <v>0</v>
      </c>
      <c r="O107" s="28" t="s">
        <v>123</v>
      </c>
      <c r="P107" s="43">
        <f>IF(tblLog[[#This Row],[Date]]="","",IF(N(tblLog[[#This Row],[Product held]])&gt;0,tblLog[[#This Row],[Product held]]*HoldValue+QACost,0))</f>
        <v>0</v>
      </c>
      <c r="Q107" s="43">
        <f>IF(tblLog[[#This Row],[Date]]="","",IF(tblLog[[#This Row],[CCP]]="","",COUNTIFS(tblLog[CCP],tblLog[[#This Row],[CCP]],tblLog[Date],"&lt;"&amp;tblLog[[#This Row],[Date]])+COUNTIFS(tblLog[CCP],tblLog[[#This Row],[CCP]],tblLog[Date],tblLog[[#This Row],[Date]],tblLog[Time],"&lt;="&amp;tblLog[[#This Row],[Time]])))</f>
        <v>23</v>
      </c>
      <c r="R107" s="44">
        <f>IF(tblLog[[#This Row],[Date]]="","",IF(AND(tblLog[[#This Row],[Date]]&gt;=FFrom,tblLog[[#This Row],[Date]]&lt;=FTo),tblLog[[#This Row],[Date]],""))</f>
        <v>46286</v>
      </c>
      <c r="S10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7" s="28" t="s">
        <v>122</v>
      </c>
    </row>
    <row r="108" spans="2:20">
      <c r="B108" s="37">
        <v>46286</v>
      </c>
      <c r="C108" s="38">
        <v>0.5625</v>
      </c>
      <c r="D108" s="28" t="s">
        <v>85</v>
      </c>
      <c r="E108" s="28" t="s">
        <v>167</v>
      </c>
      <c r="F108" s="34">
        <v>81.40000000000001</v>
      </c>
      <c r="G108" s="39" t="str">
        <f>IF(tblLog[[#This Row],[Date]]="","",IFERROR(IF(INDEX(tblCCPs[Unit],MATCH(tblLog[[#This Row],[CCP]],tblCCPs[CCP],0))="","",INDEX(tblCCPs[Unit],MATCH(tblLog[[#This Row],[CCP]],tblCCPs[CCP],0))),""))</f>
        <v>°C</v>
      </c>
      <c r="H108" s="39" t="str">
        <f>IF(tblLog[[#This Row],[Date]]="","",IFERROR(IF(INDEX(tblCCPs[Limit type],MATCH(tblLog[[#This Row],[CCP]],tblCCPs[CCP],0))="","",INDEX(tblCCPs[Limit type],MATCH(tblLog[[#This Row],[CCP]],tblCCPs[CCP],0))),""))</f>
        <v>Minimum</v>
      </c>
      <c r="I108" s="40">
        <f>IF(tblLog[[#This Row],[Date]]="","",IFERROR(IF(INDEX(tblCCPs[Critical limit],MATCH(tblLog[[#This Row],[CCP]],tblCCPs[CCP],0))="","",INDEX(tblCCPs[Critical limit],MATCH(tblLog[[#This Row],[CCP]],tblCCPs[CCP],0))),""))</f>
        <v>75</v>
      </c>
      <c r="J108" s="40">
        <f>IF(tblLog[[#This Row],[Date]]="","",IFERROR(IF(INDEX(tblCCPs[Operating limit],MATCH(tblLog[[#This Row],[CCP]],tblCCPs[CCP],0))="","",INDEX(tblCCPs[Operating limit],MATCH(tblLog[[#This Row],[CCP]],tblCCPs[CCP],0))),""))</f>
        <v>78</v>
      </c>
      <c r="K10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8" s="28" t="s">
        <v>127</v>
      </c>
      <c r="M108" s="42" t="s">
        <v>122</v>
      </c>
      <c r="N108" s="35">
        <v>0</v>
      </c>
      <c r="O108" s="28" t="s">
        <v>123</v>
      </c>
      <c r="P108" s="43">
        <f>IF(tblLog[[#This Row],[Date]]="","",IF(N(tblLog[[#This Row],[Product held]])&gt;0,tblLog[[#This Row],[Product held]]*HoldValue+QACost,0))</f>
        <v>0</v>
      </c>
      <c r="Q108" s="43">
        <f>IF(tblLog[[#This Row],[Date]]="","",IF(tblLog[[#This Row],[CCP]]="","",COUNTIFS(tblLog[CCP],tblLog[[#This Row],[CCP]],tblLog[Date],"&lt;"&amp;tblLog[[#This Row],[Date]])+COUNTIFS(tblLog[CCP],tblLog[[#This Row],[CCP]],tblLog[Date],tblLog[[#This Row],[Date]],tblLog[Time],"&lt;="&amp;tblLog[[#This Row],[Time]])))</f>
        <v>35</v>
      </c>
      <c r="R108" s="44">
        <f>IF(tblLog[[#This Row],[Date]]="","",IF(AND(tblLog[[#This Row],[Date]]&gt;=FFrom,tblLog[[#This Row],[Date]]&lt;=FTo),tblLog[[#This Row],[Date]],""))</f>
        <v>46286</v>
      </c>
      <c r="S10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8" s="28" t="s">
        <v>122</v>
      </c>
    </row>
    <row r="109" spans="2:20">
      <c r="B109" s="37">
        <v>46286</v>
      </c>
      <c r="C109" s="38">
        <v>0.5729166666666666</v>
      </c>
      <c r="D109" s="28" t="s">
        <v>91</v>
      </c>
      <c r="E109" s="28" t="s">
        <v>166</v>
      </c>
      <c r="F109" s="34">
        <v>3.7</v>
      </c>
      <c r="G109" s="39" t="str">
        <f>IF(tblLog[[#This Row],[Date]]="","",IFERROR(IF(INDEX(tblCCPs[Unit],MATCH(tblLog[[#This Row],[CCP]],tblCCPs[CCP],0))="","",INDEX(tblCCPs[Unit],MATCH(tblLog[[#This Row],[CCP]],tblCCPs[CCP],0))),""))</f>
        <v>°C</v>
      </c>
      <c r="H109" s="39" t="str">
        <f>IF(tblLog[[#This Row],[Date]]="","",IFERROR(IF(INDEX(tblCCPs[Limit type],MATCH(tblLog[[#This Row],[CCP]],tblCCPs[CCP],0))="","",INDEX(tblCCPs[Limit type],MATCH(tblLog[[#This Row],[CCP]],tblCCPs[CCP],0))),""))</f>
        <v>Maximum</v>
      </c>
      <c r="I109" s="40">
        <f>IF(tblLog[[#This Row],[Date]]="","",IFERROR(IF(INDEX(tblCCPs[Critical limit],MATCH(tblLog[[#This Row],[CCP]],tblCCPs[CCP],0))="","",INDEX(tblCCPs[Critical limit],MATCH(tblLog[[#This Row],[CCP]],tblCCPs[CCP],0))),""))</f>
        <v>5</v>
      </c>
      <c r="J109" s="40">
        <f>IF(tblLog[[#This Row],[Date]]="","",IFERROR(IF(INDEX(tblCCPs[Operating limit],MATCH(tblLog[[#This Row],[CCP]],tblCCPs[CCP],0))="","",INDEX(tblCCPs[Operating limit],MATCH(tblLog[[#This Row],[CCP]],tblCCPs[CCP],0))),""))</f>
        <v>4</v>
      </c>
      <c r="K10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09" s="28" t="s">
        <v>121</v>
      </c>
      <c r="M109" s="42" t="s">
        <v>122</v>
      </c>
      <c r="N109" s="35">
        <v>0</v>
      </c>
      <c r="O109" s="28" t="s">
        <v>123</v>
      </c>
      <c r="P109" s="43">
        <f>IF(tblLog[[#This Row],[Date]]="","",IF(N(tblLog[[#This Row],[Product held]])&gt;0,tblLog[[#This Row],[Product held]]*HoldValue+QACost,0))</f>
        <v>0</v>
      </c>
      <c r="Q109" s="43">
        <f>IF(tblLog[[#This Row],[Date]]="","",IF(tblLog[[#This Row],[CCP]]="","",COUNTIFS(tblLog[CCP],tblLog[[#This Row],[CCP]],tblLog[Date],"&lt;"&amp;tblLog[[#This Row],[Date]])+COUNTIFS(tblLog[CCP],tblLog[[#This Row],[CCP]],tblLog[Date],tblLog[[#This Row],[Date]],tblLog[Time],"&lt;="&amp;tblLog[[#This Row],[Time]])))</f>
        <v>34</v>
      </c>
      <c r="R109" s="44">
        <f>IF(tblLog[[#This Row],[Date]]="","",IF(AND(tblLog[[#This Row],[Date]]&gt;=FFrom,tblLog[[#This Row],[Date]]&lt;=FTo),tblLog[[#This Row],[Date]],""))</f>
        <v>46286</v>
      </c>
      <c r="S10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09" s="28" t="s">
        <v>122</v>
      </c>
    </row>
    <row r="110" spans="2:20">
      <c r="B110" s="37">
        <v>46286</v>
      </c>
      <c r="C110" s="38">
        <v>0.625</v>
      </c>
      <c r="D110" s="28" t="s">
        <v>85</v>
      </c>
      <c r="E110" s="28" t="s">
        <v>168</v>
      </c>
      <c r="F110" s="34">
        <v>83.40000000000001</v>
      </c>
      <c r="G110" s="39" t="str">
        <f>IF(tblLog[[#This Row],[Date]]="","",IFERROR(IF(INDEX(tblCCPs[Unit],MATCH(tblLog[[#This Row],[CCP]],tblCCPs[CCP],0))="","",INDEX(tblCCPs[Unit],MATCH(tblLog[[#This Row],[CCP]],tblCCPs[CCP],0))),""))</f>
        <v>°C</v>
      </c>
      <c r="H110" s="39" t="str">
        <f>IF(tblLog[[#This Row],[Date]]="","",IFERROR(IF(INDEX(tblCCPs[Limit type],MATCH(tblLog[[#This Row],[CCP]],tblCCPs[CCP],0))="","",INDEX(tblCCPs[Limit type],MATCH(tblLog[[#This Row],[CCP]],tblCCPs[CCP],0))),""))</f>
        <v>Minimum</v>
      </c>
      <c r="I110" s="40">
        <f>IF(tblLog[[#This Row],[Date]]="","",IFERROR(IF(INDEX(tblCCPs[Critical limit],MATCH(tblLog[[#This Row],[CCP]],tblCCPs[CCP],0))="","",INDEX(tblCCPs[Critical limit],MATCH(tblLog[[#This Row],[CCP]],tblCCPs[CCP],0))),""))</f>
        <v>75</v>
      </c>
      <c r="J110" s="40">
        <f>IF(tblLog[[#This Row],[Date]]="","",IFERROR(IF(INDEX(tblCCPs[Operating limit],MATCH(tblLog[[#This Row],[CCP]],tblCCPs[CCP],0))="","",INDEX(tblCCPs[Operating limit],MATCH(tblLog[[#This Row],[CCP]],tblCCPs[CCP],0))),""))</f>
        <v>78</v>
      </c>
      <c r="K11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0" s="28" t="s">
        <v>130</v>
      </c>
      <c r="M110" s="42" t="s">
        <v>122</v>
      </c>
      <c r="N110" s="35">
        <v>0</v>
      </c>
      <c r="O110" s="28" t="s">
        <v>123</v>
      </c>
      <c r="P110" s="43">
        <f>IF(tblLog[[#This Row],[Date]]="","",IF(N(tblLog[[#This Row],[Product held]])&gt;0,tblLog[[#This Row],[Product held]]*HoldValue+QACost,0))</f>
        <v>0</v>
      </c>
      <c r="Q110" s="43">
        <f>IF(tblLog[[#This Row],[Date]]="","",IF(tblLog[[#This Row],[CCP]]="","",COUNTIFS(tblLog[CCP],tblLog[[#This Row],[CCP]],tblLog[Date],"&lt;"&amp;tblLog[[#This Row],[Date]])+COUNTIFS(tblLog[CCP],tblLog[[#This Row],[CCP]],tblLog[Date],tblLog[[#This Row],[Date]],tblLog[Time],"&lt;="&amp;tblLog[[#This Row],[Time]])))</f>
        <v>36</v>
      </c>
      <c r="R110" s="44">
        <f>IF(tblLog[[#This Row],[Date]]="","",IF(AND(tblLog[[#This Row],[Date]]&gt;=FFrom,tblLog[[#This Row],[Date]]&lt;=FTo),tblLog[[#This Row],[Date]],""))</f>
        <v>46286</v>
      </c>
      <c r="S11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0" s="28" t="s">
        <v>122</v>
      </c>
    </row>
    <row r="111" spans="2:20">
      <c r="B111" s="37">
        <v>46286</v>
      </c>
      <c r="C111" s="38">
        <v>0.6354166666666666</v>
      </c>
      <c r="D111" s="28" t="s">
        <v>91</v>
      </c>
      <c r="E111" s="28" t="s">
        <v>167</v>
      </c>
      <c r="F111" s="34">
        <v>3</v>
      </c>
      <c r="G111" s="39" t="str">
        <f>IF(tblLog[[#This Row],[Date]]="","",IFERROR(IF(INDEX(tblCCPs[Unit],MATCH(tblLog[[#This Row],[CCP]],tblCCPs[CCP],0))="","",INDEX(tblCCPs[Unit],MATCH(tblLog[[#This Row],[CCP]],tblCCPs[CCP],0))),""))</f>
        <v>°C</v>
      </c>
      <c r="H111" s="39" t="str">
        <f>IF(tblLog[[#This Row],[Date]]="","",IFERROR(IF(INDEX(tblCCPs[Limit type],MATCH(tblLog[[#This Row],[CCP]],tblCCPs[CCP],0))="","",INDEX(tblCCPs[Limit type],MATCH(tblLog[[#This Row],[CCP]],tblCCPs[CCP],0))),""))</f>
        <v>Maximum</v>
      </c>
      <c r="I111" s="40">
        <f>IF(tblLog[[#This Row],[Date]]="","",IFERROR(IF(INDEX(tblCCPs[Critical limit],MATCH(tblLog[[#This Row],[CCP]],tblCCPs[CCP],0))="","",INDEX(tblCCPs[Critical limit],MATCH(tblLog[[#This Row],[CCP]],tblCCPs[CCP],0))),""))</f>
        <v>5</v>
      </c>
      <c r="J111" s="40">
        <f>IF(tblLog[[#This Row],[Date]]="","",IFERROR(IF(INDEX(tblCCPs[Operating limit],MATCH(tblLog[[#This Row],[CCP]],tblCCPs[CCP],0))="","",INDEX(tblCCPs[Operating limit],MATCH(tblLog[[#This Row],[CCP]],tblCCPs[CCP],0))),""))</f>
        <v>4</v>
      </c>
      <c r="K11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1" s="28" t="s">
        <v>127</v>
      </c>
      <c r="M111" s="42" t="s">
        <v>122</v>
      </c>
      <c r="N111" s="35">
        <v>0</v>
      </c>
      <c r="O111" s="28" t="s">
        <v>123</v>
      </c>
      <c r="P111" s="43">
        <f>IF(tblLog[[#This Row],[Date]]="","",IF(N(tblLog[[#This Row],[Product held]])&gt;0,tblLog[[#This Row],[Product held]]*HoldValue+QACost,0))</f>
        <v>0</v>
      </c>
      <c r="Q111" s="43">
        <f>IF(tblLog[[#This Row],[Date]]="","",IF(tblLog[[#This Row],[CCP]]="","",COUNTIFS(tblLog[CCP],tblLog[[#This Row],[CCP]],tblLog[Date],"&lt;"&amp;tblLog[[#This Row],[Date]])+COUNTIFS(tblLog[CCP],tblLog[[#This Row],[CCP]],tblLog[Date],tblLog[[#This Row],[Date]],tblLog[Time],"&lt;="&amp;tblLog[[#This Row],[Time]])))</f>
        <v>35</v>
      </c>
      <c r="R111" s="44">
        <f>IF(tblLog[[#This Row],[Date]]="","",IF(AND(tblLog[[#This Row],[Date]]&gt;=FFrom,tblLog[[#This Row],[Date]]&lt;=FTo),tblLog[[#This Row],[Date]],""))</f>
        <v>46286</v>
      </c>
      <c r="S11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1" s="28" t="s">
        <v>122</v>
      </c>
    </row>
    <row r="112" spans="2:20">
      <c r="B112" s="37">
        <v>46286</v>
      </c>
      <c r="C112" s="38">
        <v>0.6458333333333334</v>
      </c>
      <c r="D112" s="28" t="s">
        <v>96</v>
      </c>
      <c r="E112" s="28" t="s">
        <v>136</v>
      </c>
      <c r="F112" s="34">
        <v>3</v>
      </c>
      <c r="G112" s="39" t="str">
        <f>IF(tblLog[[#This Row],[Date]]="","",IFERROR(IF(INDEX(tblCCPs[Unit],MATCH(tblLog[[#This Row],[CCP]],tblCCPs[CCP],0))="","",INDEX(tblCCPs[Unit],MATCH(tblLog[[#This Row],[CCP]],tblCCPs[CCP],0))),""))</f>
        <v>of 3</v>
      </c>
      <c r="H112" s="39" t="str">
        <f>IF(tblLog[[#This Row],[Date]]="","",IFERROR(IF(INDEX(tblCCPs[Limit type],MATCH(tblLog[[#This Row],[CCP]],tblCCPs[CCP],0))="","",INDEX(tblCCPs[Limit type],MATCH(tblLog[[#This Row],[CCP]],tblCCPs[CCP],0))),""))</f>
        <v>Minimum</v>
      </c>
      <c r="I112" s="40">
        <f>IF(tblLog[[#This Row],[Date]]="","",IFERROR(IF(INDEX(tblCCPs[Critical limit],MATCH(tblLog[[#This Row],[CCP]],tblCCPs[CCP],0))="","",INDEX(tblCCPs[Critical limit],MATCH(tblLog[[#This Row],[CCP]],tblCCPs[CCP],0))),""))</f>
        <v>3</v>
      </c>
      <c r="J112" s="40">
        <f>IF(tblLog[[#This Row],[Date]]="","",IFERROR(IF(INDEX(tblCCPs[Operating limit],MATCH(tblLog[[#This Row],[CCP]],tblCCPs[CCP],0))="","",INDEX(tblCCPs[Operating limit],MATCH(tblLog[[#This Row],[CCP]],tblCCPs[CCP],0))),""))</f>
        <v/>
      </c>
      <c r="K11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2" s="28" t="s">
        <v>121</v>
      </c>
      <c r="M112" s="42" t="s">
        <v>122</v>
      </c>
      <c r="N112" s="35">
        <v>0</v>
      </c>
      <c r="O112" s="28" t="s">
        <v>123</v>
      </c>
      <c r="P112" s="43">
        <f>IF(tblLog[[#This Row],[Date]]="","",IF(N(tblLog[[#This Row],[Product held]])&gt;0,tblLog[[#This Row],[Product held]]*HoldValue+QACost,0))</f>
        <v>0</v>
      </c>
      <c r="Q112" s="43">
        <f>IF(tblLog[[#This Row],[Date]]="","",IF(tblLog[[#This Row],[CCP]]="","",COUNTIFS(tblLog[CCP],tblLog[[#This Row],[CCP]],tblLog[Date],"&lt;"&amp;tblLog[[#This Row],[Date]])+COUNTIFS(tblLog[CCP],tblLog[[#This Row],[CCP]],tblLog[Date],tblLog[[#This Row],[Date]],tblLog[Time],"&lt;="&amp;tblLog[[#This Row],[Time]])))</f>
        <v>24</v>
      </c>
      <c r="R112" s="44">
        <f>IF(tblLog[[#This Row],[Date]]="","",IF(AND(tblLog[[#This Row],[Date]]&gt;=FFrom,tblLog[[#This Row],[Date]]&lt;=FTo),tblLog[[#This Row],[Date]],""))</f>
        <v>46286</v>
      </c>
      <c r="S11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2" s="28" t="s">
        <v>122</v>
      </c>
    </row>
    <row r="113" spans="2:20">
      <c r="B113" s="37">
        <v>46286</v>
      </c>
      <c r="C113" s="38">
        <v>0.6666666666666666</v>
      </c>
      <c r="D113" s="28" t="s">
        <v>101</v>
      </c>
      <c r="E113" s="28" t="s">
        <v>125</v>
      </c>
      <c r="F113" s="34">
        <v>2.9</v>
      </c>
      <c r="G113" s="39" t="str">
        <f>IF(tblLog[[#This Row],[Date]]="","",IFERROR(IF(INDEX(tblCCPs[Unit],MATCH(tblLog[[#This Row],[CCP]],tblCCPs[CCP],0))="","",INDEX(tblCCPs[Unit],MATCH(tblLog[[#This Row],[CCP]],tblCCPs[CCP],0))),""))</f>
        <v>°C</v>
      </c>
      <c r="H113" s="39" t="str">
        <f>IF(tblLog[[#This Row],[Date]]="","",IFERROR(IF(INDEX(tblCCPs[Limit type],MATCH(tblLog[[#This Row],[CCP]],tblCCPs[CCP],0))="","",INDEX(tblCCPs[Limit type],MATCH(tblLog[[#This Row],[CCP]],tblCCPs[CCP],0))),""))</f>
        <v>Maximum</v>
      </c>
      <c r="I113" s="40">
        <f>IF(tblLog[[#This Row],[Date]]="","",IFERROR(IF(INDEX(tblCCPs[Critical limit],MATCH(tblLog[[#This Row],[CCP]],tblCCPs[CCP],0))="","",INDEX(tblCCPs[Critical limit],MATCH(tblLog[[#This Row],[CCP]],tblCCPs[CCP],0))),""))</f>
        <v>5</v>
      </c>
      <c r="J113" s="40">
        <f>IF(tblLog[[#This Row],[Date]]="","",IFERROR(IF(INDEX(tblCCPs[Operating limit],MATCH(tblLog[[#This Row],[CCP]],tblCCPs[CCP],0))="","",INDEX(tblCCPs[Operating limit],MATCH(tblLog[[#This Row],[CCP]],tblCCPs[CCP],0))),""))</f>
        <v>4</v>
      </c>
      <c r="K11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3" s="28" t="s">
        <v>130</v>
      </c>
      <c r="M113" s="42" t="s">
        <v>122</v>
      </c>
      <c r="N113" s="35">
        <v>0</v>
      </c>
      <c r="O113" s="28" t="s">
        <v>123</v>
      </c>
      <c r="P113" s="43">
        <f>IF(tblLog[[#This Row],[Date]]="","",IF(N(tblLog[[#This Row],[Product held]])&gt;0,tblLog[[#This Row],[Product held]]*HoldValue+QACost,0))</f>
        <v>0</v>
      </c>
      <c r="Q113" s="43">
        <f>IF(tblLog[[#This Row],[Date]]="","",IF(tblLog[[#This Row],[CCP]]="","",COUNTIFS(tblLog[CCP],tblLog[[#This Row],[CCP]],tblLog[Date],"&lt;"&amp;tblLog[[#This Row],[Date]])+COUNTIFS(tblLog[CCP],tblLog[[#This Row],[CCP]],tblLog[Date],tblLog[[#This Row],[Date]],tblLog[Time],"&lt;="&amp;tblLog[[#This Row],[Time]])))</f>
        <v>12</v>
      </c>
      <c r="R113" s="44">
        <f>IF(tblLog[[#This Row],[Date]]="","",IF(AND(tblLog[[#This Row],[Date]]&gt;=FFrom,tblLog[[#This Row],[Date]]&lt;=FTo),tblLog[[#This Row],[Date]],""))</f>
        <v>46286</v>
      </c>
      <c r="S11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3" s="28" t="s">
        <v>122</v>
      </c>
    </row>
    <row r="114" spans="2:20">
      <c r="B114" s="37">
        <v>46286</v>
      </c>
      <c r="C114" s="38">
        <v>0.6979166666666666</v>
      </c>
      <c r="D114" s="28" t="s">
        <v>91</v>
      </c>
      <c r="E114" s="28" t="s">
        <v>168</v>
      </c>
      <c r="F114" s="34">
        <v>3.1</v>
      </c>
      <c r="G114" s="39" t="str">
        <f>IF(tblLog[[#This Row],[Date]]="","",IFERROR(IF(INDEX(tblCCPs[Unit],MATCH(tblLog[[#This Row],[CCP]],tblCCPs[CCP],0))="","",INDEX(tblCCPs[Unit],MATCH(tblLog[[#This Row],[CCP]],tblCCPs[CCP],0))),""))</f>
        <v>°C</v>
      </c>
      <c r="H114" s="39" t="str">
        <f>IF(tblLog[[#This Row],[Date]]="","",IFERROR(IF(INDEX(tblCCPs[Limit type],MATCH(tblLog[[#This Row],[CCP]],tblCCPs[CCP],0))="","",INDEX(tblCCPs[Limit type],MATCH(tblLog[[#This Row],[CCP]],tblCCPs[CCP],0))),""))</f>
        <v>Maximum</v>
      </c>
      <c r="I114" s="40">
        <f>IF(tblLog[[#This Row],[Date]]="","",IFERROR(IF(INDEX(tblCCPs[Critical limit],MATCH(tblLog[[#This Row],[CCP]],tblCCPs[CCP],0))="","",INDEX(tblCCPs[Critical limit],MATCH(tblLog[[#This Row],[CCP]],tblCCPs[CCP],0))),""))</f>
        <v>5</v>
      </c>
      <c r="J114" s="40">
        <f>IF(tblLog[[#This Row],[Date]]="","",IFERROR(IF(INDEX(tblCCPs[Operating limit],MATCH(tblLog[[#This Row],[CCP]],tblCCPs[CCP],0))="","",INDEX(tblCCPs[Operating limit],MATCH(tblLog[[#This Row],[CCP]],tblCCPs[CCP],0))),""))</f>
        <v>4</v>
      </c>
      <c r="K11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4" s="28" t="s">
        <v>130</v>
      </c>
      <c r="M114" s="42" t="s">
        <v>122</v>
      </c>
      <c r="N114" s="35">
        <v>0</v>
      </c>
      <c r="O114" s="28" t="s">
        <v>123</v>
      </c>
      <c r="P114" s="43">
        <f>IF(tblLog[[#This Row],[Date]]="","",IF(N(tblLog[[#This Row],[Product held]])&gt;0,tblLog[[#This Row],[Product held]]*HoldValue+QACost,0))</f>
        <v>0</v>
      </c>
      <c r="Q114" s="43">
        <f>IF(tblLog[[#This Row],[Date]]="","",IF(tblLog[[#This Row],[CCP]]="","",COUNTIFS(tblLog[CCP],tblLog[[#This Row],[CCP]],tblLog[Date],"&lt;"&amp;tblLog[[#This Row],[Date]])+COUNTIFS(tblLog[CCP],tblLog[[#This Row],[CCP]],tblLog[Date],tblLog[[#This Row],[Date]],tblLog[Time],"&lt;="&amp;tblLog[[#This Row],[Time]])))</f>
        <v>36</v>
      </c>
      <c r="R114" s="44">
        <f>IF(tblLog[[#This Row],[Date]]="","",IF(AND(tblLog[[#This Row],[Date]]&gt;=FFrom,tblLog[[#This Row],[Date]]&lt;=FTo),tblLog[[#This Row],[Date]],""))</f>
        <v>46286</v>
      </c>
      <c r="S11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4" s="28" t="s">
        <v>122</v>
      </c>
    </row>
    <row r="115" spans="2:20">
      <c r="B115" s="37">
        <v>46287</v>
      </c>
      <c r="C115" s="38">
        <v>0.2916666666666667</v>
      </c>
      <c r="D115" s="28" t="s">
        <v>96</v>
      </c>
      <c r="E115" s="28" t="s">
        <v>120</v>
      </c>
      <c r="F115" s="34">
        <v>3</v>
      </c>
      <c r="G115" s="39" t="str">
        <f>IF(tblLog[[#This Row],[Date]]="","",IFERROR(IF(INDEX(tblCCPs[Unit],MATCH(tblLog[[#This Row],[CCP]],tblCCPs[CCP],0))="","",INDEX(tblCCPs[Unit],MATCH(tblLog[[#This Row],[CCP]],tblCCPs[CCP],0))),""))</f>
        <v>of 3</v>
      </c>
      <c r="H115" s="39" t="str">
        <f>IF(tblLog[[#This Row],[Date]]="","",IFERROR(IF(INDEX(tblCCPs[Limit type],MATCH(tblLog[[#This Row],[CCP]],tblCCPs[CCP],0))="","",INDEX(tblCCPs[Limit type],MATCH(tblLog[[#This Row],[CCP]],tblCCPs[CCP],0))),""))</f>
        <v>Minimum</v>
      </c>
      <c r="I115" s="40">
        <f>IF(tblLog[[#This Row],[Date]]="","",IFERROR(IF(INDEX(tblCCPs[Critical limit],MATCH(tblLog[[#This Row],[CCP]],tblCCPs[CCP],0))="","",INDEX(tblCCPs[Critical limit],MATCH(tblLog[[#This Row],[CCP]],tblCCPs[CCP],0))),""))</f>
        <v>3</v>
      </c>
      <c r="J115" s="40">
        <f>IF(tblLog[[#This Row],[Date]]="","",IFERROR(IF(INDEX(tblCCPs[Operating limit],MATCH(tblLog[[#This Row],[CCP]],tblCCPs[CCP],0))="","",INDEX(tblCCPs[Operating limit],MATCH(tblLog[[#This Row],[CCP]],tblCCPs[CCP],0))),""))</f>
        <v/>
      </c>
      <c r="K11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5" s="28" t="s">
        <v>130</v>
      </c>
      <c r="M115" s="42" t="s">
        <v>122</v>
      </c>
      <c r="N115" s="35">
        <v>0</v>
      </c>
      <c r="O115" s="28" t="s">
        <v>123</v>
      </c>
      <c r="P115" s="43">
        <f>IF(tblLog[[#This Row],[Date]]="","",IF(N(tblLog[[#This Row],[Product held]])&gt;0,tblLog[[#This Row],[Product held]]*HoldValue+QACost,0))</f>
        <v>0</v>
      </c>
      <c r="Q115" s="43">
        <f>IF(tblLog[[#This Row],[Date]]="","",IF(tblLog[[#This Row],[CCP]]="","",COUNTIFS(tblLog[CCP],tblLog[[#This Row],[CCP]],tblLog[Date],"&lt;"&amp;tblLog[[#This Row],[Date]])+COUNTIFS(tblLog[CCP],tblLog[[#This Row],[CCP]],tblLog[Date],tblLog[[#This Row],[Date]],tblLog[Time],"&lt;="&amp;tblLog[[#This Row],[Time]])))</f>
        <v>25</v>
      </c>
      <c r="R115" s="44">
        <f>IF(tblLog[[#This Row],[Date]]="","",IF(AND(tblLog[[#This Row],[Date]]&gt;=FFrom,tblLog[[#This Row],[Date]]&lt;=FTo),tblLog[[#This Row],[Date]],""))</f>
        <v>46287</v>
      </c>
      <c r="S11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5" s="28" t="s">
        <v>122</v>
      </c>
    </row>
    <row r="116" spans="2:20">
      <c r="B116" s="37">
        <v>46287</v>
      </c>
      <c r="C116" s="38">
        <v>0.3125</v>
      </c>
      <c r="D116" s="28" t="s">
        <v>85</v>
      </c>
      <c r="E116" s="28" t="s">
        <v>169</v>
      </c>
      <c r="F116" s="34">
        <v>81.40000000000001</v>
      </c>
      <c r="G116" s="39" t="str">
        <f>IF(tblLog[[#This Row],[Date]]="","",IFERROR(IF(INDEX(tblCCPs[Unit],MATCH(tblLog[[#This Row],[CCP]],tblCCPs[CCP],0))="","",INDEX(tblCCPs[Unit],MATCH(tblLog[[#This Row],[CCP]],tblCCPs[CCP],0))),""))</f>
        <v>°C</v>
      </c>
      <c r="H116" s="39" t="str">
        <f>IF(tblLog[[#This Row],[Date]]="","",IFERROR(IF(INDEX(tblCCPs[Limit type],MATCH(tblLog[[#This Row],[CCP]],tblCCPs[CCP],0))="","",INDEX(tblCCPs[Limit type],MATCH(tblLog[[#This Row],[CCP]],tblCCPs[CCP],0))),""))</f>
        <v>Minimum</v>
      </c>
      <c r="I116" s="40">
        <f>IF(tblLog[[#This Row],[Date]]="","",IFERROR(IF(INDEX(tblCCPs[Critical limit],MATCH(tblLog[[#This Row],[CCP]],tblCCPs[CCP],0))="","",INDEX(tblCCPs[Critical limit],MATCH(tblLog[[#This Row],[CCP]],tblCCPs[CCP],0))),""))</f>
        <v>75</v>
      </c>
      <c r="J116" s="40">
        <f>IF(tblLog[[#This Row],[Date]]="","",IFERROR(IF(INDEX(tblCCPs[Operating limit],MATCH(tblLog[[#This Row],[CCP]],tblCCPs[CCP],0))="","",INDEX(tblCCPs[Operating limit],MATCH(tblLog[[#This Row],[CCP]],tblCCPs[CCP],0))),""))</f>
        <v>78</v>
      </c>
      <c r="K11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6" s="28" t="s">
        <v>130</v>
      </c>
      <c r="M116" s="42" t="s">
        <v>122</v>
      </c>
      <c r="N116" s="35">
        <v>0</v>
      </c>
      <c r="O116" s="28" t="s">
        <v>123</v>
      </c>
      <c r="P116" s="43">
        <f>IF(tblLog[[#This Row],[Date]]="","",IF(N(tblLog[[#This Row],[Product held]])&gt;0,tblLog[[#This Row],[Product held]]*HoldValue+QACost,0))</f>
        <v>0</v>
      </c>
      <c r="Q116" s="43">
        <f>IF(tblLog[[#This Row],[Date]]="","",IF(tblLog[[#This Row],[CCP]]="","",COUNTIFS(tblLog[CCP],tblLog[[#This Row],[CCP]],tblLog[Date],"&lt;"&amp;tblLog[[#This Row],[Date]])+COUNTIFS(tblLog[CCP],tblLog[[#This Row],[CCP]],tblLog[Date],tblLog[[#This Row],[Date]],tblLog[Time],"&lt;="&amp;tblLog[[#This Row],[Time]])))</f>
        <v>37</v>
      </c>
      <c r="R116" s="44">
        <f>IF(tblLog[[#This Row],[Date]]="","",IF(AND(tblLog[[#This Row],[Date]]&gt;=FFrom,tblLog[[#This Row],[Date]]&lt;=FTo),tblLog[[#This Row],[Date]],""))</f>
        <v>46287</v>
      </c>
      <c r="S11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6" s="28" t="s">
        <v>122</v>
      </c>
    </row>
    <row r="117" spans="2:20">
      <c r="B117" s="37">
        <v>46287</v>
      </c>
      <c r="C117" s="38">
        <v>0.3333333333333333</v>
      </c>
      <c r="D117" s="28" t="s">
        <v>101</v>
      </c>
      <c r="E117" s="28" t="s">
        <v>125</v>
      </c>
      <c r="F117" s="34">
        <v>3.2</v>
      </c>
      <c r="G117" s="39" t="str">
        <f>IF(tblLog[[#This Row],[Date]]="","",IFERROR(IF(INDEX(tblCCPs[Unit],MATCH(tblLog[[#This Row],[CCP]],tblCCPs[CCP],0))="","",INDEX(tblCCPs[Unit],MATCH(tblLog[[#This Row],[CCP]],tblCCPs[CCP],0))),""))</f>
        <v>°C</v>
      </c>
      <c r="H117" s="39" t="str">
        <f>IF(tblLog[[#This Row],[Date]]="","",IFERROR(IF(INDEX(tblCCPs[Limit type],MATCH(tblLog[[#This Row],[CCP]],tblCCPs[CCP],0))="","",INDEX(tblCCPs[Limit type],MATCH(tblLog[[#This Row],[CCP]],tblCCPs[CCP],0))),""))</f>
        <v>Maximum</v>
      </c>
      <c r="I117" s="40">
        <f>IF(tblLog[[#This Row],[Date]]="","",IFERROR(IF(INDEX(tblCCPs[Critical limit],MATCH(tblLog[[#This Row],[CCP]],tblCCPs[CCP],0))="","",INDEX(tblCCPs[Critical limit],MATCH(tblLog[[#This Row],[CCP]],tblCCPs[CCP],0))),""))</f>
        <v>5</v>
      </c>
      <c r="J117" s="40">
        <f>IF(tblLog[[#This Row],[Date]]="","",IFERROR(IF(INDEX(tblCCPs[Operating limit],MATCH(tblLog[[#This Row],[CCP]],tblCCPs[CCP],0))="","",INDEX(tblCCPs[Operating limit],MATCH(tblLog[[#This Row],[CCP]],tblCCPs[CCP],0))),""))</f>
        <v>4</v>
      </c>
      <c r="K11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7" s="28" t="s">
        <v>130</v>
      </c>
      <c r="M117" s="42" t="s">
        <v>122</v>
      </c>
      <c r="N117" s="35">
        <v>0</v>
      </c>
      <c r="O117" s="28" t="s">
        <v>123</v>
      </c>
      <c r="P117" s="43">
        <f>IF(tblLog[[#This Row],[Date]]="","",IF(N(tblLog[[#This Row],[Product held]])&gt;0,tblLog[[#This Row],[Product held]]*HoldValue+QACost,0))</f>
        <v>0</v>
      </c>
      <c r="Q117" s="43">
        <f>IF(tblLog[[#This Row],[Date]]="","",IF(tblLog[[#This Row],[CCP]]="","",COUNTIFS(tblLog[CCP],tblLog[[#This Row],[CCP]],tblLog[Date],"&lt;"&amp;tblLog[[#This Row],[Date]])+COUNTIFS(tblLog[CCP],tblLog[[#This Row],[CCP]],tblLog[Date],tblLog[[#This Row],[Date]],tblLog[Time],"&lt;="&amp;tblLog[[#This Row],[Time]])))</f>
        <v>13</v>
      </c>
      <c r="R117" s="44">
        <f>IF(tblLog[[#This Row],[Date]]="","",IF(AND(tblLog[[#This Row],[Date]]&gt;=FFrom,tblLog[[#This Row],[Date]]&lt;=FTo),tblLog[[#This Row],[Date]],""))</f>
        <v>46287</v>
      </c>
      <c r="S11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7" s="28" t="s">
        <v>122</v>
      </c>
    </row>
    <row r="118" spans="2:20">
      <c r="B118" s="37">
        <v>46287</v>
      </c>
      <c r="C118" s="38">
        <v>0.375</v>
      </c>
      <c r="D118" s="28" t="s">
        <v>85</v>
      </c>
      <c r="E118" s="28" t="s">
        <v>170</v>
      </c>
      <c r="F118" s="34">
        <v>83</v>
      </c>
      <c r="G118" s="39" t="str">
        <f>IF(tblLog[[#This Row],[Date]]="","",IFERROR(IF(INDEX(tblCCPs[Unit],MATCH(tblLog[[#This Row],[CCP]],tblCCPs[CCP],0))="","",INDEX(tblCCPs[Unit],MATCH(tblLog[[#This Row],[CCP]],tblCCPs[CCP],0))),""))</f>
        <v>°C</v>
      </c>
      <c r="H118" s="39" t="str">
        <f>IF(tblLog[[#This Row],[Date]]="","",IFERROR(IF(INDEX(tblCCPs[Limit type],MATCH(tblLog[[#This Row],[CCP]],tblCCPs[CCP],0))="","",INDEX(tblCCPs[Limit type],MATCH(tblLog[[#This Row],[CCP]],tblCCPs[CCP],0))),""))</f>
        <v>Minimum</v>
      </c>
      <c r="I118" s="40">
        <f>IF(tblLog[[#This Row],[Date]]="","",IFERROR(IF(INDEX(tblCCPs[Critical limit],MATCH(tblLog[[#This Row],[CCP]],tblCCPs[CCP],0))="","",INDEX(tblCCPs[Critical limit],MATCH(tblLog[[#This Row],[CCP]],tblCCPs[CCP],0))),""))</f>
        <v>75</v>
      </c>
      <c r="J118" s="40">
        <f>IF(tblLog[[#This Row],[Date]]="","",IFERROR(IF(INDEX(tblCCPs[Operating limit],MATCH(tblLog[[#This Row],[CCP]],tblCCPs[CCP],0))="","",INDEX(tblCCPs[Operating limit],MATCH(tblLog[[#This Row],[CCP]],tblCCPs[CCP],0))),""))</f>
        <v>78</v>
      </c>
      <c r="K11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8" s="28" t="s">
        <v>132</v>
      </c>
      <c r="M118" s="42" t="s">
        <v>122</v>
      </c>
      <c r="N118" s="35">
        <v>0</v>
      </c>
      <c r="O118" s="28" t="s">
        <v>123</v>
      </c>
      <c r="P118" s="43">
        <f>IF(tblLog[[#This Row],[Date]]="","",IF(N(tblLog[[#This Row],[Product held]])&gt;0,tblLog[[#This Row],[Product held]]*HoldValue+QACost,0))</f>
        <v>0</v>
      </c>
      <c r="Q118" s="43">
        <f>IF(tblLog[[#This Row],[Date]]="","",IF(tblLog[[#This Row],[CCP]]="","",COUNTIFS(tblLog[CCP],tblLog[[#This Row],[CCP]],tblLog[Date],"&lt;"&amp;tblLog[[#This Row],[Date]])+COUNTIFS(tblLog[CCP],tblLog[[#This Row],[CCP]],tblLog[Date],tblLog[[#This Row],[Date]],tblLog[Time],"&lt;="&amp;tblLog[[#This Row],[Time]])))</f>
        <v>38</v>
      </c>
      <c r="R118" s="44">
        <f>IF(tblLog[[#This Row],[Date]]="","",IF(AND(tblLog[[#This Row],[Date]]&gt;=FFrom,tblLog[[#This Row],[Date]]&lt;=FTo),tblLog[[#This Row],[Date]],""))</f>
        <v>46287</v>
      </c>
      <c r="S11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8" s="28" t="s">
        <v>122</v>
      </c>
    </row>
    <row r="119" spans="2:20">
      <c r="B119" s="37">
        <v>46287</v>
      </c>
      <c r="C119" s="38">
        <v>0.3854166666666667</v>
      </c>
      <c r="D119" s="28" t="s">
        <v>91</v>
      </c>
      <c r="E119" s="28" t="s">
        <v>169</v>
      </c>
      <c r="F119" s="34">
        <v>2.5</v>
      </c>
      <c r="G119" s="39" t="str">
        <f>IF(tblLog[[#This Row],[Date]]="","",IFERROR(IF(INDEX(tblCCPs[Unit],MATCH(tblLog[[#This Row],[CCP]],tblCCPs[CCP],0))="","",INDEX(tblCCPs[Unit],MATCH(tblLog[[#This Row],[CCP]],tblCCPs[CCP],0))),""))</f>
        <v>°C</v>
      </c>
      <c r="H119" s="39" t="str">
        <f>IF(tblLog[[#This Row],[Date]]="","",IFERROR(IF(INDEX(tblCCPs[Limit type],MATCH(tblLog[[#This Row],[CCP]],tblCCPs[CCP],0))="","",INDEX(tblCCPs[Limit type],MATCH(tblLog[[#This Row],[CCP]],tblCCPs[CCP],0))),""))</f>
        <v>Maximum</v>
      </c>
      <c r="I119" s="40">
        <f>IF(tblLog[[#This Row],[Date]]="","",IFERROR(IF(INDEX(tblCCPs[Critical limit],MATCH(tblLog[[#This Row],[CCP]],tblCCPs[CCP],0))="","",INDEX(tblCCPs[Critical limit],MATCH(tblLog[[#This Row],[CCP]],tblCCPs[CCP],0))),""))</f>
        <v>5</v>
      </c>
      <c r="J119" s="40">
        <f>IF(tblLog[[#This Row],[Date]]="","",IFERROR(IF(INDEX(tblCCPs[Operating limit],MATCH(tblLog[[#This Row],[CCP]],tblCCPs[CCP],0))="","",INDEX(tblCCPs[Operating limit],MATCH(tblLog[[#This Row],[CCP]],tblCCPs[CCP],0))),""))</f>
        <v>4</v>
      </c>
      <c r="K11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19" s="28" t="s">
        <v>130</v>
      </c>
      <c r="M119" s="42" t="s">
        <v>122</v>
      </c>
      <c r="N119" s="35">
        <v>0</v>
      </c>
      <c r="O119" s="28" t="s">
        <v>123</v>
      </c>
      <c r="P119" s="43">
        <f>IF(tblLog[[#This Row],[Date]]="","",IF(N(tblLog[[#This Row],[Product held]])&gt;0,tblLog[[#This Row],[Product held]]*HoldValue+QACost,0))</f>
        <v>0</v>
      </c>
      <c r="Q119" s="43">
        <f>IF(tblLog[[#This Row],[Date]]="","",IF(tblLog[[#This Row],[CCP]]="","",COUNTIFS(tblLog[CCP],tblLog[[#This Row],[CCP]],tblLog[Date],"&lt;"&amp;tblLog[[#This Row],[Date]])+COUNTIFS(tblLog[CCP],tblLog[[#This Row],[CCP]],tblLog[Date],tblLog[[#This Row],[Date]],tblLog[Time],"&lt;="&amp;tblLog[[#This Row],[Time]])))</f>
        <v>37</v>
      </c>
      <c r="R119" s="44">
        <f>IF(tblLog[[#This Row],[Date]]="","",IF(AND(tblLog[[#This Row],[Date]]&gt;=FFrom,tblLog[[#This Row],[Date]]&lt;=FTo),tblLog[[#This Row],[Date]],""))</f>
        <v>46287</v>
      </c>
      <c r="S11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19" s="28" t="s">
        <v>122</v>
      </c>
    </row>
    <row r="120" spans="2:20">
      <c r="B120" s="37">
        <v>46287</v>
      </c>
      <c r="C120" s="38">
        <v>0.4166666666666667</v>
      </c>
      <c r="D120" s="28" t="s">
        <v>96</v>
      </c>
      <c r="E120" s="28" t="s">
        <v>128</v>
      </c>
      <c r="F120" s="34">
        <v>3</v>
      </c>
      <c r="G120" s="39" t="str">
        <f>IF(tblLog[[#This Row],[Date]]="","",IFERROR(IF(INDEX(tblCCPs[Unit],MATCH(tblLog[[#This Row],[CCP]],tblCCPs[CCP],0))="","",INDEX(tblCCPs[Unit],MATCH(tblLog[[#This Row],[CCP]],tblCCPs[CCP],0))),""))</f>
        <v>of 3</v>
      </c>
      <c r="H120" s="39" t="str">
        <f>IF(tblLog[[#This Row],[Date]]="","",IFERROR(IF(INDEX(tblCCPs[Limit type],MATCH(tblLog[[#This Row],[CCP]],tblCCPs[CCP],0))="","",INDEX(tblCCPs[Limit type],MATCH(tblLog[[#This Row],[CCP]],tblCCPs[CCP],0))),""))</f>
        <v>Minimum</v>
      </c>
      <c r="I120" s="40">
        <f>IF(tblLog[[#This Row],[Date]]="","",IFERROR(IF(INDEX(tblCCPs[Critical limit],MATCH(tblLog[[#This Row],[CCP]],tblCCPs[CCP],0))="","",INDEX(tblCCPs[Critical limit],MATCH(tblLog[[#This Row],[CCP]],tblCCPs[CCP],0))),""))</f>
        <v>3</v>
      </c>
      <c r="J120" s="40">
        <f>IF(tblLog[[#This Row],[Date]]="","",IFERROR(IF(INDEX(tblCCPs[Operating limit],MATCH(tblLog[[#This Row],[CCP]],tblCCPs[CCP],0))="","",INDEX(tblCCPs[Operating limit],MATCH(tblLog[[#This Row],[CCP]],tblCCPs[CCP],0))),""))</f>
        <v/>
      </c>
      <c r="K12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0" s="28" t="s">
        <v>132</v>
      </c>
      <c r="M120" s="42" t="s">
        <v>122</v>
      </c>
      <c r="N120" s="35">
        <v>0</v>
      </c>
      <c r="O120" s="28" t="s">
        <v>123</v>
      </c>
      <c r="P120" s="43">
        <f>IF(tblLog[[#This Row],[Date]]="","",IF(N(tblLog[[#This Row],[Product held]])&gt;0,tblLog[[#This Row],[Product held]]*HoldValue+QACost,0))</f>
        <v>0</v>
      </c>
      <c r="Q120" s="43">
        <f>IF(tblLog[[#This Row],[Date]]="","",IF(tblLog[[#This Row],[CCP]]="","",COUNTIFS(tblLog[CCP],tblLog[[#This Row],[CCP]],tblLog[Date],"&lt;"&amp;tblLog[[#This Row],[Date]])+COUNTIFS(tblLog[CCP],tblLog[[#This Row],[CCP]],tblLog[Date],tblLog[[#This Row],[Date]],tblLog[Time],"&lt;="&amp;tblLog[[#This Row],[Time]])))</f>
        <v>26</v>
      </c>
      <c r="R120" s="44">
        <f>IF(tblLog[[#This Row],[Date]]="","",IF(AND(tblLog[[#This Row],[Date]]&gt;=FFrom,tblLog[[#This Row],[Date]]&lt;=FTo),tblLog[[#This Row],[Date]],""))</f>
        <v>46287</v>
      </c>
      <c r="S12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0" s="28" t="s">
        <v>122</v>
      </c>
    </row>
    <row r="121" spans="2:20">
      <c r="B121" s="37">
        <v>46287</v>
      </c>
      <c r="C121" s="38">
        <v>0.4375</v>
      </c>
      <c r="D121" s="28" t="s">
        <v>85</v>
      </c>
      <c r="E121" s="28" t="s">
        <v>171</v>
      </c>
      <c r="F121" s="34">
        <v>77.59999999999999</v>
      </c>
      <c r="G121" s="39" t="str">
        <f>IF(tblLog[[#This Row],[Date]]="","",IFERROR(IF(INDEX(tblCCPs[Unit],MATCH(tblLog[[#This Row],[CCP]],tblCCPs[CCP],0))="","",INDEX(tblCCPs[Unit],MATCH(tblLog[[#This Row],[CCP]],tblCCPs[CCP],0))),""))</f>
        <v>°C</v>
      </c>
      <c r="H121" s="39" t="str">
        <f>IF(tblLog[[#This Row],[Date]]="","",IFERROR(IF(INDEX(tblCCPs[Limit type],MATCH(tblLog[[#This Row],[CCP]],tblCCPs[CCP],0))="","",INDEX(tblCCPs[Limit type],MATCH(tblLog[[#This Row],[CCP]],tblCCPs[CCP],0))),""))</f>
        <v>Minimum</v>
      </c>
      <c r="I121" s="40">
        <f>IF(tblLog[[#This Row],[Date]]="","",IFERROR(IF(INDEX(tblCCPs[Critical limit],MATCH(tblLog[[#This Row],[CCP]],tblCCPs[CCP],0))="","",INDEX(tblCCPs[Critical limit],MATCH(tblLog[[#This Row],[CCP]],tblCCPs[CCP],0))),""))</f>
        <v>75</v>
      </c>
      <c r="J121" s="40">
        <f>IF(tblLog[[#This Row],[Date]]="","",IFERROR(IF(INDEX(tblCCPs[Operating limit],MATCH(tblLog[[#This Row],[CCP]],tblCCPs[CCP],0))="","",INDEX(tblCCPs[Operating limit],MATCH(tblLog[[#This Row],[CCP]],tblCCPs[CCP],0))),""))</f>
        <v>78</v>
      </c>
      <c r="K12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Check</v>
      </c>
      <c r="L121" s="28" t="s">
        <v>121</v>
      </c>
      <c r="M121" s="42" t="s">
        <v>122</v>
      </c>
      <c r="N121" s="35">
        <v>0</v>
      </c>
      <c r="O121" s="28" t="s">
        <v>123</v>
      </c>
      <c r="P121" s="43">
        <f>IF(tblLog[[#This Row],[Date]]="","",IF(N(tblLog[[#This Row],[Product held]])&gt;0,tblLog[[#This Row],[Product held]]*HoldValue+QACost,0))</f>
        <v>0</v>
      </c>
      <c r="Q121" s="43">
        <f>IF(tblLog[[#This Row],[Date]]="","",IF(tblLog[[#This Row],[CCP]]="","",COUNTIFS(tblLog[CCP],tblLog[[#This Row],[CCP]],tblLog[Date],"&lt;"&amp;tblLog[[#This Row],[Date]])+COUNTIFS(tblLog[CCP],tblLog[[#This Row],[CCP]],tblLog[Date],tblLog[[#This Row],[Date]],tblLog[Time],"&lt;="&amp;tblLog[[#This Row],[Time]])))</f>
        <v>39</v>
      </c>
      <c r="R121" s="44">
        <f>IF(tblLog[[#This Row],[Date]]="","",IF(AND(tblLog[[#This Row],[Date]]&gt;=FFrom,tblLog[[#This Row],[Date]]&lt;=FTo),tblLog[[#This Row],[Date]],""))</f>
        <v>46287</v>
      </c>
      <c r="S12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1" s="28" t="s">
        <v>122</v>
      </c>
    </row>
    <row r="122" spans="2:20">
      <c r="B122" s="37">
        <v>46287</v>
      </c>
      <c r="C122" s="38">
        <v>0.4479166666666667</v>
      </c>
      <c r="D122" s="28" t="s">
        <v>91</v>
      </c>
      <c r="E122" s="28" t="s">
        <v>170</v>
      </c>
      <c r="F122" s="34">
        <v>2.5</v>
      </c>
      <c r="G122" s="39" t="str">
        <f>IF(tblLog[[#This Row],[Date]]="","",IFERROR(IF(INDEX(tblCCPs[Unit],MATCH(tblLog[[#This Row],[CCP]],tblCCPs[CCP],0))="","",INDEX(tblCCPs[Unit],MATCH(tblLog[[#This Row],[CCP]],tblCCPs[CCP],0))),""))</f>
        <v>°C</v>
      </c>
      <c r="H122" s="39" t="str">
        <f>IF(tblLog[[#This Row],[Date]]="","",IFERROR(IF(INDEX(tblCCPs[Limit type],MATCH(tblLog[[#This Row],[CCP]],tblCCPs[CCP],0))="","",INDEX(tblCCPs[Limit type],MATCH(tblLog[[#This Row],[CCP]],tblCCPs[CCP],0))),""))</f>
        <v>Maximum</v>
      </c>
      <c r="I122" s="40">
        <f>IF(tblLog[[#This Row],[Date]]="","",IFERROR(IF(INDEX(tblCCPs[Critical limit],MATCH(tblLog[[#This Row],[CCP]],tblCCPs[CCP],0))="","",INDEX(tblCCPs[Critical limit],MATCH(tblLog[[#This Row],[CCP]],tblCCPs[CCP],0))),""))</f>
        <v>5</v>
      </c>
      <c r="J122" s="40">
        <f>IF(tblLog[[#This Row],[Date]]="","",IFERROR(IF(INDEX(tblCCPs[Operating limit],MATCH(tblLog[[#This Row],[CCP]],tblCCPs[CCP],0))="","",INDEX(tblCCPs[Operating limit],MATCH(tblLog[[#This Row],[CCP]],tblCCPs[CCP],0))),""))</f>
        <v>4</v>
      </c>
      <c r="K12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2" s="28" t="s">
        <v>132</v>
      </c>
      <c r="M122" s="42" t="s">
        <v>122</v>
      </c>
      <c r="N122" s="35">
        <v>0</v>
      </c>
      <c r="O122" s="28" t="s">
        <v>123</v>
      </c>
      <c r="P122" s="43">
        <f>IF(tblLog[[#This Row],[Date]]="","",IF(N(tblLog[[#This Row],[Product held]])&gt;0,tblLog[[#This Row],[Product held]]*HoldValue+QACost,0))</f>
        <v>0</v>
      </c>
      <c r="Q122" s="43">
        <f>IF(tblLog[[#This Row],[Date]]="","",IF(tblLog[[#This Row],[CCP]]="","",COUNTIFS(tblLog[CCP],tblLog[[#This Row],[CCP]],tblLog[Date],"&lt;"&amp;tblLog[[#This Row],[Date]])+COUNTIFS(tblLog[CCP],tblLog[[#This Row],[CCP]],tblLog[Date],tblLog[[#This Row],[Date]],tblLog[Time],"&lt;="&amp;tblLog[[#This Row],[Time]])))</f>
        <v>38</v>
      </c>
      <c r="R122" s="44">
        <f>IF(tblLog[[#This Row],[Date]]="","",IF(AND(tblLog[[#This Row],[Date]]&gt;=FFrom,tblLog[[#This Row],[Date]]&lt;=FTo),tblLog[[#This Row],[Date]],""))</f>
        <v>46287</v>
      </c>
      <c r="S12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2" s="28" t="s">
        <v>122</v>
      </c>
    </row>
    <row r="123" spans="2:20">
      <c r="B123" s="37">
        <v>46287</v>
      </c>
      <c r="C123" s="38">
        <v>0.5</v>
      </c>
      <c r="D123" s="28" t="s">
        <v>85</v>
      </c>
      <c r="E123" s="28" t="s">
        <v>172</v>
      </c>
      <c r="F123" s="34">
        <v>83.8</v>
      </c>
      <c r="G123" s="39" t="str">
        <f>IF(tblLog[[#This Row],[Date]]="","",IFERROR(IF(INDEX(tblCCPs[Unit],MATCH(tblLog[[#This Row],[CCP]],tblCCPs[CCP],0))="","",INDEX(tblCCPs[Unit],MATCH(tblLog[[#This Row],[CCP]],tblCCPs[CCP],0))),""))</f>
        <v>°C</v>
      </c>
      <c r="H123" s="39" t="str">
        <f>IF(tblLog[[#This Row],[Date]]="","",IFERROR(IF(INDEX(tblCCPs[Limit type],MATCH(tblLog[[#This Row],[CCP]],tblCCPs[CCP],0))="","",INDEX(tblCCPs[Limit type],MATCH(tblLog[[#This Row],[CCP]],tblCCPs[CCP],0))),""))</f>
        <v>Minimum</v>
      </c>
      <c r="I123" s="40">
        <f>IF(tblLog[[#This Row],[Date]]="","",IFERROR(IF(INDEX(tblCCPs[Critical limit],MATCH(tblLog[[#This Row],[CCP]],tblCCPs[CCP],0))="","",INDEX(tblCCPs[Critical limit],MATCH(tblLog[[#This Row],[CCP]],tblCCPs[CCP],0))),""))</f>
        <v>75</v>
      </c>
      <c r="J123" s="40">
        <f>IF(tblLog[[#This Row],[Date]]="","",IFERROR(IF(INDEX(tblCCPs[Operating limit],MATCH(tblLog[[#This Row],[CCP]],tblCCPs[CCP],0))="","",INDEX(tblCCPs[Operating limit],MATCH(tblLog[[#This Row],[CCP]],tblCCPs[CCP],0))),""))</f>
        <v>78</v>
      </c>
      <c r="K12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3" s="28" t="s">
        <v>127</v>
      </c>
      <c r="M123" s="42" t="s">
        <v>122</v>
      </c>
      <c r="N123" s="35">
        <v>0</v>
      </c>
      <c r="O123" s="28" t="s">
        <v>123</v>
      </c>
      <c r="P123" s="43">
        <f>IF(tblLog[[#This Row],[Date]]="","",IF(N(tblLog[[#This Row],[Product held]])&gt;0,tblLog[[#This Row],[Product held]]*HoldValue+QACost,0))</f>
        <v>0</v>
      </c>
      <c r="Q123" s="43">
        <f>IF(tblLog[[#This Row],[Date]]="","",IF(tblLog[[#This Row],[CCP]]="","",COUNTIFS(tblLog[CCP],tblLog[[#This Row],[CCP]],tblLog[Date],"&lt;"&amp;tblLog[[#This Row],[Date]])+COUNTIFS(tblLog[CCP],tblLog[[#This Row],[CCP]],tblLog[Date],tblLog[[#This Row],[Date]],tblLog[Time],"&lt;="&amp;tblLog[[#This Row],[Time]])))</f>
        <v>40</v>
      </c>
      <c r="R123" s="44">
        <f>IF(tblLog[[#This Row],[Date]]="","",IF(AND(tblLog[[#This Row],[Date]]&gt;=FFrom,tblLog[[#This Row],[Date]]&lt;=FTo),tblLog[[#This Row],[Date]],""))</f>
        <v>46287</v>
      </c>
      <c r="S12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3" s="28" t="s">
        <v>122</v>
      </c>
    </row>
    <row r="124" spans="2:20">
      <c r="B124" s="37">
        <v>46287</v>
      </c>
      <c r="C124" s="38">
        <v>0.5104166666666666</v>
      </c>
      <c r="D124" s="28" t="s">
        <v>91</v>
      </c>
      <c r="E124" s="28" t="s">
        <v>171</v>
      </c>
      <c r="F124" s="34">
        <v>7.8</v>
      </c>
      <c r="G124" s="39" t="str">
        <f>IF(tblLog[[#This Row],[Date]]="","",IFERROR(IF(INDEX(tblCCPs[Unit],MATCH(tblLog[[#This Row],[CCP]],tblCCPs[CCP],0))="","",INDEX(tblCCPs[Unit],MATCH(tblLog[[#This Row],[CCP]],tblCCPs[CCP],0))),""))</f>
        <v>°C</v>
      </c>
      <c r="H124" s="39" t="str">
        <f>IF(tblLog[[#This Row],[Date]]="","",IFERROR(IF(INDEX(tblCCPs[Limit type],MATCH(tblLog[[#This Row],[CCP]],tblCCPs[CCP],0))="","",INDEX(tblCCPs[Limit type],MATCH(tblLog[[#This Row],[CCP]],tblCCPs[CCP],0))),""))</f>
        <v>Maximum</v>
      </c>
      <c r="I124" s="40">
        <f>IF(tblLog[[#This Row],[Date]]="","",IFERROR(IF(INDEX(tblCCPs[Critical limit],MATCH(tblLog[[#This Row],[CCP]],tblCCPs[CCP],0))="","",INDEX(tblCCPs[Critical limit],MATCH(tblLog[[#This Row],[CCP]],tblCCPs[CCP],0))),""))</f>
        <v>5</v>
      </c>
      <c r="J124" s="40">
        <f>IF(tblLog[[#This Row],[Date]]="","",IFERROR(IF(INDEX(tblCCPs[Operating limit],MATCH(tblLog[[#This Row],[CCP]],tblCCPs[CCP],0))="","",INDEX(tblCCPs[Operating limit],MATCH(tblLog[[#This Row],[CCP]],tblCCPs[CCP],0))),""))</f>
        <v>4</v>
      </c>
      <c r="K12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Out of limits</v>
      </c>
      <c r="L124" s="28" t="s">
        <v>121</v>
      </c>
      <c r="M124" s="42" t="s">
        <v>173</v>
      </c>
      <c r="N124" s="35">
        <v>180</v>
      </c>
      <c r="O124" s="28" t="s">
        <v>123</v>
      </c>
      <c r="P124" s="43">
        <f>IF(tblLog[[#This Row],[Date]]="","",IF(N(tblLog[[#This Row],[Product held]])&gt;0,tblLog[[#This Row],[Product held]]*HoldValue+QACost,0))</f>
        <v>5690</v>
      </c>
      <c r="Q124" s="43">
        <f>IF(tblLog[[#This Row],[Date]]="","",IF(tblLog[[#This Row],[CCP]]="","",COUNTIFS(tblLog[CCP],tblLog[[#This Row],[CCP]],tblLog[Date],"&lt;"&amp;tblLog[[#This Row],[Date]])+COUNTIFS(tblLog[CCP],tblLog[[#This Row],[CCP]],tblLog[Date],tblLog[[#This Row],[Date]],tblLog[Time],"&lt;="&amp;tblLog[[#This Row],[Time]])))</f>
        <v>39</v>
      </c>
      <c r="R124" s="44">
        <f>IF(tblLog[[#This Row],[Date]]="","",IF(AND(tblLog[[#This Row],[Date]]&gt;=FFrom,tblLog[[#This Row],[Date]]&lt;=FTo),tblLog[[#This Row],[Date]],""))</f>
        <v>46287</v>
      </c>
      <c r="S12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4" s="28" t="s">
        <v>122</v>
      </c>
    </row>
    <row r="125" spans="2:20">
      <c r="B125" s="37">
        <v>46287</v>
      </c>
      <c r="C125" s="38">
        <v>0.5416666666666666</v>
      </c>
      <c r="D125" s="28" t="s">
        <v>96</v>
      </c>
      <c r="E125" s="28" t="s">
        <v>133</v>
      </c>
      <c r="F125" s="34">
        <v>3</v>
      </c>
      <c r="G125" s="39" t="str">
        <f>IF(tblLog[[#This Row],[Date]]="","",IFERROR(IF(INDEX(tblCCPs[Unit],MATCH(tblLog[[#This Row],[CCP]],tblCCPs[CCP],0))="","",INDEX(tblCCPs[Unit],MATCH(tblLog[[#This Row],[CCP]],tblCCPs[CCP],0))),""))</f>
        <v>of 3</v>
      </c>
      <c r="H125" s="39" t="str">
        <f>IF(tblLog[[#This Row],[Date]]="","",IFERROR(IF(INDEX(tblCCPs[Limit type],MATCH(tblLog[[#This Row],[CCP]],tblCCPs[CCP],0))="","",INDEX(tblCCPs[Limit type],MATCH(tblLog[[#This Row],[CCP]],tblCCPs[CCP],0))),""))</f>
        <v>Minimum</v>
      </c>
      <c r="I125" s="40">
        <f>IF(tblLog[[#This Row],[Date]]="","",IFERROR(IF(INDEX(tblCCPs[Critical limit],MATCH(tblLog[[#This Row],[CCP]],tblCCPs[CCP],0))="","",INDEX(tblCCPs[Critical limit],MATCH(tblLog[[#This Row],[CCP]],tblCCPs[CCP],0))),""))</f>
        <v>3</v>
      </c>
      <c r="J125" s="40">
        <f>IF(tblLog[[#This Row],[Date]]="","",IFERROR(IF(INDEX(tblCCPs[Operating limit],MATCH(tblLog[[#This Row],[CCP]],tblCCPs[CCP],0))="","",INDEX(tblCCPs[Operating limit],MATCH(tblLog[[#This Row],[CCP]],tblCCPs[CCP],0))),""))</f>
        <v/>
      </c>
      <c r="K12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5" s="28" t="s">
        <v>121</v>
      </c>
      <c r="M125" s="42" t="s">
        <v>122</v>
      </c>
      <c r="N125" s="35">
        <v>0</v>
      </c>
      <c r="O125" s="28" t="s">
        <v>123</v>
      </c>
      <c r="P125" s="43">
        <f>IF(tblLog[[#This Row],[Date]]="","",IF(N(tblLog[[#This Row],[Product held]])&gt;0,tblLog[[#This Row],[Product held]]*HoldValue+QACost,0))</f>
        <v>0</v>
      </c>
      <c r="Q125" s="43">
        <f>IF(tblLog[[#This Row],[Date]]="","",IF(tblLog[[#This Row],[CCP]]="","",COUNTIFS(tblLog[CCP],tblLog[[#This Row],[CCP]],tblLog[Date],"&lt;"&amp;tblLog[[#This Row],[Date]])+COUNTIFS(tblLog[CCP],tblLog[[#This Row],[CCP]],tblLog[Date],tblLog[[#This Row],[Date]],tblLog[Time],"&lt;="&amp;tblLog[[#This Row],[Time]])))</f>
        <v>27</v>
      </c>
      <c r="R125" s="44">
        <f>IF(tblLog[[#This Row],[Date]]="","",IF(AND(tblLog[[#This Row],[Date]]&gt;=FFrom,tblLog[[#This Row],[Date]]&lt;=FTo),tblLog[[#This Row],[Date]],""))</f>
        <v>46287</v>
      </c>
      <c r="S12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5" s="28" t="s">
        <v>122</v>
      </c>
    </row>
    <row r="126" spans="2:20">
      <c r="B126" s="37">
        <v>46287</v>
      </c>
      <c r="C126" s="38">
        <v>0.5625</v>
      </c>
      <c r="D126" s="28" t="s">
        <v>85</v>
      </c>
      <c r="E126" s="28" t="s">
        <v>174</v>
      </c>
      <c r="F126" s="34">
        <v>85.5</v>
      </c>
      <c r="G126" s="39" t="str">
        <f>IF(tblLog[[#This Row],[Date]]="","",IFERROR(IF(INDEX(tblCCPs[Unit],MATCH(tblLog[[#This Row],[CCP]],tblCCPs[CCP],0))="","",INDEX(tblCCPs[Unit],MATCH(tblLog[[#This Row],[CCP]],tblCCPs[CCP],0))),""))</f>
        <v>°C</v>
      </c>
      <c r="H126" s="39" t="str">
        <f>IF(tblLog[[#This Row],[Date]]="","",IFERROR(IF(INDEX(tblCCPs[Limit type],MATCH(tblLog[[#This Row],[CCP]],tblCCPs[CCP],0))="","",INDEX(tblCCPs[Limit type],MATCH(tblLog[[#This Row],[CCP]],tblCCPs[CCP],0))),""))</f>
        <v>Minimum</v>
      </c>
      <c r="I126" s="40">
        <f>IF(tblLog[[#This Row],[Date]]="","",IFERROR(IF(INDEX(tblCCPs[Critical limit],MATCH(tblLog[[#This Row],[CCP]],tblCCPs[CCP],0))="","",INDEX(tblCCPs[Critical limit],MATCH(tblLog[[#This Row],[CCP]],tblCCPs[CCP],0))),""))</f>
        <v>75</v>
      </c>
      <c r="J126" s="40">
        <f>IF(tblLog[[#This Row],[Date]]="","",IFERROR(IF(INDEX(tblCCPs[Operating limit],MATCH(tblLog[[#This Row],[CCP]],tblCCPs[CCP],0))="","",INDEX(tblCCPs[Operating limit],MATCH(tblLog[[#This Row],[CCP]],tblCCPs[CCP],0))),""))</f>
        <v>78</v>
      </c>
      <c r="K12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6" s="28" t="s">
        <v>130</v>
      </c>
      <c r="M126" s="42" t="s">
        <v>122</v>
      </c>
      <c r="N126" s="35">
        <v>0</v>
      </c>
      <c r="O126" s="28" t="s">
        <v>123</v>
      </c>
      <c r="P126" s="43">
        <f>IF(tblLog[[#This Row],[Date]]="","",IF(N(tblLog[[#This Row],[Product held]])&gt;0,tblLog[[#This Row],[Product held]]*HoldValue+QACost,0))</f>
        <v>0</v>
      </c>
      <c r="Q126" s="43">
        <f>IF(tblLog[[#This Row],[Date]]="","",IF(tblLog[[#This Row],[CCP]]="","",COUNTIFS(tblLog[CCP],tblLog[[#This Row],[CCP]],tblLog[Date],"&lt;"&amp;tblLog[[#This Row],[Date]])+COUNTIFS(tblLog[CCP],tblLog[[#This Row],[CCP]],tblLog[Date],tblLog[[#This Row],[Date]],tblLog[Time],"&lt;="&amp;tblLog[[#This Row],[Time]])))</f>
        <v>41</v>
      </c>
      <c r="R126" s="44">
        <f>IF(tblLog[[#This Row],[Date]]="","",IF(AND(tblLog[[#This Row],[Date]]&gt;=FFrom,tblLog[[#This Row],[Date]]&lt;=FTo),tblLog[[#This Row],[Date]],""))</f>
        <v>46287</v>
      </c>
      <c r="S12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6" s="28" t="s">
        <v>122</v>
      </c>
    </row>
    <row r="127" spans="2:20">
      <c r="B127" s="37">
        <v>46287</v>
      </c>
      <c r="C127" s="38">
        <v>0.5729166666666666</v>
      </c>
      <c r="D127" s="28" t="s">
        <v>91</v>
      </c>
      <c r="E127" s="28" t="s">
        <v>172</v>
      </c>
      <c r="F127" s="34">
        <v>6.9</v>
      </c>
      <c r="G127" s="39" t="str">
        <f>IF(tblLog[[#This Row],[Date]]="","",IFERROR(IF(INDEX(tblCCPs[Unit],MATCH(tblLog[[#This Row],[CCP]],tblCCPs[CCP],0))="","",INDEX(tblCCPs[Unit],MATCH(tblLog[[#This Row],[CCP]],tblCCPs[CCP],0))),""))</f>
        <v>°C</v>
      </c>
      <c r="H127" s="39" t="str">
        <f>IF(tblLog[[#This Row],[Date]]="","",IFERROR(IF(INDEX(tblCCPs[Limit type],MATCH(tblLog[[#This Row],[CCP]],tblCCPs[CCP],0))="","",INDEX(tblCCPs[Limit type],MATCH(tblLog[[#This Row],[CCP]],tblCCPs[CCP],0))),""))</f>
        <v>Maximum</v>
      </c>
      <c r="I127" s="40">
        <f>IF(tblLog[[#This Row],[Date]]="","",IFERROR(IF(INDEX(tblCCPs[Critical limit],MATCH(tblLog[[#This Row],[CCP]],tblCCPs[CCP],0))="","",INDEX(tblCCPs[Critical limit],MATCH(tblLog[[#This Row],[CCP]],tblCCPs[CCP],0))),""))</f>
        <v>5</v>
      </c>
      <c r="J127" s="40">
        <f>IF(tblLog[[#This Row],[Date]]="","",IFERROR(IF(INDEX(tblCCPs[Operating limit],MATCH(tblLog[[#This Row],[CCP]],tblCCPs[CCP],0))="","",INDEX(tblCCPs[Operating limit],MATCH(tblLog[[#This Row],[CCP]],tblCCPs[CCP],0))),""))</f>
        <v>4</v>
      </c>
      <c r="K12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Out of limits</v>
      </c>
      <c r="L127" s="28" t="s">
        <v>127</v>
      </c>
      <c r="M127" s="42" t="s">
        <v>173</v>
      </c>
      <c r="N127" s="35">
        <v>240</v>
      </c>
      <c r="O127" s="28" t="s">
        <v>122</v>
      </c>
      <c r="P127" s="43">
        <f>IF(tblLog[[#This Row],[Date]]="","",IF(N(tblLog[[#This Row],[Product held]])&gt;0,tblLog[[#This Row],[Product held]]*HoldValue+QACost,0))</f>
        <v>7370</v>
      </c>
      <c r="Q127" s="43">
        <f>IF(tblLog[[#This Row],[Date]]="","",IF(tblLog[[#This Row],[CCP]]="","",COUNTIFS(tblLog[CCP],tblLog[[#This Row],[CCP]],tblLog[Date],"&lt;"&amp;tblLog[[#This Row],[Date]])+COUNTIFS(tblLog[CCP],tblLog[[#This Row],[CCP]],tblLog[Date],tblLog[[#This Row],[Date]],tblLog[Time],"&lt;="&amp;tblLog[[#This Row],[Time]])))</f>
        <v>40</v>
      </c>
      <c r="R127" s="44">
        <f>IF(tblLog[[#This Row],[Date]]="","",IF(AND(tblLog[[#This Row],[Date]]&gt;=FFrom,tblLog[[#This Row],[Date]]&lt;=FTo),tblLog[[#This Row],[Date]],""))</f>
        <v>46287</v>
      </c>
      <c r="S12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Deviation not verified</v>
      </c>
      <c r="T127" s="28" t="s">
        <v>175</v>
      </c>
    </row>
    <row r="128" spans="2:20">
      <c r="B128" s="37">
        <v>46287</v>
      </c>
      <c r="C128" s="38">
        <v>0.625</v>
      </c>
      <c r="D128" s="28" t="s">
        <v>85</v>
      </c>
      <c r="E128" s="28" t="s">
        <v>176</v>
      </c>
      <c r="F128" s="34">
        <v>78.59999999999999</v>
      </c>
      <c r="G128" s="39" t="str">
        <f>IF(tblLog[[#This Row],[Date]]="","",IFERROR(IF(INDEX(tblCCPs[Unit],MATCH(tblLog[[#This Row],[CCP]],tblCCPs[CCP],0))="","",INDEX(tblCCPs[Unit],MATCH(tblLog[[#This Row],[CCP]],tblCCPs[CCP],0))),""))</f>
        <v>°C</v>
      </c>
      <c r="H128" s="39" t="str">
        <f>IF(tblLog[[#This Row],[Date]]="","",IFERROR(IF(INDEX(tblCCPs[Limit type],MATCH(tblLog[[#This Row],[CCP]],tblCCPs[CCP],0))="","",INDEX(tblCCPs[Limit type],MATCH(tblLog[[#This Row],[CCP]],tblCCPs[CCP],0))),""))</f>
        <v>Minimum</v>
      </c>
      <c r="I128" s="40">
        <f>IF(tblLog[[#This Row],[Date]]="","",IFERROR(IF(INDEX(tblCCPs[Critical limit],MATCH(tblLog[[#This Row],[CCP]],tblCCPs[CCP],0))="","",INDEX(tblCCPs[Critical limit],MATCH(tblLog[[#This Row],[CCP]],tblCCPs[CCP],0))),""))</f>
        <v>75</v>
      </c>
      <c r="J128" s="40">
        <f>IF(tblLog[[#This Row],[Date]]="","",IFERROR(IF(INDEX(tblCCPs[Operating limit],MATCH(tblLog[[#This Row],[CCP]],tblCCPs[CCP],0))="","",INDEX(tblCCPs[Operating limit],MATCH(tblLog[[#This Row],[CCP]],tblCCPs[CCP],0))),""))</f>
        <v>78</v>
      </c>
      <c r="K12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8" s="28" t="s">
        <v>132</v>
      </c>
      <c r="M128" s="42" t="s">
        <v>122</v>
      </c>
      <c r="N128" s="35">
        <v>0</v>
      </c>
      <c r="O128" s="28" t="s">
        <v>123</v>
      </c>
      <c r="P128" s="43">
        <f>IF(tblLog[[#This Row],[Date]]="","",IF(N(tblLog[[#This Row],[Product held]])&gt;0,tblLog[[#This Row],[Product held]]*HoldValue+QACost,0))</f>
        <v>0</v>
      </c>
      <c r="Q128" s="43">
        <f>IF(tblLog[[#This Row],[Date]]="","",IF(tblLog[[#This Row],[CCP]]="","",COUNTIFS(tblLog[CCP],tblLog[[#This Row],[CCP]],tblLog[Date],"&lt;"&amp;tblLog[[#This Row],[Date]])+COUNTIFS(tblLog[CCP],tblLog[[#This Row],[CCP]],tblLog[Date],tblLog[[#This Row],[Date]],tblLog[Time],"&lt;="&amp;tblLog[[#This Row],[Time]])))</f>
        <v>42</v>
      </c>
      <c r="R128" s="44">
        <f>IF(tblLog[[#This Row],[Date]]="","",IF(AND(tblLog[[#This Row],[Date]]&gt;=FFrom,tblLog[[#This Row],[Date]]&lt;=FTo),tblLog[[#This Row],[Date]],""))</f>
        <v>46287</v>
      </c>
      <c r="S12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8" s="28" t="s">
        <v>122</v>
      </c>
    </row>
    <row r="129" spans="2:20">
      <c r="B129" s="37">
        <v>46287</v>
      </c>
      <c r="C129" s="38">
        <v>0.6354166666666666</v>
      </c>
      <c r="D129" s="28" t="s">
        <v>91</v>
      </c>
      <c r="E129" s="28" t="s">
        <v>174</v>
      </c>
      <c r="F129" s="34">
        <v>3.8</v>
      </c>
      <c r="G129" s="39" t="str">
        <f>IF(tblLog[[#This Row],[Date]]="","",IFERROR(IF(INDEX(tblCCPs[Unit],MATCH(tblLog[[#This Row],[CCP]],tblCCPs[CCP],0))="","",INDEX(tblCCPs[Unit],MATCH(tblLog[[#This Row],[CCP]],tblCCPs[CCP],0))),""))</f>
        <v>°C</v>
      </c>
      <c r="H129" s="39" t="str">
        <f>IF(tblLog[[#This Row],[Date]]="","",IFERROR(IF(INDEX(tblCCPs[Limit type],MATCH(tblLog[[#This Row],[CCP]],tblCCPs[CCP],0))="","",INDEX(tblCCPs[Limit type],MATCH(tblLog[[#This Row],[CCP]],tblCCPs[CCP],0))),""))</f>
        <v>Maximum</v>
      </c>
      <c r="I129" s="40">
        <f>IF(tblLog[[#This Row],[Date]]="","",IFERROR(IF(INDEX(tblCCPs[Critical limit],MATCH(tblLog[[#This Row],[CCP]],tblCCPs[CCP],0))="","",INDEX(tblCCPs[Critical limit],MATCH(tblLog[[#This Row],[CCP]],tblCCPs[CCP],0))),""))</f>
        <v>5</v>
      </c>
      <c r="J129" s="40">
        <f>IF(tblLog[[#This Row],[Date]]="","",IFERROR(IF(INDEX(tblCCPs[Operating limit],MATCH(tblLog[[#This Row],[CCP]],tblCCPs[CCP],0))="","",INDEX(tblCCPs[Operating limit],MATCH(tblLog[[#This Row],[CCP]],tblCCPs[CCP],0))),""))</f>
        <v>4</v>
      </c>
      <c r="K12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29" s="28" t="s">
        <v>130</v>
      </c>
      <c r="M129" s="42" t="s">
        <v>122</v>
      </c>
      <c r="N129" s="35">
        <v>0</v>
      </c>
      <c r="O129" s="28" t="s">
        <v>123</v>
      </c>
      <c r="P129" s="43">
        <f>IF(tblLog[[#This Row],[Date]]="","",IF(N(tblLog[[#This Row],[Product held]])&gt;0,tblLog[[#This Row],[Product held]]*HoldValue+QACost,0))</f>
        <v>0</v>
      </c>
      <c r="Q129" s="43">
        <f>IF(tblLog[[#This Row],[Date]]="","",IF(tblLog[[#This Row],[CCP]]="","",COUNTIFS(tblLog[CCP],tblLog[[#This Row],[CCP]],tblLog[Date],"&lt;"&amp;tblLog[[#This Row],[Date]])+COUNTIFS(tblLog[CCP],tblLog[[#This Row],[CCP]],tblLog[Date],tblLog[[#This Row],[Date]],tblLog[Time],"&lt;="&amp;tblLog[[#This Row],[Time]])))</f>
        <v>41</v>
      </c>
      <c r="R129" s="44">
        <f>IF(tblLog[[#This Row],[Date]]="","",IF(AND(tblLog[[#This Row],[Date]]&gt;=FFrom,tblLog[[#This Row],[Date]]&lt;=FTo),tblLog[[#This Row],[Date]],""))</f>
        <v>46287</v>
      </c>
      <c r="S12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29" s="28" t="s">
        <v>122</v>
      </c>
    </row>
    <row r="130" spans="2:20">
      <c r="B130" s="37">
        <v>46287</v>
      </c>
      <c r="C130" s="38">
        <v>0.6458333333333334</v>
      </c>
      <c r="D130" s="28" t="s">
        <v>96</v>
      </c>
      <c r="E130" s="28" t="s">
        <v>136</v>
      </c>
      <c r="F130" s="34">
        <v>3</v>
      </c>
      <c r="G130" s="39" t="str">
        <f>IF(tblLog[[#This Row],[Date]]="","",IFERROR(IF(INDEX(tblCCPs[Unit],MATCH(tblLog[[#This Row],[CCP]],tblCCPs[CCP],0))="","",INDEX(tblCCPs[Unit],MATCH(tblLog[[#This Row],[CCP]],tblCCPs[CCP],0))),""))</f>
        <v>of 3</v>
      </c>
      <c r="H130" s="39" t="str">
        <f>IF(tblLog[[#This Row],[Date]]="","",IFERROR(IF(INDEX(tblCCPs[Limit type],MATCH(tblLog[[#This Row],[CCP]],tblCCPs[CCP],0))="","",INDEX(tblCCPs[Limit type],MATCH(tblLog[[#This Row],[CCP]],tblCCPs[CCP],0))),""))</f>
        <v>Minimum</v>
      </c>
      <c r="I130" s="40">
        <f>IF(tblLog[[#This Row],[Date]]="","",IFERROR(IF(INDEX(tblCCPs[Critical limit],MATCH(tblLog[[#This Row],[CCP]],tblCCPs[CCP],0))="","",INDEX(tblCCPs[Critical limit],MATCH(tblLog[[#This Row],[CCP]],tblCCPs[CCP],0))),""))</f>
        <v>3</v>
      </c>
      <c r="J130" s="40">
        <f>IF(tblLog[[#This Row],[Date]]="","",IFERROR(IF(INDEX(tblCCPs[Operating limit],MATCH(tblLog[[#This Row],[CCP]],tblCCPs[CCP],0))="","",INDEX(tblCCPs[Operating limit],MATCH(tblLog[[#This Row],[CCP]],tblCCPs[CCP],0))),""))</f>
        <v/>
      </c>
      <c r="K13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0" s="28" t="s">
        <v>127</v>
      </c>
      <c r="M130" s="42" t="s">
        <v>122</v>
      </c>
      <c r="N130" s="35">
        <v>0</v>
      </c>
      <c r="O130" s="28" t="s">
        <v>123</v>
      </c>
      <c r="P130" s="43">
        <f>IF(tblLog[[#This Row],[Date]]="","",IF(N(tblLog[[#This Row],[Product held]])&gt;0,tblLog[[#This Row],[Product held]]*HoldValue+QACost,0))</f>
        <v>0</v>
      </c>
      <c r="Q130" s="43">
        <f>IF(tblLog[[#This Row],[Date]]="","",IF(tblLog[[#This Row],[CCP]]="","",COUNTIFS(tblLog[CCP],tblLog[[#This Row],[CCP]],tblLog[Date],"&lt;"&amp;tblLog[[#This Row],[Date]])+COUNTIFS(tblLog[CCP],tblLog[[#This Row],[CCP]],tblLog[Date],tblLog[[#This Row],[Date]],tblLog[Time],"&lt;="&amp;tblLog[[#This Row],[Time]])))</f>
        <v>28</v>
      </c>
      <c r="R130" s="44">
        <f>IF(tblLog[[#This Row],[Date]]="","",IF(AND(tblLog[[#This Row],[Date]]&gt;=FFrom,tblLog[[#This Row],[Date]]&lt;=FTo),tblLog[[#This Row],[Date]],""))</f>
        <v>46287</v>
      </c>
      <c r="S13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0" s="28" t="s">
        <v>122</v>
      </c>
    </row>
    <row r="131" spans="2:20">
      <c r="B131" s="37">
        <v>46287</v>
      </c>
      <c r="C131" s="38">
        <v>0.6666666666666666</v>
      </c>
      <c r="D131" s="28" t="s">
        <v>101</v>
      </c>
      <c r="E131" s="28" t="s">
        <v>125</v>
      </c>
      <c r="F131" s="34">
        <v>3</v>
      </c>
      <c r="G131" s="39" t="str">
        <f>IF(tblLog[[#This Row],[Date]]="","",IFERROR(IF(INDEX(tblCCPs[Unit],MATCH(tblLog[[#This Row],[CCP]],tblCCPs[CCP],0))="","",INDEX(tblCCPs[Unit],MATCH(tblLog[[#This Row],[CCP]],tblCCPs[CCP],0))),""))</f>
        <v>°C</v>
      </c>
      <c r="H131" s="39" t="str">
        <f>IF(tblLog[[#This Row],[Date]]="","",IFERROR(IF(INDEX(tblCCPs[Limit type],MATCH(tblLog[[#This Row],[CCP]],tblCCPs[CCP],0))="","",INDEX(tblCCPs[Limit type],MATCH(tblLog[[#This Row],[CCP]],tblCCPs[CCP],0))),""))</f>
        <v>Maximum</v>
      </c>
      <c r="I131" s="40">
        <f>IF(tblLog[[#This Row],[Date]]="","",IFERROR(IF(INDEX(tblCCPs[Critical limit],MATCH(tblLog[[#This Row],[CCP]],tblCCPs[CCP],0))="","",INDEX(tblCCPs[Critical limit],MATCH(tblLog[[#This Row],[CCP]],tblCCPs[CCP],0))),""))</f>
        <v>5</v>
      </c>
      <c r="J131" s="40">
        <f>IF(tblLog[[#This Row],[Date]]="","",IFERROR(IF(INDEX(tblCCPs[Operating limit],MATCH(tblLog[[#This Row],[CCP]],tblCCPs[CCP],0))="","",INDEX(tblCCPs[Operating limit],MATCH(tblLog[[#This Row],[CCP]],tblCCPs[CCP],0))),""))</f>
        <v>4</v>
      </c>
      <c r="K13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1" s="28" t="s">
        <v>132</v>
      </c>
      <c r="M131" s="42" t="s">
        <v>122</v>
      </c>
      <c r="N131" s="35">
        <v>0</v>
      </c>
      <c r="O131" s="28" t="s">
        <v>123</v>
      </c>
      <c r="P131" s="43">
        <f>IF(tblLog[[#This Row],[Date]]="","",IF(N(tblLog[[#This Row],[Product held]])&gt;0,tblLog[[#This Row],[Product held]]*HoldValue+QACost,0))</f>
        <v>0</v>
      </c>
      <c r="Q131" s="43">
        <f>IF(tblLog[[#This Row],[Date]]="","",IF(tblLog[[#This Row],[CCP]]="","",COUNTIFS(tblLog[CCP],tblLog[[#This Row],[CCP]],tblLog[Date],"&lt;"&amp;tblLog[[#This Row],[Date]])+COUNTIFS(tblLog[CCP],tblLog[[#This Row],[CCP]],tblLog[Date],tblLog[[#This Row],[Date]],tblLog[Time],"&lt;="&amp;tblLog[[#This Row],[Time]])))</f>
        <v>14</v>
      </c>
      <c r="R131" s="44">
        <f>IF(tblLog[[#This Row],[Date]]="","",IF(AND(tblLog[[#This Row],[Date]]&gt;=FFrom,tblLog[[#This Row],[Date]]&lt;=FTo),tblLog[[#This Row],[Date]],""))</f>
        <v>46287</v>
      </c>
      <c r="S13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1" s="28" t="s">
        <v>122</v>
      </c>
    </row>
    <row r="132" spans="2:20">
      <c r="B132" s="37">
        <v>46287</v>
      </c>
      <c r="C132" s="38">
        <v>0.6979166666666666</v>
      </c>
      <c r="D132" s="28" t="s">
        <v>91</v>
      </c>
      <c r="E132" s="28" t="s">
        <v>176</v>
      </c>
      <c r="F132" s="34">
        <v>3.9</v>
      </c>
      <c r="G132" s="39" t="str">
        <f>IF(tblLog[[#This Row],[Date]]="","",IFERROR(IF(INDEX(tblCCPs[Unit],MATCH(tblLog[[#This Row],[CCP]],tblCCPs[CCP],0))="","",INDEX(tblCCPs[Unit],MATCH(tblLog[[#This Row],[CCP]],tblCCPs[CCP],0))),""))</f>
        <v>°C</v>
      </c>
      <c r="H132" s="39" t="str">
        <f>IF(tblLog[[#This Row],[Date]]="","",IFERROR(IF(INDEX(tblCCPs[Limit type],MATCH(tblLog[[#This Row],[CCP]],tblCCPs[CCP],0))="","",INDEX(tblCCPs[Limit type],MATCH(tblLog[[#This Row],[CCP]],tblCCPs[CCP],0))),""))</f>
        <v>Maximum</v>
      </c>
      <c r="I132" s="40">
        <f>IF(tblLog[[#This Row],[Date]]="","",IFERROR(IF(INDEX(tblCCPs[Critical limit],MATCH(tblLog[[#This Row],[CCP]],tblCCPs[CCP],0))="","",INDEX(tblCCPs[Critical limit],MATCH(tblLog[[#This Row],[CCP]],tblCCPs[CCP],0))),""))</f>
        <v>5</v>
      </c>
      <c r="J132" s="40">
        <f>IF(tblLog[[#This Row],[Date]]="","",IFERROR(IF(INDEX(tblCCPs[Operating limit],MATCH(tblLog[[#This Row],[CCP]],tblCCPs[CCP],0))="","",INDEX(tblCCPs[Operating limit],MATCH(tblLog[[#This Row],[CCP]],tblCCPs[CCP],0))),""))</f>
        <v>4</v>
      </c>
      <c r="K13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2" s="28" t="s">
        <v>132</v>
      </c>
      <c r="M132" s="42" t="s">
        <v>122</v>
      </c>
      <c r="N132" s="35">
        <v>0</v>
      </c>
      <c r="O132" s="28" t="s">
        <v>123</v>
      </c>
      <c r="P132" s="43">
        <f>IF(tblLog[[#This Row],[Date]]="","",IF(N(tblLog[[#This Row],[Product held]])&gt;0,tblLog[[#This Row],[Product held]]*HoldValue+QACost,0))</f>
        <v>0</v>
      </c>
      <c r="Q132" s="43">
        <f>IF(tblLog[[#This Row],[Date]]="","",IF(tblLog[[#This Row],[CCP]]="","",COUNTIFS(tblLog[CCP],tblLog[[#This Row],[CCP]],tblLog[Date],"&lt;"&amp;tblLog[[#This Row],[Date]])+COUNTIFS(tblLog[CCP],tblLog[[#This Row],[CCP]],tblLog[Date],tblLog[[#This Row],[Date]],tblLog[Time],"&lt;="&amp;tblLog[[#This Row],[Time]])))</f>
        <v>42</v>
      </c>
      <c r="R132" s="44">
        <f>IF(tblLog[[#This Row],[Date]]="","",IF(AND(tblLog[[#This Row],[Date]]&gt;=FFrom,tblLog[[#This Row],[Date]]&lt;=FTo),tblLog[[#This Row],[Date]],""))</f>
        <v>46287</v>
      </c>
      <c r="S13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2" s="28" t="s">
        <v>122</v>
      </c>
    </row>
    <row r="133" spans="2:20">
      <c r="B133" s="37">
        <v>46288</v>
      </c>
      <c r="C133" s="38">
        <v>0.2916666666666667</v>
      </c>
      <c r="D133" s="28" t="s">
        <v>96</v>
      </c>
      <c r="E133" s="28" t="s">
        <v>120</v>
      </c>
      <c r="F133" s="34">
        <v>3</v>
      </c>
      <c r="G133" s="39" t="str">
        <f>IF(tblLog[[#This Row],[Date]]="","",IFERROR(IF(INDEX(tblCCPs[Unit],MATCH(tblLog[[#This Row],[CCP]],tblCCPs[CCP],0))="","",INDEX(tblCCPs[Unit],MATCH(tblLog[[#This Row],[CCP]],tblCCPs[CCP],0))),""))</f>
        <v>of 3</v>
      </c>
      <c r="H133" s="39" t="str">
        <f>IF(tblLog[[#This Row],[Date]]="","",IFERROR(IF(INDEX(tblCCPs[Limit type],MATCH(tblLog[[#This Row],[CCP]],tblCCPs[CCP],0))="","",INDEX(tblCCPs[Limit type],MATCH(tblLog[[#This Row],[CCP]],tblCCPs[CCP],0))),""))</f>
        <v>Minimum</v>
      </c>
      <c r="I133" s="40">
        <f>IF(tblLog[[#This Row],[Date]]="","",IFERROR(IF(INDEX(tblCCPs[Critical limit],MATCH(tblLog[[#This Row],[CCP]],tblCCPs[CCP],0))="","",INDEX(tblCCPs[Critical limit],MATCH(tblLog[[#This Row],[CCP]],tblCCPs[CCP],0))),""))</f>
        <v>3</v>
      </c>
      <c r="J133" s="40">
        <f>IF(tblLog[[#This Row],[Date]]="","",IFERROR(IF(INDEX(tblCCPs[Operating limit],MATCH(tblLog[[#This Row],[CCP]],tblCCPs[CCP],0))="","",INDEX(tblCCPs[Operating limit],MATCH(tblLog[[#This Row],[CCP]],tblCCPs[CCP],0))),""))</f>
        <v/>
      </c>
      <c r="K13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3" s="28" t="s">
        <v>132</v>
      </c>
      <c r="M133" s="42" t="s">
        <v>122</v>
      </c>
      <c r="N133" s="35">
        <v>0</v>
      </c>
      <c r="O133" s="28" t="s">
        <v>123</v>
      </c>
      <c r="P133" s="43">
        <f>IF(tblLog[[#This Row],[Date]]="","",IF(N(tblLog[[#This Row],[Product held]])&gt;0,tblLog[[#This Row],[Product held]]*HoldValue+QACost,0))</f>
        <v>0</v>
      </c>
      <c r="Q133" s="43">
        <f>IF(tblLog[[#This Row],[Date]]="","",IF(tblLog[[#This Row],[CCP]]="","",COUNTIFS(tblLog[CCP],tblLog[[#This Row],[CCP]],tblLog[Date],"&lt;"&amp;tblLog[[#This Row],[Date]])+COUNTIFS(tblLog[CCP],tblLog[[#This Row],[CCP]],tblLog[Date],tblLog[[#This Row],[Date]],tblLog[Time],"&lt;="&amp;tblLog[[#This Row],[Time]])))</f>
        <v>29</v>
      </c>
      <c r="R133" s="44">
        <f>IF(tblLog[[#This Row],[Date]]="","",IF(AND(tblLog[[#This Row],[Date]]&gt;=FFrom,tblLog[[#This Row],[Date]]&lt;=FTo),tblLog[[#This Row],[Date]],""))</f>
        <v>46288</v>
      </c>
      <c r="S13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3" s="28" t="s">
        <v>122</v>
      </c>
    </row>
    <row r="134" spans="2:20">
      <c r="B134" s="37">
        <v>46288</v>
      </c>
      <c r="C134" s="38">
        <v>0.3125</v>
      </c>
      <c r="D134" s="28" t="s">
        <v>85</v>
      </c>
      <c r="E134" s="28" t="s">
        <v>177</v>
      </c>
      <c r="F134" s="34">
        <v>81.59999999999999</v>
      </c>
      <c r="G134" s="39" t="str">
        <f>IF(tblLog[[#This Row],[Date]]="","",IFERROR(IF(INDEX(tblCCPs[Unit],MATCH(tblLog[[#This Row],[CCP]],tblCCPs[CCP],0))="","",INDEX(tblCCPs[Unit],MATCH(tblLog[[#This Row],[CCP]],tblCCPs[CCP],0))),""))</f>
        <v>°C</v>
      </c>
      <c r="H134" s="39" t="str">
        <f>IF(tblLog[[#This Row],[Date]]="","",IFERROR(IF(INDEX(tblCCPs[Limit type],MATCH(tblLog[[#This Row],[CCP]],tblCCPs[CCP],0))="","",INDEX(tblCCPs[Limit type],MATCH(tblLog[[#This Row],[CCP]],tblCCPs[CCP],0))),""))</f>
        <v>Minimum</v>
      </c>
      <c r="I134" s="40">
        <f>IF(tblLog[[#This Row],[Date]]="","",IFERROR(IF(INDEX(tblCCPs[Critical limit],MATCH(tblLog[[#This Row],[CCP]],tblCCPs[CCP],0))="","",INDEX(tblCCPs[Critical limit],MATCH(tblLog[[#This Row],[CCP]],tblCCPs[CCP],0))),""))</f>
        <v>75</v>
      </c>
      <c r="J134" s="40">
        <f>IF(tblLog[[#This Row],[Date]]="","",IFERROR(IF(INDEX(tblCCPs[Operating limit],MATCH(tblLog[[#This Row],[CCP]],tblCCPs[CCP],0))="","",INDEX(tblCCPs[Operating limit],MATCH(tblLog[[#This Row],[CCP]],tblCCPs[CCP],0))),""))</f>
        <v>78</v>
      </c>
      <c r="K13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4" s="28" t="s">
        <v>132</v>
      </c>
      <c r="M134" s="42" t="s">
        <v>122</v>
      </c>
      <c r="N134" s="35">
        <v>0</v>
      </c>
      <c r="O134" s="28" t="s">
        <v>123</v>
      </c>
      <c r="P134" s="43">
        <f>IF(tblLog[[#This Row],[Date]]="","",IF(N(tblLog[[#This Row],[Product held]])&gt;0,tblLog[[#This Row],[Product held]]*HoldValue+QACost,0))</f>
        <v>0</v>
      </c>
      <c r="Q134" s="43">
        <f>IF(tblLog[[#This Row],[Date]]="","",IF(tblLog[[#This Row],[CCP]]="","",COUNTIFS(tblLog[CCP],tblLog[[#This Row],[CCP]],tblLog[Date],"&lt;"&amp;tblLog[[#This Row],[Date]])+COUNTIFS(tblLog[CCP],tblLog[[#This Row],[CCP]],tblLog[Date],tblLog[[#This Row],[Date]],tblLog[Time],"&lt;="&amp;tblLog[[#This Row],[Time]])))</f>
        <v>43</v>
      </c>
      <c r="R134" s="44">
        <f>IF(tblLog[[#This Row],[Date]]="","",IF(AND(tblLog[[#This Row],[Date]]&gt;=FFrom,tblLog[[#This Row],[Date]]&lt;=FTo),tblLog[[#This Row],[Date]],""))</f>
        <v>46288</v>
      </c>
      <c r="S13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4" s="28" t="s">
        <v>122</v>
      </c>
    </row>
    <row r="135" spans="2:20">
      <c r="B135" s="37">
        <v>46288</v>
      </c>
      <c r="C135" s="38">
        <v>0.3333333333333333</v>
      </c>
      <c r="D135" s="28" t="s">
        <v>101</v>
      </c>
      <c r="E135" s="28" t="s">
        <v>125</v>
      </c>
      <c r="F135" s="34">
        <v>3.2</v>
      </c>
      <c r="G135" s="39" t="str">
        <f>IF(tblLog[[#This Row],[Date]]="","",IFERROR(IF(INDEX(tblCCPs[Unit],MATCH(tblLog[[#This Row],[CCP]],tblCCPs[CCP],0))="","",INDEX(tblCCPs[Unit],MATCH(tblLog[[#This Row],[CCP]],tblCCPs[CCP],0))),""))</f>
        <v>°C</v>
      </c>
      <c r="H135" s="39" t="str">
        <f>IF(tblLog[[#This Row],[Date]]="","",IFERROR(IF(INDEX(tblCCPs[Limit type],MATCH(tblLog[[#This Row],[CCP]],tblCCPs[CCP],0))="","",INDEX(tblCCPs[Limit type],MATCH(tblLog[[#This Row],[CCP]],tblCCPs[CCP],0))),""))</f>
        <v>Maximum</v>
      </c>
      <c r="I135" s="40">
        <f>IF(tblLog[[#This Row],[Date]]="","",IFERROR(IF(INDEX(tblCCPs[Critical limit],MATCH(tblLog[[#This Row],[CCP]],tblCCPs[CCP],0))="","",INDEX(tblCCPs[Critical limit],MATCH(tblLog[[#This Row],[CCP]],tblCCPs[CCP],0))),""))</f>
        <v>5</v>
      </c>
      <c r="J135" s="40">
        <f>IF(tblLog[[#This Row],[Date]]="","",IFERROR(IF(INDEX(tblCCPs[Operating limit],MATCH(tblLog[[#This Row],[CCP]],tblCCPs[CCP],0))="","",INDEX(tblCCPs[Operating limit],MATCH(tblLog[[#This Row],[CCP]],tblCCPs[CCP],0))),""))</f>
        <v>4</v>
      </c>
      <c r="K13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5" s="28" t="s">
        <v>132</v>
      </c>
      <c r="M135" s="42" t="s">
        <v>122</v>
      </c>
      <c r="N135" s="35">
        <v>0</v>
      </c>
      <c r="O135" s="28" t="s">
        <v>123</v>
      </c>
      <c r="P135" s="43">
        <f>IF(tblLog[[#This Row],[Date]]="","",IF(N(tblLog[[#This Row],[Product held]])&gt;0,tblLog[[#This Row],[Product held]]*HoldValue+QACost,0))</f>
        <v>0</v>
      </c>
      <c r="Q135" s="43">
        <f>IF(tblLog[[#This Row],[Date]]="","",IF(tblLog[[#This Row],[CCP]]="","",COUNTIFS(tblLog[CCP],tblLog[[#This Row],[CCP]],tblLog[Date],"&lt;"&amp;tblLog[[#This Row],[Date]])+COUNTIFS(tblLog[CCP],tblLog[[#This Row],[CCP]],tblLog[Date],tblLog[[#This Row],[Date]],tblLog[Time],"&lt;="&amp;tblLog[[#This Row],[Time]])))</f>
        <v>15</v>
      </c>
      <c r="R135" s="44">
        <f>IF(tblLog[[#This Row],[Date]]="","",IF(AND(tblLog[[#This Row],[Date]]&gt;=FFrom,tblLog[[#This Row],[Date]]&lt;=FTo),tblLog[[#This Row],[Date]],""))</f>
        <v>46288</v>
      </c>
      <c r="S13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5" s="28" t="s">
        <v>122</v>
      </c>
    </row>
    <row r="136" spans="2:20">
      <c r="B136" s="37">
        <v>46288</v>
      </c>
      <c r="C136" s="38">
        <v>0.375</v>
      </c>
      <c r="D136" s="28" t="s">
        <v>85</v>
      </c>
      <c r="E136" s="28" t="s">
        <v>178</v>
      </c>
      <c r="F136" s="34">
        <v>82.09999999999999</v>
      </c>
      <c r="G136" s="39" t="str">
        <f>IF(tblLog[[#This Row],[Date]]="","",IFERROR(IF(INDEX(tblCCPs[Unit],MATCH(tblLog[[#This Row],[CCP]],tblCCPs[CCP],0))="","",INDEX(tblCCPs[Unit],MATCH(tblLog[[#This Row],[CCP]],tblCCPs[CCP],0))),""))</f>
        <v>°C</v>
      </c>
      <c r="H136" s="39" t="str">
        <f>IF(tblLog[[#This Row],[Date]]="","",IFERROR(IF(INDEX(tblCCPs[Limit type],MATCH(tblLog[[#This Row],[CCP]],tblCCPs[CCP],0))="","",INDEX(tblCCPs[Limit type],MATCH(tblLog[[#This Row],[CCP]],tblCCPs[CCP],0))),""))</f>
        <v>Minimum</v>
      </c>
      <c r="I136" s="40">
        <f>IF(tblLog[[#This Row],[Date]]="","",IFERROR(IF(INDEX(tblCCPs[Critical limit],MATCH(tblLog[[#This Row],[CCP]],tblCCPs[CCP],0))="","",INDEX(tblCCPs[Critical limit],MATCH(tblLog[[#This Row],[CCP]],tblCCPs[CCP],0))),""))</f>
        <v>75</v>
      </c>
      <c r="J136" s="40">
        <f>IF(tblLog[[#This Row],[Date]]="","",IFERROR(IF(INDEX(tblCCPs[Operating limit],MATCH(tblLog[[#This Row],[CCP]],tblCCPs[CCP],0))="","",INDEX(tblCCPs[Operating limit],MATCH(tblLog[[#This Row],[CCP]],tblCCPs[CCP],0))),""))</f>
        <v>78</v>
      </c>
      <c r="K13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6" s="28" t="s">
        <v>121</v>
      </c>
      <c r="M136" s="42" t="s">
        <v>122</v>
      </c>
      <c r="N136" s="35">
        <v>0</v>
      </c>
      <c r="O136" s="28" t="s">
        <v>123</v>
      </c>
      <c r="P136" s="43">
        <f>IF(tblLog[[#This Row],[Date]]="","",IF(N(tblLog[[#This Row],[Product held]])&gt;0,tblLog[[#This Row],[Product held]]*HoldValue+QACost,0))</f>
        <v>0</v>
      </c>
      <c r="Q136" s="43">
        <f>IF(tblLog[[#This Row],[Date]]="","",IF(tblLog[[#This Row],[CCP]]="","",COUNTIFS(tblLog[CCP],tblLog[[#This Row],[CCP]],tblLog[Date],"&lt;"&amp;tblLog[[#This Row],[Date]])+COUNTIFS(tblLog[CCP],tblLog[[#This Row],[CCP]],tblLog[Date],tblLog[[#This Row],[Date]],tblLog[Time],"&lt;="&amp;tblLog[[#This Row],[Time]])))</f>
        <v>44</v>
      </c>
      <c r="R136" s="44">
        <f>IF(tblLog[[#This Row],[Date]]="","",IF(AND(tblLog[[#This Row],[Date]]&gt;=FFrom,tblLog[[#This Row],[Date]]&lt;=FTo),tblLog[[#This Row],[Date]],""))</f>
        <v>46288</v>
      </c>
      <c r="S13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6" s="28" t="s">
        <v>122</v>
      </c>
    </row>
    <row r="137" spans="2:20">
      <c r="B137" s="37">
        <v>46288</v>
      </c>
      <c r="C137" s="38">
        <v>0.3854166666666667</v>
      </c>
      <c r="D137" s="28" t="s">
        <v>91</v>
      </c>
      <c r="E137" s="28" t="s">
        <v>177</v>
      </c>
      <c r="F137" s="34">
        <v>2.5</v>
      </c>
      <c r="G137" s="39" t="str">
        <f>IF(tblLog[[#This Row],[Date]]="","",IFERROR(IF(INDEX(tblCCPs[Unit],MATCH(tblLog[[#This Row],[CCP]],tblCCPs[CCP],0))="","",INDEX(tblCCPs[Unit],MATCH(tblLog[[#This Row],[CCP]],tblCCPs[CCP],0))),""))</f>
        <v>°C</v>
      </c>
      <c r="H137" s="39" t="str">
        <f>IF(tblLog[[#This Row],[Date]]="","",IFERROR(IF(INDEX(tblCCPs[Limit type],MATCH(tblLog[[#This Row],[CCP]],tblCCPs[CCP],0))="","",INDEX(tblCCPs[Limit type],MATCH(tblLog[[#This Row],[CCP]],tblCCPs[CCP],0))),""))</f>
        <v>Maximum</v>
      </c>
      <c r="I137" s="40">
        <f>IF(tblLog[[#This Row],[Date]]="","",IFERROR(IF(INDEX(tblCCPs[Critical limit],MATCH(tblLog[[#This Row],[CCP]],tblCCPs[CCP],0))="","",INDEX(tblCCPs[Critical limit],MATCH(tblLog[[#This Row],[CCP]],tblCCPs[CCP],0))),""))</f>
        <v>5</v>
      </c>
      <c r="J137" s="40">
        <f>IF(tblLog[[#This Row],[Date]]="","",IFERROR(IF(INDEX(tblCCPs[Operating limit],MATCH(tblLog[[#This Row],[CCP]],tblCCPs[CCP],0))="","",INDEX(tblCCPs[Operating limit],MATCH(tblLog[[#This Row],[CCP]],tblCCPs[CCP],0))),""))</f>
        <v>4</v>
      </c>
      <c r="K13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7" s="28" t="s">
        <v>132</v>
      </c>
      <c r="M137" s="42" t="s">
        <v>122</v>
      </c>
      <c r="N137" s="35">
        <v>0</v>
      </c>
      <c r="O137" s="28" t="s">
        <v>123</v>
      </c>
      <c r="P137" s="43">
        <f>IF(tblLog[[#This Row],[Date]]="","",IF(N(tblLog[[#This Row],[Product held]])&gt;0,tblLog[[#This Row],[Product held]]*HoldValue+QACost,0))</f>
        <v>0</v>
      </c>
      <c r="Q137" s="43">
        <f>IF(tblLog[[#This Row],[Date]]="","",IF(tblLog[[#This Row],[CCP]]="","",COUNTIFS(tblLog[CCP],tblLog[[#This Row],[CCP]],tblLog[Date],"&lt;"&amp;tblLog[[#This Row],[Date]])+COUNTIFS(tblLog[CCP],tblLog[[#This Row],[CCP]],tblLog[Date],tblLog[[#This Row],[Date]],tblLog[Time],"&lt;="&amp;tblLog[[#This Row],[Time]])))</f>
        <v>43</v>
      </c>
      <c r="R137" s="44">
        <f>IF(tblLog[[#This Row],[Date]]="","",IF(AND(tblLog[[#This Row],[Date]]&gt;=FFrom,tblLog[[#This Row],[Date]]&lt;=FTo),tblLog[[#This Row],[Date]],""))</f>
        <v>46288</v>
      </c>
      <c r="S13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7" s="28" t="s">
        <v>122</v>
      </c>
    </row>
    <row r="138" spans="2:20">
      <c r="B138" s="37">
        <v>46288</v>
      </c>
      <c r="C138" s="38">
        <v>0.4166666666666667</v>
      </c>
      <c r="D138" s="28" t="s">
        <v>96</v>
      </c>
      <c r="E138" s="28" t="s">
        <v>128</v>
      </c>
      <c r="F138" s="34">
        <v>3</v>
      </c>
      <c r="G138" s="39" t="str">
        <f>IF(tblLog[[#This Row],[Date]]="","",IFERROR(IF(INDEX(tblCCPs[Unit],MATCH(tblLog[[#This Row],[CCP]],tblCCPs[CCP],0))="","",INDEX(tblCCPs[Unit],MATCH(tblLog[[#This Row],[CCP]],tblCCPs[CCP],0))),""))</f>
        <v>of 3</v>
      </c>
      <c r="H138" s="39" t="str">
        <f>IF(tblLog[[#This Row],[Date]]="","",IFERROR(IF(INDEX(tblCCPs[Limit type],MATCH(tblLog[[#This Row],[CCP]],tblCCPs[CCP],0))="","",INDEX(tblCCPs[Limit type],MATCH(tblLog[[#This Row],[CCP]],tblCCPs[CCP],0))),""))</f>
        <v>Minimum</v>
      </c>
      <c r="I138" s="40">
        <f>IF(tblLog[[#This Row],[Date]]="","",IFERROR(IF(INDEX(tblCCPs[Critical limit],MATCH(tblLog[[#This Row],[CCP]],tblCCPs[CCP],0))="","",INDEX(tblCCPs[Critical limit],MATCH(tblLog[[#This Row],[CCP]],tblCCPs[CCP],0))),""))</f>
        <v>3</v>
      </c>
      <c r="J138" s="40">
        <f>IF(tblLog[[#This Row],[Date]]="","",IFERROR(IF(INDEX(tblCCPs[Operating limit],MATCH(tblLog[[#This Row],[CCP]],tblCCPs[CCP],0))="","",INDEX(tblCCPs[Operating limit],MATCH(tblLog[[#This Row],[CCP]],tblCCPs[CCP],0))),""))</f>
        <v/>
      </c>
      <c r="K13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8" s="28" t="s">
        <v>121</v>
      </c>
      <c r="M138" s="42" t="s">
        <v>122</v>
      </c>
      <c r="N138" s="35">
        <v>0</v>
      </c>
      <c r="O138" s="28" t="s">
        <v>123</v>
      </c>
      <c r="P138" s="43">
        <f>IF(tblLog[[#This Row],[Date]]="","",IF(N(tblLog[[#This Row],[Product held]])&gt;0,tblLog[[#This Row],[Product held]]*HoldValue+QACost,0))</f>
        <v>0</v>
      </c>
      <c r="Q138" s="43">
        <f>IF(tblLog[[#This Row],[Date]]="","",IF(tblLog[[#This Row],[CCP]]="","",COUNTIFS(tblLog[CCP],tblLog[[#This Row],[CCP]],tblLog[Date],"&lt;"&amp;tblLog[[#This Row],[Date]])+COUNTIFS(tblLog[CCP],tblLog[[#This Row],[CCP]],tblLog[Date],tblLog[[#This Row],[Date]],tblLog[Time],"&lt;="&amp;tblLog[[#This Row],[Time]])))</f>
        <v>30</v>
      </c>
      <c r="R138" s="44">
        <f>IF(tblLog[[#This Row],[Date]]="","",IF(AND(tblLog[[#This Row],[Date]]&gt;=FFrom,tblLog[[#This Row],[Date]]&lt;=FTo),tblLog[[#This Row],[Date]],""))</f>
        <v>46288</v>
      </c>
      <c r="S13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8" s="28" t="s">
        <v>122</v>
      </c>
    </row>
    <row r="139" spans="2:20">
      <c r="B139" s="37">
        <v>46288</v>
      </c>
      <c r="C139" s="38">
        <v>0.4375</v>
      </c>
      <c r="D139" s="28" t="s">
        <v>85</v>
      </c>
      <c r="E139" s="28" t="s">
        <v>179</v>
      </c>
      <c r="F139" s="34">
        <v>83.2</v>
      </c>
      <c r="G139" s="39" t="str">
        <f>IF(tblLog[[#This Row],[Date]]="","",IFERROR(IF(INDEX(tblCCPs[Unit],MATCH(tblLog[[#This Row],[CCP]],tblCCPs[CCP],0))="","",INDEX(tblCCPs[Unit],MATCH(tblLog[[#This Row],[CCP]],tblCCPs[CCP],0))),""))</f>
        <v>°C</v>
      </c>
      <c r="H139" s="39" t="str">
        <f>IF(tblLog[[#This Row],[Date]]="","",IFERROR(IF(INDEX(tblCCPs[Limit type],MATCH(tblLog[[#This Row],[CCP]],tblCCPs[CCP],0))="","",INDEX(tblCCPs[Limit type],MATCH(tblLog[[#This Row],[CCP]],tblCCPs[CCP],0))),""))</f>
        <v>Minimum</v>
      </c>
      <c r="I139" s="40">
        <f>IF(tblLog[[#This Row],[Date]]="","",IFERROR(IF(INDEX(tblCCPs[Critical limit],MATCH(tblLog[[#This Row],[CCP]],tblCCPs[CCP],0))="","",INDEX(tblCCPs[Critical limit],MATCH(tblLog[[#This Row],[CCP]],tblCCPs[CCP],0))),""))</f>
        <v>75</v>
      </c>
      <c r="J139" s="40">
        <f>IF(tblLog[[#This Row],[Date]]="","",IFERROR(IF(INDEX(tblCCPs[Operating limit],MATCH(tblLog[[#This Row],[CCP]],tblCCPs[CCP],0))="","",INDEX(tblCCPs[Operating limit],MATCH(tblLog[[#This Row],[CCP]],tblCCPs[CCP],0))),""))</f>
        <v>78</v>
      </c>
      <c r="K13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39" s="28" t="s">
        <v>127</v>
      </c>
      <c r="M139" s="42" t="s">
        <v>122</v>
      </c>
      <c r="N139" s="35">
        <v>0</v>
      </c>
      <c r="O139" s="28" t="s">
        <v>123</v>
      </c>
      <c r="P139" s="43">
        <f>IF(tblLog[[#This Row],[Date]]="","",IF(N(tblLog[[#This Row],[Product held]])&gt;0,tblLog[[#This Row],[Product held]]*HoldValue+QACost,0))</f>
        <v>0</v>
      </c>
      <c r="Q139" s="43">
        <f>IF(tblLog[[#This Row],[Date]]="","",IF(tblLog[[#This Row],[CCP]]="","",COUNTIFS(tblLog[CCP],tblLog[[#This Row],[CCP]],tblLog[Date],"&lt;"&amp;tblLog[[#This Row],[Date]])+COUNTIFS(tblLog[CCP],tblLog[[#This Row],[CCP]],tblLog[Date],tblLog[[#This Row],[Date]],tblLog[Time],"&lt;="&amp;tblLog[[#This Row],[Time]])))</f>
        <v>45</v>
      </c>
      <c r="R139" s="44">
        <f>IF(tblLog[[#This Row],[Date]]="","",IF(AND(tblLog[[#This Row],[Date]]&gt;=FFrom,tblLog[[#This Row],[Date]]&lt;=FTo),tblLog[[#This Row],[Date]],""))</f>
        <v>46288</v>
      </c>
      <c r="S13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39" s="28" t="s">
        <v>122</v>
      </c>
    </row>
    <row r="140" spans="2:20">
      <c r="B140" s="37">
        <v>46288</v>
      </c>
      <c r="C140" s="38">
        <v>0.4479166666666667</v>
      </c>
      <c r="D140" s="28" t="s">
        <v>91</v>
      </c>
      <c r="E140" s="28" t="s">
        <v>178</v>
      </c>
      <c r="F140" s="34">
        <v>2.7</v>
      </c>
      <c r="G140" s="39" t="str">
        <f>IF(tblLog[[#This Row],[Date]]="","",IFERROR(IF(INDEX(tblCCPs[Unit],MATCH(tblLog[[#This Row],[CCP]],tblCCPs[CCP],0))="","",INDEX(tblCCPs[Unit],MATCH(tblLog[[#This Row],[CCP]],tblCCPs[CCP],0))),""))</f>
        <v>°C</v>
      </c>
      <c r="H140" s="39" t="str">
        <f>IF(tblLog[[#This Row],[Date]]="","",IFERROR(IF(INDEX(tblCCPs[Limit type],MATCH(tblLog[[#This Row],[CCP]],tblCCPs[CCP],0))="","",INDEX(tblCCPs[Limit type],MATCH(tblLog[[#This Row],[CCP]],tblCCPs[CCP],0))),""))</f>
        <v>Maximum</v>
      </c>
      <c r="I140" s="40">
        <f>IF(tblLog[[#This Row],[Date]]="","",IFERROR(IF(INDEX(tblCCPs[Critical limit],MATCH(tblLog[[#This Row],[CCP]],tblCCPs[CCP],0))="","",INDEX(tblCCPs[Critical limit],MATCH(tblLog[[#This Row],[CCP]],tblCCPs[CCP],0))),""))</f>
        <v>5</v>
      </c>
      <c r="J140" s="40">
        <f>IF(tblLog[[#This Row],[Date]]="","",IFERROR(IF(INDEX(tblCCPs[Operating limit],MATCH(tblLog[[#This Row],[CCP]],tblCCPs[CCP],0))="","",INDEX(tblCCPs[Operating limit],MATCH(tblLog[[#This Row],[CCP]],tblCCPs[CCP],0))),""))</f>
        <v>4</v>
      </c>
      <c r="K14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0" s="28" t="s">
        <v>121</v>
      </c>
      <c r="M140" s="42" t="s">
        <v>122</v>
      </c>
      <c r="N140" s="35">
        <v>0</v>
      </c>
      <c r="O140" s="28" t="s">
        <v>123</v>
      </c>
      <c r="P140" s="43">
        <f>IF(tblLog[[#This Row],[Date]]="","",IF(N(tblLog[[#This Row],[Product held]])&gt;0,tblLog[[#This Row],[Product held]]*HoldValue+QACost,0))</f>
        <v>0</v>
      </c>
      <c r="Q140" s="43">
        <f>IF(tblLog[[#This Row],[Date]]="","",IF(tblLog[[#This Row],[CCP]]="","",COUNTIFS(tblLog[CCP],tblLog[[#This Row],[CCP]],tblLog[Date],"&lt;"&amp;tblLog[[#This Row],[Date]])+COUNTIFS(tblLog[CCP],tblLog[[#This Row],[CCP]],tblLog[Date],tblLog[[#This Row],[Date]],tblLog[Time],"&lt;="&amp;tblLog[[#This Row],[Time]])))</f>
        <v>44</v>
      </c>
      <c r="R140" s="44">
        <f>IF(tblLog[[#This Row],[Date]]="","",IF(AND(tblLog[[#This Row],[Date]]&gt;=FFrom,tblLog[[#This Row],[Date]]&lt;=FTo),tblLog[[#This Row],[Date]],""))</f>
        <v>46288</v>
      </c>
      <c r="S14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0" s="28" t="s">
        <v>122</v>
      </c>
    </row>
    <row r="141" spans="2:20">
      <c r="B141" s="37">
        <v>46288</v>
      </c>
      <c r="C141" s="38">
        <v>0.5</v>
      </c>
      <c r="D141" s="28" t="s">
        <v>85</v>
      </c>
      <c r="E141" s="28" t="s">
        <v>180</v>
      </c>
      <c r="F141" s="34">
        <v>80.90000000000001</v>
      </c>
      <c r="G141" s="39" t="str">
        <f>IF(tblLog[[#This Row],[Date]]="","",IFERROR(IF(INDEX(tblCCPs[Unit],MATCH(tblLog[[#This Row],[CCP]],tblCCPs[CCP],0))="","",INDEX(tblCCPs[Unit],MATCH(tblLog[[#This Row],[CCP]],tblCCPs[CCP],0))),""))</f>
        <v>°C</v>
      </c>
      <c r="H141" s="39" t="str">
        <f>IF(tblLog[[#This Row],[Date]]="","",IFERROR(IF(INDEX(tblCCPs[Limit type],MATCH(tblLog[[#This Row],[CCP]],tblCCPs[CCP],0))="","",INDEX(tblCCPs[Limit type],MATCH(tblLog[[#This Row],[CCP]],tblCCPs[CCP],0))),""))</f>
        <v>Minimum</v>
      </c>
      <c r="I141" s="40">
        <f>IF(tblLog[[#This Row],[Date]]="","",IFERROR(IF(INDEX(tblCCPs[Critical limit],MATCH(tblLog[[#This Row],[CCP]],tblCCPs[CCP],0))="","",INDEX(tblCCPs[Critical limit],MATCH(tblLog[[#This Row],[CCP]],tblCCPs[CCP],0))),""))</f>
        <v>75</v>
      </c>
      <c r="J141" s="40">
        <f>IF(tblLog[[#This Row],[Date]]="","",IFERROR(IF(INDEX(tblCCPs[Operating limit],MATCH(tblLog[[#This Row],[CCP]],tblCCPs[CCP],0))="","",INDEX(tblCCPs[Operating limit],MATCH(tblLog[[#This Row],[CCP]],tblCCPs[CCP],0))),""))</f>
        <v>78</v>
      </c>
      <c r="K14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1" s="28" t="s">
        <v>130</v>
      </c>
      <c r="M141" s="42" t="s">
        <v>122</v>
      </c>
      <c r="N141" s="35">
        <v>0</v>
      </c>
      <c r="O141" s="28" t="s">
        <v>123</v>
      </c>
      <c r="P141" s="43">
        <f>IF(tblLog[[#This Row],[Date]]="","",IF(N(tblLog[[#This Row],[Product held]])&gt;0,tblLog[[#This Row],[Product held]]*HoldValue+QACost,0))</f>
        <v>0</v>
      </c>
      <c r="Q141" s="43">
        <f>IF(tblLog[[#This Row],[Date]]="","",IF(tblLog[[#This Row],[CCP]]="","",COUNTIFS(tblLog[CCP],tblLog[[#This Row],[CCP]],tblLog[Date],"&lt;"&amp;tblLog[[#This Row],[Date]])+COUNTIFS(tblLog[CCP],tblLog[[#This Row],[CCP]],tblLog[Date],tblLog[[#This Row],[Date]],tblLog[Time],"&lt;="&amp;tblLog[[#This Row],[Time]])))</f>
        <v>46</v>
      </c>
      <c r="R141" s="44">
        <f>IF(tblLog[[#This Row],[Date]]="","",IF(AND(tblLog[[#This Row],[Date]]&gt;=FFrom,tblLog[[#This Row],[Date]]&lt;=FTo),tblLog[[#This Row],[Date]],""))</f>
        <v>46288</v>
      </c>
      <c r="S14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1" s="28" t="s">
        <v>122</v>
      </c>
    </row>
    <row r="142" spans="2:20">
      <c r="B142" s="37">
        <v>46288</v>
      </c>
      <c r="C142" s="38">
        <v>0.5104166666666666</v>
      </c>
      <c r="D142" s="28" t="s">
        <v>91</v>
      </c>
      <c r="E142" s="28" t="s">
        <v>179</v>
      </c>
      <c r="F142" s="34">
        <v>3.4</v>
      </c>
      <c r="G142" s="39" t="str">
        <f>IF(tblLog[[#This Row],[Date]]="","",IFERROR(IF(INDEX(tblCCPs[Unit],MATCH(tblLog[[#This Row],[CCP]],tblCCPs[CCP],0))="","",INDEX(tblCCPs[Unit],MATCH(tblLog[[#This Row],[CCP]],tblCCPs[CCP],0))),""))</f>
        <v>°C</v>
      </c>
      <c r="H142" s="39" t="str">
        <f>IF(tblLog[[#This Row],[Date]]="","",IFERROR(IF(INDEX(tblCCPs[Limit type],MATCH(tblLog[[#This Row],[CCP]],tblCCPs[CCP],0))="","",INDEX(tblCCPs[Limit type],MATCH(tblLog[[#This Row],[CCP]],tblCCPs[CCP],0))),""))</f>
        <v>Maximum</v>
      </c>
      <c r="I142" s="40">
        <f>IF(tblLog[[#This Row],[Date]]="","",IFERROR(IF(INDEX(tblCCPs[Critical limit],MATCH(tblLog[[#This Row],[CCP]],tblCCPs[CCP],0))="","",INDEX(tblCCPs[Critical limit],MATCH(tblLog[[#This Row],[CCP]],tblCCPs[CCP],0))),""))</f>
        <v>5</v>
      </c>
      <c r="J142" s="40">
        <f>IF(tblLog[[#This Row],[Date]]="","",IFERROR(IF(INDEX(tblCCPs[Operating limit],MATCH(tblLog[[#This Row],[CCP]],tblCCPs[CCP],0))="","",INDEX(tblCCPs[Operating limit],MATCH(tblLog[[#This Row],[CCP]],tblCCPs[CCP],0))),""))</f>
        <v>4</v>
      </c>
      <c r="K14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2" s="28" t="s">
        <v>127</v>
      </c>
      <c r="M142" s="42" t="s">
        <v>122</v>
      </c>
      <c r="N142" s="35">
        <v>0</v>
      </c>
      <c r="O142" s="28" t="s">
        <v>123</v>
      </c>
      <c r="P142" s="43">
        <f>IF(tblLog[[#This Row],[Date]]="","",IF(N(tblLog[[#This Row],[Product held]])&gt;0,tblLog[[#This Row],[Product held]]*HoldValue+QACost,0))</f>
        <v>0</v>
      </c>
      <c r="Q142" s="43">
        <f>IF(tblLog[[#This Row],[Date]]="","",IF(tblLog[[#This Row],[CCP]]="","",COUNTIFS(tblLog[CCP],tblLog[[#This Row],[CCP]],tblLog[Date],"&lt;"&amp;tblLog[[#This Row],[Date]])+COUNTIFS(tblLog[CCP],tblLog[[#This Row],[CCP]],tblLog[Date],tblLog[[#This Row],[Date]],tblLog[Time],"&lt;="&amp;tblLog[[#This Row],[Time]])))</f>
        <v>45</v>
      </c>
      <c r="R142" s="44">
        <f>IF(tblLog[[#This Row],[Date]]="","",IF(AND(tblLog[[#This Row],[Date]]&gt;=FFrom,tblLog[[#This Row],[Date]]&lt;=FTo),tblLog[[#This Row],[Date]],""))</f>
        <v>46288</v>
      </c>
      <c r="S14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2" s="28" t="s">
        <v>122</v>
      </c>
    </row>
    <row r="143" spans="2:20">
      <c r="B143" s="37">
        <v>46288</v>
      </c>
      <c r="C143" s="38">
        <v>0.5416666666666666</v>
      </c>
      <c r="D143" s="28" t="s">
        <v>96</v>
      </c>
      <c r="E143" s="28" t="s">
        <v>133</v>
      </c>
      <c r="F143" s="34">
        <v>3</v>
      </c>
      <c r="G143" s="39" t="str">
        <f>IF(tblLog[[#This Row],[Date]]="","",IFERROR(IF(INDEX(tblCCPs[Unit],MATCH(tblLog[[#This Row],[CCP]],tblCCPs[CCP],0))="","",INDEX(tblCCPs[Unit],MATCH(tblLog[[#This Row],[CCP]],tblCCPs[CCP],0))),""))</f>
        <v>of 3</v>
      </c>
      <c r="H143" s="39" t="str">
        <f>IF(tblLog[[#This Row],[Date]]="","",IFERROR(IF(INDEX(tblCCPs[Limit type],MATCH(tblLog[[#This Row],[CCP]],tblCCPs[CCP],0))="","",INDEX(tblCCPs[Limit type],MATCH(tblLog[[#This Row],[CCP]],tblCCPs[CCP],0))),""))</f>
        <v>Minimum</v>
      </c>
      <c r="I143" s="40">
        <f>IF(tblLog[[#This Row],[Date]]="","",IFERROR(IF(INDEX(tblCCPs[Critical limit],MATCH(tblLog[[#This Row],[CCP]],tblCCPs[CCP],0))="","",INDEX(tblCCPs[Critical limit],MATCH(tblLog[[#This Row],[CCP]],tblCCPs[CCP],0))),""))</f>
        <v>3</v>
      </c>
      <c r="J143" s="40">
        <f>IF(tblLog[[#This Row],[Date]]="","",IFERROR(IF(INDEX(tblCCPs[Operating limit],MATCH(tblLog[[#This Row],[CCP]],tblCCPs[CCP],0))="","",INDEX(tblCCPs[Operating limit],MATCH(tblLog[[#This Row],[CCP]],tblCCPs[CCP],0))),""))</f>
        <v/>
      </c>
      <c r="K14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3" s="28" t="s">
        <v>127</v>
      </c>
      <c r="M143" s="42" t="s">
        <v>122</v>
      </c>
      <c r="N143" s="35">
        <v>0</v>
      </c>
      <c r="O143" s="28" t="s">
        <v>123</v>
      </c>
      <c r="P143" s="43">
        <f>IF(tblLog[[#This Row],[Date]]="","",IF(N(tblLog[[#This Row],[Product held]])&gt;0,tblLog[[#This Row],[Product held]]*HoldValue+QACost,0))</f>
        <v>0</v>
      </c>
      <c r="Q143" s="43">
        <f>IF(tblLog[[#This Row],[Date]]="","",IF(tblLog[[#This Row],[CCP]]="","",COUNTIFS(tblLog[CCP],tblLog[[#This Row],[CCP]],tblLog[Date],"&lt;"&amp;tblLog[[#This Row],[Date]])+COUNTIFS(tblLog[CCP],tblLog[[#This Row],[CCP]],tblLog[Date],tblLog[[#This Row],[Date]],tblLog[Time],"&lt;="&amp;tblLog[[#This Row],[Time]])))</f>
        <v>31</v>
      </c>
      <c r="R143" s="44">
        <f>IF(tblLog[[#This Row],[Date]]="","",IF(AND(tblLog[[#This Row],[Date]]&gt;=FFrom,tblLog[[#This Row],[Date]]&lt;=FTo),tblLog[[#This Row],[Date]],""))</f>
        <v>46288</v>
      </c>
      <c r="S14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3" s="28" t="s">
        <v>122</v>
      </c>
    </row>
    <row r="144" spans="2:20">
      <c r="B144" s="37">
        <v>46288</v>
      </c>
      <c r="C144" s="38">
        <v>0.5625</v>
      </c>
      <c r="D144" s="28" t="s">
        <v>85</v>
      </c>
      <c r="E144" s="28" t="s">
        <v>181</v>
      </c>
      <c r="F144" s="34">
        <v>77.8</v>
      </c>
      <c r="G144" s="39" t="str">
        <f>IF(tblLog[[#This Row],[Date]]="","",IFERROR(IF(INDEX(tblCCPs[Unit],MATCH(tblLog[[#This Row],[CCP]],tblCCPs[CCP],0))="","",INDEX(tblCCPs[Unit],MATCH(tblLog[[#This Row],[CCP]],tblCCPs[CCP],0))),""))</f>
        <v>°C</v>
      </c>
      <c r="H144" s="39" t="str">
        <f>IF(tblLog[[#This Row],[Date]]="","",IFERROR(IF(INDEX(tblCCPs[Limit type],MATCH(tblLog[[#This Row],[CCP]],tblCCPs[CCP],0))="","",INDEX(tblCCPs[Limit type],MATCH(tblLog[[#This Row],[CCP]],tblCCPs[CCP],0))),""))</f>
        <v>Minimum</v>
      </c>
      <c r="I144" s="40">
        <f>IF(tblLog[[#This Row],[Date]]="","",IFERROR(IF(INDEX(tblCCPs[Critical limit],MATCH(tblLog[[#This Row],[CCP]],tblCCPs[CCP],0))="","",INDEX(tblCCPs[Critical limit],MATCH(tblLog[[#This Row],[CCP]],tblCCPs[CCP],0))),""))</f>
        <v>75</v>
      </c>
      <c r="J144" s="40">
        <f>IF(tblLog[[#This Row],[Date]]="","",IFERROR(IF(INDEX(tblCCPs[Operating limit],MATCH(tblLog[[#This Row],[CCP]],tblCCPs[CCP],0))="","",INDEX(tblCCPs[Operating limit],MATCH(tblLog[[#This Row],[CCP]],tblCCPs[CCP],0))),""))</f>
        <v>78</v>
      </c>
      <c r="K14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Check</v>
      </c>
      <c r="L144" s="28" t="s">
        <v>132</v>
      </c>
      <c r="M144" s="42" t="s">
        <v>122</v>
      </c>
      <c r="N144" s="35">
        <v>0</v>
      </c>
      <c r="O144" s="28" t="s">
        <v>123</v>
      </c>
      <c r="P144" s="43">
        <f>IF(tblLog[[#This Row],[Date]]="","",IF(N(tblLog[[#This Row],[Product held]])&gt;0,tblLog[[#This Row],[Product held]]*HoldValue+QACost,0))</f>
        <v>0</v>
      </c>
      <c r="Q144" s="43">
        <f>IF(tblLog[[#This Row],[Date]]="","",IF(tblLog[[#This Row],[CCP]]="","",COUNTIFS(tblLog[CCP],tblLog[[#This Row],[CCP]],tblLog[Date],"&lt;"&amp;tblLog[[#This Row],[Date]])+COUNTIFS(tblLog[CCP],tblLog[[#This Row],[CCP]],tblLog[Date],tblLog[[#This Row],[Date]],tblLog[Time],"&lt;="&amp;tblLog[[#This Row],[Time]])))</f>
        <v>47</v>
      </c>
      <c r="R144" s="44">
        <f>IF(tblLog[[#This Row],[Date]]="","",IF(AND(tblLog[[#This Row],[Date]]&gt;=FFrom,tblLog[[#This Row],[Date]]&lt;=FTo),tblLog[[#This Row],[Date]],""))</f>
        <v>46288</v>
      </c>
      <c r="S14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4" s="28" t="s">
        <v>122</v>
      </c>
    </row>
    <row r="145" spans="2:20">
      <c r="B145" s="37">
        <v>46288</v>
      </c>
      <c r="C145" s="38">
        <v>0.5729166666666666</v>
      </c>
      <c r="D145" s="28" t="s">
        <v>91</v>
      </c>
      <c r="E145" s="28" t="s">
        <v>180</v>
      </c>
      <c r="F145" s="34">
        <v>2.6</v>
      </c>
      <c r="G145" s="39" t="str">
        <f>IF(tblLog[[#This Row],[Date]]="","",IFERROR(IF(INDEX(tblCCPs[Unit],MATCH(tblLog[[#This Row],[CCP]],tblCCPs[CCP],0))="","",INDEX(tblCCPs[Unit],MATCH(tblLog[[#This Row],[CCP]],tblCCPs[CCP],0))),""))</f>
        <v>°C</v>
      </c>
      <c r="H145" s="39" t="str">
        <f>IF(tblLog[[#This Row],[Date]]="","",IFERROR(IF(INDEX(tblCCPs[Limit type],MATCH(tblLog[[#This Row],[CCP]],tblCCPs[CCP],0))="","",INDEX(tblCCPs[Limit type],MATCH(tblLog[[#This Row],[CCP]],tblCCPs[CCP],0))),""))</f>
        <v>Maximum</v>
      </c>
      <c r="I145" s="40">
        <f>IF(tblLog[[#This Row],[Date]]="","",IFERROR(IF(INDEX(tblCCPs[Critical limit],MATCH(tblLog[[#This Row],[CCP]],tblCCPs[CCP],0))="","",INDEX(tblCCPs[Critical limit],MATCH(tblLog[[#This Row],[CCP]],tblCCPs[CCP],0))),""))</f>
        <v>5</v>
      </c>
      <c r="J145" s="40">
        <f>IF(tblLog[[#This Row],[Date]]="","",IFERROR(IF(INDEX(tblCCPs[Operating limit],MATCH(tblLog[[#This Row],[CCP]],tblCCPs[CCP],0))="","",INDEX(tblCCPs[Operating limit],MATCH(tblLog[[#This Row],[CCP]],tblCCPs[CCP],0))),""))</f>
        <v>4</v>
      </c>
      <c r="K14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5" s="28" t="s">
        <v>130</v>
      </c>
      <c r="M145" s="42" t="s">
        <v>122</v>
      </c>
      <c r="N145" s="35">
        <v>0</v>
      </c>
      <c r="O145" s="28" t="s">
        <v>123</v>
      </c>
      <c r="P145" s="43">
        <f>IF(tblLog[[#This Row],[Date]]="","",IF(N(tblLog[[#This Row],[Product held]])&gt;0,tblLog[[#This Row],[Product held]]*HoldValue+QACost,0))</f>
        <v>0</v>
      </c>
      <c r="Q145" s="43">
        <f>IF(tblLog[[#This Row],[Date]]="","",IF(tblLog[[#This Row],[CCP]]="","",COUNTIFS(tblLog[CCP],tblLog[[#This Row],[CCP]],tblLog[Date],"&lt;"&amp;tblLog[[#This Row],[Date]])+COUNTIFS(tblLog[CCP],tblLog[[#This Row],[CCP]],tblLog[Date],tblLog[[#This Row],[Date]],tblLog[Time],"&lt;="&amp;tblLog[[#This Row],[Time]])))</f>
        <v>46</v>
      </c>
      <c r="R145" s="44">
        <f>IF(tblLog[[#This Row],[Date]]="","",IF(AND(tblLog[[#This Row],[Date]]&gt;=FFrom,tblLog[[#This Row],[Date]]&lt;=FTo),tblLog[[#This Row],[Date]],""))</f>
        <v>46288</v>
      </c>
      <c r="S14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5" s="28" t="s">
        <v>122</v>
      </c>
    </row>
    <row r="146" spans="2:20">
      <c r="B146" s="37">
        <v>46288</v>
      </c>
      <c r="C146" s="38">
        <v>0.625</v>
      </c>
      <c r="D146" s="28" t="s">
        <v>85</v>
      </c>
      <c r="E146" s="28" t="s">
        <v>182</v>
      </c>
      <c r="F146" s="34">
        <v>81</v>
      </c>
      <c r="G146" s="39" t="str">
        <f>IF(tblLog[[#This Row],[Date]]="","",IFERROR(IF(INDEX(tblCCPs[Unit],MATCH(tblLog[[#This Row],[CCP]],tblCCPs[CCP],0))="","",INDEX(tblCCPs[Unit],MATCH(tblLog[[#This Row],[CCP]],tblCCPs[CCP],0))),""))</f>
        <v>°C</v>
      </c>
      <c r="H146" s="39" t="str">
        <f>IF(tblLog[[#This Row],[Date]]="","",IFERROR(IF(INDEX(tblCCPs[Limit type],MATCH(tblLog[[#This Row],[CCP]],tblCCPs[CCP],0))="","",INDEX(tblCCPs[Limit type],MATCH(tblLog[[#This Row],[CCP]],tblCCPs[CCP],0))),""))</f>
        <v>Minimum</v>
      </c>
      <c r="I146" s="40">
        <f>IF(tblLog[[#This Row],[Date]]="","",IFERROR(IF(INDEX(tblCCPs[Critical limit],MATCH(tblLog[[#This Row],[CCP]],tblCCPs[CCP],0))="","",INDEX(tblCCPs[Critical limit],MATCH(tblLog[[#This Row],[CCP]],tblCCPs[CCP],0))),""))</f>
        <v>75</v>
      </c>
      <c r="J146" s="40">
        <f>IF(tblLog[[#This Row],[Date]]="","",IFERROR(IF(INDEX(tblCCPs[Operating limit],MATCH(tblLog[[#This Row],[CCP]],tblCCPs[CCP],0))="","",INDEX(tblCCPs[Operating limit],MATCH(tblLog[[#This Row],[CCP]],tblCCPs[CCP],0))),""))</f>
        <v>78</v>
      </c>
      <c r="K14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6" s="28" t="s">
        <v>121</v>
      </c>
      <c r="M146" s="42" t="s">
        <v>122</v>
      </c>
      <c r="N146" s="35">
        <v>0</v>
      </c>
      <c r="O146" s="28" t="s">
        <v>123</v>
      </c>
      <c r="P146" s="43">
        <f>IF(tblLog[[#This Row],[Date]]="","",IF(N(tblLog[[#This Row],[Product held]])&gt;0,tblLog[[#This Row],[Product held]]*HoldValue+QACost,0))</f>
        <v>0</v>
      </c>
      <c r="Q146" s="43">
        <f>IF(tblLog[[#This Row],[Date]]="","",IF(tblLog[[#This Row],[CCP]]="","",COUNTIFS(tblLog[CCP],tblLog[[#This Row],[CCP]],tblLog[Date],"&lt;"&amp;tblLog[[#This Row],[Date]])+COUNTIFS(tblLog[CCP],tblLog[[#This Row],[CCP]],tblLog[Date],tblLog[[#This Row],[Date]],tblLog[Time],"&lt;="&amp;tblLog[[#This Row],[Time]])))</f>
        <v>48</v>
      </c>
      <c r="R146" s="44">
        <f>IF(tblLog[[#This Row],[Date]]="","",IF(AND(tblLog[[#This Row],[Date]]&gt;=FFrom,tblLog[[#This Row],[Date]]&lt;=FTo),tblLog[[#This Row],[Date]],""))</f>
        <v>46288</v>
      </c>
      <c r="S14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6" s="28" t="s">
        <v>122</v>
      </c>
    </row>
    <row r="147" spans="2:20">
      <c r="B147" s="37">
        <v>46288</v>
      </c>
      <c r="C147" s="38">
        <v>0.6354166666666666</v>
      </c>
      <c r="D147" s="28" t="s">
        <v>91</v>
      </c>
      <c r="E147" s="28" t="s">
        <v>181</v>
      </c>
      <c r="F147" s="34">
        <v>3.1</v>
      </c>
      <c r="G147" s="39" t="str">
        <f>IF(tblLog[[#This Row],[Date]]="","",IFERROR(IF(INDEX(tblCCPs[Unit],MATCH(tblLog[[#This Row],[CCP]],tblCCPs[CCP],0))="","",INDEX(tblCCPs[Unit],MATCH(tblLog[[#This Row],[CCP]],tblCCPs[CCP],0))),""))</f>
        <v>°C</v>
      </c>
      <c r="H147" s="39" t="str">
        <f>IF(tblLog[[#This Row],[Date]]="","",IFERROR(IF(INDEX(tblCCPs[Limit type],MATCH(tblLog[[#This Row],[CCP]],tblCCPs[CCP],0))="","",INDEX(tblCCPs[Limit type],MATCH(tblLog[[#This Row],[CCP]],tblCCPs[CCP],0))),""))</f>
        <v>Maximum</v>
      </c>
      <c r="I147" s="40">
        <f>IF(tblLog[[#This Row],[Date]]="","",IFERROR(IF(INDEX(tblCCPs[Critical limit],MATCH(tblLog[[#This Row],[CCP]],tblCCPs[CCP],0))="","",INDEX(tblCCPs[Critical limit],MATCH(tblLog[[#This Row],[CCP]],tblCCPs[CCP],0))),""))</f>
        <v>5</v>
      </c>
      <c r="J147" s="40">
        <f>IF(tblLog[[#This Row],[Date]]="","",IFERROR(IF(INDEX(tblCCPs[Operating limit],MATCH(tblLog[[#This Row],[CCP]],tblCCPs[CCP],0))="","",INDEX(tblCCPs[Operating limit],MATCH(tblLog[[#This Row],[CCP]],tblCCPs[CCP],0))),""))</f>
        <v>4</v>
      </c>
      <c r="K14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7" s="28" t="s">
        <v>132</v>
      </c>
      <c r="M147" s="42" t="s">
        <v>122</v>
      </c>
      <c r="N147" s="35">
        <v>0</v>
      </c>
      <c r="O147" s="28" t="s">
        <v>123</v>
      </c>
      <c r="P147" s="43">
        <f>IF(tblLog[[#This Row],[Date]]="","",IF(N(tblLog[[#This Row],[Product held]])&gt;0,tblLog[[#This Row],[Product held]]*HoldValue+QACost,0))</f>
        <v>0</v>
      </c>
      <c r="Q147" s="43">
        <f>IF(tblLog[[#This Row],[Date]]="","",IF(tblLog[[#This Row],[CCP]]="","",COUNTIFS(tblLog[CCP],tblLog[[#This Row],[CCP]],tblLog[Date],"&lt;"&amp;tblLog[[#This Row],[Date]])+COUNTIFS(tblLog[CCP],tblLog[[#This Row],[CCP]],tblLog[Date],tblLog[[#This Row],[Date]],tblLog[Time],"&lt;="&amp;tblLog[[#This Row],[Time]])))</f>
        <v>47</v>
      </c>
      <c r="R147" s="44">
        <f>IF(tblLog[[#This Row],[Date]]="","",IF(AND(tblLog[[#This Row],[Date]]&gt;=FFrom,tblLog[[#This Row],[Date]]&lt;=FTo),tblLog[[#This Row],[Date]],""))</f>
        <v>46288</v>
      </c>
      <c r="S14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7" s="28" t="s">
        <v>122</v>
      </c>
    </row>
    <row r="148" spans="2:20">
      <c r="B148" s="37">
        <v>46288</v>
      </c>
      <c r="C148" s="38">
        <v>0.6458333333333334</v>
      </c>
      <c r="D148" s="28" t="s">
        <v>96</v>
      </c>
      <c r="E148" s="28" t="s">
        <v>136</v>
      </c>
      <c r="F148" s="34">
        <v>3</v>
      </c>
      <c r="G148" s="39" t="str">
        <f>IF(tblLog[[#This Row],[Date]]="","",IFERROR(IF(INDEX(tblCCPs[Unit],MATCH(tblLog[[#This Row],[CCP]],tblCCPs[CCP],0))="","",INDEX(tblCCPs[Unit],MATCH(tblLog[[#This Row],[CCP]],tblCCPs[CCP],0))),""))</f>
        <v>of 3</v>
      </c>
      <c r="H148" s="39" t="str">
        <f>IF(tblLog[[#This Row],[Date]]="","",IFERROR(IF(INDEX(tblCCPs[Limit type],MATCH(tblLog[[#This Row],[CCP]],tblCCPs[CCP],0))="","",INDEX(tblCCPs[Limit type],MATCH(tblLog[[#This Row],[CCP]],tblCCPs[CCP],0))),""))</f>
        <v>Minimum</v>
      </c>
      <c r="I148" s="40">
        <f>IF(tblLog[[#This Row],[Date]]="","",IFERROR(IF(INDEX(tblCCPs[Critical limit],MATCH(tblLog[[#This Row],[CCP]],tblCCPs[CCP],0))="","",INDEX(tblCCPs[Critical limit],MATCH(tblLog[[#This Row],[CCP]],tblCCPs[CCP],0))),""))</f>
        <v>3</v>
      </c>
      <c r="J148" s="40">
        <f>IF(tblLog[[#This Row],[Date]]="","",IFERROR(IF(INDEX(tblCCPs[Operating limit],MATCH(tblLog[[#This Row],[CCP]],tblCCPs[CCP],0))="","",INDEX(tblCCPs[Operating limit],MATCH(tblLog[[#This Row],[CCP]],tblCCPs[CCP],0))),""))</f>
        <v/>
      </c>
      <c r="K14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8" s="28" t="s">
        <v>130</v>
      </c>
      <c r="M148" s="42" t="s">
        <v>122</v>
      </c>
      <c r="N148" s="35">
        <v>0</v>
      </c>
      <c r="O148" s="28" t="s">
        <v>123</v>
      </c>
      <c r="P148" s="43">
        <f>IF(tblLog[[#This Row],[Date]]="","",IF(N(tblLog[[#This Row],[Product held]])&gt;0,tblLog[[#This Row],[Product held]]*HoldValue+QACost,0))</f>
        <v>0</v>
      </c>
      <c r="Q148" s="43">
        <f>IF(tblLog[[#This Row],[Date]]="","",IF(tblLog[[#This Row],[CCP]]="","",COUNTIFS(tblLog[CCP],tblLog[[#This Row],[CCP]],tblLog[Date],"&lt;"&amp;tblLog[[#This Row],[Date]])+COUNTIFS(tblLog[CCP],tblLog[[#This Row],[CCP]],tblLog[Date],tblLog[[#This Row],[Date]],tblLog[Time],"&lt;="&amp;tblLog[[#This Row],[Time]])))</f>
        <v>32</v>
      </c>
      <c r="R148" s="44">
        <f>IF(tblLog[[#This Row],[Date]]="","",IF(AND(tblLog[[#This Row],[Date]]&gt;=FFrom,tblLog[[#This Row],[Date]]&lt;=FTo),tblLog[[#This Row],[Date]],""))</f>
        <v>46288</v>
      </c>
      <c r="S14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8" s="28" t="s">
        <v>122</v>
      </c>
    </row>
    <row r="149" spans="2:20">
      <c r="B149" s="37">
        <v>46288</v>
      </c>
      <c r="C149" s="38">
        <v>0.6666666666666666</v>
      </c>
      <c r="D149" s="28" t="s">
        <v>101</v>
      </c>
      <c r="E149" s="28" t="s">
        <v>125</v>
      </c>
      <c r="F149" s="34">
        <v>3</v>
      </c>
      <c r="G149" s="39" t="str">
        <f>IF(tblLog[[#This Row],[Date]]="","",IFERROR(IF(INDEX(tblCCPs[Unit],MATCH(tblLog[[#This Row],[CCP]],tblCCPs[CCP],0))="","",INDEX(tblCCPs[Unit],MATCH(tblLog[[#This Row],[CCP]],tblCCPs[CCP],0))),""))</f>
        <v>°C</v>
      </c>
      <c r="H149" s="39" t="str">
        <f>IF(tblLog[[#This Row],[Date]]="","",IFERROR(IF(INDEX(tblCCPs[Limit type],MATCH(tblLog[[#This Row],[CCP]],tblCCPs[CCP],0))="","",INDEX(tblCCPs[Limit type],MATCH(tblLog[[#This Row],[CCP]],tblCCPs[CCP],0))),""))</f>
        <v>Maximum</v>
      </c>
      <c r="I149" s="40">
        <f>IF(tblLog[[#This Row],[Date]]="","",IFERROR(IF(INDEX(tblCCPs[Critical limit],MATCH(tblLog[[#This Row],[CCP]],tblCCPs[CCP],0))="","",INDEX(tblCCPs[Critical limit],MATCH(tblLog[[#This Row],[CCP]],tblCCPs[CCP],0))),""))</f>
        <v>5</v>
      </c>
      <c r="J149" s="40">
        <f>IF(tblLog[[#This Row],[Date]]="","",IFERROR(IF(INDEX(tblCCPs[Operating limit],MATCH(tblLog[[#This Row],[CCP]],tblCCPs[CCP],0))="","",INDEX(tblCCPs[Operating limit],MATCH(tblLog[[#This Row],[CCP]],tblCCPs[CCP],0))),""))</f>
        <v>4</v>
      </c>
      <c r="K14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49" s="28" t="s">
        <v>121</v>
      </c>
      <c r="M149" s="42" t="s">
        <v>122</v>
      </c>
      <c r="N149" s="35">
        <v>0</v>
      </c>
      <c r="O149" s="28" t="s">
        <v>123</v>
      </c>
      <c r="P149" s="43">
        <f>IF(tblLog[[#This Row],[Date]]="","",IF(N(tblLog[[#This Row],[Product held]])&gt;0,tblLog[[#This Row],[Product held]]*HoldValue+QACost,0))</f>
        <v>0</v>
      </c>
      <c r="Q149" s="43">
        <f>IF(tblLog[[#This Row],[Date]]="","",IF(tblLog[[#This Row],[CCP]]="","",COUNTIFS(tblLog[CCP],tblLog[[#This Row],[CCP]],tblLog[Date],"&lt;"&amp;tblLog[[#This Row],[Date]])+COUNTIFS(tblLog[CCP],tblLog[[#This Row],[CCP]],tblLog[Date],tblLog[[#This Row],[Date]],tblLog[Time],"&lt;="&amp;tblLog[[#This Row],[Time]])))</f>
        <v>16</v>
      </c>
      <c r="R149" s="44">
        <f>IF(tblLog[[#This Row],[Date]]="","",IF(AND(tblLog[[#This Row],[Date]]&gt;=FFrom,tblLog[[#This Row],[Date]]&lt;=FTo),tblLog[[#This Row],[Date]],""))</f>
        <v>46288</v>
      </c>
      <c r="S14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49" s="28" t="s">
        <v>122</v>
      </c>
    </row>
    <row r="150" spans="2:20">
      <c r="B150" s="37">
        <v>46288</v>
      </c>
      <c r="C150" s="38">
        <v>0.6979166666666666</v>
      </c>
      <c r="D150" s="28" t="s">
        <v>91</v>
      </c>
      <c r="E150" s="28" t="s">
        <v>182</v>
      </c>
      <c r="F150" s="34">
        <v>3.5</v>
      </c>
      <c r="G150" s="39" t="str">
        <f>IF(tblLog[[#This Row],[Date]]="","",IFERROR(IF(INDEX(tblCCPs[Unit],MATCH(tblLog[[#This Row],[CCP]],tblCCPs[CCP],0))="","",INDEX(tblCCPs[Unit],MATCH(tblLog[[#This Row],[CCP]],tblCCPs[CCP],0))),""))</f>
        <v>°C</v>
      </c>
      <c r="H150" s="39" t="str">
        <f>IF(tblLog[[#This Row],[Date]]="","",IFERROR(IF(INDEX(tblCCPs[Limit type],MATCH(tblLog[[#This Row],[CCP]],tblCCPs[CCP],0))="","",INDEX(tblCCPs[Limit type],MATCH(tblLog[[#This Row],[CCP]],tblCCPs[CCP],0))),""))</f>
        <v>Maximum</v>
      </c>
      <c r="I150" s="40">
        <f>IF(tblLog[[#This Row],[Date]]="","",IFERROR(IF(INDEX(tblCCPs[Critical limit],MATCH(tblLog[[#This Row],[CCP]],tblCCPs[CCP],0))="","",INDEX(tblCCPs[Critical limit],MATCH(tblLog[[#This Row],[CCP]],tblCCPs[CCP],0))),""))</f>
        <v>5</v>
      </c>
      <c r="J150" s="40">
        <f>IF(tblLog[[#This Row],[Date]]="","",IFERROR(IF(INDEX(tblCCPs[Operating limit],MATCH(tblLog[[#This Row],[CCP]],tblCCPs[CCP],0))="","",INDEX(tblCCPs[Operating limit],MATCH(tblLog[[#This Row],[CCP]],tblCCPs[CCP],0))),""))</f>
        <v>4</v>
      </c>
      <c r="K15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0" s="28" t="s">
        <v>121</v>
      </c>
      <c r="M150" s="42" t="s">
        <v>122</v>
      </c>
      <c r="N150" s="35">
        <v>0</v>
      </c>
      <c r="O150" s="28" t="s">
        <v>123</v>
      </c>
      <c r="P150" s="43">
        <f>IF(tblLog[[#This Row],[Date]]="","",IF(N(tblLog[[#This Row],[Product held]])&gt;0,tblLog[[#This Row],[Product held]]*HoldValue+QACost,0))</f>
        <v>0</v>
      </c>
      <c r="Q150" s="43">
        <f>IF(tblLog[[#This Row],[Date]]="","",IF(tblLog[[#This Row],[CCP]]="","",COUNTIFS(tblLog[CCP],tblLog[[#This Row],[CCP]],tblLog[Date],"&lt;"&amp;tblLog[[#This Row],[Date]])+COUNTIFS(tblLog[CCP],tblLog[[#This Row],[CCP]],tblLog[Date],tblLog[[#This Row],[Date]],tblLog[Time],"&lt;="&amp;tblLog[[#This Row],[Time]])))</f>
        <v>48</v>
      </c>
      <c r="R150" s="44">
        <f>IF(tblLog[[#This Row],[Date]]="","",IF(AND(tblLog[[#This Row],[Date]]&gt;=FFrom,tblLog[[#This Row],[Date]]&lt;=FTo),tblLog[[#This Row],[Date]],""))</f>
        <v>46288</v>
      </c>
      <c r="S15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0" s="28" t="s">
        <v>122</v>
      </c>
    </row>
    <row r="151" spans="2:20">
      <c r="B151" s="37">
        <v>46289</v>
      </c>
      <c r="C151" s="38">
        <v>0.2916666666666667</v>
      </c>
      <c r="D151" s="28" t="s">
        <v>96</v>
      </c>
      <c r="E151" s="28" t="s">
        <v>120</v>
      </c>
      <c r="F151" s="34">
        <v>3</v>
      </c>
      <c r="G151" s="39" t="str">
        <f>IF(tblLog[[#This Row],[Date]]="","",IFERROR(IF(INDEX(tblCCPs[Unit],MATCH(tblLog[[#This Row],[CCP]],tblCCPs[CCP],0))="","",INDEX(tblCCPs[Unit],MATCH(tblLog[[#This Row],[CCP]],tblCCPs[CCP],0))),""))</f>
        <v>of 3</v>
      </c>
      <c r="H151" s="39" t="str">
        <f>IF(tblLog[[#This Row],[Date]]="","",IFERROR(IF(INDEX(tblCCPs[Limit type],MATCH(tblLog[[#This Row],[CCP]],tblCCPs[CCP],0))="","",INDEX(tblCCPs[Limit type],MATCH(tblLog[[#This Row],[CCP]],tblCCPs[CCP],0))),""))</f>
        <v>Minimum</v>
      </c>
      <c r="I151" s="40">
        <f>IF(tblLog[[#This Row],[Date]]="","",IFERROR(IF(INDEX(tblCCPs[Critical limit],MATCH(tblLog[[#This Row],[CCP]],tblCCPs[CCP],0))="","",INDEX(tblCCPs[Critical limit],MATCH(tblLog[[#This Row],[CCP]],tblCCPs[CCP],0))),""))</f>
        <v>3</v>
      </c>
      <c r="J151" s="40">
        <f>IF(tblLog[[#This Row],[Date]]="","",IFERROR(IF(INDEX(tblCCPs[Operating limit],MATCH(tblLog[[#This Row],[CCP]],tblCCPs[CCP],0))="","",INDEX(tblCCPs[Operating limit],MATCH(tblLog[[#This Row],[CCP]],tblCCPs[CCP],0))),""))</f>
        <v/>
      </c>
      <c r="K15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1" s="28" t="s">
        <v>121</v>
      </c>
      <c r="M151" s="42" t="s">
        <v>122</v>
      </c>
      <c r="N151" s="35">
        <v>0</v>
      </c>
      <c r="O151" s="28" t="s">
        <v>123</v>
      </c>
      <c r="P151" s="43">
        <f>IF(tblLog[[#This Row],[Date]]="","",IF(N(tblLog[[#This Row],[Product held]])&gt;0,tblLog[[#This Row],[Product held]]*HoldValue+QACost,0))</f>
        <v>0</v>
      </c>
      <c r="Q151" s="43">
        <f>IF(tblLog[[#This Row],[Date]]="","",IF(tblLog[[#This Row],[CCP]]="","",COUNTIFS(tblLog[CCP],tblLog[[#This Row],[CCP]],tblLog[Date],"&lt;"&amp;tblLog[[#This Row],[Date]])+COUNTIFS(tblLog[CCP],tblLog[[#This Row],[CCP]],tblLog[Date],tblLog[[#This Row],[Date]],tblLog[Time],"&lt;="&amp;tblLog[[#This Row],[Time]])))</f>
        <v>33</v>
      </c>
      <c r="R151" s="44">
        <f>IF(tblLog[[#This Row],[Date]]="","",IF(AND(tblLog[[#This Row],[Date]]&gt;=FFrom,tblLog[[#This Row],[Date]]&lt;=FTo),tblLog[[#This Row],[Date]],""))</f>
        <v>46289</v>
      </c>
      <c r="S15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1" s="28" t="s">
        <v>122</v>
      </c>
    </row>
    <row r="152" spans="2:20">
      <c r="B152" s="37">
        <v>46289</v>
      </c>
      <c r="C152" s="38">
        <v>0.3125</v>
      </c>
      <c r="D152" s="28" t="s">
        <v>85</v>
      </c>
      <c r="E152" s="28" t="s">
        <v>183</v>
      </c>
      <c r="F152" s="34">
        <v>82</v>
      </c>
      <c r="G152" s="39" t="str">
        <f>IF(tblLog[[#This Row],[Date]]="","",IFERROR(IF(INDEX(tblCCPs[Unit],MATCH(tblLog[[#This Row],[CCP]],tblCCPs[CCP],0))="","",INDEX(tblCCPs[Unit],MATCH(tblLog[[#This Row],[CCP]],tblCCPs[CCP],0))),""))</f>
        <v>°C</v>
      </c>
      <c r="H152" s="39" t="str">
        <f>IF(tblLog[[#This Row],[Date]]="","",IFERROR(IF(INDEX(tblCCPs[Limit type],MATCH(tblLog[[#This Row],[CCP]],tblCCPs[CCP],0))="","",INDEX(tblCCPs[Limit type],MATCH(tblLog[[#This Row],[CCP]],tblCCPs[CCP],0))),""))</f>
        <v>Minimum</v>
      </c>
      <c r="I152" s="40">
        <f>IF(tblLog[[#This Row],[Date]]="","",IFERROR(IF(INDEX(tblCCPs[Critical limit],MATCH(tblLog[[#This Row],[CCP]],tblCCPs[CCP],0))="","",INDEX(tblCCPs[Critical limit],MATCH(tblLog[[#This Row],[CCP]],tblCCPs[CCP],0))),""))</f>
        <v>75</v>
      </c>
      <c r="J152" s="40">
        <f>IF(tblLog[[#This Row],[Date]]="","",IFERROR(IF(INDEX(tblCCPs[Operating limit],MATCH(tblLog[[#This Row],[CCP]],tblCCPs[CCP],0))="","",INDEX(tblCCPs[Operating limit],MATCH(tblLog[[#This Row],[CCP]],tblCCPs[CCP],0))),""))</f>
        <v>78</v>
      </c>
      <c r="K15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2" s="28" t="s">
        <v>121</v>
      </c>
      <c r="M152" s="42" t="s">
        <v>122</v>
      </c>
      <c r="N152" s="35">
        <v>0</v>
      </c>
      <c r="O152" s="28" t="s">
        <v>123</v>
      </c>
      <c r="P152" s="43">
        <f>IF(tblLog[[#This Row],[Date]]="","",IF(N(tblLog[[#This Row],[Product held]])&gt;0,tblLog[[#This Row],[Product held]]*HoldValue+QACost,0))</f>
        <v>0</v>
      </c>
      <c r="Q152" s="43">
        <f>IF(tblLog[[#This Row],[Date]]="","",IF(tblLog[[#This Row],[CCP]]="","",COUNTIFS(tblLog[CCP],tblLog[[#This Row],[CCP]],tblLog[Date],"&lt;"&amp;tblLog[[#This Row],[Date]])+COUNTIFS(tblLog[CCP],tblLog[[#This Row],[CCP]],tblLog[Date],tblLog[[#This Row],[Date]],tblLog[Time],"&lt;="&amp;tblLog[[#This Row],[Time]])))</f>
        <v>49</v>
      </c>
      <c r="R152" s="44">
        <f>IF(tblLog[[#This Row],[Date]]="","",IF(AND(tblLog[[#This Row],[Date]]&gt;=FFrom,tblLog[[#This Row],[Date]]&lt;=FTo),tblLog[[#This Row],[Date]],""))</f>
        <v>46289</v>
      </c>
      <c r="S15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2" s="28" t="s">
        <v>122</v>
      </c>
    </row>
    <row r="153" spans="2:20">
      <c r="B153" s="37">
        <v>46289</v>
      </c>
      <c r="C153" s="38">
        <v>0.3333333333333333</v>
      </c>
      <c r="D153" s="28" t="s">
        <v>101</v>
      </c>
      <c r="E153" s="28" t="s">
        <v>125</v>
      </c>
      <c r="F153" s="34">
        <v>2.9</v>
      </c>
      <c r="G153" s="39" t="str">
        <f>IF(tblLog[[#This Row],[Date]]="","",IFERROR(IF(INDEX(tblCCPs[Unit],MATCH(tblLog[[#This Row],[CCP]],tblCCPs[CCP],0))="","",INDEX(tblCCPs[Unit],MATCH(tblLog[[#This Row],[CCP]],tblCCPs[CCP],0))),""))</f>
        <v>°C</v>
      </c>
      <c r="H153" s="39" t="str">
        <f>IF(tblLog[[#This Row],[Date]]="","",IFERROR(IF(INDEX(tblCCPs[Limit type],MATCH(tblLog[[#This Row],[CCP]],tblCCPs[CCP],0))="","",INDEX(tblCCPs[Limit type],MATCH(tblLog[[#This Row],[CCP]],tblCCPs[CCP],0))),""))</f>
        <v>Maximum</v>
      </c>
      <c r="I153" s="40">
        <f>IF(tblLog[[#This Row],[Date]]="","",IFERROR(IF(INDEX(tblCCPs[Critical limit],MATCH(tblLog[[#This Row],[CCP]],tblCCPs[CCP],0))="","",INDEX(tblCCPs[Critical limit],MATCH(tblLog[[#This Row],[CCP]],tblCCPs[CCP],0))),""))</f>
        <v>5</v>
      </c>
      <c r="J153" s="40">
        <f>IF(tblLog[[#This Row],[Date]]="","",IFERROR(IF(INDEX(tblCCPs[Operating limit],MATCH(tblLog[[#This Row],[CCP]],tblCCPs[CCP],0))="","",INDEX(tblCCPs[Operating limit],MATCH(tblLog[[#This Row],[CCP]],tblCCPs[CCP],0))),""))</f>
        <v>4</v>
      </c>
      <c r="K15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3" s="28" t="s">
        <v>121</v>
      </c>
      <c r="M153" s="42" t="s">
        <v>122</v>
      </c>
      <c r="N153" s="35">
        <v>0</v>
      </c>
      <c r="O153" s="28" t="s">
        <v>123</v>
      </c>
      <c r="P153" s="43">
        <f>IF(tblLog[[#This Row],[Date]]="","",IF(N(tblLog[[#This Row],[Product held]])&gt;0,tblLog[[#This Row],[Product held]]*HoldValue+QACost,0))</f>
        <v>0</v>
      </c>
      <c r="Q153" s="43">
        <f>IF(tblLog[[#This Row],[Date]]="","",IF(tblLog[[#This Row],[CCP]]="","",COUNTIFS(tblLog[CCP],tblLog[[#This Row],[CCP]],tblLog[Date],"&lt;"&amp;tblLog[[#This Row],[Date]])+COUNTIFS(tblLog[CCP],tblLog[[#This Row],[CCP]],tblLog[Date],tblLog[[#This Row],[Date]],tblLog[Time],"&lt;="&amp;tblLog[[#This Row],[Time]])))</f>
        <v>17</v>
      </c>
      <c r="R153" s="44">
        <f>IF(tblLog[[#This Row],[Date]]="","",IF(AND(tblLog[[#This Row],[Date]]&gt;=FFrom,tblLog[[#This Row],[Date]]&lt;=FTo),tblLog[[#This Row],[Date]],""))</f>
        <v>46289</v>
      </c>
      <c r="S15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3" s="28" t="s">
        <v>122</v>
      </c>
    </row>
    <row r="154" spans="2:20">
      <c r="B154" s="37">
        <v>46289</v>
      </c>
      <c r="C154" s="38">
        <v>0.375</v>
      </c>
      <c r="D154" s="28" t="s">
        <v>85</v>
      </c>
      <c r="E154" s="28" t="s">
        <v>184</v>
      </c>
      <c r="F154" s="34">
        <v>82.09999999999999</v>
      </c>
      <c r="G154" s="39" t="str">
        <f>IF(tblLog[[#This Row],[Date]]="","",IFERROR(IF(INDEX(tblCCPs[Unit],MATCH(tblLog[[#This Row],[CCP]],tblCCPs[CCP],0))="","",INDEX(tblCCPs[Unit],MATCH(tblLog[[#This Row],[CCP]],tblCCPs[CCP],0))),""))</f>
        <v>°C</v>
      </c>
      <c r="H154" s="39" t="str">
        <f>IF(tblLog[[#This Row],[Date]]="","",IFERROR(IF(INDEX(tblCCPs[Limit type],MATCH(tblLog[[#This Row],[CCP]],tblCCPs[CCP],0))="","",INDEX(tblCCPs[Limit type],MATCH(tblLog[[#This Row],[CCP]],tblCCPs[CCP],0))),""))</f>
        <v>Minimum</v>
      </c>
      <c r="I154" s="40">
        <f>IF(tblLog[[#This Row],[Date]]="","",IFERROR(IF(INDEX(tblCCPs[Critical limit],MATCH(tblLog[[#This Row],[CCP]],tblCCPs[CCP],0))="","",INDEX(tblCCPs[Critical limit],MATCH(tblLog[[#This Row],[CCP]],tblCCPs[CCP],0))),""))</f>
        <v>75</v>
      </c>
      <c r="J154" s="40">
        <f>IF(tblLog[[#This Row],[Date]]="","",IFERROR(IF(INDEX(tblCCPs[Operating limit],MATCH(tblLog[[#This Row],[CCP]],tblCCPs[CCP],0))="","",INDEX(tblCCPs[Operating limit],MATCH(tblLog[[#This Row],[CCP]],tblCCPs[CCP],0))),""))</f>
        <v>78</v>
      </c>
      <c r="K15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4" s="28" t="s">
        <v>127</v>
      </c>
      <c r="M154" s="42" t="s">
        <v>122</v>
      </c>
      <c r="N154" s="35">
        <v>0</v>
      </c>
      <c r="O154" s="28" t="s">
        <v>123</v>
      </c>
      <c r="P154" s="43">
        <f>IF(tblLog[[#This Row],[Date]]="","",IF(N(tblLog[[#This Row],[Product held]])&gt;0,tblLog[[#This Row],[Product held]]*HoldValue+QACost,0))</f>
        <v>0</v>
      </c>
      <c r="Q154" s="43">
        <f>IF(tblLog[[#This Row],[Date]]="","",IF(tblLog[[#This Row],[CCP]]="","",COUNTIFS(tblLog[CCP],tblLog[[#This Row],[CCP]],tblLog[Date],"&lt;"&amp;tblLog[[#This Row],[Date]])+COUNTIFS(tblLog[CCP],tblLog[[#This Row],[CCP]],tblLog[Date],tblLog[[#This Row],[Date]],tblLog[Time],"&lt;="&amp;tblLog[[#This Row],[Time]])))</f>
        <v>50</v>
      </c>
      <c r="R154" s="44">
        <f>IF(tblLog[[#This Row],[Date]]="","",IF(AND(tblLog[[#This Row],[Date]]&gt;=FFrom,tblLog[[#This Row],[Date]]&lt;=FTo),tblLog[[#This Row],[Date]],""))</f>
        <v>46289</v>
      </c>
      <c r="S15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4" s="28" t="s">
        <v>122</v>
      </c>
    </row>
    <row r="155" spans="2:20">
      <c r="B155" s="37">
        <v>46289</v>
      </c>
      <c r="C155" s="38">
        <v>0.3854166666666667</v>
      </c>
      <c r="D155" s="28" t="s">
        <v>91</v>
      </c>
      <c r="E155" s="28" t="s">
        <v>183</v>
      </c>
      <c r="F155" s="34">
        <v>3.3</v>
      </c>
      <c r="G155" s="39" t="str">
        <f>IF(tblLog[[#This Row],[Date]]="","",IFERROR(IF(INDEX(tblCCPs[Unit],MATCH(tblLog[[#This Row],[CCP]],tblCCPs[CCP],0))="","",INDEX(tblCCPs[Unit],MATCH(tblLog[[#This Row],[CCP]],tblCCPs[CCP],0))),""))</f>
        <v>°C</v>
      </c>
      <c r="H155" s="39" t="str">
        <f>IF(tblLog[[#This Row],[Date]]="","",IFERROR(IF(INDEX(tblCCPs[Limit type],MATCH(tblLog[[#This Row],[CCP]],tblCCPs[CCP],0))="","",INDEX(tblCCPs[Limit type],MATCH(tblLog[[#This Row],[CCP]],tblCCPs[CCP],0))),""))</f>
        <v>Maximum</v>
      </c>
      <c r="I155" s="40">
        <f>IF(tblLog[[#This Row],[Date]]="","",IFERROR(IF(INDEX(tblCCPs[Critical limit],MATCH(tblLog[[#This Row],[CCP]],tblCCPs[CCP],0))="","",INDEX(tblCCPs[Critical limit],MATCH(tblLog[[#This Row],[CCP]],tblCCPs[CCP],0))),""))</f>
        <v>5</v>
      </c>
      <c r="J155" s="40">
        <f>IF(tblLog[[#This Row],[Date]]="","",IFERROR(IF(INDEX(tblCCPs[Operating limit],MATCH(tblLog[[#This Row],[CCP]],tblCCPs[CCP],0))="","",INDEX(tblCCPs[Operating limit],MATCH(tblLog[[#This Row],[CCP]],tblCCPs[CCP],0))),""))</f>
        <v>4</v>
      </c>
      <c r="K15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5" s="28" t="s">
        <v>121</v>
      </c>
      <c r="M155" s="42" t="s">
        <v>122</v>
      </c>
      <c r="N155" s="35">
        <v>0</v>
      </c>
      <c r="O155" s="28" t="s">
        <v>123</v>
      </c>
      <c r="P155" s="43">
        <f>IF(tblLog[[#This Row],[Date]]="","",IF(N(tblLog[[#This Row],[Product held]])&gt;0,tblLog[[#This Row],[Product held]]*HoldValue+QACost,0))</f>
        <v>0</v>
      </c>
      <c r="Q155" s="43">
        <f>IF(tblLog[[#This Row],[Date]]="","",IF(tblLog[[#This Row],[CCP]]="","",COUNTIFS(tblLog[CCP],tblLog[[#This Row],[CCP]],tblLog[Date],"&lt;"&amp;tblLog[[#This Row],[Date]])+COUNTIFS(tblLog[CCP],tblLog[[#This Row],[CCP]],tblLog[Date],tblLog[[#This Row],[Date]],tblLog[Time],"&lt;="&amp;tblLog[[#This Row],[Time]])))</f>
        <v>49</v>
      </c>
      <c r="R155" s="44">
        <f>IF(tblLog[[#This Row],[Date]]="","",IF(AND(tblLog[[#This Row],[Date]]&gt;=FFrom,tblLog[[#This Row],[Date]]&lt;=FTo),tblLog[[#This Row],[Date]],""))</f>
        <v>46289</v>
      </c>
      <c r="S15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5" s="28" t="s">
        <v>122</v>
      </c>
    </row>
    <row r="156" spans="2:20">
      <c r="B156" s="37">
        <v>46289</v>
      </c>
      <c r="C156" s="38">
        <v>0.4166666666666667</v>
      </c>
      <c r="D156" s="28" t="s">
        <v>96</v>
      </c>
      <c r="E156" s="28" t="s">
        <v>128</v>
      </c>
      <c r="F156" s="34">
        <v>3</v>
      </c>
      <c r="G156" s="39" t="str">
        <f>IF(tblLog[[#This Row],[Date]]="","",IFERROR(IF(INDEX(tblCCPs[Unit],MATCH(tblLog[[#This Row],[CCP]],tblCCPs[CCP],0))="","",INDEX(tblCCPs[Unit],MATCH(tblLog[[#This Row],[CCP]],tblCCPs[CCP],0))),""))</f>
        <v>of 3</v>
      </c>
      <c r="H156" s="39" t="str">
        <f>IF(tblLog[[#This Row],[Date]]="","",IFERROR(IF(INDEX(tblCCPs[Limit type],MATCH(tblLog[[#This Row],[CCP]],tblCCPs[CCP],0))="","",INDEX(tblCCPs[Limit type],MATCH(tblLog[[#This Row],[CCP]],tblCCPs[CCP],0))),""))</f>
        <v>Minimum</v>
      </c>
      <c r="I156" s="40">
        <f>IF(tblLog[[#This Row],[Date]]="","",IFERROR(IF(INDEX(tblCCPs[Critical limit],MATCH(tblLog[[#This Row],[CCP]],tblCCPs[CCP],0))="","",INDEX(tblCCPs[Critical limit],MATCH(tblLog[[#This Row],[CCP]],tblCCPs[CCP],0))),""))</f>
        <v>3</v>
      </c>
      <c r="J156" s="40">
        <f>IF(tblLog[[#This Row],[Date]]="","",IFERROR(IF(INDEX(tblCCPs[Operating limit],MATCH(tblLog[[#This Row],[CCP]],tblCCPs[CCP],0))="","",INDEX(tblCCPs[Operating limit],MATCH(tblLog[[#This Row],[CCP]],tblCCPs[CCP],0))),""))</f>
        <v/>
      </c>
      <c r="K15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6" s="28" t="s">
        <v>127</v>
      </c>
      <c r="M156" s="42" t="s">
        <v>122</v>
      </c>
      <c r="N156" s="35">
        <v>0</v>
      </c>
      <c r="O156" s="28" t="s">
        <v>123</v>
      </c>
      <c r="P156" s="43">
        <f>IF(tblLog[[#This Row],[Date]]="","",IF(N(tblLog[[#This Row],[Product held]])&gt;0,tblLog[[#This Row],[Product held]]*HoldValue+QACost,0))</f>
        <v>0</v>
      </c>
      <c r="Q156" s="43">
        <f>IF(tblLog[[#This Row],[Date]]="","",IF(tblLog[[#This Row],[CCP]]="","",COUNTIFS(tblLog[CCP],tblLog[[#This Row],[CCP]],tblLog[Date],"&lt;"&amp;tblLog[[#This Row],[Date]])+COUNTIFS(tblLog[CCP],tblLog[[#This Row],[CCP]],tblLog[Date],tblLog[[#This Row],[Date]],tblLog[Time],"&lt;="&amp;tblLog[[#This Row],[Time]])))</f>
        <v>34</v>
      </c>
      <c r="R156" s="44">
        <f>IF(tblLog[[#This Row],[Date]]="","",IF(AND(tblLog[[#This Row],[Date]]&gt;=FFrom,tblLog[[#This Row],[Date]]&lt;=FTo),tblLog[[#This Row],[Date]],""))</f>
        <v>46289</v>
      </c>
      <c r="S15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6" s="28" t="s">
        <v>122</v>
      </c>
    </row>
    <row r="157" spans="2:20">
      <c r="B157" s="37">
        <v>46289</v>
      </c>
      <c r="C157" s="38">
        <v>0.4375</v>
      </c>
      <c r="D157" s="28" t="s">
        <v>85</v>
      </c>
      <c r="E157" s="28" t="s">
        <v>185</v>
      </c>
      <c r="F157" s="34">
        <v>79.5</v>
      </c>
      <c r="G157" s="39" t="str">
        <f>IF(tblLog[[#This Row],[Date]]="","",IFERROR(IF(INDEX(tblCCPs[Unit],MATCH(tblLog[[#This Row],[CCP]],tblCCPs[CCP],0))="","",INDEX(tblCCPs[Unit],MATCH(tblLog[[#This Row],[CCP]],tblCCPs[CCP],0))),""))</f>
        <v>°C</v>
      </c>
      <c r="H157" s="39" t="str">
        <f>IF(tblLog[[#This Row],[Date]]="","",IFERROR(IF(INDEX(tblCCPs[Limit type],MATCH(tblLog[[#This Row],[CCP]],tblCCPs[CCP],0))="","",INDEX(tblCCPs[Limit type],MATCH(tblLog[[#This Row],[CCP]],tblCCPs[CCP],0))),""))</f>
        <v>Minimum</v>
      </c>
      <c r="I157" s="40">
        <f>IF(tblLog[[#This Row],[Date]]="","",IFERROR(IF(INDEX(tblCCPs[Critical limit],MATCH(tblLog[[#This Row],[CCP]],tblCCPs[CCP],0))="","",INDEX(tblCCPs[Critical limit],MATCH(tblLog[[#This Row],[CCP]],tblCCPs[CCP],0))),""))</f>
        <v>75</v>
      </c>
      <c r="J157" s="40">
        <f>IF(tblLog[[#This Row],[Date]]="","",IFERROR(IF(INDEX(tblCCPs[Operating limit],MATCH(tblLog[[#This Row],[CCP]],tblCCPs[CCP],0))="","",INDEX(tblCCPs[Operating limit],MATCH(tblLog[[#This Row],[CCP]],tblCCPs[CCP],0))),""))</f>
        <v>78</v>
      </c>
      <c r="K15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7" s="28" t="s">
        <v>130</v>
      </c>
      <c r="M157" s="42" t="s">
        <v>122</v>
      </c>
      <c r="N157" s="35">
        <v>0</v>
      </c>
      <c r="O157" s="28" t="s">
        <v>123</v>
      </c>
      <c r="P157" s="43">
        <f>IF(tblLog[[#This Row],[Date]]="","",IF(N(tblLog[[#This Row],[Product held]])&gt;0,tblLog[[#This Row],[Product held]]*HoldValue+QACost,0))</f>
        <v>0</v>
      </c>
      <c r="Q157" s="43">
        <f>IF(tblLog[[#This Row],[Date]]="","",IF(tblLog[[#This Row],[CCP]]="","",COUNTIFS(tblLog[CCP],tblLog[[#This Row],[CCP]],tblLog[Date],"&lt;"&amp;tblLog[[#This Row],[Date]])+COUNTIFS(tblLog[CCP],tblLog[[#This Row],[CCP]],tblLog[Date],tblLog[[#This Row],[Date]],tblLog[Time],"&lt;="&amp;tblLog[[#This Row],[Time]])))</f>
        <v>51</v>
      </c>
      <c r="R157" s="44">
        <f>IF(tblLog[[#This Row],[Date]]="","",IF(AND(tblLog[[#This Row],[Date]]&gt;=FFrom,tblLog[[#This Row],[Date]]&lt;=FTo),tblLog[[#This Row],[Date]],""))</f>
        <v>46289</v>
      </c>
      <c r="S15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7" s="28" t="s">
        <v>122</v>
      </c>
    </row>
    <row r="158" spans="2:20">
      <c r="B158" s="37">
        <v>46289</v>
      </c>
      <c r="C158" s="38">
        <v>0.4479166666666667</v>
      </c>
      <c r="D158" s="28" t="s">
        <v>91</v>
      </c>
      <c r="E158" s="28" t="s">
        <v>184</v>
      </c>
      <c r="F158" s="34">
        <v>3.8</v>
      </c>
      <c r="G158" s="39" t="str">
        <f>IF(tblLog[[#This Row],[Date]]="","",IFERROR(IF(INDEX(tblCCPs[Unit],MATCH(tblLog[[#This Row],[CCP]],tblCCPs[CCP],0))="","",INDEX(tblCCPs[Unit],MATCH(tblLog[[#This Row],[CCP]],tblCCPs[CCP],0))),""))</f>
        <v>°C</v>
      </c>
      <c r="H158" s="39" t="str">
        <f>IF(tblLog[[#This Row],[Date]]="","",IFERROR(IF(INDEX(tblCCPs[Limit type],MATCH(tblLog[[#This Row],[CCP]],tblCCPs[CCP],0))="","",INDEX(tblCCPs[Limit type],MATCH(tblLog[[#This Row],[CCP]],tblCCPs[CCP],0))),""))</f>
        <v>Maximum</v>
      </c>
      <c r="I158" s="40">
        <f>IF(tblLog[[#This Row],[Date]]="","",IFERROR(IF(INDEX(tblCCPs[Critical limit],MATCH(tblLog[[#This Row],[CCP]],tblCCPs[CCP],0))="","",INDEX(tblCCPs[Critical limit],MATCH(tblLog[[#This Row],[CCP]],tblCCPs[CCP],0))),""))</f>
        <v>5</v>
      </c>
      <c r="J158" s="40">
        <f>IF(tblLog[[#This Row],[Date]]="","",IFERROR(IF(INDEX(tblCCPs[Operating limit],MATCH(tblLog[[#This Row],[CCP]],tblCCPs[CCP],0))="","",INDEX(tblCCPs[Operating limit],MATCH(tblLog[[#This Row],[CCP]],tblCCPs[CCP],0))),""))</f>
        <v>4</v>
      </c>
      <c r="K15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8" s="28" t="s">
        <v>127</v>
      </c>
      <c r="M158" s="42" t="s">
        <v>122</v>
      </c>
      <c r="N158" s="35">
        <v>0</v>
      </c>
      <c r="O158" s="28" t="s">
        <v>123</v>
      </c>
      <c r="P158" s="43">
        <f>IF(tblLog[[#This Row],[Date]]="","",IF(N(tblLog[[#This Row],[Product held]])&gt;0,tblLog[[#This Row],[Product held]]*HoldValue+QACost,0))</f>
        <v>0</v>
      </c>
      <c r="Q158" s="43">
        <f>IF(tblLog[[#This Row],[Date]]="","",IF(tblLog[[#This Row],[CCP]]="","",COUNTIFS(tblLog[CCP],tblLog[[#This Row],[CCP]],tblLog[Date],"&lt;"&amp;tblLog[[#This Row],[Date]])+COUNTIFS(tblLog[CCP],tblLog[[#This Row],[CCP]],tblLog[Date],tblLog[[#This Row],[Date]],tblLog[Time],"&lt;="&amp;tblLog[[#This Row],[Time]])))</f>
        <v>50</v>
      </c>
      <c r="R158" s="44">
        <f>IF(tblLog[[#This Row],[Date]]="","",IF(AND(tblLog[[#This Row],[Date]]&gt;=FFrom,tblLog[[#This Row],[Date]]&lt;=FTo),tblLog[[#This Row],[Date]],""))</f>
        <v>46289</v>
      </c>
      <c r="S15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8" s="28" t="s">
        <v>122</v>
      </c>
    </row>
    <row r="159" spans="2:20">
      <c r="B159" s="37">
        <v>46289</v>
      </c>
      <c r="C159" s="38">
        <v>0.5</v>
      </c>
      <c r="D159" s="28" t="s">
        <v>85</v>
      </c>
      <c r="E159" s="28" t="s">
        <v>186</v>
      </c>
      <c r="F159" s="34">
        <v>82.5</v>
      </c>
      <c r="G159" s="39" t="str">
        <f>IF(tblLog[[#This Row],[Date]]="","",IFERROR(IF(INDEX(tblCCPs[Unit],MATCH(tblLog[[#This Row],[CCP]],tblCCPs[CCP],0))="","",INDEX(tblCCPs[Unit],MATCH(tblLog[[#This Row],[CCP]],tblCCPs[CCP],0))),""))</f>
        <v>°C</v>
      </c>
      <c r="H159" s="39" t="str">
        <f>IF(tblLog[[#This Row],[Date]]="","",IFERROR(IF(INDEX(tblCCPs[Limit type],MATCH(tblLog[[#This Row],[CCP]],tblCCPs[CCP],0))="","",INDEX(tblCCPs[Limit type],MATCH(tblLog[[#This Row],[CCP]],tblCCPs[CCP],0))),""))</f>
        <v>Minimum</v>
      </c>
      <c r="I159" s="40">
        <f>IF(tblLog[[#This Row],[Date]]="","",IFERROR(IF(INDEX(tblCCPs[Critical limit],MATCH(tblLog[[#This Row],[CCP]],tblCCPs[CCP],0))="","",INDEX(tblCCPs[Critical limit],MATCH(tblLog[[#This Row],[CCP]],tblCCPs[CCP],0))),""))</f>
        <v>75</v>
      </c>
      <c r="J159" s="40">
        <f>IF(tblLog[[#This Row],[Date]]="","",IFERROR(IF(INDEX(tblCCPs[Operating limit],MATCH(tblLog[[#This Row],[CCP]],tblCCPs[CCP],0))="","",INDEX(tblCCPs[Operating limit],MATCH(tblLog[[#This Row],[CCP]],tblCCPs[CCP],0))),""))</f>
        <v>78</v>
      </c>
      <c r="K15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59" s="28" t="s">
        <v>132</v>
      </c>
      <c r="M159" s="42" t="s">
        <v>122</v>
      </c>
      <c r="N159" s="35">
        <v>0</v>
      </c>
      <c r="O159" s="28" t="s">
        <v>123</v>
      </c>
      <c r="P159" s="43">
        <f>IF(tblLog[[#This Row],[Date]]="","",IF(N(tblLog[[#This Row],[Product held]])&gt;0,tblLog[[#This Row],[Product held]]*HoldValue+QACost,0))</f>
        <v>0</v>
      </c>
      <c r="Q159" s="43">
        <f>IF(tblLog[[#This Row],[Date]]="","",IF(tblLog[[#This Row],[CCP]]="","",COUNTIFS(tblLog[CCP],tblLog[[#This Row],[CCP]],tblLog[Date],"&lt;"&amp;tblLog[[#This Row],[Date]])+COUNTIFS(tblLog[CCP],tblLog[[#This Row],[CCP]],tblLog[Date],tblLog[[#This Row],[Date]],tblLog[Time],"&lt;="&amp;tblLog[[#This Row],[Time]])))</f>
        <v>52</v>
      </c>
      <c r="R159" s="44">
        <f>IF(tblLog[[#This Row],[Date]]="","",IF(AND(tblLog[[#This Row],[Date]]&gt;=FFrom,tblLog[[#This Row],[Date]]&lt;=FTo),tblLog[[#This Row],[Date]],""))</f>
        <v>46289</v>
      </c>
      <c r="S15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59" s="28" t="s">
        <v>122</v>
      </c>
    </row>
    <row r="160" spans="2:20">
      <c r="B160" s="37">
        <v>46289</v>
      </c>
      <c r="C160" s="38">
        <v>0.5104166666666666</v>
      </c>
      <c r="D160" s="28" t="s">
        <v>91</v>
      </c>
      <c r="E160" s="28" t="s">
        <v>185</v>
      </c>
      <c r="F160" s="34">
        <v>3.4</v>
      </c>
      <c r="G160" s="39" t="str">
        <f>IF(tblLog[[#This Row],[Date]]="","",IFERROR(IF(INDEX(tblCCPs[Unit],MATCH(tblLog[[#This Row],[CCP]],tblCCPs[CCP],0))="","",INDEX(tblCCPs[Unit],MATCH(tblLog[[#This Row],[CCP]],tblCCPs[CCP],0))),""))</f>
        <v>°C</v>
      </c>
      <c r="H160" s="39" t="str">
        <f>IF(tblLog[[#This Row],[Date]]="","",IFERROR(IF(INDEX(tblCCPs[Limit type],MATCH(tblLog[[#This Row],[CCP]],tblCCPs[CCP],0))="","",INDEX(tblCCPs[Limit type],MATCH(tblLog[[#This Row],[CCP]],tblCCPs[CCP],0))),""))</f>
        <v>Maximum</v>
      </c>
      <c r="I160" s="40">
        <f>IF(tblLog[[#This Row],[Date]]="","",IFERROR(IF(INDEX(tblCCPs[Critical limit],MATCH(tblLog[[#This Row],[CCP]],tblCCPs[CCP],0))="","",INDEX(tblCCPs[Critical limit],MATCH(tblLog[[#This Row],[CCP]],tblCCPs[CCP],0))),""))</f>
        <v>5</v>
      </c>
      <c r="J160" s="40">
        <f>IF(tblLog[[#This Row],[Date]]="","",IFERROR(IF(INDEX(tblCCPs[Operating limit],MATCH(tblLog[[#This Row],[CCP]],tblCCPs[CCP],0))="","",INDEX(tblCCPs[Operating limit],MATCH(tblLog[[#This Row],[CCP]],tblCCPs[CCP],0))),""))</f>
        <v>4</v>
      </c>
      <c r="K16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0" s="28" t="s">
        <v>130</v>
      </c>
      <c r="M160" s="42" t="s">
        <v>122</v>
      </c>
      <c r="N160" s="35">
        <v>0</v>
      </c>
      <c r="O160" s="28" t="s">
        <v>123</v>
      </c>
      <c r="P160" s="43">
        <f>IF(tblLog[[#This Row],[Date]]="","",IF(N(tblLog[[#This Row],[Product held]])&gt;0,tblLog[[#This Row],[Product held]]*HoldValue+QACost,0))</f>
        <v>0</v>
      </c>
      <c r="Q160" s="43">
        <f>IF(tblLog[[#This Row],[Date]]="","",IF(tblLog[[#This Row],[CCP]]="","",COUNTIFS(tblLog[CCP],tblLog[[#This Row],[CCP]],tblLog[Date],"&lt;"&amp;tblLog[[#This Row],[Date]])+COUNTIFS(tblLog[CCP],tblLog[[#This Row],[CCP]],tblLog[Date],tblLog[[#This Row],[Date]],tblLog[Time],"&lt;="&amp;tblLog[[#This Row],[Time]])))</f>
        <v>51</v>
      </c>
      <c r="R160" s="44">
        <f>IF(tblLog[[#This Row],[Date]]="","",IF(AND(tblLog[[#This Row],[Date]]&gt;=FFrom,tblLog[[#This Row],[Date]]&lt;=FTo),tblLog[[#This Row],[Date]],""))</f>
        <v>46289</v>
      </c>
      <c r="S16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0" s="28" t="s">
        <v>122</v>
      </c>
    </row>
    <row r="161" spans="2:20">
      <c r="B161" s="37">
        <v>46289</v>
      </c>
      <c r="C161" s="38">
        <v>0.5416666666666666</v>
      </c>
      <c r="D161" s="28" t="s">
        <v>96</v>
      </c>
      <c r="E161" s="28" t="s">
        <v>133</v>
      </c>
      <c r="F161" s="34">
        <v>3</v>
      </c>
      <c r="G161" s="39" t="str">
        <f>IF(tblLog[[#This Row],[Date]]="","",IFERROR(IF(INDEX(tblCCPs[Unit],MATCH(tblLog[[#This Row],[CCP]],tblCCPs[CCP],0))="","",INDEX(tblCCPs[Unit],MATCH(tblLog[[#This Row],[CCP]],tblCCPs[CCP],0))),""))</f>
        <v>of 3</v>
      </c>
      <c r="H161" s="39" t="str">
        <f>IF(tblLog[[#This Row],[Date]]="","",IFERROR(IF(INDEX(tblCCPs[Limit type],MATCH(tblLog[[#This Row],[CCP]],tblCCPs[CCP],0))="","",INDEX(tblCCPs[Limit type],MATCH(tblLog[[#This Row],[CCP]],tblCCPs[CCP],0))),""))</f>
        <v>Minimum</v>
      </c>
      <c r="I161" s="40">
        <f>IF(tblLog[[#This Row],[Date]]="","",IFERROR(IF(INDEX(tblCCPs[Critical limit],MATCH(tblLog[[#This Row],[CCP]],tblCCPs[CCP],0))="","",INDEX(tblCCPs[Critical limit],MATCH(tblLog[[#This Row],[CCP]],tblCCPs[CCP],0))),""))</f>
        <v>3</v>
      </c>
      <c r="J161" s="40">
        <f>IF(tblLog[[#This Row],[Date]]="","",IFERROR(IF(INDEX(tblCCPs[Operating limit],MATCH(tblLog[[#This Row],[CCP]],tblCCPs[CCP],0))="","",INDEX(tblCCPs[Operating limit],MATCH(tblLog[[#This Row],[CCP]],tblCCPs[CCP],0))),""))</f>
        <v/>
      </c>
      <c r="K16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1" s="28" t="s">
        <v>130</v>
      </c>
      <c r="M161" s="42" t="s">
        <v>122</v>
      </c>
      <c r="N161" s="35">
        <v>0</v>
      </c>
      <c r="O161" s="28" t="s">
        <v>123</v>
      </c>
      <c r="P161" s="43">
        <f>IF(tblLog[[#This Row],[Date]]="","",IF(N(tblLog[[#This Row],[Product held]])&gt;0,tblLog[[#This Row],[Product held]]*HoldValue+QACost,0))</f>
        <v>0</v>
      </c>
      <c r="Q161" s="43">
        <f>IF(tblLog[[#This Row],[Date]]="","",IF(tblLog[[#This Row],[CCP]]="","",COUNTIFS(tblLog[CCP],tblLog[[#This Row],[CCP]],tblLog[Date],"&lt;"&amp;tblLog[[#This Row],[Date]])+COUNTIFS(tblLog[CCP],tblLog[[#This Row],[CCP]],tblLog[Date],tblLog[[#This Row],[Date]],tblLog[Time],"&lt;="&amp;tblLog[[#This Row],[Time]])))</f>
        <v>35</v>
      </c>
      <c r="R161" s="44">
        <f>IF(tblLog[[#This Row],[Date]]="","",IF(AND(tblLog[[#This Row],[Date]]&gt;=FFrom,tblLog[[#This Row],[Date]]&lt;=FTo),tblLog[[#This Row],[Date]],""))</f>
        <v>46289</v>
      </c>
      <c r="S16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1" s="28" t="s">
        <v>122</v>
      </c>
    </row>
    <row r="162" spans="2:20">
      <c r="B162" s="37">
        <v>46289</v>
      </c>
      <c r="C162" s="38">
        <v>0.5625</v>
      </c>
      <c r="D162" s="28" t="s">
        <v>85</v>
      </c>
      <c r="E162" s="28" t="s">
        <v>187</v>
      </c>
      <c r="F162" s="34">
        <v>87.2</v>
      </c>
      <c r="G162" s="39" t="str">
        <f>IF(tblLog[[#This Row],[Date]]="","",IFERROR(IF(INDEX(tblCCPs[Unit],MATCH(tblLog[[#This Row],[CCP]],tblCCPs[CCP],0))="","",INDEX(tblCCPs[Unit],MATCH(tblLog[[#This Row],[CCP]],tblCCPs[CCP],0))),""))</f>
        <v>°C</v>
      </c>
      <c r="H162" s="39" t="str">
        <f>IF(tblLog[[#This Row],[Date]]="","",IFERROR(IF(INDEX(tblCCPs[Limit type],MATCH(tblLog[[#This Row],[CCP]],tblCCPs[CCP],0))="","",INDEX(tblCCPs[Limit type],MATCH(tblLog[[#This Row],[CCP]],tblCCPs[CCP],0))),""))</f>
        <v>Minimum</v>
      </c>
      <c r="I162" s="40">
        <f>IF(tblLog[[#This Row],[Date]]="","",IFERROR(IF(INDEX(tblCCPs[Critical limit],MATCH(tblLog[[#This Row],[CCP]],tblCCPs[CCP],0))="","",INDEX(tblCCPs[Critical limit],MATCH(tblLog[[#This Row],[CCP]],tblCCPs[CCP],0))),""))</f>
        <v>75</v>
      </c>
      <c r="J162" s="40">
        <f>IF(tblLog[[#This Row],[Date]]="","",IFERROR(IF(INDEX(tblCCPs[Operating limit],MATCH(tblLog[[#This Row],[CCP]],tblCCPs[CCP],0))="","",INDEX(tblCCPs[Operating limit],MATCH(tblLog[[#This Row],[CCP]],tblCCPs[CCP],0))),""))</f>
        <v>78</v>
      </c>
      <c r="K16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2" s="28" t="s">
        <v>121</v>
      </c>
      <c r="M162" s="42" t="s">
        <v>122</v>
      </c>
      <c r="N162" s="35">
        <v>0</v>
      </c>
      <c r="O162" s="28" t="s">
        <v>123</v>
      </c>
      <c r="P162" s="43">
        <f>IF(tblLog[[#This Row],[Date]]="","",IF(N(tblLog[[#This Row],[Product held]])&gt;0,tblLog[[#This Row],[Product held]]*HoldValue+QACost,0))</f>
        <v>0</v>
      </c>
      <c r="Q162" s="43">
        <f>IF(tblLog[[#This Row],[Date]]="","",IF(tblLog[[#This Row],[CCP]]="","",COUNTIFS(tblLog[CCP],tblLog[[#This Row],[CCP]],tblLog[Date],"&lt;"&amp;tblLog[[#This Row],[Date]])+COUNTIFS(tblLog[CCP],tblLog[[#This Row],[CCP]],tblLog[Date],tblLog[[#This Row],[Date]],tblLog[Time],"&lt;="&amp;tblLog[[#This Row],[Time]])))</f>
        <v>53</v>
      </c>
      <c r="R162" s="44">
        <f>IF(tblLog[[#This Row],[Date]]="","",IF(AND(tblLog[[#This Row],[Date]]&gt;=FFrom,tblLog[[#This Row],[Date]]&lt;=FTo),tblLog[[#This Row],[Date]],""))</f>
        <v>46289</v>
      </c>
      <c r="S16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2" s="28" t="s">
        <v>122</v>
      </c>
    </row>
    <row r="163" spans="2:20">
      <c r="B163" s="37">
        <v>46289</v>
      </c>
      <c r="C163" s="38">
        <v>0.5729166666666666</v>
      </c>
      <c r="D163" s="28" t="s">
        <v>91</v>
      </c>
      <c r="E163" s="28" t="s">
        <v>186</v>
      </c>
      <c r="F163" s="34">
        <v>3.7</v>
      </c>
      <c r="G163" s="39" t="str">
        <f>IF(tblLog[[#This Row],[Date]]="","",IFERROR(IF(INDEX(tblCCPs[Unit],MATCH(tblLog[[#This Row],[CCP]],tblCCPs[CCP],0))="","",INDEX(tblCCPs[Unit],MATCH(tblLog[[#This Row],[CCP]],tblCCPs[CCP],0))),""))</f>
        <v>°C</v>
      </c>
      <c r="H163" s="39" t="str">
        <f>IF(tblLog[[#This Row],[Date]]="","",IFERROR(IF(INDEX(tblCCPs[Limit type],MATCH(tblLog[[#This Row],[CCP]],tblCCPs[CCP],0))="","",INDEX(tblCCPs[Limit type],MATCH(tblLog[[#This Row],[CCP]],tblCCPs[CCP],0))),""))</f>
        <v>Maximum</v>
      </c>
      <c r="I163" s="40">
        <f>IF(tblLog[[#This Row],[Date]]="","",IFERROR(IF(INDEX(tblCCPs[Critical limit],MATCH(tblLog[[#This Row],[CCP]],tblCCPs[CCP],0))="","",INDEX(tblCCPs[Critical limit],MATCH(tblLog[[#This Row],[CCP]],tblCCPs[CCP],0))),""))</f>
        <v>5</v>
      </c>
      <c r="J163" s="40">
        <f>IF(tblLog[[#This Row],[Date]]="","",IFERROR(IF(INDEX(tblCCPs[Operating limit],MATCH(tblLog[[#This Row],[CCP]],tblCCPs[CCP],0))="","",INDEX(tblCCPs[Operating limit],MATCH(tblLog[[#This Row],[CCP]],tblCCPs[CCP],0))),""))</f>
        <v>4</v>
      </c>
      <c r="K16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3" s="28" t="s">
        <v>132</v>
      </c>
      <c r="M163" s="42" t="s">
        <v>122</v>
      </c>
      <c r="N163" s="35">
        <v>0</v>
      </c>
      <c r="O163" s="28" t="s">
        <v>123</v>
      </c>
      <c r="P163" s="43">
        <f>IF(tblLog[[#This Row],[Date]]="","",IF(N(tblLog[[#This Row],[Product held]])&gt;0,tblLog[[#This Row],[Product held]]*HoldValue+QACost,0))</f>
        <v>0</v>
      </c>
      <c r="Q163" s="43">
        <f>IF(tblLog[[#This Row],[Date]]="","",IF(tblLog[[#This Row],[CCP]]="","",COUNTIFS(tblLog[CCP],tblLog[[#This Row],[CCP]],tblLog[Date],"&lt;"&amp;tblLog[[#This Row],[Date]])+COUNTIFS(tblLog[CCP],tblLog[[#This Row],[CCP]],tblLog[Date],tblLog[[#This Row],[Date]],tblLog[Time],"&lt;="&amp;tblLog[[#This Row],[Time]])))</f>
        <v>52</v>
      </c>
      <c r="R163" s="44">
        <f>IF(tblLog[[#This Row],[Date]]="","",IF(AND(tblLog[[#This Row],[Date]]&gt;=FFrom,tblLog[[#This Row],[Date]]&lt;=FTo),tblLog[[#This Row],[Date]],""))</f>
        <v>46289</v>
      </c>
      <c r="S16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3" s="28" t="s">
        <v>122</v>
      </c>
    </row>
    <row r="164" spans="2:20">
      <c r="B164" s="37">
        <v>46289</v>
      </c>
      <c r="C164" s="38">
        <v>0.625</v>
      </c>
      <c r="D164" s="28" t="s">
        <v>85</v>
      </c>
      <c r="E164" s="28" t="s">
        <v>188</v>
      </c>
      <c r="F164" s="34">
        <v>85.2</v>
      </c>
      <c r="G164" s="39" t="str">
        <f>IF(tblLog[[#This Row],[Date]]="","",IFERROR(IF(INDEX(tblCCPs[Unit],MATCH(tblLog[[#This Row],[CCP]],tblCCPs[CCP],0))="","",INDEX(tblCCPs[Unit],MATCH(tblLog[[#This Row],[CCP]],tblCCPs[CCP],0))),""))</f>
        <v>°C</v>
      </c>
      <c r="H164" s="39" t="str">
        <f>IF(tblLog[[#This Row],[Date]]="","",IFERROR(IF(INDEX(tblCCPs[Limit type],MATCH(tblLog[[#This Row],[CCP]],tblCCPs[CCP],0))="","",INDEX(tblCCPs[Limit type],MATCH(tblLog[[#This Row],[CCP]],tblCCPs[CCP],0))),""))</f>
        <v>Minimum</v>
      </c>
      <c r="I164" s="40">
        <f>IF(tblLog[[#This Row],[Date]]="","",IFERROR(IF(INDEX(tblCCPs[Critical limit],MATCH(tblLog[[#This Row],[CCP]],tblCCPs[CCP],0))="","",INDEX(tblCCPs[Critical limit],MATCH(tblLog[[#This Row],[CCP]],tblCCPs[CCP],0))),""))</f>
        <v>75</v>
      </c>
      <c r="J164" s="40">
        <f>IF(tblLog[[#This Row],[Date]]="","",IFERROR(IF(INDEX(tblCCPs[Operating limit],MATCH(tblLog[[#This Row],[CCP]],tblCCPs[CCP],0))="","",INDEX(tblCCPs[Operating limit],MATCH(tblLog[[#This Row],[CCP]],tblCCPs[CCP],0))),""))</f>
        <v>78</v>
      </c>
      <c r="K16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4" s="28" t="s">
        <v>127</v>
      </c>
      <c r="M164" s="42" t="s">
        <v>122</v>
      </c>
      <c r="N164" s="35">
        <v>0</v>
      </c>
      <c r="O164" s="28" t="s">
        <v>123</v>
      </c>
      <c r="P164" s="43">
        <f>IF(tblLog[[#This Row],[Date]]="","",IF(N(tblLog[[#This Row],[Product held]])&gt;0,tblLog[[#This Row],[Product held]]*HoldValue+QACost,0))</f>
        <v>0</v>
      </c>
      <c r="Q164" s="43">
        <f>IF(tblLog[[#This Row],[Date]]="","",IF(tblLog[[#This Row],[CCP]]="","",COUNTIFS(tblLog[CCP],tblLog[[#This Row],[CCP]],tblLog[Date],"&lt;"&amp;tblLog[[#This Row],[Date]])+COUNTIFS(tblLog[CCP],tblLog[[#This Row],[CCP]],tblLog[Date],tblLog[[#This Row],[Date]],tblLog[Time],"&lt;="&amp;tblLog[[#This Row],[Time]])))</f>
        <v>54</v>
      </c>
      <c r="R164" s="44">
        <f>IF(tblLog[[#This Row],[Date]]="","",IF(AND(tblLog[[#This Row],[Date]]&gt;=FFrom,tblLog[[#This Row],[Date]]&lt;=FTo),tblLog[[#This Row],[Date]],""))</f>
        <v>46289</v>
      </c>
      <c r="S16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4" s="28" t="s">
        <v>122</v>
      </c>
    </row>
    <row r="165" spans="2:20">
      <c r="B165" s="37">
        <v>46289</v>
      </c>
      <c r="C165" s="38">
        <v>0.6354166666666666</v>
      </c>
      <c r="D165" s="28" t="s">
        <v>91</v>
      </c>
      <c r="E165" s="28" t="s">
        <v>187</v>
      </c>
      <c r="F165" s="34">
        <v>2.5</v>
      </c>
      <c r="G165" s="39" t="str">
        <f>IF(tblLog[[#This Row],[Date]]="","",IFERROR(IF(INDEX(tblCCPs[Unit],MATCH(tblLog[[#This Row],[CCP]],tblCCPs[CCP],0))="","",INDEX(tblCCPs[Unit],MATCH(tblLog[[#This Row],[CCP]],tblCCPs[CCP],0))),""))</f>
        <v>°C</v>
      </c>
      <c r="H165" s="39" t="str">
        <f>IF(tblLog[[#This Row],[Date]]="","",IFERROR(IF(INDEX(tblCCPs[Limit type],MATCH(tblLog[[#This Row],[CCP]],tblCCPs[CCP],0))="","",INDEX(tblCCPs[Limit type],MATCH(tblLog[[#This Row],[CCP]],tblCCPs[CCP],0))),""))</f>
        <v>Maximum</v>
      </c>
      <c r="I165" s="40">
        <f>IF(tblLog[[#This Row],[Date]]="","",IFERROR(IF(INDEX(tblCCPs[Critical limit],MATCH(tblLog[[#This Row],[CCP]],tblCCPs[CCP],0))="","",INDEX(tblCCPs[Critical limit],MATCH(tblLog[[#This Row],[CCP]],tblCCPs[CCP],0))),""))</f>
        <v>5</v>
      </c>
      <c r="J165" s="40">
        <f>IF(tblLog[[#This Row],[Date]]="","",IFERROR(IF(INDEX(tblCCPs[Operating limit],MATCH(tblLog[[#This Row],[CCP]],tblCCPs[CCP],0))="","",INDEX(tblCCPs[Operating limit],MATCH(tblLog[[#This Row],[CCP]],tblCCPs[CCP],0))),""))</f>
        <v>4</v>
      </c>
      <c r="K16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5" s="28" t="s">
        <v>121</v>
      </c>
      <c r="M165" s="42" t="s">
        <v>122</v>
      </c>
      <c r="N165" s="35">
        <v>0</v>
      </c>
      <c r="O165" s="28" t="s">
        <v>123</v>
      </c>
      <c r="P165" s="43">
        <f>IF(tblLog[[#This Row],[Date]]="","",IF(N(tblLog[[#This Row],[Product held]])&gt;0,tblLog[[#This Row],[Product held]]*HoldValue+QACost,0))</f>
        <v>0</v>
      </c>
      <c r="Q165" s="43">
        <f>IF(tblLog[[#This Row],[Date]]="","",IF(tblLog[[#This Row],[CCP]]="","",COUNTIFS(tblLog[CCP],tblLog[[#This Row],[CCP]],tblLog[Date],"&lt;"&amp;tblLog[[#This Row],[Date]])+COUNTIFS(tblLog[CCP],tblLog[[#This Row],[CCP]],tblLog[Date],tblLog[[#This Row],[Date]],tblLog[Time],"&lt;="&amp;tblLog[[#This Row],[Time]])))</f>
        <v>53</v>
      </c>
      <c r="R165" s="44">
        <f>IF(tblLog[[#This Row],[Date]]="","",IF(AND(tblLog[[#This Row],[Date]]&gt;=FFrom,tblLog[[#This Row],[Date]]&lt;=FTo),tblLog[[#This Row],[Date]],""))</f>
        <v>46289</v>
      </c>
      <c r="S16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5" s="28" t="s">
        <v>122</v>
      </c>
    </row>
    <row r="166" spans="2:20">
      <c r="B166" s="37">
        <v>46289</v>
      </c>
      <c r="C166" s="38">
        <v>0.6458333333333334</v>
      </c>
      <c r="D166" s="28" t="s">
        <v>96</v>
      </c>
      <c r="E166" s="28" t="s">
        <v>136</v>
      </c>
      <c r="F166" s="34">
        <v>3</v>
      </c>
      <c r="G166" s="39" t="str">
        <f>IF(tblLog[[#This Row],[Date]]="","",IFERROR(IF(INDEX(tblCCPs[Unit],MATCH(tblLog[[#This Row],[CCP]],tblCCPs[CCP],0))="","",INDEX(tblCCPs[Unit],MATCH(tblLog[[#This Row],[CCP]],tblCCPs[CCP],0))),""))</f>
        <v>of 3</v>
      </c>
      <c r="H166" s="39" t="str">
        <f>IF(tblLog[[#This Row],[Date]]="","",IFERROR(IF(INDEX(tblCCPs[Limit type],MATCH(tblLog[[#This Row],[CCP]],tblCCPs[CCP],0))="","",INDEX(tblCCPs[Limit type],MATCH(tblLog[[#This Row],[CCP]],tblCCPs[CCP],0))),""))</f>
        <v>Minimum</v>
      </c>
      <c r="I166" s="40">
        <f>IF(tblLog[[#This Row],[Date]]="","",IFERROR(IF(INDEX(tblCCPs[Critical limit],MATCH(tblLog[[#This Row],[CCP]],tblCCPs[CCP],0))="","",INDEX(tblCCPs[Critical limit],MATCH(tblLog[[#This Row],[CCP]],tblCCPs[CCP],0))),""))</f>
        <v>3</v>
      </c>
      <c r="J166" s="40">
        <f>IF(tblLog[[#This Row],[Date]]="","",IFERROR(IF(INDEX(tblCCPs[Operating limit],MATCH(tblLog[[#This Row],[CCP]],tblCCPs[CCP],0))="","",INDEX(tblCCPs[Operating limit],MATCH(tblLog[[#This Row],[CCP]],tblCCPs[CCP],0))),""))</f>
        <v/>
      </c>
      <c r="K16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6" s="28" t="s">
        <v>132</v>
      </c>
      <c r="M166" s="42" t="s">
        <v>122</v>
      </c>
      <c r="N166" s="35">
        <v>0</v>
      </c>
      <c r="O166" s="28" t="s">
        <v>123</v>
      </c>
      <c r="P166" s="43">
        <f>IF(tblLog[[#This Row],[Date]]="","",IF(N(tblLog[[#This Row],[Product held]])&gt;0,tblLog[[#This Row],[Product held]]*HoldValue+QACost,0))</f>
        <v>0</v>
      </c>
      <c r="Q166" s="43">
        <f>IF(tblLog[[#This Row],[Date]]="","",IF(tblLog[[#This Row],[CCP]]="","",COUNTIFS(tblLog[CCP],tblLog[[#This Row],[CCP]],tblLog[Date],"&lt;"&amp;tblLog[[#This Row],[Date]])+COUNTIFS(tblLog[CCP],tblLog[[#This Row],[CCP]],tblLog[Date],tblLog[[#This Row],[Date]],tblLog[Time],"&lt;="&amp;tblLog[[#This Row],[Time]])))</f>
        <v>36</v>
      </c>
      <c r="R166" s="44">
        <f>IF(tblLog[[#This Row],[Date]]="","",IF(AND(tblLog[[#This Row],[Date]]&gt;=FFrom,tblLog[[#This Row],[Date]]&lt;=FTo),tblLog[[#This Row],[Date]],""))</f>
        <v>46289</v>
      </c>
      <c r="S16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6" s="28" t="s">
        <v>122</v>
      </c>
    </row>
    <row r="167" spans="2:20">
      <c r="B167" s="37">
        <v>46289</v>
      </c>
      <c r="C167" s="38">
        <v>0.6979166666666666</v>
      </c>
      <c r="D167" s="28" t="s">
        <v>91</v>
      </c>
      <c r="E167" s="28" t="s">
        <v>188</v>
      </c>
      <c r="F167" s="34">
        <v>3.6</v>
      </c>
      <c r="G167" s="39" t="str">
        <f>IF(tblLog[[#This Row],[Date]]="","",IFERROR(IF(INDEX(tblCCPs[Unit],MATCH(tblLog[[#This Row],[CCP]],tblCCPs[CCP],0))="","",INDEX(tblCCPs[Unit],MATCH(tblLog[[#This Row],[CCP]],tblCCPs[CCP],0))),""))</f>
        <v>°C</v>
      </c>
      <c r="H167" s="39" t="str">
        <f>IF(tblLog[[#This Row],[Date]]="","",IFERROR(IF(INDEX(tblCCPs[Limit type],MATCH(tblLog[[#This Row],[CCP]],tblCCPs[CCP],0))="","",INDEX(tblCCPs[Limit type],MATCH(tblLog[[#This Row],[CCP]],tblCCPs[CCP],0))),""))</f>
        <v>Maximum</v>
      </c>
      <c r="I167" s="40">
        <f>IF(tblLog[[#This Row],[Date]]="","",IFERROR(IF(INDEX(tblCCPs[Critical limit],MATCH(tblLog[[#This Row],[CCP]],tblCCPs[CCP],0))="","",INDEX(tblCCPs[Critical limit],MATCH(tblLog[[#This Row],[CCP]],tblCCPs[CCP],0))),""))</f>
        <v>5</v>
      </c>
      <c r="J167" s="40">
        <f>IF(tblLog[[#This Row],[Date]]="","",IFERROR(IF(INDEX(tblCCPs[Operating limit],MATCH(tblLog[[#This Row],[CCP]],tblCCPs[CCP],0))="","",INDEX(tblCCPs[Operating limit],MATCH(tblLog[[#This Row],[CCP]],tblCCPs[CCP],0))),""))</f>
        <v>4</v>
      </c>
      <c r="K16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7" s="28" t="s">
        <v>127</v>
      </c>
      <c r="M167" s="42" t="s">
        <v>122</v>
      </c>
      <c r="N167" s="35">
        <v>0</v>
      </c>
      <c r="O167" s="28" t="s">
        <v>123</v>
      </c>
      <c r="P167" s="43">
        <f>IF(tblLog[[#This Row],[Date]]="","",IF(N(tblLog[[#This Row],[Product held]])&gt;0,tblLog[[#This Row],[Product held]]*HoldValue+QACost,0))</f>
        <v>0</v>
      </c>
      <c r="Q167" s="43">
        <f>IF(tblLog[[#This Row],[Date]]="","",IF(tblLog[[#This Row],[CCP]]="","",COUNTIFS(tblLog[CCP],tblLog[[#This Row],[CCP]],tblLog[Date],"&lt;"&amp;tblLog[[#This Row],[Date]])+COUNTIFS(tblLog[CCP],tblLog[[#This Row],[CCP]],tblLog[Date],tblLog[[#This Row],[Date]],tblLog[Time],"&lt;="&amp;tblLog[[#This Row],[Time]])))</f>
        <v>54</v>
      </c>
      <c r="R167" s="44">
        <f>IF(tblLog[[#This Row],[Date]]="","",IF(AND(tblLog[[#This Row],[Date]]&gt;=FFrom,tblLog[[#This Row],[Date]]&lt;=FTo),tblLog[[#This Row],[Date]],""))</f>
        <v>46289</v>
      </c>
      <c r="S16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7" s="28" t="s">
        <v>122</v>
      </c>
    </row>
    <row r="168" spans="2:20">
      <c r="B168" s="37">
        <v>46290</v>
      </c>
      <c r="C168" s="38">
        <v>0.2916666666666667</v>
      </c>
      <c r="D168" s="28" t="s">
        <v>96</v>
      </c>
      <c r="E168" s="28" t="s">
        <v>120</v>
      </c>
      <c r="F168" s="34">
        <v>3</v>
      </c>
      <c r="G168" s="39" t="str">
        <f>IF(tblLog[[#This Row],[Date]]="","",IFERROR(IF(INDEX(tblCCPs[Unit],MATCH(tblLog[[#This Row],[CCP]],tblCCPs[CCP],0))="","",INDEX(tblCCPs[Unit],MATCH(tblLog[[#This Row],[CCP]],tblCCPs[CCP],0))),""))</f>
        <v>of 3</v>
      </c>
      <c r="H168" s="39" t="str">
        <f>IF(tblLog[[#This Row],[Date]]="","",IFERROR(IF(INDEX(tblCCPs[Limit type],MATCH(tblLog[[#This Row],[CCP]],tblCCPs[CCP],0))="","",INDEX(tblCCPs[Limit type],MATCH(tblLog[[#This Row],[CCP]],tblCCPs[CCP],0))),""))</f>
        <v>Minimum</v>
      </c>
      <c r="I168" s="40">
        <f>IF(tblLog[[#This Row],[Date]]="","",IFERROR(IF(INDEX(tblCCPs[Critical limit],MATCH(tblLog[[#This Row],[CCP]],tblCCPs[CCP],0))="","",INDEX(tblCCPs[Critical limit],MATCH(tblLog[[#This Row],[CCP]],tblCCPs[CCP],0))),""))</f>
        <v>3</v>
      </c>
      <c r="J168" s="40">
        <f>IF(tblLog[[#This Row],[Date]]="","",IFERROR(IF(INDEX(tblCCPs[Operating limit],MATCH(tblLog[[#This Row],[CCP]],tblCCPs[CCP],0))="","",INDEX(tblCCPs[Operating limit],MATCH(tblLog[[#This Row],[CCP]],tblCCPs[CCP],0))),""))</f>
        <v/>
      </c>
      <c r="K16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8" s="28" t="s">
        <v>127</v>
      </c>
      <c r="M168" s="42" t="s">
        <v>122</v>
      </c>
      <c r="N168" s="35">
        <v>0</v>
      </c>
      <c r="O168" s="28" t="s">
        <v>122</v>
      </c>
      <c r="P168" s="43">
        <f>IF(tblLog[[#This Row],[Date]]="","",IF(N(tblLog[[#This Row],[Product held]])&gt;0,tblLog[[#This Row],[Product held]]*HoldValue+QACost,0))</f>
        <v>0</v>
      </c>
      <c r="Q168" s="43">
        <f>IF(tblLog[[#This Row],[Date]]="","",IF(tblLog[[#This Row],[CCP]]="","",COUNTIFS(tblLog[CCP],tblLog[[#This Row],[CCP]],tblLog[Date],"&lt;"&amp;tblLog[[#This Row],[Date]])+COUNTIFS(tblLog[CCP],tblLog[[#This Row],[CCP]],tblLog[Date],tblLog[[#This Row],[Date]],tblLog[Time],"&lt;="&amp;tblLog[[#This Row],[Time]])))</f>
        <v>37</v>
      </c>
      <c r="R168" s="44">
        <f>IF(tblLog[[#This Row],[Date]]="","",IF(AND(tblLog[[#This Row],[Date]]&gt;=FFrom,tblLog[[#This Row],[Date]]&lt;=FTo),tblLog[[#This Row],[Date]],""))</f>
        <v>46290</v>
      </c>
      <c r="S16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8" s="28" t="s">
        <v>122</v>
      </c>
    </row>
    <row r="169" spans="2:20">
      <c r="B169" s="37">
        <v>46290</v>
      </c>
      <c r="C169" s="38">
        <v>0.3125</v>
      </c>
      <c r="D169" s="28" t="s">
        <v>85</v>
      </c>
      <c r="E169" s="28" t="s">
        <v>189</v>
      </c>
      <c r="F169" s="34">
        <v>81.7</v>
      </c>
      <c r="G169" s="39" t="str">
        <f>IF(tblLog[[#This Row],[Date]]="","",IFERROR(IF(INDEX(tblCCPs[Unit],MATCH(tblLog[[#This Row],[CCP]],tblCCPs[CCP],0))="","",INDEX(tblCCPs[Unit],MATCH(tblLog[[#This Row],[CCP]],tblCCPs[CCP],0))),""))</f>
        <v>°C</v>
      </c>
      <c r="H169" s="39" t="str">
        <f>IF(tblLog[[#This Row],[Date]]="","",IFERROR(IF(INDEX(tblCCPs[Limit type],MATCH(tblLog[[#This Row],[CCP]],tblCCPs[CCP],0))="","",INDEX(tblCCPs[Limit type],MATCH(tblLog[[#This Row],[CCP]],tblCCPs[CCP],0))),""))</f>
        <v>Minimum</v>
      </c>
      <c r="I169" s="40">
        <f>IF(tblLog[[#This Row],[Date]]="","",IFERROR(IF(INDEX(tblCCPs[Critical limit],MATCH(tblLog[[#This Row],[CCP]],tblCCPs[CCP],0))="","",INDEX(tblCCPs[Critical limit],MATCH(tblLog[[#This Row],[CCP]],tblCCPs[CCP],0))),""))</f>
        <v>75</v>
      </c>
      <c r="J169" s="40">
        <f>IF(tblLog[[#This Row],[Date]]="","",IFERROR(IF(INDEX(tblCCPs[Operating limit],MATCH(tblLog[[#This Row],[CCP]],tblCCPs[CCP],0))="","",INDEX(tblCCPs[Operating limit],MATCH(tblLog[[#This Row],[CCP]],tblCCPs[CCP],0))),""))</f>
        <v>78</v>
      </c>
      <c r="K16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69" s="28" t="s">
        <v>127</v>
      </c>
      <c r="M169" s="42" t="s">
        <v>122</v>
      </c>
      <c r="N169" s="35">
        <v>0</v>
      </c>
      <c r="O169" s="28" t="s">
        <v>122</v>
      </c>
      <c r="P169" s="43">
        <f>IF(tblLog[[#This Row],[Date]]="","",IF(N(tblLog[[#This Row],[Product held]])&gt;0,tblLog[[#This Row],[Product held]]*HoldValue+QACost,0))</f>
        <v>0</v>
      </c>
      <c r="Q169" s="43">
        <f>IF(tblLog[[#This Row],[Date]]="","",IF(tblLog[[#This Row],[CCP]]="","",COUNTIFS(tblLog[CCP],tblLog[[#This Row],[CCP]],tblLog[Date],"&lt;"&amp;tblLog[[#This Row],[Date]])+COUNTIFS(tblLog[CCP],tblLog[[#This Row],[CCP]],tblLog[Date],tblLog[[#This Row],[Date]],tblLog[Time],"&lt;="&amp;tblLog[[#This Row],[Time]])))</f>
        <v>55</v>
      </c>
      <c r="R169" s="44">
        <f>IF(tblLog[[#This Row],[Date]]="","",IF(AND(tblLog[[#This Row],[Date]]&gt;=FFrom,tblLog[[#This Row],[Date]]&lt;=FTo),tblLog[[#This Row],[Date]],""))</f>
        <v>46290</v>
      </c>
      <c r="S16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69" s="28" t="s">
        <v>122</v>
      </c>
    </row>
    <row r="170" spans="2:20">
      <c r="B170" s="37">
        <v>46290</v>
      </c>
      <c r="C170" s="38">
        <v>0.3333333333333333</v>
      </c>
      <c r="D170" s="28" t="s">
        <v>101</v>
      </c>
      <c r="E170" s="28" t="s">
        <v>125</v>
      </c>
      <c r="F170" s="34">
        <v>2.3</v>
      </c>
      <c r="G170" s="39" t="str">
        <f>IF(tblLog[[#This Row],[Date]]="","",IFERROR(IF(INDEX(tblCCPs[Unit],MATCH(tblLog[[#This Row],[CCP]],tblCCPs[CCP],0))="","",INDEX(tblCCPs[Unit],MATCH(tblLog[[#This Row],[CCP]],tblCCPs[CCP],0))),""))</f>
        <v>°C</v>
      </c>
      <c r="H170" s="39" t="str">
        <f>IF(tblLog[[#This Row],[Date]]="","",IFERROR(IF(INDEX(tblCCPs[Limit type],MATCH(tblLog[[#This Row],[CCP]],tblCCPs[CCP],0))="","",INDEX(tblCCPs[Limit type],MATCH(tblLog[[#This Row],[CCP]],tblCCPs[CCP],0))),""))</f>
        <v>Maximum</v>
      </c>
      <c r="I170" s="40">
        <f>IF(tblLog[[#This Row],[Date]]="","",IFERROR(IF(INDEX(tblCCPs[Critical limit],MATCH(tblLog[[#This Row],[CCP]],tblCCPs[CCP],0))="","",INDEX(tblCCPs[Critical limit],MATCH(tblLog[[#This Row],[CCP]],tblCCPs[CCP],0))),""))</f>
        <v>5</v>
      </c>
      <c r="J170" s="40">
        <f>IF(tblLog[[#This Row],[Date]]="","",IFERROR(IF(INDEX(tblCCPs[Operating limit],MATCH(tblLog[[#This Row],[CCP]],tblCCPs[CCP],0))="","",INDEX(tblCCPs[Operating limit],MATCH(tblLog[[#This Row],[CCP]],tblCCPs[CCP],0))),""))</f>
        <v>4</v>
      </c>
      <c r="K17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0" s="28" t="s">
        <v>127</v>
      </c>
      <c r="M170" s="42" t="s">
        <v>122</v>
      </c>
      <c r="N170" s="35">
        <v>0</v>
      </c>
      <c r="O170" s="28" t="s">
        <v>122</v>
      </c>
      <c r="P170" s="43">
        <f>IF(tblLog[[#This Row],[Date]]="","",IF(N(tblLog[[#This Row],[Product held]])&gt;0,tblLog[[#This Row],[Product held]]*HoldValue+QACost,0))</f>
        <v>0</v>
      </c>
      <c r="Q170" s="43">
        <f>IF(tblLog[[#This Row],[Date]]="","",IF(tblLog[[#This Row],[CCP]]="","",COUNTIFS(tblLog[CCP],tblLog[[#This Row],[CCP]],tblLog[Date],"&lt;"&amp;tblLog[[#This Row],[Date]])+COUNTIFS(tblLog[CCP],tblLog[[#This Row],[CCP]],tblLog[Date],tblLog[[#This Row],[Date]],tblLog[Time],"&lt;="&amp;tblLog[[#This Row],[Time]])))</f>
        <v>18</v>
      </c>
      <c r="R170" s="44">
        <f>IF(tblLog[[#This Row],[Date]]="","",IF(AND(tblLog[[#This Row],[Date]]&gt;=FFrom,tblLog[[#This Row],[Date]]&lt;=FTo),tblLog[[#This Row],[Date]],""))</f>
        <v>46290</v>
      </c>
      <c r="S17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0" s="28" t="s">
        <v>122</v>
      </c>
    </row>
    <row r="171" spans="2:20">
      <c r="B171" s="37">
        <v>46290</v>
      </c>
      <c r="C171" s="38">
        <v>0.375</v>
      </c>
      <c r="D171" s="28" t="s">
        <v>85</v>
      </c>
      <c r="E171" s="28" t="s">
        <v>190</v>
      </c>
      <c r="F171" s="34">
        <v>81.59999999999999</v>
      </c>
      <c r="G171" s="39" t="str">
        <f>IF(tblLog[[#This Row],[Date]]="","",IFERROR(IF(INDEX(tblCCPs[Unit],MATCH(tblLog[[#This Row],[CCP]],tblCCPs[CCP],0))="","",INDEX(tblCCPs[Unit],MATCH(tblLog[[#This Row],[CCP]],tblCCPs[CCP],0))),""))</f>
        <v>°C</v>
      </c>
      <c r="H171" s="39" t="str">
        <f>IF(tblLog[[#This Row],[Date]]="","",IFERROR(IF(INDEX(tblCCPs[Limit type],MATCH(tblLog[[#This Row],[CCP]],tblCCPs[CCP],0))="","",INDEX(tblCCPs[Limit type],MATCH(tblLog[[#This Row],[CCP]],tblCCPs[CCP],0))),""))</f>
        <v>Minimum</v>
      </c>
      <c r="I171" s="40">
        <f>IF(tblLog[[#This Row],[Date]]="","",IFERROR(IF(INDEX(tblCCPs[Critical limit],MATCH(tblLog[[#This Row],[CCP]],tblCCPs[CCP],0))="","",INDEX(tblCCPs[Critical limit],MATCH(tblLog[[#This Row],[CCP]],tblCCPs[CCP],0))),""))</f>
        <v>75</v>
      </c>
      <c r="J171" s="40">
        <f>IF(tblLog[[#This Row],[Date]]="","",IFERROR(IF(INDEX(tblCCPs[Operating limit],MATCH(tblLog[[#This Row],[CCP]],tblCCPs[CCP],0))="","",INDEX(tblCCPs[Operating limit],MATCH(tblLog[[#This Row],[CCP]],tblCCPs[CCP],0))),""))</f>
        <v>78</v>
      </c>
      <c r="K17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1" s="28" t="s">
        <v>130</v>
      </c>
      <c r="M171" s="42" t="s">
        <v>122</v>
      </c>
      <c r="N171" s="35">
        <v>0</v>
      </c>
      <c r="O171" s="28" t="s">
        <v>122</v>
      </c>
      <c r="P171" s="43">
        <f>IF(tblLog[[#This Row],[Date]]="","",IF(N(tblLog[[#This Row],[Product held]])&gt;0,tblLog[[#This Row],[Product held]]*HoldValue+QACost,0))</f>
        <v>0</v>
      </c>
      <c r="Q171" s="43">
        <f>IF(tblLog[[#This Row],[Date]]="","",IF(tblLog[[#This Row],[CCP]]="","",COUNTIFS(tblLog[CCP],tblLog[[#This Row],[CCP]],tblLog[Date],"&lt;"&amp;tblLog[[#This Row],[Date]])+COUNTIFS(tblLog[CCP],tblLog[[#This Row],[CCP]],tblLog[Date],tblLog[[#This Row],[Date]],tblLog[Time],"&lt;="&amp;tblLog[[#This Row],[Time]])))</f>
        <v>56</v>
      </c>
      <c r="R171" s="44">
        <f>IF(tblLog[[#This Row],[Date]]="","",IF(AND(tblLog[[#This Row],[Date]]&gt;=FFrom,tblLog[[#This Row],[Date]]&lt;=FTo),tblLog[[#This Row],[Date]],""))</f>
        <v>46290</v>
      </c>
      <c r="S17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1" s="28" t="s">
        <v>122</v>
      </c>
    </row>
    <row r="172" spans="2:20">
      <c r="B172" s="37">
        <v>46290</v>
      </c>
      <c r="C172" s="38">
        <v>0.3854166666666667</v>
      </c>
      <c r="D172" s="28" t="s">
        <v>91</v>
      </c>
      <c r="E172" s="28" t="s">
        <v>189</v>
      </c>
      <c r="F172" s="34">
        <v>2.4</v>
      </c>
      <c r="G172" s="39" t="str">
        <f>IF(tblLog[[#This Row],[Date]]="","",IFERROR(IF(INDEX(tblCCPs[Unit],MATCH(tblLog[[#This Row],[CCP]],tblCCPs[CCP],0))="","",INDEX(tblCCPs[Unit],MATCH(tblLog[[#This Row],[CCP]],tblCCPs[CCP],0))),""))</f>
        <v>°C</v>
      </c>
      <c r="H172" s="39" t="str">
        <f>IF(tblLog[[#This Row],[Date]]="","",IFERROR(IF(INDEX(tblCCPs[Limit type],MATCH(tblLog[[#This Row],[CCP]],tblCCPs[CCP],0))="","",INDEX(tblCCPs[Limit type],MATCH(tblLog[[#This Row],[CCP]],tblCCPs[CCP],0))),""))</f>
        <v>Maximum</v>
      </c>
      <c r="I172" s="40">
        <f>IF(tblLog[[#This Row],[Date]]="","",IFERROR(IF(INDEX(tblCCPs[Critical limit],MATCH(tblLog[[#This Row],[CCP]],tblCCPs[CCP],0))="","",INDEX(tblCCPs[Critical limit],MATCH(tblLog[[#This Row],[CCP]],tblCCPs[CCP],0))),""))</f>
        <v>5</v>
      </c>
      <c r="J172" s="40">
        <f>IF(tblLog[[#This Row],[Date]]="","",IFERROR(IF(INDEX(tblCCPs[Operating limit],MATCH(tblLog[[#This Row],[CCP]],tblCCPs[CCP],0))="","",INDEX(tblCCPs[Operating limit],MATCH(tblLog[[#This Row],[CCP]],tblCCPs[CCP],0))),""))</f>
        <v>4</v>
      </c>
      <c r="K17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2" s="28" t="s">
        <v>127</v>
      </c>
      <c r="M172" s="42" t="s">
        <v>122</v>
      </c>
      <c r="N172" s="35">
        <v>0</v>
      </c>
      <c r="O172" s="28" t="s">
        <v>122</v>
      </c>
      <c r="P172" s="43">
        <f>IF(tblLog[[#This Row],[Date]]="","",IF(N(tblLog[[#This Row],[Product held]])&gt;0,tblLog[[#This Row],[Product held]]*HoldValue+QACost,0))</f>
        <v>0</v>
      </c>
      <c r="Q172" s="43">
        <f>IF(tblLog[[#This Row],[Date]]="","",IF(tblLog[[#This Row],[CCP]]="","",COUNTIFS(tblLog[CCP],tblLog[[#This Row],[CCP]],tblLog[Date],"&lt;"&amp;tblLog[[#This Row],[Date]])+COUNTIFS(tblLog[CCP],tblLog[[#This Row],[CCP]],tblLog[Date],tblLog[[#This Row],[Date]],tblLog[Time],"&lt;="&amp;tblLog[[#This Row],[Time]])))</f>
        <v>55</v>
      </c>
      <c r="R172" s="44">
        <f>IF(tblLog[[#This Row],[Date]]="","",IF(AND(tblLog[[#This Row],[Date]]&gt;=FFrom,tblLog[[#This Row],[Date]]&lt;=FTo),tblLog[[#This Row],[Date]],""))</f>
        <v>46290</v>
      </c>
      <c r="S17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2" s="28" t="s">
        <v>122</v>
      </c>
    </row>
    <row r="173" spans="2:20">
      <c r="B173" s="37">
        <v>46290</v>
      </c>
      <c r="C173" s="38">
        <v>0.4166666666666667</v>
      </c>
      <c r="D173" s="28" t="s">
        <v>96</v>
      </c>
      <c r="E173" s="28" t="s">
        <v>128</v>
      </c>
      <c r="F173" s="34">
        <v>3</v>
      </c>
      <c r="G173" s="39" t="str">
        <f>IF(tblLog[[#This Row],[Date]]="","",IFERROR(IF(INDEX(tblCCPs[Unit],MATCH(tblLog[[#This Row],[CCP]],tblCCPs[CCP],0))="","",INDEX(tblCCPs[Unit],MATCH(tblLog[[#This Row],[CCP]],tblCCPs[CCP],0))),""))</f>
        <v>of 3</v>
      </c>
      <c r="H173" s="39" t="str">
        <f>IF(tblLog[[#This Row],[Date]]="","",IFERROR(IF(INDEX(tblCCPs[Limit type],MATCH(tblLog[[#This Row],[CCP]],tblCCPs[CCP],0))="","",INDEX(tblCCPs[Limit type],MATCH(tblLog[[#This Row],[CCP]],tblCCPs[CCP],0))),""))</f>
        <v>Minimum</v>
      </c>
      <c r="I173" s="40">
        <f>IF(tblLog[[#This Row],[Date]]="","",IFERROR(IF(INDEX(tblCCPs[Critical limit],MATCH(tblLog[[#This Row],[CCP]],tblCCPs[CCP],0))="","",INDEX(tblCCPs[Critical limit],MATCH(tblLog[[#This Row],[CCP]],tblCCPs[CCP],0))),""))</f>
        <v>3</v>
      </c>
      <c r="J173" s="40">
        <f>IF(tblLog[[#This Row],[Date]]="","",IFERROR(IF(INDEX(tblCCPs[Operating limit],MATCH(tblLog[[#This Row],[CCP]],tblCCPs[CCP],0))="","",INDEX(tblCCPs[Operating limit],MATCH(tblLog[[#This Row],[CCP]],tblCCPs[CCP],0))),""))</f>
        <v/>
      </c>
      <c r="K17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3" s="28" t="s">
        <v>130</v>
      </c>
      <c r="M173" s="42" t="s">
        <v>122</v>
      </c>
      <c r="N173" s="35">
        <v>0</v>
      </c>
      <c r="O173" s="28" t="s">
        <v>122</v>
      </c>
      <c r="P173" s="43">
        <f>IF(tblLog[[#This Row],[Date]]="","",IF(N(tblLog[[#This Row],[Product held]])&gt;0,tblLog[[#This Row],[Product held]]*HoldValue+QACost,0))</f>
        <v>0</v>
      </c>
      <c r="Q173" s="43">
        <f>IF(tblLog[[#This Row],[Date]]="","",IF(tblLog[[#This Row],[CCP]]="","",COUNTIFS(tblLog[CCP],tblLog[[#This Row],[CCP]],tblLog[Date],"&lt;"&amp;tblLog[[#This Row],[Date]])+COUNTIFS(tblLog[CCP],tblLog[[#This Row],[CCP]],tblLog[Date],tblLog[[#This Row],[Date]],tblLog[Time],"&lt;="&amp;tblLog[[#This Row],[Time]])))</f>
        <v>38</v>
      </c>
      <c r="R173" s="44">
        <f>IF(tblLog[[#This Row],[Date]]="","",IF(AND(tblLog[[#This Row],[Date]]&gt;=FFrom,tblLog[[#This Row],[Date]]&lt;=FTo),tblLog[[#This Row],[Date]],""))</f>
        <v>46290</v>
      </c>
      <c r="S17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3" s="28" t="s">
        <v>122</v>
      </c>
    </row>
    <row r="174" spans="2:20">
      <c r="B174" s="37">
        <v>46290</v>
      </c>
      <c r="C174" s="38">
        <v>0.4375</v>
      </c>
      <c r="D174" s="28" t="s">
        <v>85</v>
      </c>
      <c r="E174" s="28" t="s">
        <v>191</v>
      </c>
      <c r="F174" s="34">
        <v>88.5</v>
      </c>
      <c r="G174" s="39" t="str">
        <f>IF(tblLog[[#This Row],[Date]]="","",IFERROR(IF(INDEX(tblCCPs[Unit],MATCH(tblLog[[#This Row],[CCP]],tblCCPs[CCP],0))="","",INDEX(tblCCPs[Unit],MATCH(tblLog[[#This Row],[CCP]],tblCCPs[CCP],0))),""))</f>
        <v>°C</v>
      </c>
      <c r="H174" s="39" t="str">
        <f>IF(tblLog[[#This Row],[Date]]="","",IFERROR(IF(INDEX(tblCCPs[Limit type],MATCH(tblLog[[#This Row],[CCP]],tblCCPs[CCP],0))="","",INDEX(tblCCPs[Limit type],MATCH(tblLog[[#This Row],[CCP]],tblCCPs[CCP],0))),""))</f>
        <v>Minimum</v>
      </c>
      <c r="I174" s="40">
        <f>IF(tblLog[[#This Row],[Date]]="","",IFERROR(IF(INDEX(tblCCPs[Critical limit],MATCH(tblLog[[#This Row],[CCP]],tblCCPs[CCP],0))="","",INDEX(tblCCPs[Critical limit],MATCH(tblLog[[#This Row],[CCP]],tblCCPs[CCP],0))),""))</f>
        <v>75</v>
      </c>
      <c r="J174" s="40">
        <f>IF(tblLog[[#This Row],[Date]]="","",IFERROR(IF(INDEX(tblCCPs[Operating limit],MATCH(tblLog[[#This Row],[CCP]],tblCCPs[CCP],0))="","",INDEX(tblCCPs[Operating limit],MATCH(tblLog[[#This Row],[CCP]],tblCCPs[CCP],0))),""))</f>
        <v>78</v>
      </c>
      <c r="K17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4" s="28" t="s">
        <v>132</v>
      </c>
      <c r="M174" s="42" t="s">
        <v>122</v>
      </c>
      <c r="N174" s="35">
        <v>0</v>
      </c>
      <c r="O174" s="28" t="s">
        <v>122</v>
      </c>
      <c r="P174" s="43">
        <f>IF(tblLog[[#This Row],[Date]]="","",IF(N(tblLog[[#This Row],[Product held]])&gt;0,tblLog[[#This Row],[Product held]]*HoldValue+QACost,0))</f>
        <v>0</v>
      </c>
      <c r="Q174" s="43">
        <f>IF(tblLog[[#This Row],[Date]]="","",IF(tblLog[[#This Row],[CCP]]="","",COUNTIFS(tblLog[CCP],tblLog[[#This Row],[CCP]],tblLog[Date],"&lt;"&amp;tblLog[[#This Row],[Date]])+COUNTIFS(tblLog[CCP],tblLog[[#This Row],[CCP]],tblLog[Date],tblLog[[#This Row],[Date]],tblLog[Time],"&lt;="&amp;tblLog[[#This Row],[Time]])))</f>
        <v>57</v>
      </c>
      <c r="R174" s="44">
        <f>IF(tblLog[[#This Row],[Date]]="","",IF(AND(tblLog[[#This Row],[Date]]&gt;=FFrom,tblLog[[#This Row],[Date]]&lt;=FTo),tblLog[[#This Row],[Date]],""))</f>
        <v>46290</v>
      </c>
      <c r="S17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4" s="28" t="s">
        <v>122</v>
      </c>
    </row>
    <row r="175" spans="2:20">
      <c r="B175" s="37">
        <v>46290</v>
      </c>
      <c r="C175" s="38">
        <v>0.4479166666666667</v>
      </c>
      <c r="D175" s="28" t="s">
        <v>91</v>
      </c>
      <c r="E175" s="28" t="s">
        <v>190</v>
      </c>
      <c r="F175" s="34">
        <v>2.2</v>
      </c>
      <c r="G175" s="39" t="str">
        <f>IF(tblLog[[#This Row],[Date]]="","",IFERROR(IF(INDEX(tblCCPs[Unit],MATCH(tblLog[[#This Row],[CCP]],tblCCPs[CCP],0))="","",INDEX(tblCCPs[Unit],MATCH(tblLog[[#This Row],[CCP]],tblCCPs[CCP],0))),""))</f>
        <v>°C</v>
      </c>
      <c r="H175" s="39" t="str">
        <f>IF(tblLog[[#This Row],[Date]]="","",IFERROR(IF(INDEX(tblCCPs[Limit type],MATCH(tblLog[[#This Row],[CCP]],tblCCPs[CCP],0))="","",INDEX(tblCCPs[Limit type],MATCH(tblLog[[#This Row],[CCP]],tblCCPs[CCP],0))),""))</f>
        <v>Maximum</v>
      </c>
      <c r="I175" s="40">
        <f>IF(tblLog[[#This Row],[Date]]="","",IFERROR(IF(INDEX(tblCCPs[Critical limit],MATCH(tblLog[[#This Row],[CCP]],tblCCPs[CCP],0))="","",INDEX(tblCCPs[Critical limit],MATCH(tblLog[[#This Row],[CCP]],tblCCPs[CCP],0))),""))</f>
        <v>5</v>
      </c>
      <c r="J175" s="40">
        <f>IF(tblLog[[#This Row],[Date]]="","",IFERROR(IF(INDEX(tblCCPs[Operating limit],MATCH(tblLog[[#This Row],[CCP]],tblCCPs[CCP],0))="","",INDEX(tblCCPs[Operating limit],MATCH(tblLog[[#This Row],[CCP]],tblCCPs[CCP],0))),""))</f>
        <v>4</v>
      </c>
      <c r="K17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5" s="28" t="s">
        <v>130</v>
      </c>
      <c r="M175" s="42" t="s">
        <v>122</v>
      </c>
      <c r="N175" s="35">
        <v>0</v>
      </c>
      <c r="O175" s="28" t="s">
        <v>122</v>
      </c>
      <c r="P175" s="43">
        <f>IF(tblLog[[#This Row],[Date]]="","",IF(N(tblLog[[#This Row],[Product held]])&gt;0,tblLog[[#This Row],[Product held]]*HoldValue+QACost,0))</f>
        <v>0</v>
      </c>
      <c r="Q175" s="43">
        <f>IF(tblLog[[#This Row],[Date]]="","",IF(tblLog[[#This Row],[CCP]]="","",COUNTIFS(tblLog[CCP],tblLog[[#This Row],[CCP]],tblLog[Date],"&lt;"&amp;tblLog[[#This Row],[Date]])+COUNTIFS(tblLog[CCP],tblLog[[#This Row],[CCP]],tblLog[Date],tblLog[[#This Row],[Date]],tblLog[Time],"&lt;="&amp;tblLog[[#This Row],[Time]])))</f>
        <v>56</v>
      </c>
      <c r="R175" s="44">
        <f>IF(tblLog[[#This Row],[Date]]="","",IF(AND(tblLog[[#This Row],[Date]]&gt;=FFrom,tblLog[[#This Row],[Date]]&lt;=FTo),tblLog[[#This Row],[Date]],""))</f>
        <v>46290</v>
      </c>
      <c r="S17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5" s="28" t="s">
        <v>122</v>
      </c>
    </row>
    <row r="176" spans="2:20">
      <c r="B176" s="37">
        <v>46290</v>
      </c>
      <c r="C176" s="38">
        <v>0.5</v>
      </c>
      <c r="D176" s="28" t="s">
        <v>85</v>
      </c>
      <c r="E176" s="28" t="s">
        <v>192</v>
      </c>
      <c r="F176" s="34">
        <v>83.09999999999999</v>
      </c>
      <c r="G176" s="39" t="str">
        <f>IF(tblLog[[#This Row],[Date]]="","",IFERROR(IF(INDEX(tblCCPs[Unit],MATCH(tblLog[[#This Row],[CCP]],tblCCPs[CCP],0))="","",INDEX(tblCCPs[Unit],MATCH(tblLog[[#This Row],[CCP]],tblCCPs[CCP],0))),""))</f>
        <v>°C</v>
      </c>
      <c r="H176" s="39" t="str">
        <f>IF(tblLog[[#This Row],[Date]]="","",IFERROR(IF(INDEX(tblCCPs[Limit type],MATCH(tblLog[[#This Row],[CCP]],tblCCPs[CCP],0))="","",INDEX(tblCCPs[Limit type],MATCH(tblLog[[#This Row],[CCP]],tblCCPs[CCP],0))),""))</f>
        <v>Minimum</v>
      </c>
      <c r="I176" s="40">
        <f>IF(tblLog[[#This Row],[Date]]="","",IFERROR(IF(INDEX(tblCCPs[Critical limit],MATCH(tblLog[[#This Row],[CCP]],tblCCPs[CCP],0))="","",INDEX(tblCCPs[Critical limit],MATCH(tblLog[[#This Row],[CCP]],tblCCPs[CCP],0))),""))</f>
        <v>75</v>
      </c>
      <c r="J176" s="40">
        <f>IF(tblLog[[#This Row],[Date]]="","",IFERROR(IF(INDEX(tblCCPs[Operating limit],MATCH(tblLog[[#This Row],[CCP]],tblCCPs[CCP],0))="","",INDEX(tblCCPs[Operating limit],MATCH(tblLog[[#This Row],[CCP]],tblCCPs[CCP],0))),""))</f>
        <v>78</v>
      </c>
      <c r="K176"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6" s="28" t="s">
        <v>121</v>
      </c>
      <c r="M176" s="42" t="s">
        <v>122</v>
      </c>
      <c r="N176" s="35">
        <v>0</v>
      </c>
      <c r="O176" s="28" t="s">
        <v>122</v>
      </c>
      <c r="P176" s="43">
        <f>IF(tblLog[[#This Row],[Date]]="","",IF(N(tblLog[[#This Row],[Product held]])&gt;0,tblLog[[#This Row],[Product held]]*HoldValue+QACost,0))</f>
        <v>0</v>
      </c>
      <c r="Q176" s="43">
        <f>IF(tblLog[[#This Row],[Date]]="","",IF(tblLog[[#This Row],[CCP]]="","",COUNTIFS(tblLog[CCP],tblLog[[#This Row],[CCP]],tblLog[Date],"&lt;"&amp;tblLog[[#This Row],[Date]])+COUNTIFS(tblLog[CCP],tblLog[[#This Row],[CCP]],tblLog[Date],tblLog[[#This Row],[Date]],tblLog[Time],"&lt;="&amp;tblLog[[#This Row],[Time]])))</f>
        <v>58</v>
      </c>
      <c r="R176" s="44">
        <f>IF(tblLog[[#This Row],[Date]]="","",IF(AND(tblLog[[#This Row],[Date]]&gt;=FFrom,tblLog[[#This Row],[Date]]&lt;=FTo),tblLog[[#This Row],[Date]],""))</f>
        <v>46290</v>
      </c>
      <c r="S176"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6" s="28" t="s">
        <v>122</v>
      </c>
    </row>
    <row r="177" spans="2:20">
      <c r="B177" s="37">
        <v>46290</v>
      </c>
      <c r="C177" s="38">
        <v>0.5104166666666666</v>
      </c>
      <c r="D177" s="28" t="s">
        <v>91</v>
      </c>
      <c r="E177" s="28" t="s">
        <v>191</v>
      </c>
      <c r="F177" s="34">
        <v>3.1</v>
      </c>
      <c r="G177" s="39" t="str">
        <f>IF(tblLog[[#This Row],[Date]]="","",IFERROR(IF(INDEX(tblCCPs[Unit],MATCH(tblLog[[#This Row],[CCP]],tblCCPs[CCP],0))="","",INDEX(tblCCPs[Unit],MATCH(tblLog[[#This Row],[CCP]],tblCCPs[CCP],0))),""))</f>
        <v>°C</v>
      </c>
      <c r="H177" s="39" t="str">
        <f>IF(tblLog[[#This Row],[Date]]="","",IFERROR(IF(INDEX(tblCCPs[Limit type],MATCH(tblLog[[#This Row],[CCP]],tblCCPs[CCP],0))="","",INDEX(tblCCPs[Limit type],MATCH(tblLog[[#This Row],[CCP]],tblCCPs[CCP],0))),""))</f>
        <v>Maximum</v>
      </c>
      <c r="I177" s="40">
        <f>IF(tblLog[[#This Row],[Date]]="","",IFERROR(IF(INDEX(tblCCPs[Critical limit],MATCH(tblLog[[#This Row],[CCP]],tblCCPs[CCP],0))="","",INDEX(tblCCPs[Critical limit],MATCH(tblLog[[#This Row],[CCP]],tblCCPs[CCP],0))),""))</f>
        <v>5</v>
      </c>
      <c r="J177" s="40">
        <f>IF(tblLog[[#This Row],[Date]]="","",IFERROR(IF(INDEX(tblCCPs[Operating limit],MATCH(tblLog[[#This Row],[CCP]],tblCCPs[CCP],0))="","",INDEX(tblCCPs[Operating limit],MATCH(tblLog[[#This Row],[CCP]],tblCCPs[CCP],0))),""))</f>
        <v>4</v>
      </c>
      <c r="K177"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7" s="28" t="s">
        <v>132</v>
      </c>
      <c r="M177" s="42" t="s">
        <v>122</v>
      </c>
      <c r="N177" s="35">
        <v>0</v>
      </c>
      <c r="O177" s="28" t="s">
        <v>122</v>
      </c>
      <c r="P177" s="43">
        <f>IF(tblLog[[#This Row],[Date]]="","",IF(N(tblLog[[#This Row],[Product held]])&gt;0,tblLog[[#This Row],[Product held]]*HoldValue+QACost,0))</f>
        <v>0</v>
      </c>
      <c r="Q177" s="43">
        <f>IF(tblLog[[#This Row],[Date]]="","",IF(tblLog[[#This Row],[CCP]]="","",COUNTIFS(tblLog[CCP],tblLog[[#This Row],[CCP]],tblLog[Date],"&lt;"&amp;tblLog[[#This Row],[Date]])+COUNTIFS(tblLog[CCP],tblLog[[#This Row],[CCP]],tblLog[Date],tblLog[[#This Row],[Date]],tblLog[Time],"&lt;="&amp;tblLog[[#This Row],[Time]])))</f>
        <v>57</v>
      </c>
      <c r="R177" s="44">
        <f>IF(tblLog[[#This Row],[Date]]="","",IF(AND(tblLog[[#This Row],[Date]]&gt;=FFrom,tblLog[[#This Row],[Date]]&lt;=FTo),tblLog[[#This Row],[Date]],""))</f>
        <v>46290</v>
      </c>
      <c r="S177"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7" s="28" t="s">
        <v>122</v>
      </c>
    </row>
    <row r="178" spans="2:20">
      <c r="B178" s="37">
        <v>46290</v>
      </c>
      <c r="C178" s="38">
        <v>0.5416666666666666</v>
      </c>
      <c r="D178" s="28" t="s">
        <v>96</v>
      </c>
      <c r="E178" s="28" t="s">
        <v>133</v>
      </c>
      <c r="F178" s="34">
        <v>3</v>
      </c>
      <c r="G178" s="39" t="str">
        <f>IF(tblLog[[#This Row],[Date]]="","",IFERROR(IF(INDEX(tblCCPs[Unit],MATCH(tblLog[[#This Row],[CCP]],tblCCPs[CCP],0))="","",INDEX(tblCCPs[Unit],MATCH(tblLog[[#This Row],[CCP]],tblCCPs[CCP],0))),""))</f>
        <v>of 3</v>
      </c>
      <c r="H178" s="39" t="str">
        <f>IF(tblLog[[#This Row],[Date]]="","",IFERROR(IF(INDEX(tblCCPs[Limit type],MATCH(tblLog[[#This Row],[CCP]],tblCCPs[CCP],0))="","",INDEX(tblCCPs[Limit type],MATCH(tblLog[[#This Row],[CCP]],tblCCPs[CCP],0))),""))</f>
        <v>Minimum</v>
      </c>
      <c r="I178" s="40">
        <f>IF(tblLog[[#This Row],[Date]]="","",IFERROR(IF(INDEX(tblCCPs[Critical limit],MATCH(tblLog[[#This Row],[CCP]],tblCCPs[CCP],0))="","",INDEX(tblCCPs[Critical limit],MATCH(tblLog[[#This Row],[CCP]],tblCCPs[CCP],0))),""))</f>
        <v>3</v>
      </c>
      <c r="J178" s="40">
        <f>IF(tblLog[[#This Row],[Date]]="","",IFERROR(IF(INDEX(tblCCPs[Operating limit],MATCH(tblLog[[#This Row],[CCP]],tblCCPs[CCP],0))="","",INDEX(tblCCPs[Operating limit],MATCH(tblLog[[#This Row],[CCP]],tblCCPs[CCP],0))),""))</f>
        <v/>
      </c>
      <c r="K178"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8" s="28" t="s">
        <v>132</v>
      </c>
      <c r="M178" s="42" t="s">
        <v>122</v>
      </c>
      <c r="N178" s="35">
        <v>0</v>
      </c>
      <c r="O178" s="28" t="s">
        <v>122</v>
      </c>
      <c r="P178" s="43">
        <f>IF(tblLog[[#This Row],[Date]]="","",IF(N(tblLog[[#This Row],[Product held]])&gt;0,tblLog[[#This Row],[Product held]]*HoldValue+QACost,0))</f>
        <v>0</v>
      </c>
      <c r="Q178" s="43">
        <f>IF(tblLog[[#This Row],[Date]]="","",IF(tblLog[[#This Row],[CCP]]="","",COUNTIFS(tblLog[CCP],tblLog[[#This Row],[CCP]],tblLog[Date],"&lt;"&amp;tblLog[[#This Row],[Date]])+COUNTIFS(tblLog[CCP],tblLog[[#This Row],[CCP]],tblLog[Date],tblLog[[#This Row],[Date]],tblLog[Time],"&lt;="&amp;tblLog[[#This Row],[Time]])))</f>
        <v>39</v>
      </c>
      <c r="R178" s="44">
        <f>IF(tblLog[[#This Row],[Date]]="","",IF(AND(tblLog[[#This Row],[Date]]&gt;=FFrom,tblLog[[#This Row],[Date]]&lt;=FTo),tblLog[[#This Row],[Date]],""))</f>
        <v>46290</v>
      </c>
      <c r="S178"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8" s="28" t="s">
        <v>122</v>
      </c>
    </row>
    <row r="179" spans="2:20">
      <c r="B179" s="37">
        <v>46290</v>
      </c>
      <c r="C179" s="38">
        <v>0.5625</v>
      </c>
      <c r="D179" s="28" t="s">
        <v>85</v>
      </c>
      <c r="E179" s="28" t="s">
        <v>193</v>
      </c>
      <c r="F179" s="34">
        <v>83.7</v>
      </c>
      <c r="G179" s="39" t="str">
        <f>IF(tblLog[[#This Row],[Date]]="","",IFERROR(IF(INDEX(tblCCPs[Unit],MATCH(tblLog[[#This Row],[CCP]],tblCCPs[CCP],0))="","",INDEX(tblCCPs[Unit],MATCH(tblLog[[#This Row],[CCP]],tblCCPs[CCP],0))),""))</f>
        <v>°C</v>
      </c>
      <c r="H179" s="39" t="str">
        <f>IF(tblLog[[#This Row],[Date]]="","",IFERROR(IF(INDEX(tblCCPs[Limit type],MATCH(tblLog[[#This Row],[CCP]],tblCCPs[CCP],0))="","",INDEX(tblCCPs[Limit type],MATCH(tblLog[[#This Row],[CCP]],tblCCPs[CCP],0))),""))</f>
        <v>Minimum</v>
      </c>
      <c r="I179" s="40">
        <f>IF(tblLog[[#This Row],[Date]]="","",IFERROR(IF(INDEX(tblCCPs[Critical limit],MATCH(tblLog[[#This Row],[CCP]],tblCCPs[CCP],0))="","",INDEX(tblCCPs[Critical limit],MATCH(tblLog[[#This Row],[CCP]],tblCCPs[CCP],0))),""))</f>
        <v>75</v>
      </c>
      <c r="J179" s="40">
        <f>IF(tblLog[[#This Row],[Date]]="","",IFERROR(IF(INDEX(tblCCPs[Operating limit],MATCH(tblLog[[#This Row],[CCP]],tblCCPs[CCP],0))="","",INDEX(tblCCPs[Operating limit],MATCH(tblLog[[#This Row],[CCP]],tblCCPs[CCP],0))),""))</f>
        <v>78</v>
      </c>
      <c r="K179"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79" s="28" t="s">
        <v>127</v>
      </c>
      <c r="M179" s="42" t="s">
        <v>122</v>
      </c>
      <c r="N179" s="35">
        <v>0</v>
      </c>
      <c r="O179" s="28" t="s">
        <v>122</v>
      </c>
      <c r="P179" s="43">
        <f>IF(tblLog[[#This Row],[Date]]="","",IF(N(tblLog[[#This Row],[Product held]])&gt;0,tblLog[[#This Row],[Product held]]*HoldValue+QACost,0))</f>
        <v>0</v>
      </c>
      <c r="Q179" s="43">
        <f>IF(tblLog[[#This Row],[Date]]="","",IF(tblLog[[#This Row],[CCP]]="","",COUNTIFS(tblLog[CCP],tblLog[[#This Row],[CCP]],tblLog[Date],"&lt;"&amp;tblLog[[#This Row],[Date]])+COUNTIFS(tblLog[CCP],tblLog[[#This Row],[CCP]],tblLog[Date],tblLog[[#This Row],[Date]],tblLog[Time],"&lt;="&amp;tblLog[[#This Row],[Time]])))</f>
        <v>59</v>
      </c>
      <c r="R179" s="44">
        <f>IF(tblLog[[#This Row],[Date]]="","",IF(AND(tblLog[[#This Row],[Date]]&gt;=FFrom,tblLog[[#This Row],[Date]]&lt;=FTo),tblLog[[#This Row],[Date]],""))</f>
        <v>46290</v>
      </c>
      <c r="S179"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79" s="28" t="s">
        <v>122</v>
      </c>
    </row>
    <row r="180" spans="2:20">
      <c r="B180" s="37">
        <v>46290</v>
      </c>
      <c r="C180" s="38">
        <v>0.5729166666666666</v>
      </c>
      <c r="D180" s="28" t="s">
        <v>91</v>
      </c>
      <c r="E180" s="28" t="s">
        <v>192</v>
      </c>
      <c r="F180" s="34">
        <v>2.7</v>
      </c>
      <c r="G180" s="39" t="str">
        <f>IF(tblLog[[#This Row],[Date]]="","",IFERROR(IF(INDEX(tblCCPs[Unit],MATCH(tblLog[[#This Row],[CCP]],tblCCPs[CCP],0))="","",INDEX(tblCCPs[Unit],MATCH(tblLog[[#This Row],[CCP]],tblCCPs[CCP],0))),""))</f>
        <v>°C</v>
      </c>
      <c r="H180" s="39" t="str">
        <f>IF(tblLog[[#This Row],[Date]]="","",IFERROR(IF(INDEX(tblCCPs[Limit type],MATCH(tblLog[[#This Row],[CCP]],tblCCPs[CCP],0))="","",INDEX(tblCCPs[Limit type],MATCH(tblLog[[#This Row],[CCP]],tblCCPs[CCP],0))),""))</f>
        <v>Maximum</v>
      </c>
      <c r="I180" s="40">
        <f>IF(tblLog[[#This Row],[Date]]="","",IFERROR(IF(INDEX(tblCCPs[Critical limit],MATCH(tblLog[[#This Row],[CCP]],tblCCPs[CCP],0))="","",INDEX(tblCCPs[Critical limit],MATCH(tblLog[[#This Row],[CCP]],tblCCPs[CCP],0))),""))</f>
        <v>5</v>
      </c>
      <c r="J180" s="40">
        <f>IF(tblLog[[#This Row],[Date]]="","",IFERROR(IF(INDEX(tblCCPs[Operating limit],MATCH(tblLog[[#This Row],[CCP]],tblCCPs[CCP],0))="","",INDEX(tblCCPs[Operating limit],MATCH(tblLog[[#This Row],[CCP]],tblCCPs[CCP],0))),""))</f>
        <v>4</v>
      </c>
      <c r="K180"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0" s="28" t="s">
        <v>121</v>
      </c>
      <c r="M180" s="42" t="s">
        <v>122</v>
      </c>
      <c r="N180" s="35">
        <v>0</v>
      </c>
      <c r="O180" s="28" t="s">
        <v>122</v>
      </c>
      <c r="P180" s="43">
        <f>IF(tblLog[[#This Row],[Date]]="","",IF(N(tblLog[[#This Row],[Product held]])&gt;0,tblLog[[#This Row],[Product held]]*HoldValue+QACost,0))</f>
        <v>0</v>
      </c>
      <c r="Q180" s="43">
        <f>IF(tblLog[[#This Row],[Date]]="","",IF(tblLog[[#This Row],[CCP]]="","",COUNTIFS(tblLog[CCP],tblLog[[#This Row],[CCP]],tblLog[Date],"&lt;"&amp;tblLog[[#This Row],[Date]])+COUNTIFS(tblLog[CCP],tblLog[[#This Row],[CCP]],tblLog[Date],tblLog[[#This Row],[Date]],tblLog[Time],"&lt;="&amp;tblLog[[#This Row],[Time]])))</f>
        <v>58</v>
      </c>
      <c r="R180" s="44">
        <f>IF(tblLog[[#This Row],[Date]]="","",IF(AND(tblLog[[#This Row],[Date]]&gt;=FFrom,tblLog[[#This Row],[Date]]&lt;=FTo),tblLog[[#This Row],[Date]],""))</f>
        <v>46290</v>
      </c>
      <c r="S180"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0" s="28" t="s">
        <v>122</v>
      </c>
    </row>
    <row r="181" spans="2:20">
      <c r="B181" s="37">
        <v>46290</v>
      </c>
      <c r="C181" s="38">
        <v>0.625</v>
      </c>
      <c r="D181" s="28" t="s">
        <v>85</v>
      </c>
      <c r="E181" s="28" t="s">
        <v>194</v>
      </c>
      <c r="F181" s="34">
        <v>88.59999999999999</v>
      </c>
      <c r="G181" s="39" t="str">
        <f>IF(tblLog[[#This Row],[Date]]="","",IFERROR(IF(INDEX(tblCCPs[Unit],MATCH(tblLog[[#This Row],[CCP]],tblCCPs[CCP],0))="","",INDEX(tblCCPs[Unit],MATCH(tblLog[[#This Row],[CCP]],tblCCPs[CCP],0))),""))</f>
        <v>°C</v>
      </c>
      <c r="H181" s="39" t="str">
        <f>IF(tblLog[[#This Row],[Date]]="","",IFERROR(IF(INDEX(tblCCPs[Limit type],MATCH(tblLog[[#This Row],[CCP]],tblCCPs[CCP],0))="","",INDEX(tblCCPs[Limit type],MATCH(tblLog[[#This Row],[CCP]],tblCCPs[CCP],0))),""))</f>
        <v>Minimum</v>
      </c>
      <c r="I181" s="40">
        <f>IF(tblLog[[#This Row],[Date]]="","",IFERROR(IF(INDEX(tblCCPs[Critical limit],MATCH(tblLog[[#This Row],[CCP]],tblCCPs[CCP],0))="","",INDEX(tblCCPs[Critical limit],MATCH(tblLog[[#This Row],[CCP]],tblCCPs[CCP],0))),""))</f>
        <v>75</v>
      </c>
      <c r="J181" s="40">
        <f>IF(tblLog[[#This Row],[Date]]="","",IFERROR(IF(INDEX(tblCCPs[Operating limit],MATCH(tblLog[[#This Row],[CCP]],tblCCPs[CCP],0))="","",INDEX(tblCCPs[Operating limit],MATCH(tblLog[[#This Row],[CCP]],tblCCPs[CCP],0))),""))</f>
        <v>78</v>
      </c>
      <c r="K181"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1" s="28" t="s">
        <v>130</v>
      </c>
      <c r="M181" s="42" t="s">
        <v>122</v>
      </c>
      <c r="N181" s="35">
        <v>0</v>
      </c>
      <c r="O181" s="28" t="s">
        <v>122</v>
      </c>
      <c r="P181" s="43">
        <f>IF(tblLog[[#This Row],[Date]]="","",IF(N(tblLog[[#This Row],[Product held]])&gt;0,tblLog[[#This Row],[Product held]]*HoldValue+QACost,0))</f>
        <v>0</v>
      </c>
      <c r="Q181" s="43">
        <f>IF(tblLog[[#This Row],[Date]]="","",IF(tblLog[[#This Row],[CCP]]="","",COUNTIFS(tblLog[CCP],tblLog[[#This Row],[CCP]],tblLog[Date],"&lt;"&amp;tblLog[[#This Row],[Date]])+COUNTIFS(tblLog[CCP],tblLog[[#This Row],[CCP]],tblLog[Date],tblLog[[#This Row],[Date]],tblLog[Time],"&lt;="&amp;tblLog[[#This Row],[Time]])))</f>
        <v>60</v>
      </c>
      <c r="R181" s="44">
        <f>IF(tblLog[[#This Row],[Date]]="","",IF(AND(tblLog[[#This Row],[Date]]&gt;=FFrom,tblLog[[#This Row],[Date]]&lt;=FTo),tblLog[[#This Row],[Date]],""))</f>
        <v>46290</v>
      </c>
      <c r="S181"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1" s="28" t="s">
        <v>122</v>
      </c>
    </row>
    <row r="182" spans="2:20">
      <c r="B182" s="37">
        <v>46290</v>
      </c>
      <c r="C182" s="38">
        <v>0.6354166666666666</v>
      </c>
      <c r="D182" s="28" t="s">
        <v>91</v>
      </c>
      <c r="E182" s="28" t="s">
        <v>193</v>
      </c>
      <c r="F182" s="34">
        <v>4.1</v>
      </c>
      <c r="G182" s="39" t="str">
        <f>IF(tblLog[[#This Row],[Date]]="","",IFERROR(IF(INDEX(tblCCPs[Unit],MATCH(tblLog[[#This Row],[CCP]],tblCCPs[CCP],0))="","",INDEX(tblCCPs[Unit],MATCH(tblLog[[#This Row],[CCP]],tblCCPs[CCP],0))),""))</f>
        <v>°C</v>
      </c>
      <c r="H182" s="39" t="str">
        <f>IF(tblLog[[#This Row],[Date]]="","",IFERROR(IF(INDEX(tblCCPs[Limit type],MATCH(tblLog[[#This Row],[CCP]],tblCCPs[CCP],0))="","",INDEX(tblCCPs[Limit type],MATCH(tblLog[[#This Row],[CCP]],tblCCPs[CCP],0))),""))</f>
        <v>Maximum</v>
      </c>
      <c r="I182" s="40">
        <f>IF(tblLog[[#This Row],[Date]]="","",IFERROR(IF(INDEX(tblCCPs[Critical limit],MATCH(tblLog[[#This Row],[CCP]],tblCCPs[CCP],0))="","",INDEX(tblCCPs[Critical limit],MATCH(tblLog[[#This Row],[CCP]],tblCCPs[CCP],0))),""))</f>
        <v>5</v>
      </c>
      <c r="J182" s="40">
        <f>IF(tblLog[[#This Row],[Date]]="","",IFERROR(IF(INDEX(tblCCPs[Operating limit],MATCH(tblLog[[#This Row],[CCP]],tblCCPs[CCP],0))="","",INDEX(tblCCPs[Operating limit],MATCH(tblLog[[#This Row],[CCP]],tblCCPs[CCP],0))),""))</f>
        <v>4</v>
      </c>
      <c r="K182"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Check</v>
      </c>
      <c r="L182" s="28" t="s">
        <v>127</v>
      </c>
      <c r="M182" s="42" t="s">
        <v>122</v>
      </c>
      <c r="N182" s="35">
        <v>0</v>
      </c>
      <c r="O182" s="28" t="s">
        <v>122</v>
      </c>
      <c r="P182" s="43">
        <f>IF(tblLog[[#This Row],[Date]]="","",IF(N(tblLog[[#This Row],[Product held]])&gt;0,tblLog[[#This Row],[Product held]]*HoldValue+QACost,0))</f>
        <v>0</v>
      </c>
      <c r="Q182" s="43">
        <f>IF(tblLog[[#This Row],[Date]]="","",IF(tblLog[[#This Row],[CCP]]="","",COUNTIFS(tblLog[CCP],tblLog[[#This Row],[CCP]],tblLog[Date],"&lt;"&amp;tblLog[[#This Row],[Date]])+COUNTIFS(tblLog[CCP],tblLog[[#This Row],[CCP]],tblLog[Date],tblLog[[#This Row],[Date]],tblLog[Time],"&lt;="&amp;tblLog[[#This Row],[Time]])))</f>
        <v>59</v>
      </c>
      <c r="R182" s="44">
        <f>IF(tblLog[[#This Row],[Date]]="","",IF(AND(tblLog[[#This Row],[Date]]&gt;=FFrom,tblLog[[#This Row],[Date]]&lt;=FTo),tblLog[[#This Row],[Date]],""))</f>
        <v>46290</v>
      </c>
      <c r="S182"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2" s="28" t="s">
        <v>122</v>
      </c>
    </row>
    <row r="183" spans="2:20">
      <c r="B183" s="37">
        <v>46290</v>
      </c>
      <c r="C183" s="38">
        <v>0.6458333333333334</v>
      </c>
      <c r="D183" s="28" t="s">
        <v>96</v>
      </c>
      <c r="E183" s="28" t="s">
        <v>136</v>
      </c>
      <c r="F183" s="34">
        <v>3</v>
      </c>
      <c r="G183" s="39" t="str">
        <f>IF(tblLog[[#This Row],[Date]]="","",IFERROR(IF(INDEX(tblCCPs[Unit],MATCH(tblLog[[#This Row],[CCP]],tblCCPs[CCP],0))="","",INDEX(tblCCPs[Unit],MATCH(tblLog[[#This Row],[CCP]],tblCCPs[CCP],0))),""))</f>
        <v>of 3</v>
      </c>
      <c r="H183" s="39" t="str">
        <f>IF(tblLog[[#This Row],[Date]]="","",IFERROR(IF(INDEX(tblCCPs[Limit type],MATCH(tblLog[[#This Row],[CCP]],tblCCPs[CCP],0))="","",INDEX(tblCCPs[Limit type],MATCH(tblLog[[#This Row],[CCP]],tblCCPs[CCP],0))),""))</f>
        <v>Minimum</v>
      </c>
      <c r="I183" s="40">
        <f>IF(tblLog[[#This Row],[Date]]="","",IFERROR(IF(INDEX(tblCCPs[Critical limit],MATCH(tblLog[[#This Row],[CCP]],tblCCPs[CCP],0))="","",INDEX(tblCCPs[Critical limit],MATCH(tblLog[[#This Row],[CCP]],tblCCPs[CCP],0))),""))</f>
        <v>3</v>
      </c>
      <c r="J183" s="40">
        <f>IF(tblLog[[#This Row],[Date]]="","",IFERROR(IF(INDEX(tblCCPs[Operating limit],MATCH(tblLog[[#This Row],[CCP]],tblCCPs[CCP],0))="","",INDEX(tblCCPs[Operating limit],MATCH(tblLog[[#This Row],[CCP]],tblCCPs[CCP],0))),""))</f>
        <v/>
      </c>
      <c r="K183"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3" s="28" t="s">
        <v>121</v>
      </c>
      <c r="M183" s="42" t="s">
        <v>122</v>
      </c>
      <c r="N183" s="35">
        <v>0</v>
      </c>
      <c r="O183" s="28" t="s">
        <v>122</v>
      </c>
      <c r="P183" s="43">
        <f>IF(tblLog[[#This Row],[Date]]="","",IF(N(tblLog[[#This Row],[Product held]])&gt;0,tblLog[[#This Row],[Product held]]*HoldValue+QACost,0))</f>
        <v>0</v>
      </c>
      <c r="Q183" s="43">
        <f>IF(tblLog[[#This Row],[Date]]="","",IF(tblLog[[#This Row],[CCP]]="","",COUNTIFS(tblLog[CCP],tblLog[[#This Row],[CCP]],tblLog[Date],"&lt;"&amp;tblLog[[#This Row],[Date]])+COUNTIFS(tblLog[CCP],tblLog[[#This Row],[CCP]],tblLog[Date],tblLog[[#This Row],[Date]],tblLog[Time],"&lt;="&amp;tblLog[[#This Row],[Time]])))</f>
        <v>40</v>
      </c>
      <c r="R183" s="44">
        <f>IF(tblLog[[#This Row],[Date]]="","",IF(AND(tblLog[[#This Row],[Date]]&gt;=FFrom,tblLog[[#This Row],[Date]]&lt;=FTo),tblLog[[#This Row],[Date]],""))</f>
        <v>46290</v>
      </c>
      <c r="S183"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3" s="28" t="s">
        <v>122</v>
      </c>
    </row>
    <row r="184" spans="2:20">
      <c r="B184" s="37">
        <v>46290</v>
      </c>
      <c r="C184" s="38">
        <v>0.6666666666666666</v>
      </c>
      <c r="D184" s="28" t="s">
        <v>101</v>
      </c>
      <c r="E184" s="28" t="s">
        <v>125</v>
      </c>
      <c r="F184" s="34">
        <v>3.3</v>
      </c>
      <c r="G184" s="39" t="str">
        <f>IF(tblLog[[#This Row],[Date]]="","",IFERROR(IF(INDEX(tblCCPs[Unit],MATCH(tblLog[[#This Row],[CCP]],tblCCPs[CCP],0))="","",INDEX(tblCCPs[Unit],MATCH(tblLog[[#This Row],[CCP]],tblCCPs[CCP],0))),""))</f>
        <v>°C</v>
      </c>
      <c r="H184" s="39" t="str">
        <f>IF(tblLog[[#This Row],[Date]]="","",IFERROR(IF(INDEX(tblCCPs[Limit type],MATCH(tblLog[[#This Row],[CCP]],tblCCPs[CCP],0))="","",INDEX(tblCCPs[Limit type],MATCH(tblLog[[#This Row],[CCP]],tblCCPs[CCP],0))),""))</f>
        <v>Maximum</v>
      </c>
      <c r="I184" s="40">
        <f>IF(tblLog[[#This Row],[Date]]="","",IFERROR(IF(INDEX(tblCCPs[Critical limit],MATCH(tblLog[[#This Row],[CCP]],tblCCPs[CCP],0))="","",INDEX(tblCCPs[Critical limit],MATCH(tblLog[[#This Row],[CCP]],tblCCPs[CCP],0))),""))</f>
        <v>5</v>
      </c>
      <c r="J184" s="40">
        <f>IF(tblLog[[#This Row],[Date]]="","",IFERROR(IF(INDEX(tblCCPs[Operating limit],MATCH(tblLog[[#This Row],[CCP]],tblCCPs[CCP],0))="","",INDEX(tblCCPs[Operating limit],MATCH(tblLog[[#This Row],[CCP]],tblCCPs[CCP],0))),""))</f>
        <v>4</v>
      </c>
      <c r="K184"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4" s="28" t="s">
        <v>130</v>
      </c>
      <c r="M184" s="42" t="s">
        <v>122</v>
      </c>
      <c r="N184" s="35">
        <v>0</v>
      </c>
      <c r="O184" s="28" t="s">
        <v>122</v>
      </c>
      <c r="P184" s="43">
        <f>IF(tblLog[[#This Row],[Date]]="","",IF(N(tblLog[[#This Row],[Product held]])&gt;0,tblLog[[#This Row],[Product held]]*HoldValue+QACost,0))</f>
        <v>0</v>
      </c>
      <c r="Q184" s="43">
        <f>IF(tblLog[[#This Row],[Date]]="","",IF(tblLog[[#This Row],[CCP]]="","",COUNTIFS(tblLog[CCP],tblLog[[#This Row],[CCP]],tblLog[Date],"&lt;"&amp;tblLog[[#This Row],[Date]])+COUNTIFS(tblLog[CCP],tblLog[[#This Row],[CCP]],tblLog[Date],tblLog[[#This Row],[Date]],tblLog[Time],"&lt;="&amp;tblLog[[#This Row],[Time]])))</f>
        <v>19</v>
      </c>
      <c r="R184" s="44">
        <f>IF(tblLog[[#This Row],[Date]]="","",IF(AND(tblLog[[#This Row],[Date]]&gt;=FFrom,tblLog[[#This Row],[Date]]&lt;=FTo),tblLog[[#This Row],[Date]],""))</f>
        <v>46290</v>
      </c>
      <c r="S184"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4" s="28" t="s">
        <v>122</v>
      </c>
    </row>
    <row r="185" spans="2:20">
      <c r="B185" s="37">
        <v>46290</v>
      </c>
      <c r="C185" s="38">
        <v>0.6979166666666666</v>
      </c>
      <c r="D185" s="28" t="s">
        <v>91</v>
      </c>
      <c r="E185" s="28" t="s">
        <v>194</v>
      </c>
      <c r="F185" s="34">
        <v>3.5</v>
      </c>
      <c r="G185" s="39" t="str">
        <f>IF(tblLog[[#This Row],[Date]]="","",IFERROR(IF(INDEX(tblCCPs[Unit],MATCH(tblLog[[#This Row],[CCP]],tblCCPs[CCP],0))="","",INDEX(tblCCPs[Unit],MATCH(tblLog[[#This Row],[CCP]],tblCCPs[CCP],0))),""))</f>
        <v>°C</v>
      </c>
      <c r="H185" s="39" t="str">
        <f>IF(tblLog[[#This Row],[Date]]="","",IFERROR(IF(INDEX(tblCCPs[Limit type],MATCH(tblLog[[#This Row],[CCP]],tblCCPs[CCP],0))="","",INDEX(tblCCPs[Limit type],MATCH(tblLog[[#This Row],[CCP]],tblCCPs[CCP],0))),""))</f>
        <v>Maximum</v>
      </c>
      <c r="I185" s="40">
        <f>IF(tblLog[[#This Row],[Date]]="","",IFERROR(IF(INDEX(tblCCPs[Critical limit],MATCH(tblLog[[#This Row],[CCP]],tblCCPs[CCP],0))="","",INDEX(tblCCPs[Critical limit],MATCH(tblLog[[#This Row],[CCP]],tblCCPs[CCP],0))),""))</f>
        <v>5</v>
      </c>
      <c r="J185" s="40">
        <f>IF(tblLog[[#This Row],[Date]]="","",IFERROR(IF(INDEX(tblCCPs[Operating limit],MATCH(tblLog[[#This Row],[CCP]],tblCCPs[CCP],0))="","",INDEX(tblCCPs[Operating limit],MATCH(tblLog[[#This Row],[CCP]],tblCCPs[CCP],0))),""))</f>
        <v>4</v>
      </c>
      <c r="K185" s="41" t="str">
        <f>IF(tblLog[[#This Row],[Date]]="","",IF(OR(tblLog[[#This Row],[Reading]]="",tblLog[[#This Row],[Critical limit]]=""),"",IF(tblLog[[#This Row],[Limit type]]="Minimum",IF(tblLog[[#This Row],[Reading]]&lt;tblLog[[#This Row],[Critical limit]],"Out of limits",IF(AND(tblLog[[#This Row],[Operating limit]]&lt;&gt;"",tblLog[[#This Row],[Reading]]&lt;tblLog[[#This Row],[Operating limit]]),"Check","Within limits")),IF(tblLog[[#This Row],[Reading]]&gt;tblLog[[#This Row],[Critical limit]],"Out of limits",IF(AND(tblLog[[#This Row],[Operating limit]]&lt;&gt;"",tblLog[[#This Row],[Reading]]&gt;tblLog[[#This Row],[Operating limit]]),"Check","Within limits")))))</f>
        <v>Within limits</v>
      </c>
      <c r="L185" s="28" t="s">
        <v>130</v>
      </c>
      <c r="M185" s="42" t="s">
        <v>122</v>
      </c>
      <c r="N185" s="35">
        <v>0</v>
      </c>
      <c r="O185" s="28" t="s">
        <v>122</v>
      </c>
      <c r="P185" s="43">
        <f>IF(tblLog[[#This Row],[Date]]="","",IF(N(tblLog[[#This Row],[Product held]])&gt;0,tblLog[[#This Row],[Product held]]*HoldValue+QACost,0))</f>
        <v>0</v>
      </c>
      <c r="Q185" s="43">
        <f>IF(tblLog[[#This Row],[Date]]="","",IF(tblLog[[#This Row],[CCP]]="","",COUNTIFS(tblLog[CCP],tblLog[[#This Row],[CCP]],tblLog[Date],"&lt;"&amp;tblLog[[#This Row],[Date]])+COUNTIFS(tblLog[CCP],tblLog[[#This Row],[CCP]],tblLog[Date],tblLog[[#This Row],[Date]],tblLog[Time],"&lt;="&amp;tblLog[[#This Row],[Time]])))</f>
        <v>60</v>
      </c>
      <c r="R185" s="44">
        <f>IF(tblLog[[#This Row],[Date]]="","",IF(AND(tblLog[[#This Row],[Date]]&gt;=FFrom,tblLog[[#This Row],[Date]]&lt;=FTo),tblLog[[#This Row],[Date]],""))</f>
        <v>46290</v>
      </c>
      <c r="S185" s="45" t="str">
        <f>IF(tblLog[[#This Row],[Date]]="","",IF(tblLog[[#This Row],[Time]]="","Missing time",IF(tblLog[[#This Row],[CCP]]="","Missing ccp",IF(tblLog[[#This Row],[Reading]]="","Missing reading",IF(tblLog[[#This Row],[Monitored by]]="","Missing monitored by",IF(tblLog[[#This Row],[Critical limit]]="","CCP not on Setup list",IF(AND(tblLog[[#This Row],[Result]]="Out of limits",tblLog[[#This Row],[Corrective action]]=""),"Corrective action missing",IF(AND(tblLog[[#This Row],[Result]]="Out of limits",tblLog[[#This Row],[Verified by]]=""),"Deviation not verified",IF(AND(tblLog[[#This Row],[Verified by]]&lt;&gt;"",tblLog[[#This Row],[Verified by]]=tblLog[[#This Row],[Monitored by]]),"Verifier same as monitor",IF(COUNTIFS(tblLog[CCP],tblLog[[#This Row],[CCP]],tblLog[Date],tblLog[[#This Row],[Date]],tblLog[Time],tblLog[[#This Row],[Time]])&gt;1,"Duplicate check time","OK"))))))))))</f>
        <v>OK</v>
      </c>
      <c r="T185" s="28" t="s">
        <v>122</v>
      </c>
    </row>
  </sheetData>
  <mergeCells count="3">
    <mergeCell ref="A1:T1"/>
    <mergeCell ref="B2:S2"/>
    <mergeCell ref="B4:T4"/>
  </mergeCells>
  <conditionalFormatting sqref="S7:S685">
    <cfRule type="expression" dxfId="3" priority="1">
      <formula>$S7="OK"</formula>
    </cfRule>
    <cfRule type="expression" dxfId="1" priority="2">
      <formula>AND($S7&lt;&gt;"",$S7&lt;&gt;"OK")</formula>
    </cfRule>
  </conditionalFormatting>
  <dataValidations count="10">
    <dataValidation type="date" allowBlank="1" showInputMessage="1" showErrorMessage="1" errorTitle="Check this entry" error="Enter a date between 01 Jan 2000 and 31 Dec 2100." promptTitle="Date" prompt="Enter a date between 01 Jan 2000 and 31 Dec 2100." sqref="B7:B685">
      <formula1>36526</formula1>
      <formula2>73415</formula2>
    </dataValidation>
    <dataValidation type="time" allowBlank="1" showInputMessage="1" showErrorMessage="1" errorTitle="Check this entry" error="Enter a time of day, e.g. 06:00." promptTitle="Time" prompt="Clock time of the check (hh:mm). Enter a time of day, e.g. 06:00." sqref="C7:C685">
      <formula1>0</formula1>
      <formula2>0.999988425925926</formula2>
    </dataValidation>
    <dataValidation type="list" allowBlank="1" showInputMessage="1" showErrorMessage="1" errorTitle="Check this entry" error="Pick from the list (edit the list on Setup: CCPs)." promptTitle="CCP" prompt="Pick from the list (edit the list on Setup: CCPs)." sqref="D7:D685">
      <formula1>CCPs</formula1>
    </dataValidation>
    <dataValidation type="textLength" allowBlank="1" showInputMessage="1" showErrorMessage="1" errorTitle="Check this entry" error="Text up to 40 characters." promptTitle="Batch or lot" prompt="Text up to 40 characters." sqref="E7:E685">
      <formula1>0</formula1>
      <formula2>40</formula2>
    </dataValidation>
    <dataValidation type="decimal" allowBlank="1" showInputMessage="1" showErrorMessage="1" errorTitle="Check this entry" error="Enter a number from -1,000 to 100,000." promptTitle="Reading" prompt="The measured value in the CCP's unit (see the Unit column). Enter a number from -1,000 to 100,000." sqref="F7:F685">
      <formula1>-1000</formula1>
      <formula2>100000</formula2>
    </dataValidation>
    <dataValidation type="textLength" allowBlank="1" showInputMessage="1" showErrorMessage="1" errorTitle="Check this entry" error="Text up to 12 characters." promptTitle="Monitored by" prompt="Initials of the person who took the reading. Text up to 12 characters." sqref="L7:L685">
      <formula1>0</formula1>
      <formula2>12</formula2>
    </dataValidation>
    <dataValidation type="textLength" allowBlank="1" showInputMessage="1" showErrorMessage="1" errorTitle="Check this entry" error="Text up to 255 characters." promptTitle="Corrective action" prompt="Required when the result is Out of limits: what was done with the product and the process. Text up to 255 characters." sqref="M7:M685">
      <formula1>0</formula1>
      <formula2>255</formula2>
    </dataValidation>
    <dataValidation type="decimal" allowBlank="1" showInputMessage="1" showErrorMessage="1" errorTitle="Check this entry" error="Enter a number of at least 0." promptTitle="Product held" prompt="Units placed on hold because of this check. 0 if none. Enter a number of at least 0." sqref="N7:N685">
      <formula1>0</formula1>
      <formula2>1000000000.0</formula2>
    </dataValidation>
    <dataValidation type="textLength" allowBlank="1" showInputMessage="1" showErrorMessage="1" errorTitle="Check this entry" error="Text up to 12 characters." promptTitle="Verified by" prompt="Initials of the person who reviewed this record (not the person who monitored). Text up to 12 characters." sqref="O7:O685">
      <formula1>0</formula1>
      <formula2>12</formula2>
    </dataValidation>
    <dataValidation type="textLength" allowBlank="1" showInputMessage="1" showErrorMessage="1" errorTitle="Check this entry" error="Text up to 255 characters." promptTitle="Notes" prompt="Text up to 255 characters." sqref="T7:T685">
      <formula1>0</formula1>
      <formula2>255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HACCP CCP Monitoring Log&amp;R&amp;8&amp;A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81"/>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27" t="s">
        <v>195</v>
      </c>
      <c r="C4" s="46"/>
      <c r="D4" s="46"/>
      <c r="F4" s="27" t="s">
        <v>196</v>
      </c>
      <c r="G4" s="46"/>
      <c r="H4" s="46"/>
      <c r="J4" s="27" t="s">
        <v>197</v>
      </c>
      <c r="K4" s="28" t="s">
        <v>85</v>
      </c>
      <c r="L4" s="28"/>
    </row>
    <row r="5" spans="1:12">
      <c r="B5" s="47" t="str">
        <f>"Showing "&amp;COUNTIFS(tblLog[View date],"&gt;0")&amp;" checks. Missed checks cover the last "&amp;COUNT($B$45:$B$54)&amp;" production days in view (days with at least one record). Money in "&amp;Currency&amp;"."</f>
        <v>Showing 179 checks. Missed checks cover the last 10 production days in view (days with at least one record). Money in AUD.</v>
      </c>
      <c r="C5" s="47"/>
      <c r="D5" s="47"/>
      <c r="E5" s="47"/>
      <c r="F5" s="47"/>
      <c r="G5" s="47"/>
      <c r="H5" s="47"/>
      <c r="I5" s="47"/>
      <c r="J5" s="47"/>
      <c r="K5" s="47"/>
      <c r="L5" s="47"/>
    </row>
    <row r="7" spans="1:12" ht="18" customHeight="1">
      <c r="B7" s="48" t="s">
        <v>198</v>
      </c>
      <c r="C7" s="48"/>
      <c r="D7" s="48" t="s">
        <v>199</v>
      </c>
      <c r="E7" s="48"/>
      <c r="F7" s="48"/>
      <c r="G7" s="48" t="s">
        <v>200</v>
      </c>
      <c r="H7" s="48"/>
      <c r="I7" s="48"/>
      <c r="J7" s="48" t="s">
        <v>201</v>
      </c>
      <c r="K7" s="48"/>
      <c r="L7" s="48"/>
    </row>
    <row r="8" spans="1:12" ht="21" customHeight="1">
      <c r="B8" s="49">
        <f>COUNTIFS(tblLog[View date],"&gt;0")</f>
        <v>179</v>
      </c>
      <c r="C8" s="49"/>
      <c r="D8" s="49">
        <f>COUNTIFS(tblLog[Result],"Out of limits",tblLog[View date],"&gt;0")</f>
        <v>4</v>
      </c>
      <c r="E8" s="49"/>
      <c r="F8" s="49"/>
      <c r="G8" s="49">
        <f>COUNTIFS(tblLog[Result],"Out of limits",tblLog[Check],"&lt;&gt;OK",tblLog[View date],"&gt;0")</f>
        <v>1</v>
      </c>
      <c r="H8" s="49"/>
      <c r="I8" s="49"/>
      <c r="J8" s="49">
        <f>SUM($C$55:$F$55)</f>
        <v>1</v>
      </c>
      <c r="K8" s="49"/>
      <c r="L8" s="49"/>
    </row>
    <row r="9" spans="1:12" ht="21" customHeight="1">
      <c r="B9" s="49"/>
      <c r="C9" s="49"/>
      <c r="D9" s="49"/>
      <c r="E9" s="49"/>
      <c r="F9" s="49"/>
      <c r="G9" s="49"/>
      <c r="H9" s="49"/>
      <c r="I9" s="49"/>
      <c r="J9" s="49"/>
      <c r="K9" s="49"/>
      <c r="L9" s="49"/>
    </row>
    <row r="10" spans="1:12">
      <c r="B10" s="50" t="s">
        <v>202</v>
      </c>
      <c r="C10" s="50"/>
      <c r="D10" s="50" t="s">
        <v>203</v>
      </c>
      <c r="E10" s="50"/>
      <c r="F10" s="50"/>
      <c r="G10" s="51">
        <f>0</f>
        <v>0</v>
      </c>
      <c r="H10" s="51"/>
      <c r="I10" s="51"/>
      <c r="J10" s="51">
        <f>0</f>
        <v>0</v>
      </c>
      <c r="K10" s="51"/>
      <c r="L10" s="51"/>
    </row>
    <row r="11" spans="1:12" ht="18" customHeight="1">
      <c r="B11" s="52"/>
      <c r="C11" s="52"/>
      <c r="D11" s="52"/>
      <c r="E11" s="52"/>
      <c r="F11" s="52"/>
      <c r="G11" s="52" t="str">
        <f>IF(NOT(ISNUMBER(KpiOpen)),"No data",IF(KpiOpen&lt;=(0),"On target",IF(KpiOpen&lt;=(0)*(1+0.05),"Near target","Above target")))</f>
        <v>Above target</v>
      </c>
      <c r="H11" s="52"/>
      <c r="I11" s="52"/>
      <c r="J11" s="52" t="str">
        <f>IF(NOT(ISNUMBER(KpiMissed)),"No data",IF(KpiMissed&lt;=(0),"On target",IF(KpiMissed&lt;=(0)*(1+0.05),"Near target","Above target")))</f>
        <v>Above target</v>
      </c>
      <c r="K11" s="52"/>
      <c r="L11" s="52"/>
    </row>
    <row r="29" spans="2:12" ht="18" customHeight="1">
      <c r="B29" s="48" t="s">
        <v>204</v>
      </c>
      <c r="C29" s="48"/>
      <c r="D29" s="48" t="str">
        <f>"PRODUCT HELD ("&amp;UPPER(HeldUnit)&amp;")"</f>
        <v>PRODUCT HELD (CASES)</v>
      </c>
      <c r="E29" s="48"/>
      <c r="F29" s="48"/>
      <c r="G29" s="48" t="str">
        <f>"HOLD COST ("&amp;Currency&amp;", EST.)"</f>
        <v>HOLD COST (AUD, EST.)</v>
      </c>
      <c r="H29" s="48"/>
      <c r="I29" s="48"/>
      <c r="J29" s="48" t="s">
        <v>205</v>
      </c>
      <c r="K29" s="48"/>
      <c r="L29" s="48"/>
    </row>
    <row r="30" spans="2:12" ht="21" customHeight="1">
      <c r="B30" s="53">
        <f>IF((COUNTIFS(tblLog[View date],"&gt;0"))=0,"",(COUNTIFS(tblLog[Verified by],"?*",tblLog[View date],"&gt;0"))/(COUNTIFS(tblLog[View date],"&gt;0")))</f>
        <v>0.893854748603352</v>
      </c>
      <c r="C30" s="53"/>
      <c r="D30" s="49">
        <f>SUMIFS(tblLog[Product held],tblLog[View date],"&gt;0")</f>
        <v>480</v>
      </c>
      <c r="E30" s="49"/>
      <c r="F30" s="49"/>
      <c r="G30" s="49">
        <f>SUMIFS(tblLog[Hold cost (est.)],tblLog[View date],"&gt;0")</f>
        <v>15390</v>
      </c>
      <c r="H30" s="49"/>
      <c r="I30" s="49"/>
      <c r="J30" s="54" t="str">
        <f>IF(MAX($F$38:$F$41)&gt;0,INDEX($B$38:$B$41,MATCH(MAX($F$38:$F$41),$F$38:$F$41,0)),"None")</f>
        <v>CCP2 Chilling</v>
      </c>
      <c r="K30" s="54"/>
      <c r="L30" s="54"/>
    </row>
    <row r="31" spans="2:12" ht="21" customHeight="1">
      <c r="B31" s="53"/>
      <c r="C31" s="53"/>
      <c r="D31" s="49"/>
      <c r="E31" s="49"/>
      <c r="F31" s="49"/>
      <c r="G31" s="49"/>
      <c r="H31" s="49"/>
      <c r="I31" s="49"/>
      <c r="J31" s="54"/>
      <c r="K31" s="54"/>
      <c r="L31" s="54"/>
    </row>
    <row r="32" spans="2:12">
      <c r="B32" s="55">
        <f>TargetVerified</f>
        <v>1</v>
      </c>
      <c r="C32" s="55"/>
      <c r="D32" s="50" t="s">
        <v>206</v>
      </c>
      <c r="E32" s="50"/>
      <c r="F32" s="50"/>
      <c r="G32" s="50" t="s">
        <v>207</v>
      </c>
      <c r="H32" s="50"/>
      <c r="I32" s="50"/>
      <c r="J32" s="50" t="s">
        <v>208</v>
      </c>
      <c r="K32" s="50"/>
      <c r="L32" s="50"/>
    </row>
    <row r="33" spans="2:12" ht="18" customHeight="1">
      <c r="B33" s="52" t="str">
        <f>IF(NOT(ISNUMBER(KpiVerified)),"No data",IF(KpiVerified&gt;=(TargetVerified),"On target",IF(KpiVerified&gt;=(TargetVerified)*(1-0.05),"Near target","Below target")))</f>
        <v>Below target</v>
      </c>
      <c r="C33" s="52"/>
      <c r="D33" s="52"/>
      <c r="E33" s="52"/>
      <c r="F33" s="52"/>
      <c r="G33" s="52"/>
      <c r="H33" s="52"/>
      <c r="I33" s="52"/>
      <c r="J33" s="52"/>
      <c r="K33" s="52"/>
      <c r="L33" s="52"/>
    </row>
    <row r="35" spans="2:12">
      <c r="B35" s="31" t="s">
        <v>209</v>
      </c>
      <c r="C35" s="31"/>
      <c r="D35" s="31"/>
      <c r="E35" s="31"/>
      <c r="F35" s="31"/>
      <c r="G35" s="31"/>
      <c r="H35" s="31"/>
      <c r="I35" s="31"/>
    </row>
    <row r="36" spans="2:12" ht="45.5" customHeight="1">
      <c r="B36" s="56" t="s">
        <v>62</v>
      </c>
      <c r="C36" s="33" t="s">
        <v>210</v>
      </c>
      <c r="D36" s="33" t="s">
        <v>211</v>
      </c>
      <c r="E36" s="33" t="s">
        <v>212</v>
      </c>
      <c r="F36" s="33" t="s">
        <v>213</v>
      </c>
      <c r="G36" s="33" t="s">
        <v>214</v>
      </c>
      <c r="H36" s="33" t="s">
        <v>112</v>
      </c>
      <c r="I36" s="33" t="s">
        <v>114</v>
      </c>
    </row>
    <row r="37" spans="2:12" ht="14" customHeight="1">
      <c r="B37" s="36"/>
      <c r="C37" s="36"/>
      <c r="D37" s="36"/>
      <c r="E37" s="36"/>
      <c r="F37" s="36"/>
      <c r="G37" s="36"/>
      <c r="H37" s="36" t="str">
        <f>HeldUnit</f>
        <v>cases</v>
      </c>
      <c r="I37" s="36" t="str">
        <f>Currency</f>
        <v>AUD</v>
      </c>
    </row>
    <row r="38" spans="2:12">
      <c r="B38" s="57" t="str">
        <f>IFERROR(INDEX(tblCCPs[CCP],1)&amp;"","")</f>
        <v>CCP1 Cooking</v>
      </c>
      <c r="C38" s="43">
        <f>IF($B$38="","",COUNTIFS(tblLog[CCP],$B$38,tblLog[View date],"&gt;0"))</f>
        <v>60</v>
      </c>
      <c r="D38" s="43">
        <f>IF($B$38="","",COUNTIFS(tblLog[CCP],$B$38,tblLog[Result],"Within limits",tblLog[View date],"&gt;0"))</f>
        <v>57</v>
      </c>
      <c r="E38" s="43">
        <f>IF($B$38="","",COUNTIFS(tblLog[CCP],$B$38,tblLog[Result],"Check",tblLog[View date],"&gt;0"))</f>
        <v>2</v>
      </c>
      <c r="F38" s="43">
        <f>IF($B$38="","",COUNTIFS(tblLog[CCP],$B$38,tblLog[Result],"Out of limits",tblLog[View date],"&gt;0"))</f>
        <v>1</v>
      </c>
      <c r="G38" s="43">
        <f>IF($B$38="","",INDEX($C$55:$F$55,1))</f>
        <v>0</v>
      </c>
      <c r="H38" s="43">
        <f>IF($B$38="","",SUMIFS(tblLog[Product held],tblLog[CCP],$B$38,tblLog[View date],"&gt;0"))</f>
        <v>0</v>
      </c>
      <c r="I38" s="43">
        <f>IF($B$38="","",SUMIFS(tblLog[Hold cost (est.)],tblLog[CCP],$B$38,tblLog[View date],"&gt;0"))</f>
        <v>0</v>
      </c>
    </row>
    <row r="39" spans="2:12">
      <c r="B39" s="57" t="str">
        <f>IFERROR(INDEX(tblCCPs[CCP],2)&amp;"","")</f>
        <v>CCP2 Chilling</v>
      </c>
      <c r="C39" s="43">
        <f>IF($B$39="","",COUNTIFS(tblLog[CCP],$B$39,tblLog[View date],"&gt;0"))</f>
        <v>60</v>
      </c>
      <c r="D39" s="43">
        <f>IF($B$39="","",COUNTIFS(tblLog[CCP],$B$39,tblLog[Result],"Within limits",tblLog[View date],"&gt;0"))</f>
        <v>57</v>
      </c>
      <c r="E39" s="43">
        <f>IF($B$39="","",COUNTIFS(tblLog[CCP],$B$39,tblLog[Result],"Check",tblLog[View date],"&gt;0"))</f>
        <v>1</v>
      </c>
      <c r="F39" s="43">
        <f>IF($B$39="","",COUNTIFS(tblLog[CCP],$B$39,tblLog[Result],"Out of limits",tblLog[View date],"&gt;0"))</f>
        <v>2</v>
      </c>
      <c r="G39" s="43">
        <f>IF($B$39="","",INDEX($C$55:$F$55,2))</f>
        <v>0</v>
      </c>
      <c r="H39" s="43">
        <f>IF($B$39="","",SUMIFS(tblLog[Product held],tblLog[CCP],$B$39,tblLog[View date],"&gt;0"))</f>
        <v>420</v>
      </c>
      <c r="I39" s="43">
        <f>IF($B$39="","",SUMIFS(tblLog[Hold cost (est.)],tblLog[CCP],$B$39,tblLog[View date],"&gt;0"))</f>
        <v>13060</v>
      </c>
    </row>
    <row r="40" spans="2:12">
      <c r="B40" s="57" t="str">
        <f>IFERROR(INDEX(tblCCPs[CCP],3)&amp;"","")</f>
        <v>CCP3 Metal detection</v>
      </c>
      <c r="C40" s="43">
        <f>IF($B$40="","",COUNTIFS(tblLog[CCP],$B$40,tblLog[View date],"&gt;0"))</f>
        <v>40</v>
      </c>
      <c r="D40" s="43">
        <f>IF($B$40="","",COUNTIFS(tblLog[CCP],$B$40,tblLog[Result],"Within limits",tblLog[View date],"&gt;0"))</f>
        <v>39</v>
      </c>
      <c r="E40" s="43">
        <f>IF($B$40="","",COUNTIFS(tblLog[CCP],$B$40,tblLog[Result],"Check",tblLog[View date],"&gt;0"))</f>
        <v>0</v>
      </c>
      <c r="F40" s="43">
        <f>IF($B$40="","",COUNTIFS(tblLog[CCP],$B$40,tblLog[Result],"Out of limits",tblLog[View date],"&gt;0"))</f>
        <v>1</v>
      </c>
      <c r="G40" s="43">
        <f>IF($B$40="","",INDEX($C$55:$F$55,3))</f>
        <v>0</v>
      </c>
      <c r="H40" s="43">
        <f>IF($B$40="","",SUMIFS(tblLog[Product held],tblLog[CCP],$B$40,tblLog[View date],"&gt;0"))</f>
        <v>60</v>
      </c>
      <c r="I40" s="43">
        <f>IF($B$40="","",SUMIFS(tblLog[Hold cost (est.)],tblLog[CCP],$B$40,tblLog[View date],"&gt;0"))</f>
        <v>2330</v>
      </c>
    </row>
    <row r="41" spans="2:12">
      <c r="B41" s="57" t="str">
        <f>IFERROR(INDEX(tblCCPs[CCP],4)&amp;"","")</f>
        <v>CCP4 Cold store</v>
      </c>
      <c r="C41" s="43">
        <f>IF($B$41="","",COUNTIFS(tblLog[CCP],$B$41,tblLog[View date],"&gt;0"))</f>
        <v>19</v>
      </c>
      <c r="D41" s="43">
        <f>IF($B$41="","",COUNTIFS(tblLog[CCP],$B$41,tblLog[Result],"Within limits",tblLog[View date],"&gt;0"))</f>
        <v>19</v>
      </c>
      <c r="E41" s="43">
        <f>IF($B$41="","",COUNTIFS(tblLog[CCP],$B$41,tblLog[Result],"Check",tblLog[View date],"&gt;0"))</f>
        <v>0</v>
      </c>
      <c r="F41" s="43">
        <f>IF($B$41="","",COUNTIFS(tblLog[CCP],$B$41,tblLog[Result],"Out of limits",tblLog[View date],"&gt;0"))</f>
        <v>0</v>
      </c>
      <c r="G41" s="43">
        <f>IF($B$41="","",INDEX($C$55:$F$55,4))</f>
        <v>1</v>
      </c>
      <c r="H41" s="43">
        <f>IF($B$41="","",SUMIFS(tblLog[Product held],tblLog[CCP],$B$41,tblLog[View date],"&gt;0"))</f>
        <v>0</v>
      </c>
      <c r="I41" s="43">
        <f>IF($B$41="","",SUMIFS(tblLog[Hold cost (est.)],tblLog[CCP],$B$41,tblLog[View date],"&gt;0"))</f>
        <v>0</v>
      </c>
    </row>
    <row r="43" spans="2:12">
      <c r="B43" s="31" t="s">
        <v>215</v>
      </c>
      <c r="C43" s="31"/>
      <c r="D43" s="31"/>
      <c r="E43" s="31"/>
      <c r="F43" s="31"/>
      <c r="G43" s="31"/>
    </row>
    <row r="44" spans="2:12">
      <c r="B44" s="56" t="s">
        <v>216</v>
      </c>
      <c r="C44" s="33" t="str">
        <f>IFERROR(INDEX(tblCCPs[CCP],1)&amp;"","")</f>
        <v>CCP1 Cooking</v>
      </c>
      <c r="D44" s="33" t="str">
        <f>IFERROR(INDEX(tblCCPs[CCP],2)&amp;"","")</f>
        <v>CCP2 Chilling</v>
      </c>
      <c r="E44" s="33" t="str">
        <f>IFERROR(INDEX(tblCCPs[CCP],3)&amp;"","")</f>
        <v>CCP3 Metal detection</v>
      </c>
      <c r="F44" s="33" t="str">
        <f>IFERROR(INDEX(tblCCPs[CCP],4)&amp;"","")</f>
        <v>CCP4 Cold store</v>
      </c>
      <c r="G44" s="33" t="s">
        <v>217</v>
      </c>
    </row>
    <row r="45" spans="2:12">
      <c r="B45" s="58">
        <f>IF($B$46="","",IFERROR(LARGE(tblLog[View date],COUNTIF(tblLog[View date],"&gt;="&amp;$B$46)+1),""))</f>
        <v>46279</v>
      </c>
      <c r="C45" s="59">
        <f>IF(OR($B$45="",$C$44=""),"",MAX(0,IFERROR(INDEX(tblCCPs[Checks per day],MATCH($C$44,tblCCPs[CCP],0)),0)-COUNTIFS(tblLog[CCP],$C$44,tblLog[Date],$B$45)))</f>
        <v>0</v>
      </c>
      <c r="D45" s="59">
        <f>IF(OR($B$45="",$D$44=""),"",MAX(0,IFERROR(INDEX(tblCCPs[Checks per day],MATCH($D$44,tblCCPs[CCP],0)),0)-COUNTIFS(tblLog[CCP],$D$44,tblLog[Date],$B$45)))</f>
        <v>0</v>
      </c>
      <c r="E45" s="59">
        <f>IF(OR($B$45="",$E$44=""),"",MAX(0,IFERROR(INDEX(tblCCPs[Checks per day],MATCH($E$44,tblCCPs[CCP],0)),0)-COUNTIFS(tblLog[CCP],$E$44,tblLog[Date],$B$45)))</f>
        <v>0</v>
      </c>
      <c r="F45" s="59">
        <f>IF(OR($B$45="",$F$44=""),"",MAX(0,IFERROR(INDEX(tblCCPs[Checks per day],MATCH($F$44,tblCCPs[CCP],0)),0)-COUNTIFS(tblLog[CCP],$F$44,tblLog[Date],$B$45)))</f>
        <v>0</v>
      </c>
      <c r="G45" s="60">
        <f>IF($B$45="","",SUM($C$45:$F$45))</f>
        <v>0</v>
      </c>
    </row>
    <row r="46" spans="2:12">
      <c r="B46" s="58">
        <f>IF($B$47="","",IFERROR(LARGE(tblLog[View date],COUNTIF(tblLog[View date],"&gt;="&amp;$B$47)+1),""))</f>
        <v>46280</v>
      </c>
      <c r="C46" s="59">
        <f>IF(OR($B$46="",$C$44=""),"",MAX(0,IFERROR(INDEX(tblCCPs[Checks per day],MATCH($C$44,tblCCPs[CCP],0)),0)-COUNTIFS(tblLog[CCP],$C$44,tblLog[Date],$B$46)))</f>
        <v>0</v>
      </c>
      <c r="D46" s="59">
        <f>IF(OR($B$46="",$D$44=""),"",MAX(0,IFERROR(INDEX(tblCCPs[Checks per day],MATCH($D$44,tblCCPs[CCP],0)),0)-COUNTIFS(tblLog[CCP],$D$44,tblLog[Date],$B$46)))</f>
        <v>0</v>
      </c>
      <c r="E46" s="59">
        <f>IF(OR($B$46="",$E$44=""),"",MAX(0,IFERROR(INDEX(tblCCPs[Checks per day],MATCH($E$44,tblCCPs[CCP],0)),0)-COUNTIFS(tblLog[CCP],$E$44,tblLog[Date],$B$46)))</f>
        <v>0</v>
      </c>
      <c r="F46" s="59">
        <f>IF(OR($B$46="",$F$44=""),"",MAX(0,IFERROR(INDEX(tblCCPs[Checks per day],MATCH($F$44,tblCCPs[CCP],0)),0)-COUNTIFS(tblLog[CCP],$F$44,tblLog[Date],$B$46)))</f>
        <v>0</v>
      </c>
      <c r="G46" s="60">
        <f>IF($B$46="","",SUM($C$46:$F$46))</f>
        <v>0</v>
      </c>
    </row>
    <row r="47" spans="2:12">
      <c r="B47" s="58">
        <f>IF($B$48="","",IFERROR(LARGE(tblLog[View date],COUNTIF(tblLog[View date],"&gt;="&amp;$B$48)+1),""))</f>
        <v>46281</v>
      </c>
      <c r="C47" s="59">
        <f>IF(OR($B$47="",$C$44=""),"",MAX(0,IFERROR(INDEX(tblCCPs[Checks per day],MATCH($C$44,tblCCPs[CCP],0)),0)-COUNTIFS(tblLog[CCP],$C$44,tblLog[Date],$B$47)))</f>
        <v>0</v>
      </c>
      <c r="D47" s="59">
        <f>IF(OR($B$47="",$D$44=""),"",MAX(0,IFERROR(INDEX(tblCCPs[Checks per day],MATCH($D$44,tblCCPs[CCP],0)),0)-COUNTIFS(tblLog[CCP],$D$44,tblLog[Date],$B$47)))</f>
        <v>0</v>
      </c>
      <c r="E47" s="59">
        <f>IF(OR($B$47="",$E$44=""),"",MAX(0,IFERROR(INDEX(tblCCPs[Checks per day],MATCH($E$44,tblCCPs[CCP],0)),0)-COUNTIFS(tblLog[CCP],$E$44,tblLog[Date],$B$47)))</f>
        <v>0</v>
      </c>
      <c r="F47" s="59">
        <f>IF(OR($B$47="",$F$44=""),"",MAX(0,IFERROR(INDEX(tblCCPs[Checks per day],MATCH($F$44,tblCCPs[CCP],0)),0)-COUNTIFS(tblLog[CCP],$F$44,tblLog[Date],$B$47)))</f>
        <v>0</v>
      </c>
      <c r="G47" s="60">
        <f>IF($B$47="","",SUM($C$47:$F$47))</f>
        <v>0</v>
      </c>
    </row>
    <row r="48" spans="2:12">
      <c r="B48" s="58">
        <f>IF($B$49="","",IFERROR(LARGE(tblLog[View date],COUNTIF(tblLog[View date],"&gt;="&amp;$B$49)+1),""))</f>
        <v>46282</v>
      </c>
      <c r="C48" s="59">
        <f>IF(OR($B$48="",$C$44=""),"",MAX(0,IFERROR(INDEX(tblCCPs[Checks per day],MATCH($C$44,tblCCPs[CCP],0)),0)-COUNTIFS(tblLog[CCP],$C$44,tblLog[Date],$B$48)))</f>
        <v>0</v>
      </c>
      <c r="D48" s="59">
        <f>IF(OR($B$48="",$D$44=""),"",MAX(0,IFERROR(INDEX(tblCCPs[Checks per day],MATCH($D$44,tblCCPs[CCP],0)),0)-COUNTIFS(tblLog[CCP],$D$44,tblLog[Date],$B$48)))</f>
        <v>0</v>
      </c>
      <c r="E48" s="59">
        <f>IF(OR($B$48="",$E$44=""),"",MAX(0,IFERROR(INDEX(tblCCPs[Checks per day],MATCH($E$44,tblCCPs[CCP],0)),0)-COUNTIFS(tblLog[CCP],$E$44,tblLog[Date],$B$48)))</f>
        <v>0</v>
      </c>
      <c r="F48" s="59">
        <f>IF(OR($B$48="",$F$44=""),"",MAX(0,IFERROR(INDEX(tblCCPs[Checks per day],MATCH($F$44,tblCCPs[CCP],0)),0)-COUNTIFS(tblLog[CCP],$F$44,tblLog[Date],$B$48)))</f>
        <v>0</v>
      </c>
      <c r="G48" s="60">
        <f>IF($B$48="","",SUM($C$48:$F$48))</f>
        <v>0</v>
      </c>
    </row>
    <row r="49" spans="2:7">
      <c r="B49" s="58">
        <f>IF($B$50="","",IFERROR(LARGE(tblLog[View date],COUNTIF(tblLog[View date],"&gt;="&amp;$B$50)+1),""))</f>
        <v>46283</v>
      </c>
      <c r="C49" s="59">
        <f>IF(OR($B$49="",$C$44=""),"",MAX(0,IFERROR(INDEX(tblCCPs[Checks per day],MATCH($C$44,tblCCPs[CCP],0)),0)-COUNTIFS(tblLog[CCP],$C$44,tblLog[Date],$B$49)))</f>
        <v>0</v>
      </c>
      <c r="D49" s="59">
        <f>IF(OR($B$49="",$D$44=""),"",MAX(0,IFERROR(INDEX(tblCCPs[Checks per day],MATCH($D$44,tblCCPs[CCP],0)),0)-COUNTIFS(tblLog[CCP],$D$44,tblLog[Date],$B$49)))</f>
        <v>0</v>
      </c>
      <c r="E49" s="59">
        <f>IF(OR($B$49="",$E$44=""),"",MAX(0,IFERROR(INDEX(tblCCPs[Checks per day],MATCH($E$44,tblCCPs[CCP],0)),0)-COUNTIFS(tblLog[CCP],$E$44,tblLog[Date],$B$49)))</f>
        <v>0</v>
      </c>
      <c r="F49" s="59">
        <f>IF(OR($B$49="",$F$44=""),"",MAX(0,IFERROR(INDEX(tblCCPs[Checks per day],MATCH($F$44,tblCCPs[CCP],0)),0)-COUNTIFS(tblLog[CCP],$F$44,tblLog[Date],$B$49)))</f>
        <v>0</v>
      </c>
      <c r="G49" s="60">
        <f>IF($B$49="","",SUM($C$49:$F$49))</f>
        <v>0</v>
      </c>
    </row>
    <row r="50" spans="2:7">
      <c r="B50" s="58">
        <f>IF($B$51="","",IFERROR(LARGE(tblLog[View date],COUNTIF(tblLog[View date],"&gt;="&amp;$B$51)+1),""))</f>
        <v>46286</v>
      </c>
      <c r="C50" s="59">
        <f>IF(OR($B$50="",$C$44=""),"",MAX(0,IFERROR(INDEX(tblCCPs[Checks per day],MATCH($C$44,tblCCPs[CCP],0)),0)-COUNTIFS(tblLog[CCP],$C$44,tblLog[Date],$B$50)))</f>
        <v>0</v>
      </c>
      <c r="D50" s="59">
        <f>IF(OR($B$50="",$D$44=""),"",MAX(0,IFERROR(INDEX(tblCCPs[Checks per day],MATCH($D$44,tblCCPs[CCP],0)),0)-COUNTIFS(tblLog[CCP],$D$44,tblLog[Date],$B$50)))</f>
        <v>0</v>
      </c>
      <c r="E50" s="59">
        <f>IF(OR($B$50="",$E$44=""),"",MAX(0,IFERROR(INDEX(tblCCPs[Checks per day],MATCH($E$44,tblCCPs[CCP],0)),0)-COUNTIFS(tblLog[CCP],$E$44,tblLog[Date],$B$50)))</f>
        <v>0</v>
      </c>
      <c r="F50" s="59">
        <f>IF(OR($B$50="",$F$44=""),"",MAX(0,IFERROR(INDEX(tblCCPs[Checks per day],MATCH($F$44,tblCCPs[CCP],0)),0)-COUNTIFS(tblLog[CCP],$F$44,tblLog[Date],$B$50)))</f>
        <v>0</v>
      </c>
      <c r="G50" s="60">
        <f>IF($B$50="","",SUM($C$50:$F$50))</f>
        <v>0</v>
      </c>
    </row>
    <row r="51" spans="2:7">
      <c r="B51" s="58">
        <f>IF($B$52="","",IFERROR(LARGE(tblLog[View date],COUNTIF(tblLog[View date],"&gt;="&amp;$B$52)+1),""))</f>
        <v>46287</v>
      </c>
      <c r="C51" s="59">
        <f>IF(OR($B$51="",$C$44=""),"",MAX(0,IFERROR(INDEX(tblCCPs[Checks per day],MATCH($C$44,tblCCPs[CCP],0)),0)-COUNTIFS(tblLog[CCP],$C$44,tblLog[Date],$B$51)))</f>
        <v>0</v>
      </c>
      <c r="D51" s="59">
        <f>IF(OR($B$51="",$D$44=""),"",MAX(0,IFERROR(INDEX(tblCCPs[Checks per day],MATCH($D$44,tblCCPs[CCP],0)),0)-COUNTIFS(tblLog[CCP],$D$44,tblLog[Date],$B$51)))</f>
        <v>0</v>
      </c>
      <c r="E51" s="59">
        <f>IF(OR($B$51="",$E$44=""),"",MAX(0,IFERROR(INDEX(tblCCPs[Checks per day],MATCH($E$44,tblCCPs[CCP],0)),0)-COUNTIFS(tblLog[CCP],$E$44,tblLog[Date],$B$51)))</f>
        <v>0</v>
      </c>
      <c r="F51" s="59">
        <f>IF(OR($B$51="",$F$44=""),"",MAX(0,IFERROR(INDEX(tblCCPs[Checks per day],MATCH($F$44,tblCCPs[CCP],0)),0)-COUNTIFS(tblLog[CCP],$F$44,tblLog[Date],$B$51)))</f>
        <v>0</v>
      </c>
      <c r="G51" s="60">
        <f>IF($B$51="","",SUM($C$51:$F$51))</f>
        <v>0</v>
      </c>
    </row>
    <row r="52" spans="2:7">
      <c r="B52" s="58">
        <f>IF($B$53="","",IFERROR(LARGE(tblLog[View date],COUNTIF(tblLog[View date],"&gt;="&amp;$B$53)+1),""))</f>
        <v>46288</v>
      </c>
      <c r="C52" s="59">
        <f>IF(OR($B$52="",$C$44=""),"",MAX(0,IFERROR(INDEX(tblCCPs[Checks per day],MATCH($C$44,tblCCPs[CCP],0)),0)-COUNTIFS(tblLog[CCP],$C$44,tblLog[Date],$B$52)))</f>
        <v>0</v>
      </c>
      <c r="D52" s="59">
        <f>IF(OR($B$52="",$D$44=""),"",MAX(0,IFERROR(INDEX(tblCCPs[Checks per day],MATCH($D$44,tblCCPs[CCP],0)),0)-COUNTIFS(tblLog[CCP],$D$44,tblLog[Date],$B$52)))</f>
        <v>0</v>
      </c>
      <c r="E52" s="59">
        <f>IF(OR($B$52="",$E$44=""),"",MAX(0,IFERROR(INDEX(tblCCPs[Checks per day],MATCH($E$44,tblCCPs[CCP],0)),0)-COUNTIFS(tblLog[CCP],$E$44,tblLog[Date],$B$52)))</f>
        <v>0</v>
      </c>
      <c r="F52" s="59">
        <f>IF(OR($B$52="",$F$44=""),"",MAX(0,IFERROR(INDEX(tblCCPs[Checks per day],MATCH($F$44,tblCCPs[CCP],0)),0)-COUNTIFS(tblLog[CCP],$F$44,tblLog[Date],$B$52)))</f>
        <v>0</v>
      </c>
      <c r="G52" s="60">
        <f>IF($B$52="","",SUM($C$52:$F$52))</f>
        <v>0</v>
      </c>
    </row>
    <row r="53" spans="2:7">
      <c r="B53" s="58">
        <f>IF($B$54="","",IFERROR(LARGE(tblLog[View date],COUNTIF(tblLog[View date],"&gt;="&amp;$B$54)+1),""))</f>
        <v>46289</v>
      </c>
      <c r="C53" s="59">
        <f>IF(OR($B$53="",$C$44=""),"",MAX(0,IFERROR(INDEX(tblCCPs[Checks per day],MATCH($C$44,tblCCPs[CCP],0)),0)-COUNTIFS(tblLog[CCP],$C$44,tblLog[Date],$B$53)))</f>
        <v>0</v>
      </c>
      <c r="D53" s="59">
        <f>IF(OR($B$53="",$D$44=""),"",MAX(0,IFERROR(INDEX(tblCCPs[Checks per day],MATCH($D$44,tblCCPs[CCP],0)),0)-COUNTIFS(tblLog[CCP],$D$44,tblLog[Date],$B$53)))</f>
        <v>0</v>
      </c>
      <c r="E53" s="59">
        <f>IF(OR($B$53="",$E$44=""),"",MAX(0,IFERROR(INDEX(tblCCPs[Checks per day],MATCH($E$44,tblCCPs[CCP],0)),0)-COUNTIFS(tblLog[CCP],$E$44,tblLog[Date],$B$53)))</f>
        <v>0</v>
      </c>
      <c r="F53" s="59">
        <f>IF(OR($B$53="",$F$44=""),"",MAX(0,IFERROR(INDEX(tblCCPs[Checks per day],MATCH($F$44,tblCCPs[CCP],0)),0)-COUNTIFS(tblLog[CCP],$F$44,tblLog[Date],$B$53)))</f>
        <v>1</v>
      </c>
      <c r="G53" s="60">
        <f>IF($B$53="","",SUM($C$53:$F$53))</f>
        <v>1</v>
      </c>
    </row>
    <row r="54" spans="2:7">
      <c r="B54" s="58">
        <f>IF(COUNT(tblLog[View date])=0,"",MAX(tblLog[View date]))</f>
        <v>46290</v>
      </c>
      <c r="C54" s="59">
        <f>IF(OR($B$54="",$C$44=""),"",MAX(0,IFERROR(INDEX(tblCCPs[Checks per day],MATCH($C$44,tblCCPs[CCP],0)),0)-COUNTIFS(tblLog[CCP],$C$44,tblLog[Date],$B$54)))</f>
        <v>0</v>
      </c>
      <c r="D54" s="59">
        <f>IF(OR($B$54="",$D$44=""),"",MAX(0,IFERROR(INDEX(tblCCPs[Checks per day],MATCH($D$44,tblCCPs[CCP],0)),0)-COUNTIFS(tblLog[CCP],$D$44,tblLog[Date],$B$54)))</f>
        <v>0</v>
      </c>
      <c r="E54" s="59">
        <f>IF(OR($B$54="",$E$44=""),"",MAX(0,IFERROR(INDEX(tblCCPs[Checks per day],MATCH($E$44,tblCCPs[CCP],0)),0)-COUNTIFS(tblLog[CCP],$E$44,tblLog[Date],$B$54)))</f>
        <v>0</v>
      </c>
      <c r="F54" s="59">
        <f>IF(OR($B$54="",$F$44=""),"",MAX(0,IFERROR(INDEX(tblCCPs[Checks per day],MATCH($F$44,tblCCPs[CCP],0)),0)-COUNTIFS(tblLog[CCP],$F$44,tblLog[Date],$B$54)))</f>
        <v>0</v>
      </c>
      <c r="G54" s="60">
        <f>IF($B$54="","",SUM($C$54:$F$54))</f>
        <v>0</v>
      </c>
    </row>
    <row r="55" spans="2:7">
      <c r="B55" s="61" t="s">
        <v>217</v>
      </c>
      <c r="C55" s="62">
        <f>IF($C$44="","",SUM($C$45:$C$54))</f>
        <v>0</v>
      </c>
      <c r="D55" s="62">
        <f>IF($D$44="","",SUM($D$45:$D$54))</f>
        <v>0</v>
      </c>
      <c r="E55" s="62">
        <f>IF($E$44="","",SUM($E$45:$E$54))</f>
        <v>0</v>
      </c>
      <c r="F55" s="62">
        <f>IF($F$44="","",SUM($F$45:$F$54))</f>
        <v>1</v>
      </c>
      <c r="G55" s="61"/>
    </row>
    <row r="57" spans="2:7">
      <c r="B57" s="31" t="s">
        <v>218</v>
      </c>
      <c r="C57" s="31"/>
      <c r="D57" s="31"/>
      <c r="E57" s="31"/>
      <c r="F57" s="31"/>
      <c r="G57" s="31"/>
    </row>
    <row r="58" spans="2:7" ht="45.5" customHeight="1">
      <c r="B58" s="56" t="s">
        <v>219</v>
      </c>
      <c r="C58" s="33" t="s">
        <v>115</v>
      </c>
      <c r="D58" s="33" t="s">
        <v>105</v>
      </c>
      <c r="E58" s="33" t="s">
        <v>108</v>
      </c>
      <c r="F58" s="33" t="s">
        <v>68</v>
      </c>
      <c r="G58" s="33" t="s">
        <v>220</v>
      </c>
    </row>
    <row r="59" spans="2:7">
      <c r="B59" s="63">
        <v>1</v>
      </c>
      <c r="C59" s="43">
        <f>IF(TrendN-20+$B$59&lt;1,"",TrendN-20+$B$59)</f>
        <v>41</v>
      </c>
      <c r="D59" s="64">
        <f>IF($C$59="","",SUMIFS(tblLog[Date],tblLog[CCP],DashCCP,tblLog[Reading no.],$C$59))</f>
        <v>46287</v>
      </c>
      <c r="E59" s="40">
        <f>IF($C$59="","",SUMIFS(tblLog[Reading],tblLog[CCP],DashCCP,tblLog[Reading no.],$C$59))</f>
        <v>85.5</v>
      </c>
      <c r="F59" s="65">
        <f>IFERROR(INDEX(tblCCPs[Critical limit],MATCH(DashCCP,tblCCPs[CCP],0)),"")</f>
        <v>75</v>
      </c>
      <c r="G59" s="65">
        <f>IFERROR(IF(INDEX(tblCCPs[Operating limit],MATCH(DashCCP,tblCCPs[CCP],0))="",INDEX(tblCCPs[Critical limit],MATCH(DashCCP,tblCCPs[CCP],0)),INDEX(tblCCPs[Operating limit],MATCH(DashCCP,tblCCPs[CCP],0))),"")</f>
        <v>78</v>
      </c>
    </row>
    <row r="60" spans="2:7">
      <c r="B60" s="63">
        <f>$B$59+1</f>
        <v>2</v>
      </c>
      <c r="C60" s="43">
        <f>IF(TrendN-20+$B$60&lt;1,"",TrendN-20+$B$60)</f>
        <v>42</v>
      </c>
      <c r="D60" s="64">
        <f>IF($C$60="","",SUMIFS(tblLog[Date],tblLog[CCP],DashCCP,tblLog[Reading no.],$C$60))</f>
        <v>46287</v>
      </c>
      <c r="E60" s="40">
        <f>IF($C$60="","",SUMIFS(tblLog[Reading],tblLog[CCP],DashCCP,tblLog[Reading no.],$C$60))</f>
        <v>78.6</v>
      </c>
      <c r="F60" s="65">
        <f>IFERROR(INDEX(tblCCPs[Critical limit],MATCH(DashCCP,tblCCPs[CCP],0)),"")</f>
        <v>75</v>
      </c>
      <c r="G60" s="65">
        <f>IFERROR(IF(INDEX(tblCCPs[Operating limit],MATCH(DashCCP,tblCCPs[CCP],0))="",INDEX(tblCCPs[Critical limit],MATCH(DashCCP,tblCCPs[CCP],0)),INDEX(tblCCPs[Operating limit],MATCH(DashCCP,tblCCPs[CCP],0))),"")</f>
        <v>78</v>
      </c>
    </row>
    <row r="61" spans="2:7">
      <c r="B61" s="63">
        <f>$B$60+1</f>
        <v>3</v>
      </c>
      <c r="C61" s="43">
        <f>IF(TrendN-20+$B$61&lt;1,"",TrendN-20+$B$61)</f>
        <v>43</v>
      </c>
      <c r="D61" s="64">
        <f>IF($C$61="","",SUMIFS(tblLog[Date],tblLog[CCP],DashCCP,tblLog[Reading no.],$C$61))</f>
        <v>46288</v>
      </c>
      <c r="E61" s="40">
        <f>IF($C$61="","",SUMIFS(tblLog[Reading],tblLog[CCP],DashCCP,tblLog[Reading no.],$C$61))</f>
        <v>81.6</v>
      </c>
      <c r="F61" s="65">
        <f>IFERROR(INDEX(tblCCPs[Critical limit],MATCH(DashCCP,tblCCPs[CCP],0)),"")</f>
        <v>75</v>
      </c>
      <c r="G61" s="65">
        <f>IFERROR(IF(INDEX(tblCCPs[Operating limit],MATCH(DashCCP,tblCCPs[CCP],0))="",INDEX(tblCCPs[Critical limit],MATCH(DashCCP,tblCCPs[CCP],0)),INDEX(tblCCPs[Operating limit],MATCH(DashCCP,tblCCPs[CCP],0))),"")</f>
        <v>78</v>
      </c>
    </row>
    <row r="62" spans="2:7">
      <c r="B62" s="63">
        <f>$B$61+1</f>
        <v>4</v>
      </c>
      <c r="C62" s="43">
        <f>IF(TrendN-20+$B$62&lt;1,"",TrendN-20+$B$62)</f>
        <v>44</v>
      </c>
      <c r="D62" s="64">
        <f>IF($C$62="","",SUMIFS(tblLog[Date],tblLog[CCP],DashCCP,tblLog[Reading no.],$C$62))</f>
        <v>46288</v>
      </c>
      <c r="E62" s="40">
        <f>IF($C$62="","",SUMIFS(tblLog[Reading],tblLog[CCP],DashCCP,tblLog[Reading no.],$C$62))</f>
        <v>82.1</v>
      </c>
      <c r="F62" s="65">
        <f>IFERROR(INDEX(tblCCPs[Critical limit],MATCH(DashCCP,tblCCPs[CCP],0)),"")</f>
        <v>75</v>
      </c>
      <c r="G62" s="65">
        <f>IFERROR(IF(INDEX(tblCCPs[Operating limit],MATCH(DashCCP,tblCCPs[CCP],0))="",INDEX(tblCCPs[Critical limit],MATCH(DashCCP,tblCCPs[CCP],0)),INDEX(tblCCPs[Operating limit],MATCH(DashCCP,tblCCPs[CCP],0))),"")</f>
        <v>78</v>
      </c>
    </row>
    <row r="63" spans="2:7">
      <c r="B63" s="63">
        <f>$B$62+1</f>
        <v>5</v>
      </c>
      <c r="C63" s="43">
        <f>IF(TrendN-20+$B$63&lt;1,"",TrendN-20+$B$63)</f>
        <v>45</v>
      </c>
      <c r="D63" s="64">
        <f>IF($C$63="","",SUMIFS(tblLog[Date],tblLog[CCP],DashCCP,tblLog[Reading no.],$C$63))</f>
        <v>46288</v>
      </c>
      <c r="E63" s="40">
        <f>IF($C$63="","",SUMIFS(tblLog[Reading],tblLog[CCP],DashCCP,tblLog[Reading no.],$C$63))</f>
        <v>83.2</v>
      </c>
      <c r="F63" s="65">
        <f>IFERROR(INDEX(tblCCPs[Critical limit],MATCH(DashCCP,tblCCPs[CCP],0)),"")</f>
        <v>75</v>
      </c>
      <c r="G63" s="65">
        <f>IFERROR(IF(INDEX(tblCCPs[Operating limit],MATCH(DashCCP,tblCCPs[CCP],0))="",INDEX(tblCCPs[Critical limit],MATCH(DashCCP,tblCCPs[CCP],0)),INDEX(tblCCPs[Operating limit],MATCH(DashCCP,tblCCPs[CCP],0))),"")</f>
        <v>78</v>
      </c>
    </row>
    <row r="64" spans="2:7">
      <c r="B64" s="63">
        <f>$B$63+1</f>
        <v>6</v>
      </c>
      <c r="C64" s="43">
        <f>IF(TrendN-20+$B$64&lt;1,"",TrendN-20+$B$64)</f>
        <v>46</v>
      </c>
      <c r="D64" s="64">
        <f>IF($C$64="","",SUMIFS(tblLog[Date],tblLog[CCP],DashCCP,tblLog[Reading no.],$C$64))</f>
        <v>46288</v>
      </c>
      <c r="E64" s="40">
        <f>IF($C$64="","",SUMIFS(tblLog[Reading],tblLog[CCP],DashCCP,tblLog[Reading no.],$C$64))</f>
        <v>80.9</v>
      </c>
      <c r="F64" s="65">
        <f>IFERROR(INDEX(tblCCPs[Critical limit],MATCH(DashCCP,tblCCPs[CCP],0)),"")</f>
        <v>75</v>
      </c>
      <c r="G64" s="65">
        <f>IFERROR(IF(INDEX(tblCCPs[Operating limit],MATCH(DashCCP,tblCCPs[CCP],0))="",INDEX(tblCCPs[Critical limit],MATCH(DashCCP,tblCCPs[CCP],0)),INDEX(tblCCPs[Operating limit],MATCH(DashCCP,tblCCPs[CCP],0))),"")</f>
        <v>78</v>
      </c>
    </row>
    <row r="65" spans="2:12">
      <c r="B65" s="63">
        <f>$B$64+1</f>
        <v>7</v>
      </c>
      <c r="C65" s="43">
        <f>IF(TrendN-20+$B$65&lt;1,"",TrendN-20+$B$65)</f>
        <v>47</v>
      </c>
      <c r="D65" s="64">
        <f>IF($C$65="","",SUMIFS(tblLog[Date],tblLog[CCP],DashCCP,tblLog[Reading no.],$C$65))</f>
        <v>46288</v>
      </c>
      <c r="E65" s="40">
        <f>IF($C$65="","",SUMIFS(tblLog[Reading],tblLog[CCP],DashCCP,tblLog[Reading no.],$C$65))</f>
        <v>77.8</v>
      </c>
      <c r="F65" s="65">
        <f>IFERROR(INDEX(tblCCPs[Critical limit],MATCH(DashCCP,tblCCPs[CCP],0)),"")</f>
        <v>75</v>
      </c>
      <c r="G65" s="65">
        <f>IFERROR(IF(INDEX(tblCCPs[Operating limit],MATCH(DashCCP,tblCCPs[CCP],0))="",INDEX(tblCCPs[Critical limit],MATCH(DashCCP,tblCCPs[CCP],0)),INDEX(tblCCPs[Operating limit],MATCH(DashCCP,tblCCPs[CCP],0))),"")</f>
        <v>78</v>
      </c>
    </row>
    <row r="66" spans="2:12">
      <c r="B66" s="63">
        <f>$B$65+1</f>
        <v>8</v>
      </c>
      <c r="C66" s="43">
        <f>IF(TrendN-20+$B$66&lt;1,"",TrendN-20+$B$66)</f>
        <v>48</v>
      </c>
      <c r="D66" s="64">
        <f>IF($C$66="","",SUMIFS(tblLog[Date],tblLog[CCP],DashCCP,tblLog[Reading no.],$C$66))</f>
        <v>46288</v>
      </c>
      <c r="E66" s="40">
        <f>IF($C$66="","",SUMIFS(tblLog[Reading],tblLog[CCP],DashCCP,tblLog[Reading no.],$C$66))</f>
        <v>81</v>
      </c>
      <c r="F66" s="65">
        <f>IFERROR(INDEX(tblCCPs[Critical limit],MATCH(DashCCP,tblCCPs[CCP],0)),"")</f>
        <v>75</v>
      </c>
      <c r="G66" s="65">
        <f>IFERROR(IF(INDEX(tblCCPs[Operating limit],MATCH(DashCCP,tblCCPs[CCP],0))="",INDEX(tblCCPs[Critical limit],MATCH(DashCCP,tblCCPs[CCP],0)),INDEX(tblCCPs[Operating limit],MATCH(DashCCP,tblCCPs[CCP],0))),"")</f>
        <v>78</v>
      </c>
    </row>
    <row r="67" spans="2:12">
      <c r="B67" s="63">
        <f>$B$66+1</f>
        <v>9</v>
      </c>
      <c r="C67" s="43">
        <f>IF(TrendN-20+$B$67&lt;1,"",TrendN-20+$B$67)</f>
        <v>49</v>
      </c>
      <c r="D67" s="64">
        <f>IF($C$67="","",SUMIFS(tblLog[Date],tblLog[CCP],DashCCP,tblLog[Reading no.],$C$67))</f>
        <v>46289</v>
      </c>
      <c r="E67" s="40">
        <f>IF($C$67="","",SUMIFS(tblLog[Reading],tblLog[CCP],DashCCP,tblLog[Reading no.],$C$67))</f>
        <v>82</v>
      </c>
      <c r="F67" s="65">
        <f>IFERROR(INDEX(tblCCPs[Critical limit],MATCH(DashCCP,tblCCPs[CCP],0)),"")</f>
        <v>75</v>
      </c>
      <c r="G67" s="65">
        <f>IFERROR(IF(INDEX(tblCCPs[Operating limit],MATCH(DashCCP,tblCCPs[CCP],0))="",INDEX(tblCCPs[Critical limit],MATCH(DashCCP,tblCCPs[CCP],0)),INDEX(tblCCPs[Operating limit],MATCH(DashCCP,tblCCPs[CCP],0))),"")</f>
        <v>78</v>
      </c>
    </row>
    <row r="68" spans="2:12">
      <c r="B68" s="63">
        <f>$B$67+1</f>
        <v>10</v>
      </c>
      <c r="C68" s="43">
        <f>IF(TrendN-20+$B$68&lt;1,"",TrendN-20+$B$68)</f>
        <v>50</v>
      </c>
      <c r="D68" s="64">
        <f>IF($C$68="","",SUMIFS(tblLog[Date],tblLog[CCP],DashCCP,tblLog[Reading no.],$C$68))</f>
        <v>46289</v>
      </c>
      <c r="E68" s="40">
        <f>IF($C$68="","",SUMIFS(tblLog[Reading],tblLog[CCP],DashCCP,tblLog[Reading no.],$C$68))</f>
        <v>82.1</v>
      </c>
      <c r="F68" s="65">
        <f>IFERROR(INDEX(tblCCPs[Critical limit],MATCH(DashCCP,tblCCPs[CCP],0)),"")</f>
        <v>75</v>
      </c>
      <c r="G68" s="65">
        <f>IFERROR(IF(INDEX(tblCCPs[Operating limit],MATCH(DashCCP,tblCCPs[CCP],0))="",INDEX(tblCCPs[Critical limit],MATCH(DashCCP,tblCCPs[CCP],0)),INDEX(tblCCPs[Operating limit],MATCH(DashCCP,tblCCPs[CCP],0))),"")</f>
        <v>78</v>
      </c>
    </row>
    <row r="69" spans="2:12">
      <c r="B69" s="63">
        <f>$B$68+1</f>
        <v>11</v>
      </c>
      <c r="C69" s="43">
        <f>IF(TrendN-20+$B$69&lt;1,"",TrendN-20+$B$69)</f>
        <v>51</v>
      </c>
      <c r="D69" s="64">
        <f>IF($C$69="","",SUMIFS(tblLog[Date],tblLog[CCP],DashCCP,tblLog[Reading no.],$C$69))</f>
        <v>46289</v>
      </c>
      <c r="E69" s="40">
        <f>IF($C$69="","",SUMIFS(tblLog[Reading],tblLog[CCP],DashCCP,tblLog[Reading no.],$C$69))</f>
        <v>79.5</v>
      </c>
      <c r="F69" s="65">
        <f>IFERROR(INDEX(tblCCPs[Critical limit],MATCH(DashCCP,tblCCPs[CCP],0)),"")</f>
        <v>75</v>
      </c>
      <c r="G69" s="65">
        <f>IFERROR(IF(INDEX(tblCCPs[Operating limit],MATCH(DashCCP,tblCCPs[CCP],0))="",INDEX(tblCCPs[Critical limit],MATCH(DashCCP,tblCCPs[CCP],0)),INDEX(tblCCPs[Operating limit],MATCH(DashCCP,tblCCPs[CCP],0))),"")</f>
        <v>78</v>
      </c>
    </row>
    <row r="70" spans="2:12">
      <c r="B70" s="63">
        <f>$B$69+1</f>
        <v>12</v>
      </c>
      <c r="C70" s="43">
        <f>IF(TrendN-20+$B$70&lt;1,"",TrendN-20+$B$70)</f>
        <v>52</v>
      </c>
      <c r="D70" s="64">
        <f>IF($C$70="","",SUMIFS(tblLog[Date],tblLog[CCP],DashCCP,tblLog[Reading no.],$C$70))</f>
        <v>46289</v>
      </c>
      <c r="E70" s="40">
        <f>IF($C$70="","",SUMIFS(tblLog[Reading],tblLog[CCP],DashCCP,tblLog[Reading no.],$C$70))</f>
        <v>82.5</v>
      </c>
      <c r="F70" s="65">
        <f>IFERROR(INDEX(tblCCPs[Critical limit],MATCH(DashCCP,tblCCPs[CCP],0)),"")</f>
        <v>75</v>
      </c>
      <c r="G70" s="65">
        <f>IFERROR(IF(INDEX(tblCCPs[Operating limit],MATCH(DashCCP,tblCCPs[CCP],0))="",INDEX(tblCCPs[Critical limit],MATCH(DashCCP,tblCCPs[CCP],0)),INDEX(tblCCPs[Operating limit],MATCH(DashCCP,tblCCPs[CCP],0))),"")</f>
        <v>78</v>
      </c>
    </row>
    <row r="71" spans="2:12">
      <c r="B71" s="63">
        <f>$B$70+1</f>
        <v>13</v>
      </c>
      <c r="C71" s="43">
        <f>IF(TrendN-20+$B$71&lt;1,"",TrendN-20+$B$71)</f>
        <v>53</v>
      </c>
      <c r="D71" s="64">
        <f>IF($C$71="","",SUMIFS(tblLog[Date],tblLog[CCP],DashCCP,tblLog[Reading no.],$C$71))</f>
        <v>46289</v>
      </c>
      <c r="E71" s="40">
        <f>IF($C$71="","",SUMIFS(tblLog[Reading],tblLog[CCP],DashCCP,tblLog[Reading no.],$C$71))</f>
        <v>87.2</v>
      </c>
      <c r="F71" s="65">
        <f>IFERROR(INDEX(tblCCPs[Critical limit],MATCH(DashCCP,tblCCPs[CCP],0)),"")</f>
        <v>75</v>
      </c>
      <c r="G71" s="65">
        <f>IFERROR(IF(INDEX(tblCCPs[Operating limit],MATCH(DashCCP,tblCCPs[CCP],0))="",INDEX(tblCCPs[Critical limit],MATCH(DashCCP,tblCCPs[CCP],0)),INDEX(tblCCPs[Operating limit],MATCH(DashCCP,tblCCPs[CCP],0))),"")</f>
        <v>78</v>
      </c>
    </row>
    <row r="72" spans="2:12">
      <c r="B72" s="63">
        <f>$B$71+1</f>
        <v>14</v>
      </c>
      <c r="C72" s="43">
        <f>IF(TrendN-20+$B$72&lt;1,"",TrendN-20+$B$72)</f>
        <v>54</v>
      </c>
      <c r="D72" s="64">
        <f>IF($C$72="","",SUMIFS(tblLog[Date],tblLog[CCP],DashCCP,tblLog[Reading no.],$C$72))</f>
        <v>46289</v>
      </c>
      <c r="E72" s="40">
        <f>IF($C$72="","",SUMIFS(tblLog[Reading],tblLog[CCP],DashCCP,tblLog[Reading no.],$C$72))</f>
        <v>85.2</v>
      </c>
      <c r="F72" s="65">
        <f>IFERROR(INDEX(tblCCPs[Critical limit],MATCH(DashCCP,tblCCPs[CCP],0)),"")</f>
        <v>75</v>
      </c>
      <c r="G72" s="65">
        <f>IFERROR(IF(INDEX(tblCCPs[Operating limit],MATCH(DashCCP,tblCCPs[CCP],0))="",INDEX(tblCCPs[Critical limit],MATCH(DashCCP,tblCCPs[CCP],0)),INDEX(tblCCPs[Operating limit],MATCH(DashCCP,tblCCPs[CCP],0))),"")</f>
        <v>78</v>
      </c>
    </row>
    <row r="73" spans="2:12">
      <c r="B73" s="63">
        <f>$B$72+1</f>
        <v>15</v>
      </c>
      <c r="C73" s="43">
        <f>IF(TrendN-20+$B$73&lt;1,"",TrendN-20+$B$73)</f>
        <v>55</v>
      </c>
      <c r="D73" s="64">
        <f>IF($C$73="","",SUMIFS(tblLog[Date],tblLog[CCP],DashCCP,tblLog[Reading no.],$C$73))</f>
        <v>46290</v>
      </c>
      <c r="E73" s="40">
        <f>IF($C$73="","",SUMIFS(tblLog[Reading],tblLog[CCP],DashCCP,tblLog[Reading no.],$C$73))</f>
        <v>81.7</v>
      </c>
      <c r="F73" s="65">
        <f>IFERROR(INDEX(tblCCPs[Critical limit],MATCH(DashCCP,tblCCPs[CCP],0)),"")</f>
        <v>75</v>
      </c>
      <c r="G73" s="65">
        <f>IFERROR(IF(INDEX(tblCCPs[Operating limit],MATCH(DashCCP,tblCCPs[CCP],0))="",INDEX(tblCCPs[Critical limit],MATCH(DashCCP,tblCCPs[CCP],0)),INDEX(tblCCPs[Operating limit],MATCH(DashCCP,tblCCPs[CCP],0))),"")</f>
        <v>78</v>
      </c>
    </row>
    <row r="74" spans="2:12">
      <c r="B74" s="63">
        <f>$B$73+1</f>
        <v>16</v>
      </c>
      <c r="C74" s="43">
        <f>IF(TrendN-20+$B$74&lt;1,"",TrendN-20+$B$74)</f>
        <v>56</v>
      </c>
      <c r="D74" s="64">
        <f>IF($C$74="","",SUMIFS(tblLog[Date],tblLog[CCP],DashCCP,tblLog[Reading no.],$C$74))</f>
        <v>46290</v>
      </c>
      <c r="E74" s="40">
        <f>IF($C$74="","",SUMIFS(tblLog[Reading],tblLog[CCP],DashCCP,tblLog[Reading no.],$C$74))</f>
        <v>81.6</v>
      </c>
      <c r="F74" s="65">
        <f>IFERROR(INDEX(tblCCPs[Critical limit],MATCH(DashCCP,tblCCPs[CCP],0)),"")</f>
        <v>75</v>
      </c>
      <c r="G74" s="65">
        <f>IFERROR(IF(INDEX(tblCCPs[Operating limit],MATCH(DashCCP,tblCCPs[CCP],0))="",INDEX(tblCCPs[Critical limit],MATCH(DashCCP,tblCCPs[CCP],0)),INDEX(tblCCPs[Operating limit],MATCH(DashCCP,tblCCPs[CCP],0))),"")</f>
        <v>78</v>
      </c>
    </row>
    <row r="75" spans="2:12">
      <c r="B75" s="63">
        <f>$B$74+1</f>
        <v>17</v>
      </c>
      <c r="C75" s="43">
        <f>IF(TrendN-20+$B$75&lt;1,"",TrendN-20+$B$75)</f>
        <v>57</v>
      </c>
      <c r="D75" s="64">
        <f>IF($C$75="","",SUMIFS(tblLog[Date],tblLog[CCP],DashCCP,tblLog[Reading no.],$C$75))</f>
        <v>46290</v>
      </c>
      <c r="E75" s="40">
        <f>IF($C$75="","",SUMIFS(tblLog[Reading],tblLog[CCP],DashCCP,tblLog[Reading no.],$C$75))</f>
        <v>88.5</v>
      </c>
      <c r="F75" s="65">
        <f>IFERROR(INDEX(tblCCPs[Critical limit],MATCH(DashCCP,tblCCPs[CCP],0)),"")</f>
        <v>75</v>
      </c>
      <c r="G75" s="65">
        <f>IFERROR(IF(INDEX(tblCCPs[Operating limit],MATCH(DashCCP,tblCCPs[CCP],0))="",INDEX(tblCCPs[Critical limit],MATCH(DashCCP,tblCCPs[CCP],0)),INDEX(tblCCPs[Operating limit],MATCH(DashCCP,tblCCPs[CCP],0))),"")</f>
        <v>78</v>
      </c>
    </row>
    <row r="76" spans="2:12">
      <c r="B76" s="63">
        <f>$B$75+1</f>
        <v>18</v>
      </c>
      <c r="C76" s="43">
        <f>IF(TrendN-20+$B$76&lt;1,"",TrendN-20+$B$76)</f>
        <v>58</v>
      </c>
      <c r="D76" s="64">
        <f>IF($C$76="","",SUMIFS(tblLog[Date],tblLog[CCP],DashCCP,tblLog[Reading no.],$C$76))</f>
        <v>46290</v>
      </c>
      <c r="E76" s="40">
        <f>IF($C$76="","",SUMIFS(tblLog[Reading],tblLog[CCP],DashCCP,tblLog[Reading no.],$C$76))</f>
        <v>83.1</v>
      </c>
      <c r="F76" s="65">
        <f>IFERROR(INDEX(tblCCPs[Critical limit],MATCH(DashCCP,tblCCPs[CCP],0)),"")</f>
        <v>75</v>
      </c>
      <c r="G76" s="65">
        <f>IFERROR(IF(INDEX(tblCCPs[Operating limit],MATCH(DashCCP,tblCCPs[CCP],0))="",INDEX(tblCCPs[Critical limit],MATCH(DashCCP,tblCCPs[CCP],0)),INDEX(tblCCPs[Operating limit],MATCH(DashCCP,tblCCPs[CCP],0))),"")</f>
        <v>78</v>
      </c>
    </row>
    <row r="77" spans="2:12">
      <c r="B77" s="63">
        <f>$B$76+1</f>
        <v>19</v>
      </c>
      <c r="C77" s="43">
        <f>IF(TrendN-20+$B$77&lt;1,"",TrendN-20+$B$77)</f>
        <v>59</v>
      </c>
      <c r="D77" s="64">
        <f>IF($C$77="","",SUMIFS(tblLog[Date],tblLog[CCP],DashCCP,tblLog[Reading no.],$C$77))</f>
        <v>46290</v>
      </c>
      <c r="E77" s="40">
        <f>IF($C$77="","",SUMIFS(tblLog[Reading],tblLog[CCP],DashCCP,tblLog[Reading no.],$C$77))</f>
        <v>83.7</v>
      </c>
      <c r="F77" s="65">
        <f>IFERROR(INDEX(tblCCPs[Critical limit],MATCH(DashCCP,tblCCPs[CCP],0)),"")</f>
        <v>75</v>
      </c>
      <c r="G77" s="65">
        <f>IFERROR(IF(INDEX(tblCCPs[Operating limit],MATCH(DashCCP,tblCCPs[CCP],0))="",INDEX(tblCCPs[Critical limit],MATCH(DashCCP,tblCCPs[CCP],0)),INDEX(tblCCPs[Operating limit],MATCH(DashCCP,tblCCPs[CCP],0))),"")</f>
        <v>78</v>
      </c>
    </row>
    <row r="78" spans="2:12">
      <c r="B78" s="63">
        <f>$B$77+1</f>
        <v>20</v>
      </c>
      <c r="C78" s="43">
        <f>IF(TrendN-20+$B$78&lt;1,"",TrendN-20+$B$78)</f>
        <v>60</v>
      </c>
      <c r="D78" s="64">
        <f>IF($C$78="","",SUMIFS(tblLog[Date],tblLog[CCP],DashCCP,tblLog[Reading no.],$C$78))</f>
        <v>46290</v>
      </c>
      <c r="E78" s="40">
        <f>IF($C$78="","",SUMIFS(tblLog[Reading],tblLog[CCP],DashCCP,tblLog[Reading no.],$C$78))</f>
        <v>88.6</v>
      </c>
      <c r="F78" s="65">
        <f>IFERROR(INDEX(tblCCPs[Critical limit],MATCH(DashCCP,tblCCPs[CCP],0)),"")</f>
        <v>75</v>
      </c>
      <c r="G78" s="65">
        <f>IFERROR(IF(INDEX(tblCCPs[Operating limit],MATCH(DashCCP,tblCCPs[CCP],0))="",INDEX(tblCCPs[Critical limit],MATCH(DashCCP,tblCCPs[CCP],0)),INDEX(tblCCPs[Operating limit],MATCH(DashCCP,tblCCPs[CCP],0))),"")</f>
        <v>78</v>
      </c>
    </row>
    <row r="80" spans="2:12" ht="26.76" customHeight="1">
      <c r="B80" s="21" t="s">
        <v>221</v>
      </c>
      <c r="C80" s="21"/>
      <c r="D80" s="21"/>
      <c r="E80" s="21"/>
      <c r="F80" s="21"/>
      <c r="G80" s="21"/>
      <c r="H80" s="21"/>
      <c r="I80" s="21"/>
      <c r="J80" s="21"/>
      <c r="K80" s="21"/>
      <c r="L80" s="21"/>
    </row>
    <row r="81" spans="2:12">
      <c r="B81" s="66">
        <f>IF(COUNTA(tblCCPs[CCP])&gt;4,"The Setup list has more CCPs than the Dashboard shows.","")</f>
        <v/>
      </c>
      <c r="C81" s="66"/>
      <c r="D81" s="66"/>
      <c r="E81" s="66"/>
      <c r="F81" s="66"/>
      <c r="G81" s="66"/>
      <c r="H81" s="66"/>
      <c r="I81" s="66"/>
      <c r="J81" s="66"/>
      <c r="K81" s="66"/>
      <c r="L81" s="66"/>
    </row>
  </sheetData>
  <sheetProtection sheet="1" formatColumns="0" formatRows="0"/>
  <mergeCells count="44">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I35"/>
    <mergeCell ref="B43:G43"/>
    <mergeCell ref="B57:G57"/>
    <mergeCell ref="B80:L80"/>
    <mergeCell ref="B81:L81"/>
  </mergeCells>
  <conditionalFormatting sqref="B33">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C45:F54">
    <cfRule type="expression" dxfId="2" priority="61" stopIfTrue="1">
      <formula>AND(ISNUMBER(C45),C45&gt;1)</formula>
    </cfRule>
    <cfRule type="expression" dxfId="1" priority="62" stopIfTrue="1">
      <formula>AND(ISNUMBER(C45),C45&gt;0.5)</formula>
    </cfRule>
    <cfRule type="expression" dxfId="0" priority="63">
      <formula>ISNUMBER(C45)</formula>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dataValidations count="3">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G4">
      <formula1>36526</formula1>
      <formula2>73415</formula2>
    </dataValidation>
    <dataValidation type="list" allowBlank="1" showInputMessage="1" showErrorMessage="1" errorTitle="Check this entry" error="Pick from the list (edit the list on Setup: CCPs)." promptTitle="CCP to chart" prompt="The CCP whose last 20 readings the trend chart shows. Pick from the list (edit the list on Setup: CCPs)." sqref="K4">
      <formula1>CCPs</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HACCP CCP Monitoring Log&amp;R&amp;8&amp;A</oddHeader>
    <oddFooter>&amp;L&amp;8mfgcalcs.com - free manufacturing templates&amp;R&amp;8Page &amp;P of &amp;N</oddFooter>
  </headerFooter>
  <rowBreaks count="2" manualBreakCount="2">
    <brk id="28" max="16383" man="1"/>
    <brk id="56"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222</v>
      </c>
      <c r="C4" s="8"/>
      <c r="D4" s="8"/>
    </row>
    <row r="5" spans="1:4" ht="5" customHeight="1"/>
    <row r="6" spans="1:4" ht="55.8" customHeight="1">
      <c r="B6" s="10" t="s">
        <v>223</v>
      </c>
      <c r="C6" s="10"/>
      <c r="D6" s="10"/>
    </row>
    <row r="8" spans="1:4" ht="21" customHeight="1">
      <c r="B8" s="8" t="s">
        <v>224</v>
      </c>
      <c r="C8" s="8"/>
      <c r="D8" s="8"/>
    </row>
    <row r="9" spans="1:4" ht="5" customHeight="1"/>
    <row r="10" spans="1:4" ht="20" customHeight="1">
      <c r="B10" s="56" t="s">
        <v>225</v>
      </c>
      <c r="C10" s="56" t="s">
        <v>226</v>
      </c>
      <c r="D10" s="33" t="s">
        <v>227</v>
      </c>
    </row>
    <row r="11" spans="1:4" ht="17.2" customHeight="1">
      <c r="B11" s="67" t="s">
        <v>228</v>
      </c>
      <c r="C11" s="68" t="s">
        <v>229</v>
      </c>
      <c r="D11" s="69" t="s">
        <v>230</v>
      </c>
    </row>
    <row r="12" spans="1:4" ht="30.4" customHeight="1">
      <c r="B12" s="67" t="s">
        <v>109</v>
      </c>
      <c r="C12" s="68" t="s">
        <v>231</v>
      </c>
      <c r="D12" s="69" t="s">
        <v>232</v>
      </c>
    </row>
    <row r="13" spans="1:4" ht="30.4" customHeight="1">
      <c r="B13" s="67" t="s">
        <v>114</v>
      </c>
      <c r="C13" s="68" t="s">
        <v>233</v>
      </c>
      <c r="D13" s="69" t="s">
        <v>234</v>
      </c>
    </row>
    <row r="14" spans="1:4" ht="30.4" customHeight="1">
      <c r="B14" s="67" t="s">
        <v>115</v>
      </c>
      <c r="C14" s="68" t="s">
        <v>235</v>
      </c>
      <c r="D14" s="69" t="s">
        <v>232</v>
      </c>
    </row>
    <row r="15" spans="1:4" ht="30.4" customHeight="1">
      <c r="B15" s="67" t="s">
        <v>236</v>
      </c>
      <c r="C15" s="68" t="s">
        <v>237</v>
      </c>
      <c r="D15" s="69" t="s">
        <v>238</v>
      </c>
    </row>
    <row r="16" spans="1:4" ht="43.6" customHeight="1">
      <c r="B16" s="67" t="s">
        <v>214</v>
      </c>
      <c r="C16" s="68" t="s">
        <v>239</v>
      </c>
      <c r="D16" s="69" t="s">
        <v>238</v>
      </c>
    </row>
    <row r="17" spans="2:4" ht="17.2" customHeight="1">
      <c r="B17" s="67" t="s">
        <v>240</v>
      </c>
      <c r="C17" s="68" t="s">
        <v>241</v>
      </c>
      <c r="D17" s="69" t="s">
        <v>242</v>
      </c>
    </row>
    <row r="18" spans="2:4" ht="30.4" customHeight="1">
      <c r="B18" s="67" t="s">
        <v>243</v>
      </c>
      <c r="C18" s="68" t="s">
        <v>244</v>
      </c>
      <c r="D18" s="69" t="s">
        <v>232</v>
      </c>
    </row>
    <row r="20" spans="2:4" ht="21" customHeight="1">
      <c r="B20" s="8" t="s">
        <v>245</v>
      </c>
      <c r="C20" s="8"/>
      <c r="D20" s="8"/>
    </row>
    <row r="21" spans="2:4" ht="5" customHeight="1"/>
    <row r="22" spans="2:4" ht="29.4" customHeight="1">
      <c r="B22" s="26" t="s">
        <v>55</v>
      </c>
      <c r="C22" s="10" t="s">
        <v>246</v>
      </c>
      <c r="D22" s="10"/>
    </row>
    <row r="23" spans="2:4" ht="29.4" customHeight="1">
      <c r="B23" s="26" t="s">
        <v>55</v>
      </c>
      <c r="C23" s="10" t="s">
        <v>247</v>
      </c>
      <c r="D23" s="10"/>
    </row>
    <row r="24" spans="2:4" ht="16.2" customHeight="1">
      <c r="B24" s="26" t="s">
        <v>55</v>
      </c>
      <c r="C24" s="10" t="s">
        <v>248</v>
      </c>
      <c r="D24" s="10"/>
    </row>
    <row r="26" spans="2:4" ht="21" customHeight="1">
      <c r="B26" s="8" t="s">
        <v>249</v>
      </c>
      <c r="C26" s="8"/>
      <c r="D26" s="8"/>
    </row>
    <row r="27" spans="2:4" ht="5" customHeight="1"/>
    <row r="28" spans="2:4" ht="16.2" customHeight="1">
      <c r="B28" s="26" t="s">
        <v>55</v>
      </c>
      <c r="C28" s="10" t="s">
        <v>250</v>
      </c>
      <c r="D28" s="10"/>
    </row>
    <row r="29" spans="2:4" ht="16.2" customHeight="1">
      <c r="B29" s="26" t="s">
        <v>55</v>
      </c>
      <c r="C29" s="10" t="s">
        <v>251</v>
      </c>
      <c r="D29" s="10"/>
    </row>
    <row r="30" spans="2:4" ht="16.2" customHeight="1">
      <c r="B30" s="26" t="s">
        <v>55</v>
      </c>
      <c r="C30" s="10" t="s">
        <v>252</v>
      </c>
      <c r="D30" s="10"/>
    </row>
    <row r="31" spans="2:4" ht="29.4" customHeight="1">
      <c r="B31" s="26" t="s">
        <v>55</v>
      </c>
      <c r="C31" s="10" t="s">
        <v>253</v>
      </c>
      <c r="D31" s="10"/>
    </row>
    <row r="33" spans="2:4" ht="21" customHeight="1">
      <c r="B33" s="8" t="s">
        <v>254</v>
      </c>
      <c r="C33" s="8"/>
      <c r="D33" s="8"/>
    </row>
    <row r="34" spans="2:4" ht="5" customHeight="1"/>
    <row r="35" spans="2:4" ht="55.8" customHeight="1">
      <c r="B35" s="10" t="s">
        <v>255</v>
      </c>
      <c r="C35" s="10"/>
      <c r="D35" s="10"/>
    </row>
    <row r="36" spans="2:4">
      <c r="B36" s="24" t="s">
        <v>256</v>
      </c>
      <c r="C36" s="24"/>
      <c r="D36" s="24"/>
    </row>
    <row r="38" spans="2:4" ht="21" customHeight="1">
      <c r="B38" s="8" t="s">
        <v>42</v>
      </c>
      <c r="C38" s="8"/>
      <c r="D38" s="8"/>
    </row>
    <row r="39" spans="2:4" ht="5" customHeight="1"/>
    <row r="40" spans="2:4" ht="42.6" customHeight="1">
      <c r="B40" s="10" t="s">
        <v>257</v>
      </c>
      <c r="C40" s="10"/>
      <c r="D40" s="10"/>
    </row>
    <row r="42" spans="2:4" ht="21" customHeight="1">
      <c r="B42" s="8" t="s">
        <v>258</v>
      </c>
      <c r="C42" s="8"/>
      <c r="D42" s="8"/>
    </row>
    <row r="43" spans="2:4" ht="5" customHeight="1"/>
    <row r="44" spans="2:4" ht="29.4" customHeight="1">
      <c r="B44" s="26" t="s">
        <v>55</v>
      </c>
      <c r="C44" s="10" t="s">
        <v>259</v>
      </c>
      <c r="D44" s="10"/>
    </row>
    <row r="45" spans="2:4" ht="29.4" customHeight="1">
      <c r="B45" s="26" t="s">
        <v>55</v>
      </c>
      <c r="C45" s="10" t="s">
        <v>260</v>
      </c>
      <c r="D45" s="10"/>
    </row>
    <row r="46" spans="2:4" ht="29.4" customHeight="1">
      <c r="B46" s="26" t="s">
        <v>55</v>
      </c>
      <c r="C46" s="10" t="s">
        <v>261</v>
      </c>
      <c r="D46" s="10"/>
    </row>
    <row r="47" spans="2:4">
      <c r="B47" s="21" t="s">
        <v>262</v>
      </c>
      <c r="C47" s="21"/>
      <c r="D47" s="21"/>
    </row>
    <row r="49" spans="2:4" ht="21" customHeight="1">
      <c r="B49" s="8" t="s">
        <v>263</v>
      </c>
      <c r="C49" s="8"/>
      <c r="D49" s="8"/>
    </row>
    <row r="50" spans="2:4" ht="5" customHeight="1"/>
    <row r="51" spans="2:4">
      <c r="B51" s="56" t="s">
        <v>50</v>
      </c>
      <c r="C51" s="56" t="s">
        <v>264</v>
      </c>
      <c r="D51" s="33" t="s">
        <v>105</v>
      </c>
    </row>
    <row r="52" spans="2:4" ht="16.2" customHeight="1">
      <c r="B52" s="70" t="s">
        <v>265</v>
      </c>
      <c r="C52" s="71" t="s">
        <v>266</v>
      </c>
      <c r="D52" s="72" t="s">
        <v>267</v>
      </c>
    </row>
    <row r="54" spans="2:4">
      <c r="B54" s="21" t="s">
        <v>61</v>
      </c>
      <c r="C54" s="21"/>
      <c r="D54" s="21"/>
    </row>
  </sheetData>
  <sheetProtection sheet="1" formatColumns="0" formatRows="0"/>
  <mergeCells count="26">
    <mergeCell ref="A1:D1"/>
    <mergeCell ref="B2:C2"/>
    <mergeCell ref="B4:D4"/>
    <mergeCell ref="B6:D6"/>
    <mergeCell ref="B8:D8"/>
    <mergeCell ref="B20:D20"/>
    <mergeCell ref="C22:D22"/>
    <mergeCell ref="C23:D23"/>
    <mergeCell ref="C24:D24"/>
    <mergeCell ref="B26:D26"/>
    <mergeCell ref="C28:D28"/>
    <mergeCell ref="C29:D29"/>
    <mergeCell ref="C30:D30"/>
    <mergeCell ref="C31:D31"/>
    <mergeCell ref="B33:D33"/>
    <mergeCell ref="B35:D35"/>
    <mergeCell ref="B36:D36"/>
    <mergeCell ref="B38:D38"/>
    <mergeCell ref="B40:D40"/>
    <mergeCell ref="B42:D42"/>
    <mergeCell ref="C44:D44"/>
    <mergeCell ref="C45:D45"/>
    <mergeCell ref="C46:D46"/>
    <mergeCell ref="B47:D47"/>
    <mergeCell ref="B49:D49"/>
    <mergeCell ref="B54:D54"/>
  </mergeCells>
  <hyperlinks>
    <hyperlink ref="D2" r:id="rId1" tooltip="Free manufacturing calculators and templates"/>
    <hyperlink ref="B36" r:id="rId2"/>
  </hyperlinks>
  <printOptions horizontalCentered="1"/>
  <pageMargins left="0.4" right="0.4" top="0.7" bottom="0.65" header="0.3" footer="0.3"/>
  <pageSetup fitToHeight="0" orientation="portrait"/>
  <headerFooter>
    <oddHeader>&amp;L&amp;8MFG Calcs - HACCP CCP Monitoring Log&amp;R&amp;8&amp;A</oddHeader>
    <oddFooter>&amp;L&amp;8mfgcalcs.com - free manufacturing templates&amp;R&amp;8Page &amp;P of &amp;N</oddFooter>
  </headerFooter>
  <rowBreaks count="1" manualBreakCount="1">
    <brk id="25"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T46"/>
  <sheetViews>
    <sheetView showGridLines="0" workbookViewId="0"/>
  </sheetViews>
  <sheetFormatPr defaultRowHeight="15"/>
  <cols>
    <col min="1" max="1" width="2.7109375" customWidth="1"/>
    <col min="2" max="19" width="12.7109375" customWidth="1"/>
    <col min="20" max="20" width="26.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28</v>
      </c>
      <c r="C2" s="2"/>
      <c r="D2" s="2"/>
      <c r="E2" s="2"/>
      <c r="F2" s="2"/>
      <c r="G2" s="2"/>
      <c r="H2" s="2"/>
      <c r="I2" s="2"/>
      <c r="J2" s="2"/>
      <c r="K2" s="2"/>
      <c r="L2" s="2"/>
      <c r="M2" s="2"/>
      <c r="N2" s="2"/>
      <c r="O2" s="2"/>
      <c r="P2" s="2"/>
      <c r="Q2" s="2"/>
      <c r="R2" s="2"/>
      <c r="S2" s="2"/>
      <c r="T2" s="3" t="s">
        <v>2</v>
      </c>
    </row>
    <row r="3" spans="1:20" ht="6" customHeight="1"/>
    <row r="4" spans="1:20" ht="30" customHeight="1">
      <c r="B4" s="73" t="s">
        <v>268</v>
      </c>
      <c r="C4" s="73"/>
      <c r="D4" s="22" t="str">
        <f>IF(COUNTIF($K$11:$K$23,"PASS")=13,"PASS","FAIL")</f>
        <v>PASS</v>
      </c>
      <c r="E4" s="22"/>
      <c r="F4" s="23" t="str">
        <f>COUNTIF($K$11:$K$23,"PASS")&amp;" of 13 checks pass"</f>
        <v>13 of 13 checks pass</v>
      </c>
      <c r="G4" s="23"/>
      <c r="H4" s="23"/>
      <c r="I4" s="23"/>
      <c r="J4" s="23"/>
    </row>
    <row r="6" spans="1:20" ht="29.4" customHeight="1">
      <c r="B6" s="10" t="s">
        <v>269</v>
      </c>
      <c r="C6" s="10"/>
      <c r="D6" s="10"/>
      <c r="E6" s="10"/>
      <c r="F6" s="10"/>
      <c r="G6" s="10"/>
      <c r="H6" s="10"/>
      <c r="I6" s="10"/>
      <c r="J6" s="10"/>
      <c r="K6" s="10"/>
      <c r="L6" s="10"/>
    </row>
    <row r="8" spans="1:20" ht="21" customHeight="1">
      <c r="B8" s="8" t="s">
        <v>210</v>
      </c>
      <c r="C8" s="8"/>
      <c r="D8" s="8"/>
      <c r="E8" s="8"/>
      <c r="F8" s="8"/>
      <c r="G8" s="8"/>
      <c r="H8" s="8"/>
      <c r="I8" s="8"/>
      <c r="J8" s="8"/>
      <c r="K8" s="8"/>
      <c r="L8" s="8"/>
    </row>
    <row r="9" spans="1:20" ht="5" customHeight="1"/>
    <row r="10" spans="1:20" ht="30" customHeight="1">
      <c r="B10" s="33" t="s">
        <v>270</v>
      </c>
      <c r="C10" s="56" t="s">
        <v>117</v>
      </c>
      <c r="D10" s="56"/>
      <c r="E10" s="56"/>
      <c r="F10" s="56"/>
      <c r="G10" s="33" t="s">
        <v>271</v>
      </c>
      <c r="H10" s="33" t="s">
        <v>272</v>
      </c>
      <c r="I10" s="33" t="s">
        <v>273</v>
      </c>
      <c r="J10" s="33" t="s">
        <v>274</v>
      </c>
      <c r="K10" s="33" t="s">
        <v>109</v>
      </c>
    </row>
    <row r="11" spans="1:20" ht="16.2" customHeight="1">
      <c r="B11" s="74">
        <v>1</v>
      </c>
      <c r="C11" s="71" t="s">
        <v>275</v>
      </c>
      <c r="D11" s="71"/>
      <c r="E11" s="71"/>
      <c r="F11" s="71"/>
      <c r="G11" s="70" t="s">
        <v>211</v>
      </c>
      <c r="H11" s="39" t="str">
        <f>$K$42</f>
        <v>Within limits</v>
      </c>
      <c r="I11" s="39"/>
      <c r="J11" s="72" t="s">
        <v>276</v>
      </c>
      <c r="K11" s="41" t="str">
        <f>IF($H$11&amp;""=$G$11&amp;"","PASS","FAIL")</f>
        <v>PASS</v>
      </c>
    </row>
    <row r="12" spans="1:20" ht="16.2" customHeight="1">
      <c r="B12" s="74">
        <v>2</v>
      </c>
      <c r="C12" s="71" t="s">
        <v>277</v>
      </c>
      <c r="D12" s="71"/>
      <c r="E12" s="71"/>
      <c r="F12" s="71"/>
      <c r="G12" s="70" t="s">
        <v>117</v>
      </c>
      <c r="H12" s="39" t="str">
        <f>$K$43</f>
        <v>Check</v>
      </c>
      <c r="I12" s="39"/>
      <c r="J12" s="72" t="s">
        <v>276</v>
      </c>
      <c r="K12" s="41" t="str">
        <f>IF($H$12&amp;""=$G$12&amp;"","PASS","FAIL")</f>
        <v>PASS</v>
      </c>
    </row>
    <row r="13" spans="1:20" ht="16.2" customHeight="1">
      <c r="B13" s="74">
        <v>3</v>
      </c>
      <c r="C13" s="71" t="s">
        <v>278</v>
      </c>
      <c r="D13" s="71"/>
      <c r="E13" s="71"/>
      <c r="F13" s="71"/>
      <c r="G13" s="70" t="s">
        <v>213</v>
      </c>
      <c r="H13" s="39" t="str">
        <f>$K$44</f>
        <v>Out of limits</v>
      </c>
      <c r="I13" s="39"/>
      <c r="J13" s="72" t="s">
        <v>276</v>
      </c>
      <c r="K13" s="41" t="str">
        <f>IF($H$13&amp;""=$G$13&amp;"","PASS","FAIL")</f>
        <v>PASS</v>
      </c>
    </row>
    <row r="14" spans="1:20" ht="16.2" customHeight="1">
      <c r="B14" s="74">
        <v>4</v>
      </c>
      <c r="C14" s="71" t="s">
        <v>279</v>
      </c>
      <c r="D14" s="71"/>
      <c r="E14" s="71"/>
      <c r="F14" s="71"/>
      <c r="G14" s="70" t="s">
        <v>211</v>
      </c>
      <c r="H14" s="39" t="str">
        <f>$K$45</f>
        <v>Within limits</v>
      </c>
      <c r="I14" s="39"/>
      <c r="J14" s="72" t="s">
        <v>276</v>
      </c>
      <c r="K14" s="41" t="str">
        <f>IF($H$14&amp;""=$G$14&amp;"","PASS","FAIL")</f>
        <v>PASS</v>
      </c>
    </row>
    <row r="15" spans="1:20" ht="16.2" customHeight="1">
      <c r="B15" s="74">
        <v>5</v>
      </c>
      <c r="C15" s="71" t="s">
        <v>280</v>
      </c>
      <c r="D15" s="71"/>
      <c r="E15" s="71"/>
      <c r="F15" s="71"/>
      <c r="G15" s="70" t="s">
        <v>213</v>
      </c>
      <c r="H15" s="39" t="str">
        <f>$K$46</f>
        <v>Out of limits</v>
      </c>
      <c r="I15" s="39"/>
      <c r="J15" s="72" t="s">
        <v>276</v>
      </c>
      <c r="K15" s="41" t="str">
        <f>IF($H$15&amp;""=$G$15&amp;"","PASS","FAIL")</f>
        <v>PASS</v>
      </c>
    </row>
    <row r="16" spans="1:20" ht="16.2" customHeight="1">
      <c r="B16" s="74">
        <v>6</v>
      </c>
      <c r="C16" s="71" t="s">
        <v>281</v>
      </c>
      <c r="D16" s="71"/>
      <c r="E16" s="71"/>
      <c r="F16" s="71"/>
      <c r="G16" s="75">
        <v>12410</v>
      </c>
      <c r="H16" s="76">
        <f>$P$44</f>
        <v>12410</v>
      </c>
      <c r="I16" s="77">
        <f>IF(AND(ISNUMBER($G$16),ISNUMBER($H$16)),ABS($H$16-$G$16),"")</f>
        <v>0</v>
      </c>
      <c r="J16" s="78">
        <v>1E-09</v>
      </c>
      <c r="K16" s="41" t="str">
        <f>IF(AND(ISNUMBER($G$16),ISNUMBER($H$16)),IF(ABS($H$16-$G$16)&lt;=$J$16,"PASS","FAIL"),"FAIL")</f>
        <v>PASS</v>
      </c>
    </row>
    <row r="17" spans="2:12" ht="16.2" customHeight="1">
      <c r="B17" s="74">
        <v>7</v>
      </c>
      <c r="C17" s="71" t="s">
        <v>282</v>
      </c>
      <c r="D17" s="71"/>
      <c r="E17" s="71"/>
      <c r="F17" s="71"/>
      <c r="G17" s="79">
        <v>3</v>
      </c>
      <c r="H17" s="43">
        <f>$Q$44</f>
        <v>3</v>
      </c>
      <c r="I17" s="77">
        <f>IF(AND(ISNUMBER($G$17),ISNUMBER($H$17)),ABS($H$17-$G$17),"")</f>
        <v>0</v>
      </c>
      <c r="J17" s="78">
        <v>1E-09</v>
      </c>
      <c r="K17" s="41" t="str">
        <f>IF(AND(ISNUMBER($G$17),ISNUMBER($H$17)),IF(ABS($H$17-$G$17)&lt;=$J$17,"PASS","FAIL"),"FAIL")</f>
        <v>PASS</v>
      </c>
    </row>
    <row r="18" spans="2:12" ht="16.2" customHeight="1">
      <c r="B18" s="74">
        <v>8</v>
      </c>
      <c r="C18" s="71" t="s">
        <v>283</v>
      </c>
      <c r="D18" s="71"/>
      <c r="E18" s="71"/>
      <c r="F18" s="71"/>
      <c r="G18" s="70" t="s">
        <v>284</v>
      </c>
      <c r="H18" s="39" t="str">
        <f>$S$46</f>
        <v>Corrective action missing</v>
      </c>
      <c r="I18" s="39"/>
      <c r="J18" s="72" t="s">
        <v>276</v>
      </c>
      <c r="K18" s="41" t="str">
        <f>IF($H$18&amp;""=$G$18&amp;"","PASS","FAIL")</f>
        <v>PASS</v>
      </c>
    </row>
    <row r="19" spans="2:12" ht="16.2" customHeight="1">
      <c r="B19" s="74">
        <v>9</v>
      </c>
      <c r="C19" s="71" t="s">
        <v>285</v>
      </c>
      <c r="D19" s="71"/>
      <c r="E19" s="71"/>
      <c r="F19" s="71"/>
      <c r="G19" s="70" t="s">
        <v>286</v>
      </c>
      <c r="H19" s="39" t="str">
        <f>$S$42</f>
        <v>OK</v>
      </c>
      <c r="I19" s="39"/>
      <c r="J19" s="72" t="s">
        <v>276</v>
      </c>
      <c r="K19" s="41" t="str">
        <f>IF($H$19&amp;""=$G$19&amp;"","PASS","FAIL")</f>
        <v>PASS</v>
      </c>
    </row>
    <row r="20" spans="2:12" ht="16.2" customHeight="1">
      <c r="B20" s="74">
        <v>10</v>
      </c>
      <c r="C20" s="71" t="s">
        <v>287</v>
      </c>
      <c r="D20" s="71"/>
      <c r="E20" s="71"/>
      <c r="F20" s="71"/>
      <c r="G20" s="79">
        <v>2</v>
      </c>
      <c r="H20" s="43">
        <f>COUNTIFS(tblVerifyLog[Result],"Out of limits",tblVerifyLog[View date],"&gt;0")</f>
        <v>2</v>
      </c>
      <c r="I20" s="77">
        <f>IF(AND(ISNUMBER($G$20),ISNUMBER($H$20)),ABS($H$20-$G$20),"")</f>
        <v>0</v>
      </c>
      <c r="J20" s="78">
        <v>1E-09</v>
      </c>
      <c r="K20" s="41" t="str">
        <f>IF(AND(ISNUMBER($G$20),ISNUMBER($H$20)),IF(ABS($H$20-$G$20)&lt;=$J$20,"PASS","FAIL"),"FAIL")</f>
        <v>PASS</v>
      </c>
    </row>
    <row r="21" spans="2:12" ht="16.2" customHeight="1">
      <c r="B21" s="74">
        <v>11</v>
      </c>
      <c r="C21" s="71" t="s">
        <v>288</v>
      </c>
      <c r="D21" s="71"/>
      <c r="E21" s="71"/>
      <c r="F21" s="71"/>
      <c r="G21" s="79">
        <v>1</v>
      </c>
      <c r="H21" s="43">
        <f>COUNTIFS(tblVerifyLog[Result],"Out of limits",tblVerifyLog[Check],"&lt;&gt;OK",tblVerifyLog[View date],"&gt;0")</f>
        <v>1</v>
      </c>
      <c r="I21" s="77">
        <f>IF(AND(ISNUMBER($G$21),ISNUMBER($H$21)),ABS($H$21-$G$21),"")</f>
        <v>0</v>
      </c>
      <c r="J21" s="78">
        <v>1E-09</v>
      </c>
      <c r="K21" s="41" t="str">
        <f>IF(AND(ISNUMBER($G$21),ISNUMBER($H$21)),IF(ABS($H$21-$G$21)&lt;=$J$21,"PASS","FAIL"),"FAIL")</f>
        <v>PASS</v>
      </c>
    </row>
    <row r="22" spans="2:12" ht="16.2" customHeight="1">
      <c r="B22" s="74">
        <v>12</v>
      </c>
      <c r="C22" s="71" t="s">
        <v>289</v>
      </c>
      <c r="D22" s="71"/>
      <c r="E22" s="71"/>
      <c r="F22" s="71"/>
      <c r="G22" s="80">
        <v>0.6</v>
      </c>
      <c r="H22" s="81">
        <f>IF((COUNTIFS(tblVerifyLog[View date],"&gt;0"))=0,"",(COUNTIFS(tblVerifyLog[Verified by],"?*",tblVerifyLog[View date],"&gt;0"))/(COUNTIFS(tblVerifyLog[View date],"&gt;0")))</f>
        <v>0.6</v>
      </c>
      <c r="I22" s="77">
        <f>IF(AND(ISNUMBER($G$22),ISNUMBER($H$22)),ABS($H$22-$G$22),"")</f>
        <v>0</v>
      </c>
      <c r="J22" s="78">
        <v>1E-09</v>
      </c>
      <c r="K22" s="41" t="str">
        <f>IF(AND(ISNUMBER($G$22),ISNUMBER($H$22)),IF(ABS($H$22-$G$22)&lt;=$J$22,"PASS","FAIL"),"FAIL")</f>
        <v>PASS</v>
      </c>
    </row>
    <row r="23" spans="2:12" ht="16.2" customHeight="1">
      <c r="B23" s="74">
        <v>13</v>
      </c>
      <c r="C23" s="71" t="s">
        <v>290</v>
      </c>
      <c r="D23" s="71"/>
      <c r="E23" s="71"/>
      <c r="F23" s="71"/>
      <c r="G23" s="75">
        <v>12410</v>
      </c>
      <c r="H23" s="76">
        <f>SUMIFS(tblVerifyLog[Hold cost (est.)],tblVerifyLog[View date],"&gt;0")</f>
        <v>12410</v>
      </c>
      <c r="I23" s="77">
        <f>IF(AND(ISNUMBER($G$23),ISNUMBER($H$23)),ABS($H$23-$G$23),"")</f>
        <v>0</v>
      </c>
      <c r="J23" s="78">
        <v>1E-09</v>
      </c>
      <c r="K23" s="41" t="str">
        <f>IF(AND(ISNUMBER($G$23),ISNUMBER($H$23)),IF(ABS($H$23-$G$23)&lt;=$J$23,"PASS","FAIL"),"FAIL")</f>
        <v>PASS</v>
      </c>
    </row>
    <row r="25" spans="2:12" ht="21" customHeight="1">
      <c r="B25" s="8" t="s">
        <v>291</v>
      </c>
      <c r="C25" s="8"/>
      <c r="D25" s="8"/>
      <c r="E25" s="8"/>
      <c r="F25" s="8"/>
      <c r="G25" s="8"/>
      <c r="H25" s="8"/>
      <c r="I25" s="8"/>
      <c r="J25" s="8"/>
      <c r="K25" s="8"/>
      <c r="L25" s="8"/>
    </row>
    <row r="26" spans="2:12" ht="5" customHeight="1"/>
    <row r="27" spans="2:12">
      <c r="B27" s="21" t="s">
        <v>292</v>
      </c>
      <c r="C27" s="21"/>
      <c r="D27" s="21"/>
      <c r="E27" s="21"/>
      <c r="F27" s="21"/>
      <c r="G27" s="21"/>
      <c r="H27" s="21"/>
      <c r="I27" s="21"/>
      <c r="J27" s="21"/>
      <c r="K27" s="21"/>
      <c r="L27" s="21"/>
    </row>
    <row r="28" spans="2:12">
      <c r="B28" s="31" t="s">
        <v>293</v>
      </c>
      <c r="C28" s="31"/>
      <c r="D28" s="31"/>
      <c r="E28" s="31"/>
      <c r="F28" s="31"/>
    </row>
    <row r="29" spans="2:12">
      <c r="B29" s="27" t="s">
        <v>294</v>
      </c>
      <c r="C29" s="27"/>
      <c r="D29" s="27"/>
      <c r="E29" s="79">
        <v>0</v>
      </c>
      <c r="F29" s="7"/>
    </row>
    <row r="30" spans="2:12">
      <c r="B30" s="27" t="s">
        <v>295</v>
      </c>
      <c r="C30" s="27"/>
      <c r="D30" s="27"/>
      <c r="E30" s="79">
        <v>2958465</v>
      </c>
      <c r="F30" s="7"/>
    </row>
    <row r="31" spans="2:12">
      <c r="B31" s="27" t="s">
        <v>78</v>
      </c>
      <c r="C31" s="27"/>
      <c r="D31" s="27"/>
      <c r="E31" s="75">
        <v>28</v>
      </c>
      <c r="F31" s="7"/>
    </row>
    <row r="32" spans="2:12">
      <c r="B32" s="27" t="s">
        <v>79</v>
      </c>
      <c r="C32" s="27"/>
      <c r="D32" s="27"/>
      <c r="E32" s="75">
        <v>650</v>
      </c>
      <c r="F32" s="7"/>
    </row>
    <row r="34" spans="2:20">
      <c r="B34" s="31" t="s">
        <v>296</v>
      </c>
      <c r="C34" s="31"/>
      <c r="D34" s="31"/>
      <c r="E34" s="31"/>
      <c r="F34" s="31"/>
      <c r="G34" s="31"/>
      <c r="H34" s="31"/>
      <c r="I34" s="31"/>
      <c r="J34" s="31"/>
      <c r="K34" s="31"/>
      <c r="L34" s="31"/>
    </row>
    <row r="35" spans="2:20" ht="32" customHeight="1">
      <c r="B35" s="33" t="s">
        <v>62</v>
      </c>
      <c r="C35" s="33" t="s">
        <v>63</v>
      </c>
      <c r="D35" s="33" t="s">
        <v>64</v>
      </c>
      <c r="E35" s="33" t="s">
        <v>65</v>
      </c>
      <c r="F35" s="33" t="s">
        <v>66</v>
      </c>
      <c r="G35" s="33" t="s">
        <v>67</v>
      </c>
      <c r="H35" s="33" t="s">
        <v>68</v>
      </c>
      <c r="I35" s="33" t="s">
        <v>69</v>
      </c>
      <c r="J35" s="33" t="s">
        <v>70</v>
      </c>
    </row>
    <row r="36" spans="2:20">
      <c r="B36" s="70" t="s">
        <v>297</v>
      </c>
      <c r="C36" s="70" t="s">
        <v>298</v>
      </c>
      <c r="D36" s="70"/>
      <c r="E36" s="70"/>
      <c r="F36" s="70" t="s">
        <v>89</v>
      </c>
      <c r="G36" s="70" t="s">
        <v>90</v>
      </c>
      <c r="H36" s="65">
        <v>75</v>
      </c>
      <c r="I36" s="65">
        <v>78</v>
      </c>
      <c r="J36" s="79">
        <v>2</v>
      </c>
    </row>
    <row r="37" spans="2:20">
      <c r="B37" s="70" t="s">
        <v>299</v>
      </c>
      <c r="C37" s="70" t="s">
        <v>300</v>
      </c>
      <c r="D37" s="70"/>
      <c r="E37" s="70"/>
      <c r="F37" s="70" t="s">
        <v>89</v>
      </c>
      <c r="G37" s="70" t="s">
        <v>95</v>
      </c>
      <c r="H37" s="65">
        <v>5</v>
      </c>
      <c r="I37" s="65"/>
      <c r="J37" s="79">
        <v>1</v>
      </c>
    </row>
    <row r="39" spans="2:20">
      <c r="B39" s="31" t="s">
        <v>301</v>
      </c>
      <c r="C39" s="31"/>
      <c r="D39" s="31"/>
      <c r="E39" s="31"/>
      <c r="F39" s="31"/>
      <c r="G39" s="31"/>
      <c r="H39" s="31"/>
      <c r="I39" s="31"/>
      <c r="J39" s="31"/>
      <c r="K39" s="31"/>
      <c r="L39" s="31"/>
    </row>
    <row r="40" spans="2:20" ht="14" customHeight="1">
      <c r="B40" s="36"/>
      <c r="C40" s="36"/>
      <c r="D40" s="36"/>
      <c r="E40" s="36"/>
      <c r="F40" s="36"/>
      <c r="G40" s="36"/>
      <c r="H40" s="36"/>
      <c r="I40" s="36"/>
      <c r="J40" s="36"/>
      <c r="K40" s="36"/>
      <c r="L40" s="36"/>
      <c r="M40" s="36"/>
      <c r="N40" s="36" t="str">
        <f>HeldUnit</f>
        <v>cases</v>
      </c>
      <c r="O40" s="36"/>
      <c r="P40" s="36" t="str">
        <f>Currency</f>
        <v>AUD</v>
      </c>
      <c r="Q40" s="36"/>
      <c r="R40" s="36"/>
      <c r="S40" s="36"/>
      <c r="T40" s="36"/>
    </row>
    <row r="41" spans="2:20" ht="32" customHeight="1">
      <c r="B41" s="33" t="s">
        <v>105</v>
      </c>
      <c r="C41" s="33" t="s">
        <v>106</v>
      </c>
      <c r="D41" s="33" t="s">
        <v>62</v>
      </c>
      <c r="E41" s="33" t="s">
        <v>107</v>
      </c>
      <c r="F41" s="33" t="s">
        <v>108</v>
      </c>
      <c r="G41" s="33" t="s">
        <v>66</v>
      </c>
      <c r="H41" s="33" t="s">
        <v>67</v>
      </c>
      <c r="I41" s="33" t="s">
        <v>68</v>
      </c>
      <c r="J41" s="33" t="s">
        <v>69</v>
      </c>
      <c r="K41" s="33" t="s">
        <v>109</v>
      </c>
      <c r="L41" s="33" t="s">
        <v>110</v>
      </c>
      <c r="M41" s="33" t="s">
        <v>111</v>
      </c>
      <c r="N41" s="33" t="s">
        <v>112</v>
      </c>
      <c r="O41" s="33" t="s">
        <v>113</v>
      </c>
      <c r="P41" s="33" t="s">
        <v>114</v>
      </c>
      <c r="Q41" s="33" t="s">
        <v>115</v>
      </c>
      <c r="R41" s="33" t="s">
        <v>116</v>
      </c>
      <c r="S41" s="33" t="s">
        <v>117</v>
      </c>
      <c r="T41" s="33" t="s">
        <v>118</v>
      </c>
    </row>
    <row r="42" spans="2:20">
      <c r="B42" s="82">
        <v>46083</v>
      </c>
      <c r="C42" s="83">
        <v>0.3333333333333333</v>
      </c>
      <c r="D42" s="70" t="s">
        <v>297</v>
      </c>
      <c r="E42" s="70" t="s">
        <v>302</v>
      </c>
      <c r="F42" s="65">
        <v>80</v>
      </c>
      <c r="G42" s="39" t="str">
        <f>IF(tblVerifyLog[[#This Row],[Date]]="","",IFERROR(IF(INDEX(tblVerifyCCPs[Unit],MATCH(tblVerifyLog[[#This Row],[CCP]],tblVerifyCCPs[CCP],0))="","",INDEX(tblVerifyCCPs[Unit],MATCH(tblVerifyLog[[#This Row],[CCP]],tblVerifyCCPs[CCP],0))),""))</f>
        <v>°C</v>
      </c>
      <c r="H42" s="39" t="str">
        <f>IF(tblVerifyLog[[#This Row],[Date]]="","",IFERROR(IF(INDEX(tblVerifyCCPs[Limit type],MATCH(tblVerifyLog[[#This Row],[CCP]],tblVerifyCCPs[CCP],0))="","",INDEX(tblVerifyCCPs[Limit type],MATCH(tblVerifyLog[[#This Row],[CCP]],tblVerifyCCPs[CCP],0))),""))</f>
        <v>Minimum</v>
      </c>
      <c r="I42" s="40">
        <f>IF(tblVerifyLog[[#This Row],[Date]]="","",IFERROR(IF(INDEX(tblVerifyCCPs[Critical limit],MATCH(tblVerifyLog[[#This Row],[CCP]],tblVerifyCCPs[CCP],0))="","",INDEX(tblVerifyCCPs[Critical limit],MATCH(tblVerifyLog[[#This Row],[CCP]],tblVerifyCCPs[CCP],0))),""))</f>
        <v>75</v>
      </c>
      <c r="J42" s="40">
        <f>IF(tblVerifyLog[[#This Row],[Date]]="","",IFERROR(IF(INDEX(tblVerifyCCPs[Operating limit],MATCH(tblVerifyLog[[#This Row],[CCP]],tblVerifyCCPs[CCP],0))="","",INDEX(tblVerifyCCPs[Operating limit],MATCH(tblVerifyLog[[#This Row],[CCP]],tblVerifyCCPs[CCP],0))),""))</f>
        <v>78</v>
      </c>
      <c r="K42" s="41" t="str">
        <f>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f>
        <v>Within limits</v>
      </c>
      <c r="L42" s="70" t="s">
        <v>303</v>
      </c>
      <c r="M42" s="70" t="s">
        <v>122</v>
      </c>
      <c r="N42" s="79">
        <v>0</v>
      </c>
      <c r="O42" s="70" t="s">
        <v>304</v>
      </c>
      <c r="P42" s="43">
        <f>IF(tblVerifyLog[[#This Row],[Date]]="","",IF(N(tblVerifyLog[[#This Row],[Product held]])&gt;0,tblVerifyLog[[#This Row],[Product held]]*$E$31+$E$32,0))</f>
        <v>0</v>
      </c>
      <c r="Q42" s="43">
        <f>IF(tblVerifyLog[[#This Row],[Date]]="","",IF(tblVerifyLog[[#This Row],[CCP]]="","",COUNTIFS(tblVerifyLog[CCP],tblVerifyLog[[#This Row],[CCP]],tblVerifyLog[Date],"&lt;"&amp;tblVerifyLog[[#This Row],[Date]])+COUNTIFS(tblVerifyLog[CCP],tblVerifyLog[[#This Row],[CCP]],tblVerifyLog[Date],tblVerifyLog[[#This Row],[Date]],tblVerifyLog[Time],"&lt;="&amp;tblVerifyLog[[#This Row],[Time]])))</f>
        <v>1</v>
      </c>
      <c r="R42" s="44">
        <f>IF(tblVerifyLog[[#This Row],[Date]]="","",IF(AND(tblVerifyLog[[#This Row],[Date]]&gt;=$E$29,tblVerifyLog[[#This Row],[Date]]&lt;=$E$30),tblVerifyLog[[#This Row],[Date]],""))</f>
        <v>46083</v>
      </c>
      <c r="S42" s="45" t="str">
        <f>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f>
        <v>OK</v>
      </c>
      <c r="T42" s="70"/>
    </row>
    <row r="43" spans="2:20">
      <c r="B43" s="82">
        <v>46083</v>
      </c>
      <c r="C43" s="83">
        <v>0.375</v>
      </c>
      <c r="D43" s="70" t="s">
        <v>297</v>
      </c>
      <c r="E43" s="70" t="s">
        <v>305</v>
      </c>
      <c r="F43" s="65">
        <v>76.5</v>
      </c>
      <c r="G43" s="39" t="str">
        <f>IF(tblVerifyLog[[#This Row],[Date]]="","",IFERROR(IF(INDEX(tblVerifyCCPs[Unit],MATCH(tblVerifyLog[[#This Row],[CCP]],tblVerifyCCPs[CCP],0))="","",INDEX(tblVerifyCCPs[Unit],MATCH(tblVerifyLog[[#This Row],[CCP]],tblVerifyCCPs[CCP],0))),""))</f>
        <v>°C</v>
      </c>
      <c r="H43" s="39" t="str">
        <f>IF(tblVerifyLog[[#This Row],[Date]]="","",IFERROR(IF(INDEX(tblVerifyCCPs[Limit type],MATCH(tblVerifyLog[[#This Row],[CCP]],tblVerifyCCPs[CCP],0))="","",INDEX(tblVerifyCCPs[Limit type],MATCH(tblVerifyLog[[#This Row],[CCP]],tblVerifyCCPs[CCP],0))),""))</f>
        <v>Minimum</v>
      </c>
      <c r="I43" s="40">
        <f>IF(tblVerifyLog[[#This Row],[Date]]="","",IFERROR(IF(INDEX(tblVerifyCCPs[Critical limit],MATCH(tblVerifyLog[[#This Row],[CCP]],tblVerifyCCPs[CCP],0))="","",INDEX(tblVerifyCCPs[Critical limit],MATCH(tblVerifyLog[[#This Row],[CCP]],tblVerifyCCPs[CCP],0))),""))</f>
        <v>75</v>
      </c>
      <c r="J43" s="40">
        <f>IF(tblVerifyLog[[#This Row],[Date]]="","",IFERROR(IF(INDEX(tblVerifyCCPs[Operating limit],MATCH(tblVerifyLog[[#This Row],[CCP]],tblVerifyCCPs[CCP],0))="","",INDEX(tblVerifyCCPs[Operating limit],MATCH(tblVerifyLog[[#This Row],[CCP]],tblVerifyCCPs[CCP],0))),""))</f>
        <v>78</v>
      </c>
      <c r="K43" s="41" t="str">
        <f>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f>
        <v>Check</v>
      </c>
      <c r="L43" s="70" t="s">
        <v>303</v>
      </c>
      <c r="M43" s="70" t="s">
        <v>122</v>
      </c>
      <c r="N43" s="79">
        <v>0</v>
      </c>
      <c r="O43" s="70" t="s">
        <v>304</v>
      </c>
      <c r="P43" s="43">
        <f>IF(tblVerifyLog[[#This Row],[Date]]="","",IF(N(tblVerifyLog[[#This Row],[Product held]])&gt;0,tblVerifyLog[[#This Row],[Product held]]*$E$31+$E$32,0))</f>
        <v>0</v>
      </c>
      <c r="Q43" s="43">
        <f>IF(tblVerifyLog[[#This Row],[Date]]="","",IF(tblVerifyLog[[#This Row],[CCP]]="","",COUNTIFS(tblVerifyLog[CCP],tblVerifyLog[[#This Row],[CCP]],tblVerifyLog[Date],"&lt;"&amp;tblVerifyLog[[#This Row],[Date]])+COUNTIFS(tblVerifyLog[CCP],tblVerifyLog[[#This Row],[CCP]],tblVerifyLog[Date],tblVerifyLog[[#This Row],[Date]],tblVerifyLog[Time],"&lt;="&amp;tblVerifyLog[[#This Row],[Time]])))</f>
        <v>2</v>
      </c>
      <c r="R43" s="44">
        <f>IF(tblVerifyLog[[#This Row],[Date]]="","",IF(AND(tblVerifyLog[[#This Row],[Date]]&gt;=$E$29,tblVerifyLog[[#This Row],[Date]]&lt;=$E$30),tblVerifyLog[[#This Row],[Date]],""))</f>
        <v>46083</v>
      </c>
      <c r="S43" s="45" t="str">
        <f>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f>
        <v>OK</v>
      </c>
      <c r="T43" s="70"/>
    </row>
    <row r="44" spans="2:20">
      <c r="B44" s="82">
        <v>46083</v>
      </c>
      <c r="C44" s="83">
        <v>0.4166666666666667</v>
      </c>
      <c r="D44" s="70" t="s">
        <v>297</v>
      </c>
      <c r="E44" s="70" t="s">
        <v>306</v>
      </c>
      <c r="F44" s="65">
        <v>72</v>
      </c>
      <c r="G44" s="39" t="str">
        <f>IF(tblVerifyLog[[#This Row],[Date]]="","",IFERROR(IF(INDEX(tblVerifyCCPs[Unit],MATCH(tblVerifyLog[[#This Row],[CCP]],tblVerifyCCPs[CCP],0))="","",INDEX(tblVerifyCCPs[Unit],MATCH(tblVerifyLog[[#This Row],[CCP]],tblVerifyCCPs[CCP],0))),""))</f>
        <v>°C</v>
      </c>
      <c r="H44" s="39" t="str">
        <f>IF(tblVerifyLog[[#This Row],[Date]]="","",IFERROR(IF(INDEX(tblVerifyCCPs[Limit type],MATCH(tblVerifyLog[[#This Row],[CCP]],tblVerifyCCPs[CCP],0))="","",INDEX(tblVerifyCCPs[Limit type],MATCH(tblVerifyLog[[#This Row],[CCP]],tblVerifyCCPs[CCP],0))),""))</f>
        <v>Minimum</v>
      </c>
      <c r="I44" s="40">
        <f>IF(tblVerifyLog[[#This Row],[Date]]="","",IFERROR(IF(INDEX(tblVerifyCCPs[Critical limit],MATCH(tblVerifyLog[[#This Row],[CCP]],tblVerifyCCPs[CCP],0))="","",INDEX(tblVerifyCCPs[Critical limit],MATCH(tblVerifyLog[[#This Row],[CCP]],tblVerifyCCPs[CCP],0))),""))</f>
        <v>75</v>
      </c>
      <c r="J44" s="40">
        <f>IF(tblVerifyLog[[#This Row],[Date]]="","",IFERROR(IF(INDEX(tblVerifyCCPs[Operating limit],MATCH(tblVerifyLog[[#This Row],[CCP]],tblVerifyCCPs[CCP],0))="","",INDEX(tblVerifyCCPs[Operating limit],MATCH(tblVerifyLog[[#This Row],[CCP]],tblVerifyCCPs[CCP],0))),""))</f>
        <v>78</v>
      </c>
      <c r="K44" s="41" t="str">
        <f>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f>
        <v>Out of limits</v>
      </c>
      <c r="L44" s="70" t="s">
        <v>303</v>
      </c>
      <c r="M44" s="70" t="s">
        <v>307</v>
      </c>
      <c r="N44" s="79">
        <v>420</v>
      </c>
      <c r="O44" s="70" t="s">
        <v>304</v>
      </c>
      <c r="P44" s="43">
        <f>IF(tblVerifyLog[[#This Row],[Date]]="","",IF(N(tblVerifyLog[[#This Row],[Product held]])&gt;0,tblVerifyLog[[#This Row],[Product held]]*$E$31+$E$32,0))</f>
        <v>12410</v>
      </c>
      <c r="Q44" s="43">
        <f>IF(tblVerifyLog[[#This Row],[Date]]="","",IF(tblVerifyLog[[#This Row],[CCP]]="","",COUNTIFS(tblVerifyLog[CCP],tblVerifyLog[[#This Row],[CCP]],tblVerifyLog[Date],"&lt;"&amp;tblVerifyLog[[#This Row],[Date]])+COUNTIFS(tblVerifyLog[CCP],tblVerifyLog[[#This Row],[CCP]],tblVerifyLog[Date],tblVerifyLog[[#This Row],[Date]],tblVerifyLog[Time],"&lt;="&amp;tblVerifyLog[[#This Row],[Time]])))</f>
        <v>3</v>
      </c>
      <c r="R44" s="44">
        <f>IF(tblVerifyLog[[#This Row],[Date]]="","",IF(AND(tblVerifyLog[[#This Row],[Date]]&gt;=$E$29,tblVerifyLog[[#This Row],[Date]]&lt;=$E$30),tblVerifyLog[[#This Row],[Date]],""))</f>
        <v>46083</v>
      </c>
      <c r="S44" s="45" t="str">
        <f>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f>
        <v>OK</v>
      </c>
      <c r="T44" s="70"/>
    </row>
    <row r="45" spans="2:20">
      <c r="B45" s="82">
        <v>46083</v>
      </c>
      <c r="C45" s="83">
        <v>0.4583333333333333</v>
      </c>
      <c r="D45" s="70" t="s">
        <v>299</v>
      </c>
      <c r="E45" s="70" t="s">
        <v>308</v>
      </c>
      <c r="F45" s="65">
        <v>5</v>
      </c>
      <c r="G45" s="39" t="str">
        <f>IF(tblVerifyLog[[#This Row],[Date]]="","",IFERROR(IF(INDEX(tblVerifyCCPs[Unit],MATCH(tblVerifyLog[[#This Row],[CCP]],tblVerifyCCPs[CCP],0))="","",INDEX(tblVerifyCCPs[Unit],MATCH(tblVerifyLog[[#This Row],[CCP]],tblVerifyCCPs[CCP],0))),""))</f>
        <v>°C</v>
      </c>
      <c r="H45" s="39" t="str">
        <f>IF(tblVerifyLog[[#This Row],[Date]]="","",IFERROR(IF(INDEX(tblVerifyCCPs[Limit type],MATCH(tblVerifyLog[[#This Row],[CCP]],tblVerifyCCPs[CCP],0))="","",INDEX(tblVerifyCCPs[Limit type],MATCH(tblVerifyLog[[#This Row],[CCP]],tblVerifyCCPs[CCP],0))),""))</f>
        <v>Maximum</v>
      </c>
      <c r="I45" s="40">
        <f>IF(tblVerifyLog[[#This Row],[Date]]="","",IFERROR(IF(INDEX(tblVerifyCCPs[Critical limit],MATCH(tblVerifyLog[[#This Row],[CCP]],tblVerifyCCPs[CCP],0))="","",INDEX(tblVerifyCCPs[Critical limit],MATCH(tblVerifyLog[[#This Row],[CCP]],tblVerifyCCPs[CCP],0))),""))</f>
        <v>5</v>
      </c>
      <c r="J45" s="40">
        <f>IF(tblVerifyLog[[#This Row],[Date]]="","",IFERROR(IF(INDEX(tblVerifyCCPs[Operating limit],MATCH(tblVerifyLog[[#This Row],[CCP]],tblVerifyCCPs[CCP],0))="","",INDEX(tblVerifyCCPs[Operating limit],MATCH(tblVerifyLog[[#This Row],[CCP]],tblVerifyCCPs[CCP],0))),""))</f>
        <v/>
      </c>
      <c r="K45" s="41" t="str">
        <f>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f>
        <v>Within limits</v>
      </c>
      <c r="L45" s="70" t="s">
        <v>309</v>
      </c>
      <c r="M45" s="70" t="s">
        <v>122</v>
      </c>
      <c r="N45" s="79">
        <v>0</v>
      </c>
      <c r="O45" s="70" t="s">
        <v>122</v>
      </c>
      <c r="P45" s="43">
        <f>IF(tblVerifyLog[[#This Row],[Date]]="","",IF(N(tblVerifyLog[[#This Row],[Product held]])&gt;0,tblVerifyLog[[#This Row],[Product held]]*$E$31+$E$32,0))</f>
        <v>0</v>
      </c>
      <c r="Q45" s="43">
        <f>IF(tblVerifyLog[[#This Row],[Date]]="","",IF(tblVerifyLog[[#This Row],[CCP]]="","",COUNTIFS(tblVerifyLog[CCP],tblVerifyLog[[#This Row],[CCP]],tblVerifyLog[Date],"&lt;"&amp;tblVerifyLog[[#This Row],[Date]])+COUNTIFS(tblVerifyLog[CCP],tblVerifyLog[[#This Row],[CCP]],tblVerifyLog[Date],tblVerifyLog[[#This Row],[Date]],tblVerifyLog[Time],"&lt;="&amp;tblVerifyLog[[#This Row],[Time]])))</f>
        <v>1</v>
      </c>
      <c r="R45" s="44">
        <f>IF(tblVerifyLog[[#This Row],[Date]]="","",IF(AND(tblVerifyLog[[#This Row],[Date]]&gt;=$E$29,tblVerifyLog[[#This Row],[Date]]&lt;=$E$30),tblVerifyLog[[#This Row],[Date]],""))</f>
        <v>46083</v>
      </c>
      <c r="S45" s="45" t="str">
        <f>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f>
        <v>OK</v>
      </c>
      <c r="T45" s="70"/>
    </row>
    <row r="46" spans="2:20">
      <c r="B46" s="82">
        <v>46083</v>
      </c>
      <c r="C46" s="83">
        <v>0.5</v>
      </c>
      <c r="D46" s="70" t="s">
        <v>299</v>
      </c>
      <c r="E46" s="70" t="s">
        <v>310</v>
      </c>
      <c r="F46" s="65">
        <v>6.2</v>
      </c>
      <c r="G46" s="39" t="str">
        <f>IF(tblVerifyLog[[#This Row],[Date]]="","",IFERROR(IF(INDEX(tblVerifyCCPs[Unit],MATCH(tblVerifyLog[[#This Row],[CCP]],tblVerifyCCPs[CCP],0))="","",INDEX(tblVerifyCCPs[Unit],MATCH(tblVerifyLog[[#This Row],[CCP]],tblVerifyCCPs[CCP],0))),""))</f>
        <v>°C</v>
      </c>
      <c r="H46" s="39" t="str">
        <f>IF(tblVerifyLog[[#This Row],[Date]]="","",IFERROR(IF(INDEX(tblVerifyCCPs[Limit type],MATCH(tblVerifyLog[[#This Row],[CCP]],tblVerifyCCPs[CCP],0))="","",INDEX(tblVerifyCCPs[Limit type],MATCH(tblVerifyLog[[#This Row],[CCP]],tblVerifyCCPs[CCP],0))),""))</f>
        <v>Maximum</v>
      </c>
      <c r="I46" s="40">
        <f>IF(tblVerifyLog[[#This Row],[Date]]="","",IFERROR(IF(INDEX(tblVerifyCCPs[Critical limit],MATCH(tblVerifyLog[[#This Row],[CCP]],tblVerifyCCPs[CCP],0))="","",INDEX(tblVerifyCCPs[Critical limit],MATCH(tblVerifyLog[[#This Row],[CCP]],tblVerifyCCPs[CCP],0))),""))</f>
        <v>5</v>
      </c>
      <c r="J46" s="40">
        <f>IF(tblVerifyLog[[#This Row],[Date]]="","",IFERROR(IF(INDEX(tblVerifyCCPs[Operating limit],MATCH(tblVerifyLog[[#This Row],[CCP]],tblVerifyCCPs[CCP],0))="","",INDEX(tblVerifyCCPs[Operating limit],MATCH(tblVerifyLog[[#This Row],[CCP]],tblVerifyCCPs[CCP],0))),""))</f>
        <v/>
      </c>
      <c r="K46" s="41" t="str">
        <f>IF(tblVerifyLog[[#This Row],[Date]]="","",IF(OR(tblVerifyLog[[#This Row],[Reading]]="",tblVerifyLog[[#This Row],[Critical limit]]=""),"",IF(tblVerifyLog[[#This Row],[Limit type]]="Minimum",IF(tblVerifyLog[[#This Row],[Reading]]&lt;tblVerifyLog[[#This Row],[Critical limit]],"Out of limits",IF(AND(tblVerifyLog[[#This Row],[Operating limit]]&lt;&gt;"",tblVerifyLog[[#This Row],[Reading]]&lt;tblVerifyLog[[#This Row],[Operating limit]]),"Check","Within limits")),IF(tblVerifyLog[[#This Row],[Reading]]&gt;tblVerifyLog[[#This Row],[Critical limit]],"Out of limits",IF(AND(tblVerifyLog[[#This Row],[Operating limit]]&lt;&gt;"",tblVerifyLog[[#This Row],[Reading]]&gt;tblVerifyLog[[#This Row],[Operating limit]]),"Check","Within limits")))))</f>
        <v>Out of limits</v>
      </c>
      <c r="L46" s="70" t="s">
        <v>309</v>
      </c>
      <c r="M46" s="70" t="s">
        <v>122</v>
      </c>
      <c r="N46" s="79">
        <v>0</v>
      </c>
      <c r="O46" s="70" t="s">
        <v>122</v>
      </c>
      <c r="P46" s="43">
        <f>IF(tblVerifyLog[[#This Row],[Date]]="","",IF(N(tblVerifyLog[[#This Row],[Product held]])&gt;0,tblVerifyLog[[#This Row],[Product held]]*$E$31+$E$32,0))</f>
        <v>0</v>
      </c>
      <c r="Q46" s="43">
        <f>IF(tblVerifyLog[[#This Row],[Date]]="","",IF(tblVerifyLog[[#This Row],[CCP]]="","",COUNTIFS(tblVerifyLog[CCP],tblVerifyLog[[#This Row],[CCP]],tblVerifyLog[Date],"&lt;"&amp;tblVerifyLog[[#This Row],[Date]])+COUNTIFS(tblVerifyLog[CCP],tblVerifyLog[[#This Row],[CCP]],tblVerifyLog[Date],tblVerifyLog[[#This Row],[Date]],tblVerifyLog[Time],"&lt;="&amp;tblVerifyLog[[#This Row],[Time]])))</f>
        <v>2</v>
      </c>
      <c r="R46" s="44">
        <f>IF(tblVerifyLog[[#This Row],[Date]]="","",IF(AND(tblVerifyLog[[#This Row],[Date]]&gt;=$E$29,tblVerifyLog[[#This Row],[Date]]&lt;=$E$30),tblVerifyLog[[#This Row],[Date]],""))</f>
        <v>46083</v>
      </c>
      <c r="S46" s="45" t="str">
        <f>IF(tblVerifyLog[[#This Row],[Date]]="","",IF(tblVerifyLog[[#This Row],[Time]]="","Missing time",IF(tblVerifyLog[[#This Row],[CCP]]="","Missing ccp",IF(tblVerifyLog[[#This Row],[Reading]]="","Missing reading",IF(tblVerifyLog[[#This Row],[Monitored by]]="","Missing monitored by",IF(tblVerifyLog[[#This Row],[Critical limit]]="","CCP not on Setup list",IF(AND(tblVerifyLog[[#This Row],[Result]]="Out of limits",tblVerifyLog[[#This Row],[Corrective action]]=""),"Corrective action missing",IF(AND(tblVerifyLog[[#This Row],[Result]]="Out of limits",tblVerifyLog[[#This Row],[Verified by]]=""),"Deviation not verified",IF(AND(tblVerifyLog[[#This Row],[Verified by]]&lt;&gt;"",tblVerifyLog[[#This Row],[Verified by]]=tblVerifyLog[[#This Row],[Monitored by]]),"Verifier same as monitor",IF(COUNTIFS(tblVerifyLog[CCP],tblVerifyLog[[#This Row],[CCP]],tblVerifyLog[Date],tblVerifyLog[[#This Row],[Date]],tblVerifyLog[Time],tblVerifyLog[[#This Row],[Time]])&gt;1,"Duplicate check time","OK"))))))))))</f>
        <v>Corrective action missing</v>
      </c>
      <c r="T46" s="70"/>
    </row>
  </sheetData>
  <sheetProtection sheet="1" formatColumns="0" formatRows="0"/>
  <mergeCells count="30">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B30:D30"/>
    <mergeCell ref="B31:D31"/>
    <mergeCell ref="B32:D32"/>
    <mergeCell ref="B34:L34"/>
    <mergeCell ref="B39:L3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S42:S46">
    <cfRule type="expression" dxfId="3" priority="41">
      <formula>$S42="OK"</formula>
    </cfRule>
    <cfRule type="expression" dxfId="1" priority="42">
      <formula>AND($S42&lt;&gt;"",$S42&lt;&gt;"OK")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HACCP CCP Monitoring Log&amp;R&amp;8&amp;A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27</vt:i4>
      </vt:variant>
    </vt:vector>
  </HeadingPairs>
  <TitlesOfParts>
    <vt:vector size="33" baseType="lpstr">
      <vt:lpstr>Start Here</vt:lpstr>
      <vt:lpstr>Setup</vt:lpstr>
      <vt:lpstr>CCP Log</vt:lpstr>
      <vt:lpstr>Dashboard</vt:lpstr>
      <vt:lpstr>Method</vt:lpstr>
      <vt:lpstr>Verify</vt:lpstr>
      <vt:lpstr>Currency</vt:lpstr>
      <vt:lpstr>DashCCP</vt:lpstr>
      <vt:lpstr>DashFrom</vt:lpstr>
      <vt:lpstr>DashTo</vt:lpstr>
      <vt:lpstr>HeldUnit</vt:lpstr>
      <vt:lpstr>HoldValue</vt:lpstr>
      <vt:lpstr>KpiChecks</vt:lpstr>
      <vt:lpstr>KpiCost</vt:lpstr>
      <vt:lpstr>KpiHeld</vt:lpstr>
      <vt:lpstr>KpiMissed</vt:lpstr>
      <vt:lpstr>KpiOpen</vt:lpstr>
      <vt:lpstr>KpiOut</vt:lpstr>
      <vt:lpstr>KpiTopCCP</vt:lpstr>
      <vt:lpstr>KpiVerified</vt:lpstr>
      <vt:lpstr>'CCP Log'!Print_Area</vt:lpstr>
      <vt:lpstr>Dashboard!Print_Area</vt:lpstr>
      <vt:lpstr>Method!Print_Area</vt:lpstr>
      <vt:lpstr>Setup!Print_Area</vt:lpstr>
      <vt:lpstr>'Start Here'!Print_Area</vt:lpstr>
      <vt:lpstr>Verify!Print_Area</vt:lpstr>
      <vt:lpstr>'CCP Log'!Print_Titles</vt:lpstr>
      <vt:lpstr>Method!Print_Titles</vt:lpstr>
      <vt:lpstr>QACost</vt:lpstr>
      <vt:lpstr>SelfCheck</vt:lpstr>
      <vt:lpstr>SelfCheckSummary</vt:lpstr>
      <vt:lpstr>SiteName</vt:lpstr>
      <vt:lpstr>TargetVerified</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HACCP CCP Monitoring Log - free Excel template from MFG Calcs</dc:title>
  <dc:subject>Record every CCP check against its limits and track deviations, corrective actions, verification, missed checks and holds.</dc:subject>
  <dc:creator>MFG Calcs</dc:creator>
  <cp:keywords>HACCP, CCP monitoring, critical control point, critical limit, corrective action, verification, food safety, temperature log, metal detection</cp:keywords>
  <dc:description>https://www.mfgcalcs.com/templates/haccp-monitoring-log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haccp-monitoring-log</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https://www.mfgcalcs.com/templates/haccp-monitoring-log</vt:lpwstr>
  </property>
  <property fmtid="{D5CDD505-2E9C-101B-9397-08002B2CF9AE}" pid="7" name="Template sheet roles">
    <vt:lpwstr>Start Here=start;Setup=setup;CCP Log=work;Dashboard=dashboard;Method=method;Verify=verify</vt:lpwstr>
  </property>
</Properties>
</file>