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Headcount Plan" sheetId="3" r:id="rId3"/>
    <sheet name="Dashboard" sheetId="4" r:id="rId4"/>
    <sheet name="Method" sheetId="5" r:id="rId5"/>
    <sheet name="Verify" sheetId="6" r:id="rId6"/>
  </sheets>
  <definedNames>
    <definedName name="AbsenceRate">Setup!$D$9</definedName>
    <definedName name="Currency">Setup!$D$7</definedName>
    <definedName name="Departments">tblDepartments[Department]</definedName>
    <definedName name="KpiBeyond">Dashboard!$D$7</definedName>
    <definedName name="KpiCost">Dashboard!$L$7</definedName>
    <definedName name="KpiOT">Dashboard!$H$7</definedName>
    <definedName name="KpiShortfall">Dashboard!$B$7</definedName>
    <definedName name="Months">tblMonths[Month]</definedName>
    <definedName name="OTCap">Setup!$D$11</definedName>
    <definedName name="OTPremium">Setup!$D$12</definedName>
    <definedName name="PaidHoursDay">Setup!$D$8</definedName>
    <definedName name="PlantName">Setup!$D$6</definedName>
    <definedName name="_xlnm.Print_Area" localSheetId="3">Dashboard!$A$1:$O$67</definedName>
    <definedName name="_xlnm.Print_Area" localSheetId="2">'Headcount Plan'!$A$1:$X$54</definedName>
    <definedName name="_xlnm.Print_Area" localSheetId="4">Method!$A$1:$D$58</definedName>
    <definedName name="_xlnm.Print_Area" localSheetId="1">Setup!$A$1:$G$41</definedName>
    <definedName name="_xlnm.Print_Area" localSheetId="0">'Start Here'!$A$1:$F$55</definedName>
    <definedName name="_xlnm.Print_Area" localSheetId="5">Verify!$A$1:$X$57</definedName>
    <definedName name="_xlnm.Print_Titles" localSheetId="2">'Headcount Plan'!$1:$6</definedName>
    <definedName name="_xlnm.Print_Titles" localSheetId="4">Method!$1:$2</definedName>
    <definedName name="ProdShare">Setup!$D$10</definedName>
    <definedName name="SelfCheck">Verify!$D$4</definedName>
    <definedName name="SelfCheckSummary">Verify!$F$4</definedName>
  </definedNames>
  <calcPr calcId="124519" fullCalcOnLoad="1"/>
</workbook>
</file>

<file path=xl/sharedStrings.xml><?xml version="1.0" encoding="utf-8"?>
<sst xmlns="http://schemas.openxmlformats.org/spreadsheetml/2006/main" count="482" uniqueCount="234">
  <si>
    <t>Production Headcount Plan</t>
  </si>
  <si>
    <t>Read this first: what the workbook does and how to use it.</t>
  </si>
  <si>
    <t>mfgcalcs.com</t>
  </si>
  <si>
    <t>Turn monthly demand into required people by department, plan hires against leavers, and see the gap, the overtime to cover it and the labour cost for the year.</t>
  </si>
  <si>
    <t>For: Plant and operations managers, HR business partners, production planners and plant controllers preparing the annual plan.</t>
  </si>
  <si>
    <t>Version 1.0.0  ·  updated 15 October 2026</t>
  </si>
  <si>
    <t>Quick start</t>
  </si>
  <si>
    <t>1.</t>
  </si>
  <si>
    <t>On Setup, type paid hours per day, the absence rate, the productive share and your overtime rules, then the working days of each month and your departments with standard hours per unit, current heads and loaded rate.</t>
  </si>
  <si>
    <t>2.</t>
  </si>
  <si>
    <t>On Headcount Plan, keep one row per department per month and type the demand in units, the planned hires and the expected leavers.</t>
  </si>
  <si>
    <t>3.</t>
  </si>
  <si>
    <t>Read the Status column: Near target means the gap is covered by overtime within your cap; Below target means it is not.</t>
  </si>
  <si>
    <t>4.</t>
  </si>
  <si>
    <t>Open the Dashboard to see when and where the plan is short, the overtime it needs and the labour cost; adjust hires until the red goes.</t>
  </si>
  <si>
    <t>What is in this workbook</t>
  </si>
  <si>
    <t>Start Here</t>
  </si>
  <si>
    <t>Setup</t>
  </si>
  <si>
    <t>Plan settings, the working-day calendar and the departments with their work content, heads and rates.</t>
  </si>
  <si>
    <t>Headcount Plan</t>
  </si>
  <si>
    <t>One row per department per month: demand, hires and leavers in; required FTE, gap, overtime and cost out.</t>
  </si>
  <si>
    <t>Dashboard</t>
  </si>
  <si>
    <t>When and where the plan is short of people, the overtime it needs, and the labour cost.</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</si>
  <si>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</si>
  <si>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</si>
  <si>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</si>
  <si>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</si>
  <si>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</si>
  <si>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</si>
  <si>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</si>
  <si>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</si>
  <si>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</si>
  <si>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</si>
  <si>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</si>
  <si>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</si>
  <si>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</si>
  <si>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</si>
  <si>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</si>
  <si>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</si>
  <si>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</si>
  <si>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</si>
  <si>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</si>
  <si>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</si>
  <si>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Direct Labor Cost Calculator on mfgcalcs.com</t>
  </si>
  <si>
    <t>Latest version</t>
  </si>
  <si>
    <t>mfgcalcs.com/templates/headcount-plan</t>
  </si>
  <si>
    <t>More free templates</t>
  </si>
  <si>
    <t>mfgcalcs.com/templates</t>
  </si>
  <si>
    <t>Version</t>
  </si>
  <si>
    <t>1.0.0 (updated 15 October 2026)</t>
  </si>
  <si>
    <t>About the example data</t>
  </si>
  <si>
    <t>Every number already in this workbook is example data for Ridgeway Pumps, a fictional business invented for this template, so the dashboard and charts show something meaningful on day one. It plans four departments for the 12 months of 2027, with a summer demand peak, planned hires and backfilled leavers,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</si>
  <si>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</si>
  <si>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</si>
  <si>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</si>
  <si>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</si>
  <si>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</si>
  <si>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</si>
  <si>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</si>
  <si>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</si>
  <si>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Month</t>
  </si>
  <si>
    <t>Working days</t>
  </si>
  <si>
    <t>Department</t>
  </si>
  <si>
    <t>Std hours (h/unit)</t>
  </si>
  <si>
    <t>Heads at start (people)</t>
  </si>
  <si>
    <t>Loaded rate (per h)</t>
  </si>
  <si>
    <t>Notes</t>
  </si>
  <si>
    <t>Plan settings</t>
  </si>
  <si>
    <t>Plant</t>
  </si>
  <si>
    <t>Ridgeway Pumps (example)</t>
  </si>
  <si>
    <t>Currency label</t>
  </si>
  <si>
    <t>USD</t>
  </si>
  <si>
    <t>Paid hours per person per working day</t>
  </si>
  <si>
    <t>h/day</t>
  </si>
  <si>
    <t>Absence rate</t>
  </si>
  <si>
    <t>Productive share of attended time</t>
  </si>
  <si>
    <t>Overtime cap</t>
  </si>
  <si>
    <t>Overtime pay factor</t>
  </si>
  <si>
    <t>x straight time</t>
  </si>
  <si>
    <t>Every rate here is an example and yours to set: absence, productive share, overtime cap and the departments' standard hours and loaded rates are not industry figures.</t>
  </si>
  <si>
    <t>Calendar</t>
  </si>
  <si>
    <t>Working days per month (example calendar)</t>
  </si>
  <si>
    <t>Departments</t>
  </si>
  <si>
    <t>Departments (example rates)</t>
  </si>
  <si>
    <t>Machining</t>
  </si>
  <si>
    <t>Turned and milled pump parts, incl. spares</t>
  </si>
  <si>
    <t>Fabrication</t>
  </si>
  <si>
    <t>Welded frames and baseplates</t>
  </si>
  <si>
    <t>Assembly</t>
  </si>
  <si>
    <t>Pump and motor assembly</t>
  </si>
  <si>
    <t>Test and pack</t>
  </si>
  <si>
    <t>Performance test, paint touch-up, packing</t>
  </si>
  <si>
    <t>Demand (units)</t>
  </si>
  <si>
    <t>Hires (people)</t>
  </si>
  <si>
    <t>Leavers (people)</t>
  </si>
  <si>
    <t>Required (h)</t>
  </si>
  <si>
    <t>Paid per FTE (h)</t>
  </si>
  <si>
    <t>Productive per FTE (h)</t>
  </si>
  <si>
    <t>Required FTE</t>
  </si>
  <si>
    <t>Planned heads</t>
  </si>
  <si>
    <t>Gap (heads)</t>
  </si>
  <si>
    <t>Capacity (h)</t>
  </si>
  <si>
    <t>Attended (h)</t>
  </si>
  <si>
    <t>Overtime (h)</t>
  </si>
  <si>
    <t>Overtime share</t>
  </si>
  <si>
    <t>Status</t>
  </si>
  <si>
    <t>Labour cost</t>
  </si>
  <si>
    <t>Check</t>
  </si>
  <si>
    <t>Example data for Ridgeway Pumps (fictional). Replace it with your own: select the example rows, right-click, Delete &gt; Table Rows. One row per department per month; hires and leavers count from the start of their month.</t>
  </si>
  <si>
    <t/>
  </si>
  <si>
    <t>Backfill</t>
  </si>
  <si>
    <t>2 new positions for the summer peak</t>
  </si>
  <si>
    <t>1 new positions for the summer peak</t>
  </si>
  <si>
    <t>3 new positions for the summer peak</t>
  </si>
  <si>
    <t>LARGEST SHORTFALL (HEADS)</t>
  </si>
  <si>
    <t>DEPT-MONTHS BEYOND OVERTIME CAP</t>
  </si>
  <si>
    <t>OVERTIME NEEDED (H)</t>
  </si>
  <si>
    <t>Biggest gap in one department-month</t>
  </si>
  <si>
    <t>Over the plan, all departments</t>
  </si>
  <si>
    <t>Straight time + overtime, plan total</t>
  </si>
  <si>
    <t>Plant total by month</t>
  </si>
  <si>
    <t>Hires</t>
  </si>
  <si>
    <t>Leavers</t>
  </si>
  <si>
    <t>Worst status</t>
  </si>
  <si>
    <t>Planned heads minus required FTE by department and month (red = short)</t>
  </si>
  <si>
    <t>Overtime share of attended hours (green none, amber within the overtime cap, red beyond it)</t>
  </si>
  <si>
    <t>Overtime hours needed by department and month</t>
  </si>
  <si>
    <t>Total</t>
  </si>
  <si>
    <t>The Dashboard shows 4 departments and 12 months, the size of the Setup lists. If you add more, extend the matrices and the monthly block (see Method) or they will not appear here.</t>
  </si>
  <si>
    <t>What this workbook calculates</t>
  </si>
  <si>
    <t>Required people come from work content, not from last year's headcount: the standard hours the month's demand needs, divided by the standard hours one full-time person delivers that month. Planned heads come from the heads you have, plus the hires and minus the leavers you plan. Where the plan is short, the gap is turned into overtime hours and compared with your overtime cap; everything is then costed at each department's loaded rate.</t>
  </si>
  <si>
    <t>Calculations</t>
  </si>
  <si>
    <t>Quantity</t>
  </si>
  <si>
    <t>How it is calculated</t>
  </si>
  <si>
    <t>Units</t>
  </si>
  <si>
    <t>Required hours</t>
  </si>
  <si>
    <t>Demand (units) x standard hours per unit of the department (Setup).</t>
  </si>
  <si>
    <t>h</t>
  </si>
  <si>
    <t>Paid hours per FTE</t>
  </si>
  <si>
    <t>Working days of the month (Setup calendar) x paid hours per working day.</t>
  </si>
  <si>
    <t>Productive hours per FTE</t>
  </si>
  <si>
    <t>Paid hours per FTE x (1 - absence rate) x productive share of attended time.</t>
  </si>
  <si>
    <t>Required hours / productive hours per FTE.</t>
  </si>
  <si>
    <t>FTE</t>
  </si>
  <si>
    <t>Heads at start + SUMIFS of hires - SUMIFS of leavers for the department in all months up to and including this one.</t>
  </si>
  <si>
    <t>people</t>
  </si>
  <si>
    <t>Gap</t>
  </si>
  <si>
    <t>Planned heads - required FTE; negative = short of people.</t>
  </si>
  <si>
    <t>heads</t>
  </si>
  <si>
    <t>Capacity</t>
  </si>
  <si>
    <t>Planned heads x productive hours per FTE: standard hours delivered in straight time.</t>
  </si>
  <si>
    <t>Attended hours</t>
  </si>
  <si>
    <t>Planned heads x paid hours per FTE x (1 - absence rate).</t>
  </si>
  <si>
    <t>Overtime needed</t>
  </si>
  <si>
    <t>MAX(0, required hours - capacity) / productive share: attended overtime that earns the missing standard hours.</t>
  </si>
  <si>
    <t>Overtime needed / attended hours, compared with the overtime cap.</t>
  </si>
  <si>
    <t>%</t>
  </si>
  <si>
    <t>On target when the gap is 0 or more; Near target when short but the overtime share is within the cap; Below target when it is beyond the cap.</t>
  </si>
  <si>
    <t>-</t>
  </si>
  <si>
    <t>(Planned heads x paid hours per FTE + overtime hours x overtime factor) x loaded rate. Paid absence is inside paid hours.</t>
  </si>
  <si>
    <t>currency</t>
  </si>
  <si>
    <t>Dashboard roll-ups</t>
  </si>
  <si>
    <t>SUMIFS of the plan columns by month or by department and month; the monthly overtime share is SUM(overtime) / SUM(attended hours).</t>
  </si>
  <si>
    <t>Assumptions</t>
  </si>
  <si>
    <t>Hires and leavers count from the first day of their month, at full productivity (add a learning allowance by lowering the productive share or demand-adjusting for a ramp-up).</t>
  </si>
  <si>
    <t>Each department's demand is in units of its own output, with one standard-hours-per-unit figure for the month's mix.</t>
  </si>
  <si>
    <t>Overtime is worked by the planned heads at the same productive share; no temporary labour or subcontracting is modelled.</t>
  </si>
  <si>
    <t>Limitations</t>
  </si>
  <si>
    <t>A plan, not a schedule: a month's total hours can hide weeks that are short; use a weekly capacity plan for the peak.</t>
  </si>
  <si>
    <t>FTE and heads are compared as if everyone is full time; enter part-timers as fractions of a head in Hires and Leavers.</t>
  </si>
  <si>
    <t>Skills are not modelled: a surplus in one department cannot cover a gap in another unless people are trained for both (see the Skills and Training Matrix template).</t>
  </si>
  <si>
    <t>The Dashboard blocks are sized for 4 departments and 12 months; extend them by copying their last row or column (a warning appears when the Setup lists are longer).</t>
  </si>
  <si>
    <t>Agreement with the live calculator</t>
  </si>
  <si>
    <t>For one department-month, labour cost here equals the live Direct Labor Cost calculator with paid hours = planned heads x paid hours per FTE, the loaded rate as the hourly charge and the overtime premium hours x rate as the separate fixed amount; the calculator's productive paid hours (paid hours x productive share) equal this workbook's capacity when the productive share entered is (1 - absence) x productive share. Checked against the calculator's engine for its default example and for an example plan row on every build.</t>
  </si>
  <si>
    <t>Open the Direct Labor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</si>
  <si>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</si>
  <si>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</si>
  <si>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Standard hours per unit come from your routings or time studies (for example MTM or MOST predetermined time systems, cited by name).</t>
  </si>
  <si>
    <t>MFG Calcs Direct Labor Cost calculator (direct-labor-cost): paid labour cost and productive paid hours.</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</si>
  <si>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</si>
  <si>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</si>
  <si>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</si>
  <si>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</si>
  <si>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</si>
  <si>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</si>
  <si>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</si>
  <si>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</si>
  <si>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</si>
  <si>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</si>
  <si>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</si>
  <si>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</si>
  <si>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</si>
  <si>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</si>
  <si>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</si>
  <si>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</si>
  <si>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D1 Jan (no gap): required FTE</t>
  </si>
  <si>
    <t>D1 Jan (no gap): planned heads</t>
  </si>
  <si>
    <t>D1 Jan (no gap): overtime (h)</t>
  </si>
  <si>
    <t>D1 Jan (no gap): status</t>
  </si>
  <si>
    <t>On target</t>
  </si>
  <si>
    <t>exact</t>
  </si>
  <si>
    <t>D1 Jan (no gap): labour cost</t>
  </si>
  <si>
    <t>D1 Feb (hire and leaver): required FTE</t>
  </si>
  <si>
    <t>D1 Feb (hire and leaver): planned heads</t>
  </si>
  <si>
    <t>D1 Feb (hire and leaver): overtime (h)</t>
  </si>
  <si>
    <t>D1 Feb (hire and leaver): status</t>
  </si>
  <si>
    <t>D1 Feb (hire and leaver): labour cost</t>
  </si>
  <si>
    <t>D1 Mar (short): required FTE</t>
  </si>
  <si>
    <t>D1 Mar (short): planned heads</t>
  </si>
  <si>
    <t>D1 Mar (short): overtime (h)</t>
  </si>
  <si>
    <t>D1 Mar (short): status</t>
  </si>
  <si>
    <t>D1 Mar (short): labour cost</t>
  </si>
  <si>
    <t>D2 Feb (two leavers): required FTE</t>
  </si>
  <si>
    <t>D2 Feb (two leavers): planned heads</t>
  </si>
  <si>
    <t>D2 Feb (two leavers): overtime (h)</t>
  </si>
  <si>
    <t>D2 Feb (two leavers): status</t>
  </si>
  <si>
    <t>Below target</t>
  </si>
  <si>
    <t>D2 Feb (two leavers): labour cost</t>
  </si>
  <si>
    <t>D1 Mar: overtime share</t>
  </si>
  <si>
    <t>D2 Jan (zero demand): gap</t>
  </si>
  <si>
    <t>Row 6: Check reports the duplicate</t>
  </si>
  <si>
    <t>Duplicate department and month</t>
  </si>
  <si>
    <t>All rows: largest shortfall (KPI formula)</t>
  </si>
  <si>
    <t>All rows: department-months beyond the cap (KPI formula)</t>
  </si>
  <si>
    <t>All rows: overtime hours (KPI formula)</t>
  </si>
  <si>
    <t>All rows: labour cost (KPI formula)</t>
  </si>
  <si>
    <t>Fixed test inputs</t>
  </si>
  <si>
    <t>White cells are fixed test inputs; blue cells are the workbook's formulas evaluated on them.</t>
  </si>
  <si>
    <t>Parameters</t>
  </si>
  <si>
    <t>Paid hours per day</t>
  </si>
  <si>
    <t>Productive share</t>
  </si>
  <si>
    <t>Test table: Plan</t>
  </si>
  <si>
    <t>D1</t>
  </si>
  <si>
    <t>D2</t>
  </si>
</sst>
</file>

<file path=xl/styles.xml><?xml version="1.0" encoding="utf-8"?>
<styleSheet xmlns="http://schemas.openxmlformats.org/spreadsheetml/2006/main">
  <numFmts count="10">
    <numFmt numFmtId="164" formatCode="#,##0.00"/>
    <numFmt numFmtId="165" formatCode="0.0%"/>
    <numFmt numFmtId="166" formatCode="0%"/>
    <numFmt numFmtId="167" formatCode="mmm yyyy"/>
    <numFmt numFmtId="168" formatCode="#,##0.0"/>
    <numFmt numFmtId="169" formatCode="#,##0"/>
    <numFmt numFmtId="170" formatCode="+#,##0.0;-#,##0.0;0.0"/>
    <numFmt numFmtId="171" formatCode="&quot;Target &quot;#,##0"/>
    <numFmt numFmtId="172" formatCode="0.0000"/>
    <numFmt numFmtId="173"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i/>
      <sz val="9"/>
      <color rgb="FF6B7280"/>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2">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0" fontId="19" fillId="0" borderId="0" xfId="0" applyFont="1" applyAlignment="1">
      <alignment horizontal="center" vertical="center"/>
    </xf>
    <xf numFmtId="169" fontId="10" fillId="3" borderId="2" xfId="0" applyNumberFormat="1" applyFont="1" applyFill="1" applyBorder="1" applyAlignment="1" applyProtection="1">
      <alignment vertical="center"/>
      <protection locked="0"/>
    </xf>
    <xf numFmtId="0" fontId="20" fillId="7" borderId="2" xfId="0" applyFont="1" applyFill="1" applyBorder="1" applyAlignment="1">
      <alignment vertical="center" wrapText="1"/>
    </xf>
    <xf numFmtId="168"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0" fontId="19" fillId="0" borderId="0" xfId="0" applyFont="1" applyAlignment="1">
      <alignment vertical="center"/>
    </xf>
    <xf numFmtId="0" fontId="22" fillId="9" borderId="6" xfId="0" applyFont="1" applyFill="1" applyBorder="1" applyAlignment="1">
      <alignment vertical="center" wrapText="1"/>
    </xf>
    <xf numFmtId="168" fontId="4" fillId="9" borderId="7" xfId="0" applyNumberFormat="1" applyFont="1" applyFill="1" applyBorder="1" applyAlignment="1">
      <alignment horizontal="left" vertical="center"/>
    </xf>
    <xf numFmtId="169"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71"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167" fontId="9" fillId="0" borderId="9" xfId="0" applyNumberFormat="1" applyFont="1" applyBorder="1" applyAlignment="1">
      <alignment vertical="center"/>
    </xf>
    <xf numFmtId="167" fontId="18" fillId="2" borderId="5" xfId="0" applyNumberFormat="1" applyFont="1" applyFill="1" applyBorder="1" applyAlignment="1">
      <alignment horizontal="center" vertical="center" wrapText="1"/>
    </xf>
    <xf numFmtId="0" fontId="9" fillId="0" borderId="9" xfId="0" applyFont="1" applyBorder="1" applyAlignment="1">
      <alignment vertical="center"/>
    </xf>
    <xf numFmtId="170" fontId="10" fillId="4" borderId="3" xfId="0" applyNumberFormat="1" applyFont="1" applyFill="1" applyBorder="1" applyAlignment="1">
      <alignment horizontal="center" vertical="center"/>
    </xf>
    <xf numFmtId="166" fontId="10" fillId="4" borderId="3" xfId="0" applyNumberFormat="1" applyFont="1" applyFill="1" applyBorder="1" applyAlignment="1">
      <alignment horizontal="center" vertical="center"/>
    </xf>
    <xf numFmtId="169" fontId="10" fillId="4" borderId="3" xfId="0" applyNumberFormat="1" applyFont="1" applyFill="1" applyBorder="1" applyAlignment="1">
      <alignment horizontal="center" vertical="center"/>
    </xf>
    <xf numFmtId="169" fontId="9"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9" fontId="9" fillId="0" borderId="9" xfId="0" applyNumberFormat="1" applyFont="1" applyBorder="1" applyAlignment="1">
      <alignment horizontal="center" vertical="center"/>
    </xf>
    <xf numFmtId="172"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69" fontId="10" fillId="0" borderId="9" xfId="0" applyNumberFormat="1" applyFont="1" applyBorder="1" applyAlignment="1">
      <alignment vertical="center"/>
    </xf>
    <xf numFmtId="0" fontId="10" fillId="4" borderId="3" xfId="0" applyFont="1" applyFill="1" applyBorder="1" applyAlignment="1">
      <alignment vertical="center"/>
    </xf>
    <xf numFmtId="164" fontId="10" fillId="0" borderId="9" xfId="0" applyNumberFormat="1" applyFont="1" applyBorder="1" applyAlignment="1">
      <alignment vertical="center"/>
    </xf>
    <xf numFmtId="165" fontId="10" fillId="0" borderId="9" xfId="0" applyNumberFormat="1" applyFont="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xf numFmtId="168"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Required FTE vs planned heads by month</a:t>
            </a:r>
          </a:p>
        </c:rich>
      </c:tx>
      <c:layout/>
    </c:title>
    <c:plotArea>
      <c:layout/>
      <c:barChart>
        <c:barDir val="col"/>
        <c:grouping val="clustered"/>
        <c:ser>
          <c:idx val="0"/>
          <c:order val="0"/>
          <c:tx>
            <c:v>Required FTE</c:v>
          </c:tx>
          <c:spPr>
            <a:solidFill>
              <a:srgbClr val="3B64D8"/>
            </a:solidFill>
            <a:ln w="9525">
              <a:solidFill>
                <a:srgbClr val="FFFFFF"/>
              </a:solidFill>
            </a:ln>
          </c:spPr>
          <c:cat>
            <c:numRef>
              <c:f>Dashboard!$B$32:$B$43</c:f>
              <c:numCache>
                <c:formatCode>General</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f>Dashboard!$D$32:$D$43</c:f>
              <c:numCache>
                <c:formatCode>General</c:formatCode>
                <c:ptCount val="12"/>
                <c:pt idx="0">
                  <c:v>79.4200264375413</c:v>
                </c:pt>
                <c:pt idx="1">
                  <c:v>81.906807666887</c:v>
                </c:pt>
                <c:pt idx="2">
                  <c:v>77.4806747320325</c:v>
                </c:pt>
                <c:pt idx="3">
                  <c:v>87.1022566329903</c:v>
                </c:pt>
                <c:pt idx="4">
                  <c:v>96.2987442167878</c:v>
                </c:pt>
                <c:pt idx="5">
                  <c:v>91.9455626990326</c:v>
                </c:pt>
                <c:pt idx="6">
                  <c:v>98.5663928492745</c:v>
                </c:pt>
                <c:pt idx="7">
                  <c:v>100.627891606081</c:v>
                </c:pt>
                <c:pt idx="8">
                  <c:v>107.788059043842</c:v>
                </c:pt>
                <c:pt idx="9">
                  <c:v>100.934755924842</c:v>
                </c:pt>
                <c:pt idx="10">
                  <c:v>91.4573694646398</c:v>
                </c:pt>
                <c:pt idx="11">
                  <c:v>81.1215083313041</c:v>
                </c:pt>
              </c:numCache>
            </c:numRef>
          </c:val>
        </c:ser>
        <c:gapWidth val="60"/>
        <c:overlap val="-10"/>
        <c:axId val="50010001"/>
        <c:axId val="50010002"/>
      </c:barChart>
      <c:lineChart>
        <c:grouping val="standard"/>
        <c:ser>
          <c:idx val="1"/>
          <c:order val="1"/>
          <c:tx>
            <c:v>Planned heads</c:v>
          </c:tx>
          <c:spPr>
            <a:ln w="28575">
              <a:solidFill>
                <a:srgbClr val="E8702A"/>
              </a:solidFill>
            </a:ln>
          </c:spPr>
          <c:marker>
            <c:symbol val="circle"/>
            <c:size val="5"/>
            <c:spPr>
              <a:solidFill>
                <a:srgbClr val="E8702A"/>
              </a:solidFill>
              <a:ln>
                <a:solidFill>
                  <a:srgbClr val="E8702A"/>
                </a:solidFill>
              </a:ln>
            </c:spPr>
          </c:marker>
          <c:cat>
            <c:numRef>
              <c:f>Dashboard!$B$32:$B$43</c:f>
              <c:numCache>
                <c:formatCode>General</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f>Dashboard!$E$32:$E$43</c:f>
              <c:numCache>
                <c:formatCode>General</c:formatCode>
                <c:ptCount val="12"/>
                <c:pt idx="0">
                  <c:v>82</c:v>
                </c:pt>
                <c:pt idx="1">
                  <c:v>84</c:v>
                </c:pt>
                <c:pt idx="2">
                  <c:v>83</c:v>
                </c:pt>
                <c:pt idx="3">
                  <c:v>81</c:v>
                </c:pt>
                <c:pt idx="4">
                  <c:v>87</c:v>
                </c:pt>
                <c:pt idx="5">
                  <c:v>89</c:v>
                </c:pt>
                <c:pt idx="6">
                  <c:v>93</c:v>
                </c:pt>
                <c:pt idx="7">
                  <c:v>94</c:v>
                </c:pt>
                <c:pt idx="8">
                  <c:v>96</c:v>
                </c:pt>
                <c:pt idx="9">
                  <c:v>95</c:v>
                </c:pt>
                <c:pt idx="10">
                  <c:v>95</c:v>
                </c:pt>
                <c:pt idx="11">
                  <c:v>95</c:v>
                </c:pt>
              </c:numCache>
            </c:numRef>
          </c:val>
        </c:ser>
        <c:marker val="1"/>
        <c:axId val="50010001"/>
        <c:axId val="50010002"/>
      </c:line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Overtime hours needed by department</a:t>
            </a:r>
          </a:p>
        </c:rich>
      </c:tx>
      <c:layout/>
    </c:title>
    <c:plotArea>
      <c:layout/>
      <c:barChart>
        <c:barDir val="col"/>
        <c:grouping val="stacked"/>
        <c:ser>
          <c:idx val="0"/>
          <c:order val="0"/>
          <c:tx>
            <c:strRef>
              <c:f>Dashboard!$B$61</c:f>
              <c:strCache>
                <c:ptCount val="1"/>
                <c:pt idx="0">
                  <c:v>Machining</c:v>
                </c:pt>
              </c:strCache>
            </c:strRef>
          </c:tx>
          <c:spPr>
            <a:solidFill>
              <a:srgbClr val="3B64D8"/>
            </a:solidFill>
            <a:ln w="9525">
              <a:solidFill>
                <a:srgbClr val="FFFFFF"/>
              </a:solidFill>
            </a:ln>
          </c:spPr>
          <c:cat>
            <c:numRef>
              <c:f>Dashboard!$C$60:$N$60</c:f>
              <c:numCache>
                <c:formatCode>General</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f>Dashboard!$C$61:$N$61</c:f>
              <c:numCache>
                <c:formatCode>General</c:formatCode>
                <c:ptCount val="12"/>
                <c:pt idx="0">
                  <c:v>0</c:v>
                </c:pt>
                <c:pt idx="1">
                  <c:v>0</c:v>
                </c:pt>
                <c:pt idx="2">
                  <c:v>0</c:v>
                </c:pt>
                <c:pt idx="3">
                  <c:v>270.343529411765</c:v>
                </c:pt>
                <c:pt idx="4">
                  <c:v>505.882352941176</c:v>
                </c:pt>
                <c:pt idx="5">
                  <c:v>43.6611764705883</c:v>
                </c:pt>
                <c:pt idx="6">
                  <c:v>330.018823529412</c:v>
                </c:pt>
                <c:pt idx="7">
                  <c:v>438.955294117647</c:v>
                </c:pt>
                <c:pt idx="8">
                  <c:v>744.136470588235</c:v>
                </c:pt>
                <c:pt idx="9">
                  <c:v>592.48</c:v>
                </c:pt>
                <c:pt idx="10">
                  <c:v>14.0235294117643</c:v>
                </c:pt>
                <c:pt idx="11">
                  <c:v>0</c:v>
                </c:pt>
              </c:numCache>
            </c:numRef>
          </c:val>
        </c:ser>
        <c:ser>
          <c:idx val="1"/>
          <c:order val="1"/>
          <c:tx>
            <c:strRef>
              <c:f>Dashboard!$B$62</c:f>
              <c:strCache>
                <c:ptCount val="1"/>
                <c:pt idx="0">
                  <c:v>Fabrication</c:v>
                </c:pt>
              </c:strCache>
            </c:strRef>
          </c:tx>
          <c:spPr>
            <a:solidFill>
              <a:srgbClr val="E8702A"/>
            </a:solidFill>
            <a:ln w="9525">
              <a:solidFill>
                <a:srgbClr val="FFFFFF"/>
              </a:solidFill>
            </a:ln>
          </c:spPr>
          <c:cat>
            <c:numRef>
              <c:f>Dashboard!$C$60:$N$60</c:f>
              <c:numCache>
                <c:formatCode>General</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f>Dashboard!$C$62:$N$62</c:f>
              <c:numCache>
                <c:formatCode>General</c:formatCode>
                <c:ptCount val="12"/>
                <c:pt idx="0">
                  <c:v>0</c:v>
                </c:pt>
                <c:pt idx="1">
                  <c:v>0</c:v>
                </c:pt>
                <c:pt idx="2">
                  <c:v>0</c:v>
                </c:pt>
                <c:pt idx="3">
                  <c:v>216.023529411765</c:v>
                </c:pt>
                <c:pt idx="4">
                  <c:v>309.835294117647</c:v>
                </c:pt>
                <c:pt idx="5">
                  <c:v>211.407058823529</c:v>
                </c:pt>
                <c:pt idx="6">
                  <c:v>390.032941176471</c:v>
                </c:pt>
                <c:pt idx="7">
                  <c:v>313.590588235294</c:v>
                </c:pt>
                <c:pt idx="8">
                  <c:v>499.336470588236</c:v>
                </c:pt>
                <c:pt idx="9">
                  <c:v>305.218823529412</c:v>
                </c:pt>
                <c:pt idx="10">
                  <c:v>38.0235294117644</c:v>
                </c:pt>
                <c:pt idx="11">
                  <c:v>0</c:v>
                </c:pt>
              </c:numCache>
            </c:numRef>
          </c:val>
        </c:ser>
        <c:ser>
          <c:idx val="2"/>
          <c:order val="2"/>
          <c:tx>
            <c:strRef>
              <c:f>Dashboard!$B$63</c:f>
              <c:strCache>
                <c:ptCount val="1"/>
                <c:pt idx="0">
                  <c:v>Assembly</c:v>
                </c:pt>
              </c:strCache>
            </c:strRef>
          </c:tx>
          <c:spPr>
            <a:solidFill>
              <a:srgbClr val="1BA37A"/>
            </a:solidFill>
            <a:ln w="9525">
              <a:solidFill>
                <a:srgbClr val="FFFFFF"/>
              </a:solidFill>
            </a:ln>
          </c:spPr>
          <c:cat>
            <c:numRef>
              <c:f>Dashboard!$C$60:$N$60</c:f>
              <c:numCache>
                <c:formatCode>General</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f>Dashboard!$C$63:$N$63</c:f>
              <c:numCache>
                <c:formatCode>General</c:formatCode>
                <c:ptCount val="12"/>
                <c:pt idx="0">
                  <c:v>0</c:v>
                </c:pt>
                <c:pt idx="1">
                  <c:v>0</c:v>
                </c:pt>
                <c:pt idx="2">
                  <c:v>0</c:v>
                </c:pt>
                <c:pt idx="3">
                  <c:v>430.545882352941</c:v>
                </c:pt>
                <c:pt idx="4">
                  <c:v>378.258823529411</c:v>
                </c:pt>
                <c:pt idx="5">
                  <c:v>133.731764705882</c:v>
                </c:pt>
                <c:pt idx="6">
                  <c:v>89.7882352941173</c:v>
                </c:pt>
                <c:pt idx="7">
                  <c:v>228.517647058823</c:v>
                </c:pt>
                <c:pt idx="8">
                  <c:v>355.454117647059</c:v>
                </c:pt>
                <c:pt idx="9">
                  <c:v>0</c:v>
                </c:pt>
                <c:pt idx="10">
                  <c:v>0</c:v>
                </c:pt>
                <c:pt idx="11">
                  <c:v>0</c:v>
                </c:pt>
              </c:numCache>
            </c:numRef>
          </c:val>
        </c:ser>
        <c:ser>
          <c:idx val="3"/>
          <c:order val="3"/>
          <c:tx>
            <c:strRef>
              <c:f>Dashboard!$B$64</c:f>
              <c:strCache>
                <c:ptCount val="1"/>
                <c:pt idx="0">
                  <c:v>Test and pack</c:v>
                </c:pt>
              </c:strCache>
            </c:strRef>
          </c:tx>
          <c:spPr>
            <a:solidFill>
              <a:srgbClr val="E0A100"/>
            </a:solidFill>
            <a:ln w="9525">
              <a:solidFill>
                <a:srgbClr val="FFFFFF"/>
              </a:solidFill>
            </a:ln>
          </c:spPr>
          <c:cat>
            <c:numRef>
              <c:f>Dashboard!$C$60:$N$60</c:f>
              <c:numCache>
                <c:formatCode>General</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f>Dashboard!$C$64:$N$64</c:f>
              <c:numCache>
                <c:formatCode>General</c:formatCode>
                <c:ptCount val="12"/>
                <c:pt idx="0">
                  <c:v>25.5058823529411</c:v>
                </c:pt>
                <c:pt idx="1">
                  <c:v>0</c:v>
                </c:pt>
                <c:pt idx="2">
                  <c:v>0</c:v>
                </c:pt>
                <c:pt idx="3">
                  <c:v>0</c:v>
                </c:pt>
                <c:pt idx="4">
                  <c:v>130.164705882353</c:v>
                </c:pt>
                <c:pt idx="5">
                  <c:v>72.5929411764705</c:v>
                </c:pt>
                <c:pt idx="6">
                  <c:v>22.4470588235293</c:v>
                </c:pt>
                <c:pt idx="7">
                  <c:v>57.1294117647058</c:v>
                </c:pt>
                <c:pt idx="8">
                  <c:v>163.623529411765</c:v>
                </c:pt>
                <c:pt idx="9">
                  <c:v>57.7411764705882</c:v>
                </c:pt>
                <c:pt idx="10">
                  <c:v>0</c:v>
                </c:pt>
                <c:pt idx="11">
                  <c:v>0</c:v>
                </c:pt>
              </c:numCache>
            </c:numRef>
          </c:val>
        </c:ser>
        <c:gapWidth val="60"/>
        <c:overlap val="100"/>
        <c:axId val="50020001"/>
        <c:axId val="50020002"/>
      </c:barChart>
      <c:catAx>
        <c:axId val="5002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7</xdr:col>
      <xdr:colOff>581025</xdr:colOff>
      <xdr:row>26</xdr:row>
      <xdr:rowOff>152400</xdr:rowOff>
    </xdr:to>
    <xdr:graphicFrame macro="">
      <xdr:nvGraphicFramePr>
        <xdr:cNvPr id="2" name="Chart 1" descr="Column chart of the plant's required FTE in each month with the planned heads as a line; months where the columns rise above the line are short of peopl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11</xdr:row>
      <xdr:rowOff>38100</xdr:rowOff>
    </xdr:from>
    <xdr:to>
      <xdr:col>14</xdr:col>
      <xdr:colOff>581025</xdr:colOff>
      <xdr:row>26</xdr:row>
      <xdr:rowOff>152400</xdr:rowOff>
    </xdr:to>
    <xdr:graphicFrame macro="">
      <xdr:nvGraphicFramePr>
        <xdr:cNvPr id="3" name="Chart 2" descr="Stacked column chart of the overtime hours each department needs in each month to make up the gap between required and planned head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Months" displayName="tblMonths" ref="B19:C31" totalsRowShown="0">
  <autoFilter ref="B19:C31"/>
  <tableColumns count="2">
    <tableColumn id="1" name="Month"/>
    <tableColumn id="2" name="Working days"/>
  </tableColumns>
  <tableStyleInfo name="TableStyleLight1" showFirstColumn="0" showLastColumn="0" showRowStripes="0" showColumnStripes="0"/>
</table>
</file>

<file path=xl/tables/table2.xml><?xml version="1.0" encoding="utf-8"?>
<table xmlns="http://schemas.openxmlformats.org/spreadsheetml/2006/main" id="2" name="tblDepartments" displayName="tblDepartments" ref="B37:F41" totalsRowShown="0">
  <autoFilter ref="B37:F41"/>
  <tableColumns count="5">
    <tableColumn id="1" name="Department"/>
    <tableColumn id="2" name="Std hours (h/unit)"/>
    <tableColumn id="3" name="Heads at start (people)"/>
    <tableColumn id="4" name="Loaded rate (per h)"/>
    <tableColumn id="5" name="Notes"/>
  </tableColumns>
  <tableStyleInfo name="TableStyleLight1" showFirstColumn="0" showLastColumn="0" showRowStripes="0" showColumnStripes="0"/>
</table>
</file>

<file path=xl/tables/table3.xml><?xml version="1.0" encoding="utf-8"?>
<table xmlns="http://schemas.openxmlformats.org/spreadsheetml/2006/main" id="3" name="tblPlan" displayName="tblPlan" ref="B6:X54" totalsRowShown="0">
  <autoFilter ref="B6:X54"/>
  <tableColumns count="23">
    <tableColumn id="1" name="Month"/>
    <tableColumn id="2" name="Department"/>
    <tableColumn id="3" name="Demand (units)"/>
    <tableColumn id="4" name="Hires (people)"/>
    <tableColumn id="5" name="Leavers (people)"/>
    <tableColumn id="6" name="Working days">
      <calculatedColumnFormula>IF(tblPlan[[#This Row],[Month]]="","",IFERROR(INDEX(tblMonths[Working days],MATCH(tblPlan[[#This Row],[Month]],tblMonths[Month],0)),""))</calculatedColumnFormula>
    </tableColumn>
    <tableColumn id="7" name="Std hours (h/unit)">
      <calculatedColumnFormula>IF(tblPlan[[#This Row],[Month]]="","",IFERROR(INDEX(tblDepartments[Std hours (h/unit)],MATCH(tblPlan[[#This Row],[Department]],tblDepartments[Department],0)),""))</calculatedColumnFormula>
    </tableColumn>
    <tableColumn id="8" name="Heads at start (people)">
      <calculatedColumnFormula>IF(tblPlan[[#This Row],[Month]]="","",IFERROR(INDEX(tblDepartments[Heads at start (people)],MATCH(tblPlan[[#This Row],[Department]],tblDepartments[Department],0)),""))</calculatedColumnFormula>
    </tableColumn>
    <tableColumn id="9" name="Required (h)">
      <calculatedColumnFormula>IF(tblPlan[[#This Row],[Month]]="","",tblPlan[[#This Row],[Demand (units)]]*tblPlan[[#This Row],[Std hours (h/unit)]])</calculatedColumnFormula>
    </tableColumn>
    <tableColumn id="10" name="Paid per FTE (h)">
      <calculatedColumnFormula>IF(tblPlan[[#This Row],[Month]]="","",tblPlan[[#This Row],[Working days]]*PaidHoursDay)</calculatedColumnFormula>
    </tableColumn>
    <tableColumn id="11" name="Productive per FTE (h)">
      <calculatedColumnFormula>IF(tblPlan[[#This Row],[Month]]="","",tblPlan[[#This Row],[Paid per FTE (h)]]*(1-AbsenceRate)*ProdShare)</calculatedColumnFormula>
    </tableColumn>
    <tableColumn id="12" name="Required FTE">
      <calculatedColumnFormula>IF(tblPlan[[#This Row],[Month]]="","",IF(tblPlan[[#This Row],[Productive per FTE (h)]]&gt;0,tblPlan[[#This Row],[Required (h)]]/tblPlan[[#This Row],[Productive per FTE (h)]],""))</calculatedColumnFormula>
    </tableColumn>
    <tableColumn id="13" name="Planned heads">
      <calculatedColumnFormula>IF(tblPlan[[#This Row],[Month]]="","",tblPlan[[#This Row],[Heads at start (people)]]+SUMIFS(tblPlan[Hires (people)],tblPlan[Department],tblPlan[[#This Row],[Department]],tblPlan[Month],"&lt;="&amp;tblPlan[[#This Row],[Month]])-SUMIFS(tblPlan[Leavers (people)],tblPlan[Department],tblPlan[[#This Row],[Department]],tblPlan[Month],"&lt;="&amp;tblPlan[[#This Row],[Month]]))</calculatedColumnFormula>
    </tableColumn>
    <tableColumn id="14" name="Gap (heads)">
      <calculatedColumnFormula>IF(tblPlan[[#This Row],[Month]]="","",IF(tblPlan[[#This Row],[Required FTE]]="","",tblPlan[[#This Row],[Planned heads]]-tblPlan[[#This Row],[Required FTE]]))</calculatedColumnFormula>
    </tableColumn>
    <tableColumn id="15" name="Capacity (h)">
      <calculatedColumnFormula>IF(tblPlan[[#This Row],[Month]]="","",tblPlan[[#This Row],[Planned heads]]*tblPlan[[#This Row],[Productive per FTE (h)]])</calculatedColumnFormula>
    </tableColumn>
    <tableColumn id="16" name="Attended (h)">
      <calculatedColumnFormula>IF(tblPlan[[#This Row],[Month]]="","",tblPlan[[#This Row],[Planned heads]]*tblPlan[[#This Row],[Paid per FTE (h)]]*(1-AbsenceRate))</calculatedColumnFormula>
    </tableColumn>
    <tableColumn id="17" name="Overtime (h)">
      <calculatedColumnFormula>IF(tblPlan[[#This Row],[Month]]="","",MAX(0,tblPlan[[#This Row],[Required (h)]]-tblPlan[[#This Row],[Capacity (h)]])/ProdShare)</calculatedColumnFormula>
    </tableColumn>
    <tableColumn id="18" name="Overtime share">
      <calculatedColumnFormula>IF(tblPlan[[#This Row],[Month]]="","",IF(tblPlan[[#This Row],[Attended (h)]]&gt;0,tblPlan[[#This Row],[Overtime (h)]]/tblPlan[[#This Row],[Attended (h)]],""))</calculatedColumnFormula>
    </tableColumn>
    <tableColumn id="19" name="Status">
      <calculatedColumnFormula>IF(tblPlan[[#This Row],[Month]]="","",IF(tblPlan[[#This Row],[Gap (heads)]]="","",IF(tblPlan[[#This Row],[Gap (heads)]]&gt;=0,"On target",IF(AND(ISNUMBER(tblPlan[[#This Row],[Overtime share]]),tblPlan[[#This Row],[Overtime share]]&lt;=OTCap),"Near target","Below target"))))</calculatedColumnFormula>
    </tableColumn>
    <tableColumn id="20" name="Loaded rate (per h)">
      <calculatedColumnFormula>IF(tblPlan[[#This Row],[Month]]="","",IFERROR(INDEX(tblDepartments[Loaded rate (per h)],MATCH(tblPlan[[#This Row],[Department]],tblDepartments[Department],0)),""))</calculatedColumnFormula>
    </tableColumn>
    <tableColumn id="21" name="Labour cost">
      <calculatedColumnFormula>IF(tblPlan[[#This Row],[Month]]="","",(tblPlan[[#This Row],[Planned heads]]*tblPlan[[#This Row],[Paid per FTE (h)]]+tblPlan[[#This Row],[Overtime (h)]]*OTPremium)*tblPlan[[#This Row],[Loaded rate (per h)]])</calculatedColumnFormula>
    </tableColumn>
    <tableColumn id="22" name="Check">
      <calculatedColumnFormula>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calculatedColumnFormula>
    </tableColumn>
    <tableColumn id="23" name="Notes"/>
  </tableColumns>
  <tableStyleInfo name="TableStyleLight1" showFirstColumn="0" showLastColumn="0" showRowStripes="0" showColumnStripes="0"/>
</table>
</file>

<file path=xl/tables/table4.xml><?xml version="1.0" encoding="utf-8"?>
<table xmlns="http://schemas.openxmlformats.org/spreadsheetml/2006/main" id="4" name="tblVerifyPlan" displayName="tblVerifyPlan" ref="B51:X57" totalsRowShown="0">
  <tableColumns count="23">
    <tableColumn id="1" name="Month"/>
    <tableColumn id="2" name="Department"/>
    <tableColumn id="3" name="Demand (units)"/>
    <tableColumn id="4" name="Hires (people)"/>
    <tableColumn id="5" name="Leavers (people)"/>
    <tableColumn id="6" name="Working days"/>
    <tableColumn id="7" name="Std hours (h/unit)"/>
    <tableColumn id="8" name="Heads at start (people)"/>
    <tableColumn id="9" name="Required (h)">
      <calculatedColumnFormula>IF(tblVerifyPlan[[#This Row],[Month]]="","",tblVerifyPlan[[#This Row],[Demand (units)]]*tblVerifyPlan[[#This Row],[Std hours (h/unit)]])</calculatedColumnFormula>
    </tableColumn>
    <tableColumn id="10" name="Paid per FTE (h)">
      <calculatedColumnFormula>IF(tblVerifyPlan[[#This Row],[Month]]="","",tblVerifyPlan[[#This Row],[Working days]]*$E$43)</calculatedColumnFormula>
    </tableColumn>
    <tableColumn id="11" name="Productive per FTE (h)">
      <calculatedColumnFormula>IF(tblVerifyPlan[[#This Row],[Month]]="","",tblVerifyPlan[[#This Row],[Paid per FTE (h)]]*(1-$E$44)*$E$45)</calculatedColumnFormula>
    </tableColumn>
    <tableColumn id="12" name="Required FTE">
      <calculatedColumnFormula>IF(tblVerifyPlan[[#This Row],[Month]]="","",IF(tblVerifyPlan[[#This Row],[Productive per FTE (h)]]&gt;0,tblVerifyPlan[[#This Row],[Required (h)]]/tblVerifyPlan[[#This Row],[Productive per FTE (h)]],""))</calculatedColumnFormula>
    </tableColumn>
    <tableColumn id="13" name="Planned heads">
      <calculatedColumnFormula>IF(tblVerifyPlan[[#This Row],[Month]]="","",tblVerifyPlan[[#This Row],[Heads at start (people)]]+SUMIFS(tblVerifyPlan[Hires (people)],tblVerifyPlan[Department],tblVerifyPlan[[#This Row],[Department]],tblVerifyPlan[Month],"&lt;="&amp;tblVerifyPlan[[#This Row],[Month]])-SUMIFS(tblVerifyPlan[Leavers (people)],tblVerifyPlan[Department],tblVerifyPlan[[#This Row],[Department]],tblVerifyPlan[Month],"&lt;="&amp;tblVerifyPlan[[#This Row],[Month]]))</calculatedColumnFormula>
    </tableColumn>
    <tableColumn id="14" name="Gap (heads)">
      <calculatedColumnFormula>IF(tblVerifyPlan[[#This Row],[Month]]="","",IF(tblVerifyPlan[[#This Row],[Required FTE]]="","",tblVerifyPlan[[#This Row],[Planned heads]]-tblVerifyPlan[[#This Row],[Required FTE]]))</calculatedColumnFormula>
    </tableColumn>
    <tableColumn id="15" name="Capacity (h)">
      <calculatedColumnFormula>IF(tblVerifyPlan[[#This Row],[Month]]="","",tblVerifyPlan[[#This Row],[Planned heads]]*tblVerifyPlan[[#This Row],[Productive per FTE (h)]])</calculatedColumnFormula>
    </tableColumn>
    <tableColumn id="16" name="Attended (h)">
      <calculatedColumnFormula>IF(tblVerifyPlan[[#This Row],[Month]]="","",tblVerifyPlan[[#This Row],[Planned heads]]*tblVerifyPlan[[#This Row],[Paid per FTE (h)]]*(1-$E$44))</calculatedColumnFormula>
    </tableColumn>
    <tableColumn id="17" name="Overtime (h)">
      <calculatedColumnFormula>IF(tblVerifyPlan[[#This Row],[Month]]="","",MAX(0,tblVerifyPlan[[#This Row],[Required (h)]]-tblVerifyPlan[[#This Row],[Capacity (h)]])/$E$45)</calculatedColumnFormula>
    </tableColumn>
    <tableColumn id="18" name="Overtime share">
      <calculatedColumnFormula>IF(tblVerifyPlan[[#This Row],[Month]]="","",IF(tblVerifyPlan[[#This Row],[Attended (h)]]&gt;0,tblVerifyPlan[[#This Row],[Overtime (h)]]/tblVerifyPlan[[#This Row],[Attended (h)]],""))</calculatedColumnFormula>
    </tableColumn>
    <tableColumn id="19" name="Status">
      <calculatedColumnFormula>IF(tblVerifyPlan[[#This Row],[Month]]="","",IF(tblVerifyPlan[[#This Row],[Gap (heads)]]="","",IF(tblVerifyPlan[[#This Row],[Gap (heads)]]&gt;=0,"On target",IF(AND(ISNUMBER(tblVerifyPlan[[#This Row],[Overtime share]]),tblVerifyPlan[[#This Row],[Overtime share]]&lt;=$E$46),"Near target","Below target"))))</calculatedColumnFormula>
    </tableColumn>
    <tableColumn id="20" name="Loaded rate (per h)"/>
    <tableColumn id="21" name="Labour cost">
      <calculatedColumnFormula>IF(tblVerifyPlan[[#This Row],[Month]]="","",(tblVerifyPlan[[#This Row],[Planned heads]]*tblVerifyPlan[[#This Row],[Paid per FTE (h)]]+tblVerifyPlan[[#This Row],[Overtime (h)]]*$E$47)*tblVerifyPlan[[#This Row],[Loaded rate (per h)]])</calculatedColumnFormula>
    </tableColumn>
    <tableColumn id="22" name="Check">
      <calculatedColumnFormula>IF(tblVerifyPlan[[#This Row],[Month]]="","",IF(tblVerifyPlan[[#This Row],[Department]]="","Missing department",IF(tblVerifyPlan[[#This Row],[Demand (units)]]="","Missing demand",IF(tblVerifyPlan[[#This Row],[Std hours (h/unit)]]="","Department not on Setup",IF(tblVerifyPlan[[#This Row],[Working days]]="","Month not on the Setup calendar",IF(COUNTIFS(tblVerifyPlan[Department],tblVerifyPlan[[#This Row],[Department]],tblVerifyPlan[Month],tblVerifyPlan[[#This Row],[Month]])&gt;1,"Duplicate department and month",IF(tblVerifyPlan[[#This Row],[Planned heads]]&lt;0,"More leavers than heads","OK")))))))</calculatedColumnFormula>
    </tableColumn>
    <tableColumn id="23"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eadcount-plan" TargetMode="External"/><Relationship Id="rId2" Type="http://schemas.openxmlformats.org/officeDocument/2006/relationships/hyperlink" Target="https://www.mfgcalcs.com/calculators/workforce-labor-standards-skills-planning/direct-labor-cost?utm_source=mfgcalcs-template&amp;utm_medium=xlsx&amp;utm_campaign=headcount-plan" TargetMode="External"/><Relationship Id="rId3" Type="http://schemas.openxmlformats.org/officeDocument/2006/relationships/hyperlink" Target="https://www.mfgcalcs.com/templates/headcount-plan?utm_source=mfgcalcs-template&amp;utm_medium=xlsx&amp;utm_campaign=headcount-plan" TargetMode="External"/><Relationship Id="rId4" Type="http://schemas.openxmlformats.org/officeDocument/2006/relationships/hyperlink" Target="https://www.mfgcalcs.com/templates?utm_source=mfgcalcs-template&amp;utm_medium=xlsx&amp;utm_campaign=headcount-plan"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eadcount-plan"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eadcount-plan"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eadcount-plan"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eadcount-plan" TargetMode="External"/><Relationship Id="rId2" Type="http://schemas.openxmlformats.org/officeDocument/2006/relationships/hyperlink" Target="https://www.mfgcalcs.com/calculators/workforce-labor-standards-skills-planning/direct-labor-cost?utm_source=mfgcalcs-template&amp;utm_medium=xlsx&amp;utm_campaign=headcount-pla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eadcount-plan" TargetMode="External"/><Relationship Id="rId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16.2"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27 of 27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Headcount Plan'!A1" tooltip="Go to Headcount Plan" display="Headcount Plan"/>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Production Headcount Plan&amp;R&amp;8&amp;A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G41"/>
  <sheetViews>
    <sheetView showGridLines="0" workbookViewId="0"/>
  </sheetViews>
  <sheetFormatPr defaultRowHeight="15"/>
  <cols>
    <col min="1" max="1" width="2.7109375" customWidth="1"/>
    <col min="2" max="2" width="22.7109375" customWidth="1"/>
    <col min="3" max="4" width="14.7109375" customWidth="1"/>
    <col min="5" max="5" width="16.7109375" customWidth="1"/>
    <col min="6" max="6" width="14.7109375" customWidth="1"/>
    <col min="7" max="7" width="44.7109375" customWidth="1"/>
  </cols>
  <sheetData>
    <row r="1" spans="1:7" ht="30" customHeight="1">
      <c r="A1" s="1" t="s">
        <v>0</v>
      </c>
      <c r="B1" s="1"/>
      <c r="C1" s="1"/>
      <c r="D1" s="1"/>
      <c r="E1" s="1"/>
      <c r="F1" s="1"/>
      <c r="G1" s="1"/>
    </row>
    <row r="2" spans="1:7" ht="21" customHeight="1">
      <c r="B2" s="2" t="s">
        <v>18</v>
      </c>
      <c r="C2" s="2"/>
      <c r="D2" s="2"/>
      <c r="E2" s="2"/>
      <c r="F2" s="2"/>
      <c r="G2" s="3" t="s">
        <v>2</v>
      </c>
    </row>
    <row r="3" spans="1:7" ht="6" customHeight="1"/>
    <row r="4" spans="1:7" ht="21" customHeight="1">
      <c r="B4" s="8" t="s">
        <v>67</v>
      </c>
      <c r="C4" s="8"/>
      <c r="D4" s="8"/>
      <c r="E4" s="8"/>
      <c r="F4" s="8"/>
      <c r="G4" s="8"/>
    </row>
    <row r="5" spans="1:7" ht="5" customHeight="1"/>
    <row r="6" spans="1:7">
      <c r="B6" s="27" t="s">
        <v>68</v>
      </c>
      <c r="C6" s="27"/>
      <c r="D6" s="28" t="s">
        <v>69</v>
      </c>
      <c r="E6" s="28"/>
    </row>
    <row r="7" spans="1:7">
      <c r="B7" s="27" t="s">
        <v>70</v>
      </c>
      <c r="C7" s="27"/>
      <c r="D7" s="28" t="s">
        <v>71</v>
      </c>
      <c r="E7" s="28"/>
    </row>
    <row r="8" spans="1:7">
      <c r="B8" s="27" t="s">
        <v>72</v>
      </c>
      <c r="C8" s="27"/>
      <c r="D8" s="29">
        <v>8</v>
      </c>
      <c r="E8" s="7" t="s">
        <v>73</v>
      </c>
    </row>
    <row r="9" spans="1:7">
      <c r="B9" s="27" t="s">
        <v>74</v>
      </c>
      <c r="C9" s="27"/>
      <c r="D9" s="30">
        <v>0.11</v>
      </c>
      <c r="E9" s="7"/>
    </row>
    <row r="10" spans="1:7">
      <c r="B10" s="27" t="s">
        <v>75</v>
      </c>
      <c r="C10" s="27"/>
      <c r="D10" s="30">
        <v>0.85</v>
      </c>
      <c r="E10" s="7"/>
    </row>
    <row r="11" spans="1:7">
      <c r="B11" s="27" t="s">
        <v>76</v>
      </c>
      <c r="C11" s="27"/>
      <c r="D11" s="31">
        <v>0.1</v>
      </c>
      <c r="E11" s="7"/>
    </row>
    <row r="12" spans="1:7">
      <c r="B12" s="27" t="s">
        <v>77</v>
      </c>
      <c r="C12" s="27"/>
      <c r="D12" s="29">
        <v>1.5</v>
      </c>
      <c r="E12" s="7" t="s">
        <v>78</v>
      </c>
    </row>
    <row r="14" spans="1:7" ht="35.4" customHeight="1">
      <c r="B14" s="25" t="s">
        <v>79</v>
      </c>
      <c r="C14" s="25"/>
      <c r="D14" s="25"/>
      <c r="E14" s="25"/>
      <c r="F14" s="25"/>
      <c r="G14" s="25"/>
    </row>
    <row r="16" spans="1:7" ht="21" customHeight="1">
      <c r="B16" s="8" t="s">
        <v>80</v>
      </c>
      <c r="C16" s="8"/>
      <c r="D16" s="8"/>
      <c r="E16" s="8"/>
      <c r="F16" s="8"/>
      <c r="G16" s="8"/>
    </row>
    <row r="17" spans="2:3" ht="5" customHeight="1"/>
    <row r="18" spans="2:3">
      <c r="B18" s="32" t="s">
        <v>81</v>
      </c>
      <c r="C18" s="32"/>
    </row>
    <row r="19" spans="2:3" ht="20" customHeight="1">
      <c r="B19" s="33" t="s">
        <v>60</v>
      </c>
      <c r="C19" s="33" t="s">
        <v>61</v>
      </c>
    </row>
    <row r="20" spans="2:3">
      <c r="B20" s="34">
        <v>46388</v>
      </c>
      <c r="C20" s="35">
        <v>20</v>
      </c>
    </row>
    <row r="21" spans="2:3">
      <c r="B21" s="34">
        <v>46419</v>
      </c>
      <c r="C21" s="35">
        <v>20</v>
      </c>
    </row>
    <row r="22" spans="2:3">
      <c r="B22" s="34">
        <v>46447</v>
      </c>
      <c r="C22" s="35">
        <v>23</v>
      </c>
    </row>
    <row r="23" spans="2:3">
      <c r="B23" s="34">
        <v>46478</v>
      </c>
      <c r="C23" s="35">
        <v>21</v>
      </c>
    </row>
    <row r="24" spans="2:3">
      <c r="B24" s="34">
        <v>46508</v>
      </c>
      <c r="C24" s="35">
        <v>20</v>
      </c>
    </row>
    <row r="25" spans="2:3">
      <c r="B25" s="34">
        <v>46539</v>
      </c>
      <c r="C25" s="35">
        <v>22</v>
      </c>
    </row>
    <row r="26" spans="2:3">
      <c r="B26" s="34">
        <v>46569</v>
      </c>
      <c r="C26" s="35">
        <v>21</v>
      </c>
    </row>
    <row r="27" spans="2:3">
      <c r="B27" s="34">
        <v>46600</v>
      </c>
      <c r="C27" s="35">
        <v>22</v>
      </c>
    </row>
    <row r="28" spans="2:3">
      <c r="B28" s="34">
        <v>46631</v>
      </c>
      <c r="C28" s="35">
        <v>21</v>
      </c>
    </row>
    <row r="29" spans="2:3">
      <c r="B29" s="34">
        <v>46661</v>
      </c>
      <c r="C29" s="35">
        <v>21</v>
      </c>
    </row>
    <row r="30" spans="2:3">
      <c r="B30" s="34">
        <v>46692</v>
      </c>
      <c r="C30" s="35">
        <v>20</v>
      </c>
    </row>
    <row r="31" spans="2:3">
      <c r="B31" s="34">
        <v>46722</v>
      </c>
      <c r="C31" s="35">
        <v>19</v>
      </c>
    </row>
    <row r="33" spans="2:7" ht="21" customHeight="1">
      <c r="B33" s="8" t="s">
        <v>82</v>
      </c>
      <c r="C33" s="8"/>
      <c r="D33" s="8"/>
      <c r="E33" s="8"/>
      <c r="F33" s="8"/>
      <c r="G33" s="8"/>
    </row>
    <row r="34" spans="2:7" ht="5" customHeight="1"/>
    <row r="35" spans="2:7">
      <c r="B35" s="32" t="s">
        <v>83</v>
      </c>
      <c r="C35" s="32"/>
      <c r="D35" s="32"/>
      <c r="E35" s="32"/>
      <c r="F35" s="32"/>
    </row>
    <row r="36" spans="2:7" ht="14" customHeight="1">
      <c r="B36" s="36"/>
      <c r="C36" s="36"/>
      <c r="D36" s="36"/>
      <c r="E36" s="36" t="str">
        <f>Currency&amp;"/h"</f>
        <v>USD/h</v>
      </c>
      <c r="F36" s="36"/>
    </row>
    <row r="37" spans="2:7" ht="32" customHeight="1">
      <c r="B37" s="33" t="s">
        <v>62</v>
      </c>
      <c r="C37" s="33" t="s">
        <v>63</v>
      </c>
      <c r="D37" s="33" t="s">
        <v>64</v>
      </c>
      <c r="E37" s="33" t="s">
        <v>65</v>
      </c>
      <c r="F37" s="33" t="s">
        <v>66</v>
      </c>
    </row>
    <row r="38" spans="2:7">
      <c r="B38" s="28" t="s">
        <v>84</v>
      </c>
      <c r="C38" s="29">
        <v>1.6</v>
      </c>
      <c r="D38" s="37">
        <v>25</v>
      </c>
      <c r="E38" s="29">
        <v>38</v>
      </c>
      <c r="F38" s="28" t="s">
        <v>85</v>
      </c>
    </row>
    <row r="39" spans="2:7">
      <c r="B39" s="28" t="s">
        <v>86</v>
      </c>
      <c r="C39" s="29">
        <v>1.1</v>
      </c>
      <c r="D39" s="37">
        <v>16</v>
      </c>
      <c r="E39" s="29">
        <v>36</v>
      </c>
      <c r="F39" s="28" t="s">
        <v>87</v>
      </c>
    </row>
    <row r="40" spans="2:7">
      <c r="B40" s="28" t="s">
        <v>88</v>
      </c>
      <c r="C40" s="29">
        <v>2.4</v>
      </c>
      <c r="D40" s="37">
        <v>34</v>
      </c>
      <c r="E40" s="29">
        <v>31</v>
      </c>
      <c r="F40" s="28" t="s">
        <v>89</v>
      </c>
    </row>
    <row r="41" spans="2:7">
      <c r="B41" s="28" t="s">
        <v>90</v>
      </c>
      <c r="C41" s="29">
        <v>0.6</v>
      </c>
      <c r="D41" s="37">
        <v>9</v>
      </c>
      <c r="E41" s="29">
        <v>29</v>
      </c>
      <c r="F41" s="28" t="s">
        <v>91</v>
      </c>
    </row>
  </sheetData>
  <mergeCells count="17">
    <mergeCell ref="A1:G1"/>
    <mergeCell ref="B2:F2"/>
    <mergeCell ref="B4:G4"/>
    <mergeCell ref="B6:C6"/>
    <mergeCell ref="D6:E6"/>
    <mergeCell ref="B7:C7"/>
    <mergeCell ref="D7:E7"/>
    <mergeCell ref="B8:C8"/>
    <mergeCell ref="B9:C9"/>
    <mergeCell ref="B10:C10"/>
    <mergeCell ref="B11:C11"/>
    <mergeCell ref="B12:C12"/>
    <mergeCell ref="B14:G14"/>
    <mergeCell ref="B16:G16"/>
    <mergeCell ref="B18:C18"/>
    <mergeCell ref="B33:G33"/>
    <mergeCell ref="B35:F35"/>
  </mergeCells>
  <dataValidations count="14">
    <dataValidation type="textLength" allowBlank="1" showInputMessage="1" showErrorMessage="1" errorTitle="Check this entry" error="Text up to 80 characters." promptTitle="Plant" prompt="Text up to 80 characters." sqref="D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D7">
      <formula1>0</formula1>
      <formula2>12</formula2>
    </dataValidation>
    <dataValidation type="decimal" allowBlank="1" showInputMessage="1" showErrorMessage="1" errorTitle="Check this entry" error="Enter a number from 1 to 24." promptTitle="Paid hours per person per wor..." prompt="Contract hours per working day, paid breaks included. Enter a number from 1 to 24." sqref="D8">
      <formula1>1</formula1>
      <formula2>24</formula2>
    </dataValidation>
    <dataValidation type="decimal" allowBlank="1" showInputMessage="1" showErrorMessage="1" errorTitle="Check this entry" error="Enter a percentage from 0% to 90% (type 85% or 0.85)." promptTitle="Absence rate" prompt="Share of paid working days a person is not at work: vacation not covered by the calendar, sickness, training. Use your own history. Enter a percentage from 0% to 90% (type 85% or 0.85)." sqref="D9">
      <formula1>0</formula1>
      <formula2>0.9</formula2>
    </dataValidation>
    <dataValidation type="decimal" allowBlank="1" showInputMessage="1" showErrorMessage="1" errorTitle="Check this entry" error="Enter a percentage from 5% to 100% (type 85% or 0.85)." promptTitle="Productive share of attended ..." prompt="Standard hours earned per attended hour: breaks, meetings, waiting and efficiency below standard take the rest. Use your own measured figure. Enter a percentage from 5% to 100% (type 85% or 0.85)." sqref="D10">
      <formula1>0.05</formula1>
      <formula2>1</formula2>
    </dataValidation>
    <dataValidation type="decimal" allowBlank="1" showInputMessage="1" showErrorMessage="1" errorTitle="Check this entry" error="Enter a percentage from 0% to 100% (type 85% or 0.85)." promptTitle="Overtime cap" prompt="Most overtime you will plan, as a share of attended hours (10% = about 4 hours a week on a 40-hour week). Enter a percentage from 0% to 100% (type 85% or 0.85)." sqref="D11">
      <formula1>0</formula1>
      <formula2>1</formula2>
    </dataValidation>
    <dataValidation type="decimal" allowBlank="1" showInputMessage="1" showErrorMessage="1" errorTitle="Check this entry" error="Enter a number from 1 to 4." promptTitle="Overtime pay factor" prompt="Overtime hours are costed at the loaded rate times this factor (1.5 = time and a half). Enter a number from 1 to 4." sqref="D12">
      <formula1>1</formula1>
      <formula2>4</formula2>
    </dataValidation>
    <dataValidation type="date" allowBlank="1" showInputMessage="1" showErrorMessage="1" errorTitle="Check this entry" error="Enter a date between 01 Jan 2000 and 31 Dec 2100." promptTitle="Month" prompt="First day of the month. Enter a date between 01 Jan 2000 and 31 Dec 2100." sqref="B20:B131">
      <formula1>36526</formula1>
      <formula2>73415</formula2>
    </dataValidation>
    <dataValidation type="decimal" allowBlank="1" showInputMessage="1" showErrorMessage="1" errorTitle="Check this entry" error="Enter a number from 0 to 31." promptTitle="Working days" prompt="Days the plant works this month (public holidays and shutdowns taken out). Enter a number from 0 to 31." sqref="C20:C131">
      <formula1>0</formula1>
      <formula2>31</formula2>
    </dataValidation>
    <dataValidation type="textLength" allowBlank="1" showInputMessage="1" showErrorMessage="1" errorTitle="Check this entry" error="Text up to 40 characters." promptTitle="Department" prompt="Text up to 40 characters." sqref="B38:B141">
      <formula1>0</formula1>
      <formula2>40</formula2>
    </dataValidation>
    <dataValidation type="decimal" allowBlank="1" showInputMessage="1" showErrorMessage="1" errorTitle="Check this entry" error="Enter a number from 0 to 10,000." promptTitle="Std hours (h/unit)" prompt="Standard direct labour hours per unit of the department's output (from routings or time studies). Enter a number from 0 to 10,000." sqref="C38:C141">
      <formula1>0</formula1>
      <formula2>10000</formula2>
    </dataValidation>
    <dataValidation type="whole" allowBlank="1" showInputMessage="1" showErrorMessage="1" errorTitle="Check this entry" error="Enter a whole number from 0 to 100,000." promptTitle="Heads at start (people)" prompt="Direct people in the department at the start of the plan. Enter a whole number from 0 to 100,000." sqref="D38:D141">
      <formula1>0</formula1>
      <formula2>100000</formula2>
    </dataValidation>
    <dataValidation type="decimal" allowBlank="1" showInputMessage="1" showErrorMessage="1" errorTitle="Check this entry" error="Enter a number from 0 to 1,000,000." promptTitle="Loaded rate (per h)" prompt="Wage plus burden per paid hour. Enter a number from 0 to 1,000,000." sqref="E38:E141">
      <formula1>0</formula1>
      <formula2>1000000.0</formula2>
    </dataValidation>
    <dataValidation type="textLength" allowBlank="1" showInputMessage="1" showErrorMessage="1" errorTitle="Check this entry" error="Text up to 160 characters." promptTitle="Notes" prompt="Text up to 160 characters." sqref="F38:F141">
      <formula1>0</formula1>
      <formula2>160</formula2>
    </dataValidation>
  </dataValidations>
  <hyperlinks>
    <hyperlink ref="G2" r:id="rId1" tooltip="Free manufacturing calculators and templates"/>
  </hyperlinks>
  <pageMargins left="0.4" right="0.4" top="0.7" bottom="0.65" header="0.3" footer="0.3"/>
  <pageSetup fitToHeight="0" orientation="landscape"/>
  <headerFooter>
    <oddHeader>&amp;L&amp;8MFG Calcs - Production Headcount Plan&amp;R&amp;8&amp;A</oddHeader>
    <oddFooter>&amp;L&amp;8mfgcalcs.com - free manufacturing templates&amp;R&amp;8Page &amp;P of &amp;N</oddFooter>
  </headerFooter>
  <rowBreaks count="1" manualBreakCount="1">
    <brk id="15"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X54"/>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0.7109375" customWidth="1"/>
    <col min="3" max="3" width="13.7109375" customWidth="1"/>
    <col min="4" max="4" width="10.28515625" customWidth="1"/>
    <col min="5" max="5" width="8.7109375" customWidth="1"/>
    <col min="6" max="6" width="9.28515625" customWidth="1"/>
    <col min="7" max="7" width="8.7109375" customWidth="1"/>
    <col min="8" max="9" width="9.28515625" customWidth="1"/>
    <col min="10" max="10" width="9.7109375" customWidth="1"/>
    <col min="11" max="11" width="9.28515625" customWidth="1"/>
    <col min="12" max="12" width="10.28515625" customWidth="1"/>
    <col min="13" max="14" width="9.28515625" customWidth="1"/>
    <col min="15" max="15" width="8.7109375" customWidth="1"/>
    <col min="16" max="19" width="9.7109375" customWidth="1"/>
    <col min="20" max="20" width="12.28515625" customWidth="1"/>
    <col min="21" max="21" width="9.7109375" customWidth="1"/>
    <col min="22" max="22" width="11.7109375" customWidth="1"/>
    <col min="23" max="23" width="22.7109375" customWidth="1"/>
    <col min="24" max="24" width="34.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20</v>
      </c>
      <c r="C2" s="2"/>
      <c r="D2" s="2"/>
      <c r="E2" s="2"/>
      <c r="F2" s="2"/>
      <c r="G2" s="2"/>
      <c r="H2" s="2"/>
      <c r="I2" s="2"/>
      <c r="J2" s="2"/>
      <c r="K2" s="2"/>
      <c r="L2" s="2"/>
      <c r="M2" s="2"/>
      <c r="N2" s="2"/>
      <c r="O2" s="2"/>
      <c r="P2" s="2"/>
      <c r="Q2" s="2"/>
      <c r="R2" s="2"/>
      <c r="S2" s="2"/>
      <c r="T2" s="2"/>
      <c r="U2" s="2"/>
      <c r="V2" s="2"/>
      <c r="W2" s="2"/>
      <c r="X2" s="3" t="s">
        <v>2</v>
      </c>
    </row>
    <row r="3" spans="1:24" ht="6" customHeight="1"/>
    <row r="4" spans="1:24" ht="18" customHeight="1">
      <c r="B4" s="38" t="s">
        <v>108</v>
      </c>
      <c r="C4" s="38"/>
      <c r="D4" s="38"/>
      <c r="E4" s="38"/>
      <c r="F4" s="38"/>
      <c r="G4" s="38"/>
      <c r="H4" s="38"/>
      <c r="I4" s="38"/>
      <c r="J4" s="38"/>
      <c r="K4" s="38"/>
      <c r="L4" s="38"/>
      <c r="M4" s="38"/>
      <c r="N4" s="38"/>
      <c r="O4" s="38"/>
      <c r="P4" s="38"/>
      <c r="Q4" s="38"/>
      <c r="R4" s="38"/>
      <c r="S4" s="38"/>
      <c r="T4" s="38"/>
      <c r="U4" s="38"/>
      <c r="V4" s="38"/>
      <c r="W4" s="38"/>
      <c r="X4" s="38"/>
    </row>
    <row r="5" spans="1:24" ht="14" customHeight="1">
      <c r="B5" s="36"/>
      <c r="C5" s="36"/>
      <c r="D5" s="36"/>
      <c r="E5" s="36"/>
      <c r="F5" s="36"/>
      <c r="G5" s="36"/>
      <c r="H5" s="36"/>
      <c r="I5" s="36"/>
      <c r="J5" s="36"/>
      <c r="K5" s="36"/>
      <c r="L5" s="36"/>
      <c r="M5" s="36"/>
      <c r="N5" s="36"/>
      <c r="O5" s="36"/>
      <c r="P5" s="36"/>
      <c r="Q5" s="36"/>
      <c r="R5" s="36"/>
      <c r="S5" s="36"/>
      <c r="T5" s="36"/>
      <c r="U5" s="36" t="str">
        <f>Currency&amp;"/h"</f>
        <v>USD/h</v>
      </c>
      <c r="V5" s="36" t="str">
        <f>Currency</f>
        <v>USD</v>
      </c>
      <c r="W5" s="36"/>
      <c r="X5" s="36"/>
    </row>
    <row r="6" spans="1:24" ht="45.5" customHeight="1">
      <c r="B6" s="33" t="s">
        <v>60</v>
      </c>
      <c r="C6" s="33" t="s">
        <v>62</v>
      </c>
      <c r="D6" s="33" t="s">
        <v>92</v>
      </c>
      <c r="E6" s="33" t="s">
        <v>93</v>
      </c>
      <c r="F6" s="33" t="s">
        <v>94</v>
      </c>
      <c r="G6" s="33" t="s">
        <v>61</v>
      </c>
      <c r="H6" s="33" t="s">
        <v>63</v>
      </c>
      <c r="I6" s="33" t="s">
        <v>64</v>
      </c>
      <c r="J6" s="33" t="s">
        <v>95</v>
      </c>
      <c r="K6" s="33" t="s">
        <v>96</v>
      </c>
      <c r="L6" s="33" t="s">
        <v>97</v>
      </c>
      <c r="M6" s="33" t="s">
        <v>98</v>
      </c>
      <c r="N6" s="33" t="s">
        <v>99</v>
      </c>
      <c r="O6" s="33" t="s">
        <v>100</v>
      </c>
      <c r="P6" s="33" t="s">
        <v>101</v>
      </c>
      <c r="Q6" s="33" t="s">
        <v>102</v>
      </c>
      <c r="R6" s="33" t="s">
        <v>103</v>
      </c>
      <c r="S6" s="33" t="s">
        <v>104</v>
      </c>
      <c r="T6" s="33" t="s">
        <v>105</v>
      </c>
      <c r="U6" s="33" t="s">
        <v>65</v>
      </c>
      <c r="V6" s="33" t="s">
        <v>106</v>
      </c>
      <c r="W6" s="33" t="s">
        <v>107</v>
      </c>
      <c r="X6" s="33" t="s">
        <v>66</v>
      </c>
    </row>
    <row r="7" spans="1:24">
      <c r="B7" s="34">
        <v>46388</v>
      </c>
      <c r="C7" s="28" t="s">
        <v>84</v>
      </c>
      <c r="D7" s="37">
        <v>1780</v>
      </c>
      <c r="E7" s="37">
        <v>0</v>
      </c>
      <c r="F7" s="37">
        <v>0</v>
      </c>
      <c r="G7" s="39">
        <f>IF(tblPlan[[#This Row],[Month]]="","",IFERROR(INDEX(tblMonths[Working days],MATCH(tblPlan[[#This Row],[Month]],tblMonths[Month],0)),""))</f>
        <v>20</v>
      </c>
      <c r="H7" s="40">
        <f>IF(tblPlan[[#This Row],[Month]]="","",IFERROR(INDEX(tblDepartments[Std hours (h/unit)],MATCH(tblPlan[[#This Row],[Department]],tblDepartments[Department],0)),""))</f>
        <v>1.6</v>
      </c>
      <c r="I7" s="41">
        <f>IF(tblPlan[[#This Row],[Month]]="","",IFERROR(INDEX(tblDepartments[Heads at start (people)],MATCH(tblPlan[[#This Row],[Department]],tblDepartments[Department],0)),""))</f>
        <v>25</v>
      </c>
      <c r="J7" s="41">
        <f>IF(tblPlan[[#This Row],[Month]]="","",tblPlan[[#This Row],[Demand (units)]]*tblPlan[[#This Row],[Std hours (h/unit)]])</f>
        <v>2848</v>
      </c>
      <c r="K7" s="39">
        <f>IF(tblPlan[[#This Row],[Month]]="","",tblPlan[[#This Row],[Working days]]*PaidHoursDay)</f>
        <v>160</v>
      </c>
      <c r="L7" s="39">
        <f>IF(tblPlan[[#This Row],[Month]]="","",tblPlan[[#This Row],[Paid per FTE (h)]]*(1-AbsenceRate)*ProdShare)</f>
        <v>121.04</v>
      </c>
      <c r="M7" s="39">
        <f>IF(tblPlan[[#This Row],[Month]]="","",IF(tblPlan[[#This Row],[Productive per FTE (h)]]&gt;0,tblPlan[[#This Row],[Required (h)]]/tblPlan[[#This Row],[Productive per FTE (h)]],""))</f>
        <v>23.5294117647059</v>
      </c>
      <c r="N7" s="41">
        <f>IF(tblPlan[[#This Row],[Month]]="","",tblPlan[[#This Row],[Heads at start (people)]]+SUMIFS(tblPlan[Hires (people)],tblPlan[Department],tblPlan[[#This Row],[Department]],tblPlan[Month],"&lt;="&amp;tblPlan[[#This Row],[Month]])-SUMIFS(tblPlan[Leavers (people)],tblPlan[Department],tblPlan[[#This Row],[Department]],tblPlan[Month],"&lt;="&amp;tblPlan[[#This Row],[Month]]))</f>
        <v>25</v>
      </c>
      <c r="O7" s="42">
        <f>IF(tblPlan[[#This Row],[Month]]="","",IF(tblPlan[[#This Row],[Required FTE]]="","",tblPlan[[#This Row],[Planned heads]]-tblPlan[[#This Row],[Required FTE]]))</f>
        <v>1.47058823529412</v>
      </c>
      <c r="P7" s="41">
        <f>IF(tblPlan[[#This Row],[Month]]="","",tblPlan[[#This Row],[Planned heads]]*tblPlan[[#This Row],[Productive per FTE (h)]])</f>
        <v>3026</v>
      </c>
      <c r="Q7" s="41">
        <f>IF(tblPlan[[#This Row],[Month]]="","",tblPlan[[#This Row],[Planned heads]]*tblPlan[[#This Row],[Paid per FTE (h)]]*(1-AbsenceRate))</f>
        <v>3560</v>
      </c>
      <c r="R7" s="41">
        <f>IF(tblPlan[[#This Row],[Month]]="","",MAX(0,tblPlan[[#This Row],[Required (h)]]-tblPlan[[#This Row],[Capacity (h)]])/ProdShare)</f>
        <v>0</v>
      </c>
      <c r="S7" s="43">
        <f>IF(tblPlan[[#This Row],[Month]]="","",IF(tblPlan[[#This Row],[Attended (h)]]&gt;0,tblPlan[[#This Row],[Overtime (h)]]/tblPlan[[#This Row],[Attended (h)]],""))</f>
        <v>0</v>
      </c>
      <c r="T7" s="44" t="str">
        <f>IF(tblPlan[[#This Row],[Month]]="","",IF(tblPlan[[#This Row],[Gap (heads)]]="","",IF(tblPlan[[#This Row],[Gap (heads)]]&gt;=0,"On target",IF(AND(ISNUMBER(tblPlan[[#This Row],[Overtime share]]),tblPlan[[#This Row],[Overtime share]]&lt;=OTCap),"Near target","Below target"))))</f>
        <v>On target</v>
      </c>
      <c r="U7" s="40">
        <f>IF(tblPlan[[#This Row],[Month]]="","",IFERROR(INDEX(tblDepartments[Loaded rate (per h)],MATCH(tblPlan[[#This Row],[Department]],tblDepartments[Department],0)),""))</f>
        <v>38</v>
      </c>
      <c r="V7" s="41">
        <f>IF(tblPlan[[#This Row],[Month]]="","",(tblPlan[[#This Row],[Planned heads]]*tblPlan[[#This Row],[Paid per FTE (h)]]+tblPlan[[#This Row],[Overtime (h)]]*OTPremium)*tblPlan[[#This Row],[Loaded rate (per h)]])</f>
        <v>152000</v>
      </c>
      <c r="W7"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7" s="46" t="s">
        <v>109</v>
      </c>
    </row>
    <row r="8" spans="1:24">
      <c r="B8" s="34">
        <v>46419</v>
      </c>
      <c r="C8" s="28" t="s">
        <v>84</v>
      </c>
      <c r="D8" s="37">
        <v>1840</v>
      </c>
      <c r="E8" s="37">
        <v>0</v>
      </c>
      <c r="F8" s="37">
        <v>0</v>
      </c>
      <c r="G8" s="39">
        <f>IF(tblPlan[[#This Row],[Month]]="","",IFERROR(INDEX(tblMonths[Working days],MATCH(tblPlan[[#This Row],[Month]],tblMonths[Month],0)),""))</f>
        <v>20</v>
      </c>
      <c r="H8" s="40">
        <f>IF(tblPlan[[#This Row],[Month]]="","",IFERROR(INDEX(tblDepartments[Std hours (h/unit)],MATCH(tblPlan[[#This Row],[Department]],tblDepartments[Department],0)),""))</f>
        <v>1.6</v>
      </c>
      <c r="I8" s="41">
        <f>IF(tblPlan[[#This Row],[Month]]="","",IFERROR(INDEX(tblDepartments[Heads at start (people)],MATCH(tblPlan[[#This Row],[Department]],tblDepartments[Department],0)),""))</f>
        <v>25</v>
      </c>
      <c r="J8" s="41">
        <f>IF(tblPlan[[#This Row],[Month]]="","",tblPlan[[#This Row],[Demand (units)]]*tblPlan[[#This Row],[Std hours (h/unit)]])</f>
        <v>2944</v>
      </c>
      <c r="K8" s="39">
        <f>IF(tblPlan[[#This Row],[Month]]="","",tblPlan[[#This Row],[Working days]]*PaidHoursDay)</f>
        <v>160</v>
      </c>
      <c r="L8" s="39">
        <f>IF(tblPlan[[#This Row],[Month]]="","",tblPlan[[#This Row],[Paid per FTE (h)]]*(1-AbsenceRate)*ProdShare)</f>
        <v>121.04</v>
      </c>
      <c r="M8" s="39">
        <f>IF(tblPlan[[#This Row],[Month]]="","",IF(tblPlan[[#This Row],[Productive per FTE (h)]]&gt;0,tblPlan[[#This Row],[Required (h)]]/tblPlan[[#This Row],[Productive per FTE (h)]],""))</f>
        <v>24.3225380039656</v>
      </c>
      <c r="N8" s="41">
        <f>IF(tblPlan[[#This Row],[Month]]="","",tblPlan[[#This Row],[Heads at start (people)]]+SUMIFS(tblPlan[Hires (people)],tblPlan[Department],tblPlan[[#This Row],[Department]],tblPlan[Month],"&lt;="&amp;tblPlan[[#This Row],[Month]])-SUMIFS(tblPlan[Leavers (people)],tblPlan[Department],tblPlan[[#This Row],[Department]],tblPlan[Month],"&lt;="&amp;tblPlan[[#This Row],[Month]]))</f>
        <v>25</v>
      </c>
      <c r="O8" s="42">
        <f>IF(tblPlan[[#This Row],[Month]]="","",IF(tblPlan[[#This Row],[Required FTE]]="","",tblPlan[[#This Row],[Planned heads]]-tblPlan[[#This Row],[Required FTE]]))</f>
        <v>0.677461996034371</v>
      </c>
      <c r="P8" s="41">
        <f>IF(tblPlan[[#This Row],[Month]]="","",tblPlan[[#This Row],[Planned heads]]*tblPlan[[#This Row],[Productive per FTE (h)]])</f>
        <v>3026</v>
      </c>
      <c r="Q8" s="41">
        <f>IF(tblPlan[[#This Row],[Month]]="","",tblPlan[[#This Row],[Planned heads]]*tblPlan[[#This Row],[Paid per FTE (h)]]*(1-AbsenceRate))</f>
        <v>3560</v>
      </c>
      <c r="R8" s="41">
        <f>IF(tblPlan[[#This Row],[Month]]="","",MAX(0,tblPlan[[#This Row],[Required (h)]]-tblPlan[[#This Row],[Capacity (h)]])/ProdShare)</f>
        <v>0</v>
      </c>
      <c r="S8" s="43">
        <f>IF(tblPlan[[#This Row],[Month]]="","",IF(tblPlan[[#This Row],[Attended (h)]]&gt;0,tblPlan[[#This Row],[Overtime (h)]]/tblPlan[[#This Row],[Attended (h)]],""))</f>
        <v>0</v>
      </c>
      <c r="T8" s="44" t="str">
        <f>IF(tblPlan[[#This Row],[Month]]="","",IF(tblPlan[[#This Row],[Gap (heads)]]="","",IF(tblPlan[[#This Row],[Gap (heads)]]&gt;=0,"On target",IF(AND(ISNUMBER(tblPlan[[#This Row],[Overtime share]]),tblPlan[[#This Row],[Overtime share]]&lt;=OTCap),"Near target","Below target"))))</f>
        <v>On target</v>
      </c>
      <c r="U8" s="40">
        <f>IF(tblPlan[[#This Row],[Month]]="","",IFERROR(INDEX(tblDepartments[Loaded rate (per h)],MATCH(tblPlan[[#This Row],[Department]],tblDepartments[Department],0)),""))</f>
        <v>38</v>
      </c>
      <c r="V8" s="41">
        <f>IF(tblPlan[[#This Row],[Month]]="","",(tblPlan[[#This Row],[Planned heads]]*tblPlan[[#This Row],[Paid per FTE (h)]]+tblPlan[[#This Row],[Overtime (h)]]*OTPremium)*tblPlan[[#This Row],[Loaded rate (per h)]])</f>
        <v>152000</v>
      </c>
      <c r="W8"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8" s="46" t="s">
        <v>109</v>
      </c>
    </row>
    <row r="9" spans="1:24">
      <c r="B9" s="34">
        <v>46447</v>
      </c>
      <c r="C9" s="28" t="s">
        <v>84</v>
      </c>
      <c r="D9" s="37">
        <v>2000</v>
      </c>
      <c r="E9" s="37">
        <v>0</v>
      </c>
      <c r="F9" s="37">
        <v>0</v>
      </c>
      <c r="G9" s="39">
        <f>IF(tblPlan[[#This Row],[Month]]="","",IFERROR(INDEX(tblMonths[Working days],MATCH(tblPlan[[#This Row],[Month]],tblMonths[Month],0)),""))</f>
        <v>23</v>
      </c>
      <c r="H9" s="40">
        <f>IF(tblPlan[[#This Row],[Month]]="","",IFERROR(INDEX(tblDepartments[Std hours (h/unit)],MATCH(tblPlan[[#This Row],[Department]],tblDepartments[Department],0)),""))</f>
        <v>1.6</v>
      </c>
      <c r="I9" s="41">
        <f>IF(tblPlan[[#This Row],[Month]]="","",IFERROR(INDEX(tblDepartments[Heads at start (people)],MATCH(tblPlan[[#This Row],[Department]],tblDepartments[Department],0)),""))</f>
        <v>25</v>
      </c>
      <c r="J9" s="41">
        <f>IF(tblPlan[[#This Row],[Month]]="","",tblPlan[[#This Row],[Demand (units)]]*tblPlan[[#This Row],[Std hours (h/unit)]])</f>
        <v>3200</v>
      </c>
      <c r="K9" s="39">
        <f>IF(tblPlan[[#This Row],[Month]]="","",tblPlan[[#This Row],[Working days]]*PaidHoursDay)</f>
        <v>184</v>
      </c>
      <c r="L9" s="39">
        <f>IF(tblPlan[[#This Row],[Month]]="","",tblPlan[[#This Row],[Paid per FTE (h)]]*(1-AbsenceRate)*ProdShare)</f>
        <v>139.196</v>
      </c>
      <c r="M9" s="39">
        <f>IF(tblPlan[[#This Row],[Month]]="","",IF(tblPlan[[#This Row],[Productive per FTE (h)]]&gt;0,tblPlan[[#This Row],[Required (h)]]/tblPlan[[#This Row],[Productive per FTE (h)]],""))</f>
        <v>22.989166355355</v>
      </c>
      <c r="N9" s="41">
        <f>IF(tblPlan[[#This Row],[Month]]="","",tblPlan[[#This Row],[Heads at start (people)]]+SUMIFS(tblPlan[Hires (people)],tblPlan[Department],tblPlan[[#This Row],[Department]],tblPlan[Month],"&lt;="&amp;tblPlan[[#This Row],[Month]])-SUMIFS(tblPlan[Leavers (people)],tblPlan[Department],tblPlan[[#This Row],[Department]],tblPlan[Month],"&lt;="&amp;tblPlan[[#This Row],[Month]]))</f>
        <v>25</v>
      </c>
      <c r="O9" s="42">
        <f>IF(tblPlan[[#This Row],[Month]]="","",IF(tblPlan[[#This Row],[Required FTE]]="","",tblPlan[[#This Row],[Planned heads]]-tblPlan[[#This Row],[Required FTE]]))</f>
        <v>2.01083364464496</v>
      </c>
      <c r="P9" s="41">
        <f>IF(tblPlan[[#This Row],[Month]]="","",tblPlan[[#This Row],[Planned heads]]*tblPlan[[#This Row],[Productive per FTE (h)]])</f>
        <v>3479.9</v>
      </c>
      <c r="Q9" s="41">
        <f>IF(tblPlan[[#This Row],[Month]]="","",tblPlan[[#This Row],[Planned heads]]*tblPlan[[#This Row],[Paid per FTE (h)]]*(1-AbsenceRate))</f>
        <v>4094</v>
      </c>
      <c r="R9" s="41">
        <f>IF(tblPlan[[#This Row],[Month]]="","",MAX(0,tblPlan[[#This Row],[Required (h)]]-tblPlan[[#This Row],[Capacity (h)]])/ProdShare)</f>
        <v>0</v>
      </c>
      <c r="S9" s="43">
        <f>IF(tblPlan[[#This Row],[Month]]="","",IF(tblPlan[[#This Row],[Attended (h)]]&gt;0,tblPlan[[#This Row],[Overtime (h)]]/tblPlan[[#This Row],[Attended (h)]],""))</f>
        <v>0</v>
      </c>
      <c r="T9" s="44" t="str">
        <f>IF(tblPlan[[#This Row],[Month]]="","",IF(tblPlan[[#This Row],[Gap (heads)]]="","",IF(tblPlan[[#This Row],[Gap (heads)]]&gt;=0,"On target",IF(AND(ISNUMBER(tblPlan[[#This Row],[Overtime share]]),tblPlan[[#This Row],[Overtime share]]&lt;=OTCap),"Near target","Below target"))))</f>
        <v>On target</v>
      </c>
      <c r="U9" s="40">
        <f>IF(tblPlan[[#This Row],[Month]]="","",IFERROR(INDEX(tblDepartments[Loaded rate (per h)],MATCH(tblPlan[[#This Row],[Department]],tblDepartments[Department],0)),""))</f>
        <v>38</v>
      </c>
      <c r="V9" s="41">
        <f>IF(tblPlan[[#This Row],[Month]]="","",(tblPlan[[#This Row],[Planned heads]]*tblPlan[[#This Row],[Paid per FTE (h)]]+tblPlan[[#This Row],[Overtime (h)]]*OTPremium)*tblPlan[[#This Row],[Loaded rate (per h)]])</f>
        <v>174800</v>
      </c>
      <c r="W9"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9" s="46" t="s">
        <v>109</v>
      </c>
    </row>
    <row r="10" spans="1:24">
      <c r="B10" s="34">
        <v>46478</v>
      </c>
      <c r="C10" s="28" t="s">
        <v>84</v>
      </c>
      <c r="D10" s="37">
        <v>2050</v>
      </c>
      <c r="E10" s="37">
        <v>0</v>
      </c>
      <c r="F10" s="37">
        <v>1</v>
      </c>
      <c r="G10" s="39">
        <f>IF(tblPlan[[#This Row],[Month]]="","",IFERROR(INDEX(tblMonths[Working days],MATCH(tblPlan[[#This Row],[Month]],tblMonths[Month],0)),""))</f>
        <v>21</v>
      </c>
      <c r="H10" s="40">
        <f>IF(tblPlan[[#This Row],[Month]]="","",IFERROR(INDEX(tblDepartments[Std hours (h/unit)],MATCH(tblPlan[[#This Row],[Department]],tblDepartments[Department],0)),""))</f>
        <v>1.6</v>
      </c>
      <c r="I10" s="41">
        <f>IF(tblPlan[[#This Row],[Month]]="","",IFERROR(INDEX(tblDepartments[Heads at start (people)],MATCH(tblPlan[[#This Row],[Department]],tblDepartments[Department],0)),""))</f>
        <v>25</v>
      </c>
      <c r="J10" s="41">
        <f>IF(tblPlan[[#This Row],[Month]]="","",tblPlan[[#This Row],[Demand (units)]]*tblPlan[[#This Row],[Std hours (h/unit)]])</f>
        <v>3280</v>
      </c>
      <c r="K10" s="39">
        <f>IF(tblPlan[[#This Row],[Month]]="","",tblPlan[[#This Row],[Working days]]*PaidHoursDay)</f>
        <v>168</v>
      </c>
      <c r="L10" s="39">
        <f>IF(tblPlan[[#This Row],[Month]]="","",tblPlan[[#This Row],[Paid per FTE (h)]]*(1-AbsenceRate)*ProdShare)</f>
        <v>127.092</v>
      </c>
      <c r="M10" s="39">
        <f>IF(tblPlan[[#This Row],[Month]]="","",IF(tblPlan[[#This Row],[Productive per FTE (h)]]&gt;0,tblPlan[[#This Row],[Required (h)]]/tblPlan[[#This Row],[Productive per FTE (h)]],""))</f>
        <v>25.8080760394045</v>
      </c>
      <c r="N10" s="41">
        <f>IF(tblPlan[[#This Row],[Month]]="","",tblPlan[[#This Row],[Heads at start (people)]]+SUMIFS(tblPlan[Hires (people)],tblPlan[Department],tblPlan[[#This Row],[Department]],tblPlan[Month],"&lt;="&amp;tblPlan[[#This Row],[Month]])-SUMIFS(tblPlan[Leavers (people)],tblPlan[Department],tblPlan[[#This Row],[Department]],tblPlan[Month],"&lt;="&amp;tblPlan[[#This Row],[Month]]))</f>
        <v>24</v>
      </c>
      <c r="O10" s="42">
        <f>IF(tblPlan[[#This Row],[Month]]="","",IF(tblPlan[[#This Row],[Required FTE]]="","",tblPlan[[#This Row],[Planned heads]]-tblPlan[[#This Row],[Required FTE]]))</f>
        <v>-1.80807603940453</v>
      </c>
      <c r="P10" s="41">
        <f>IF(tblPlan[[#This Row],[Month]]="","",tblPlan[[#This Row],[Planned heads]]*tblPlan[[#This Row],[Productive per FTE (h)]])</f>
        <v>3050.208</v>
      </c>
      <c r="Q10" s="41">
        <f>IF(tblPlan[[#This Row],[Month]]="","",tblPlan[[#This Row],[Planned heads]]*tblPlan[[#This Row],[Paid per FTE (h)]]*(1-AbsenceRate))</f>
        <v>3588.48</v>
      </c>
      <c r="R10" s="41">
        <f>IF(tblPlan[[#This Row],[Month]]="","",MAX(0,tblPlan[[#This Row],[Required (h)]]-tblPlan[[#This Row],[Capacity (h)]])/ProdShare)</f>
        <v>270.343529411765</v>
      </c>
      <c r="S10" s="43">
        <f>IF(tblPlan[[#This Row],[Month]]="","",IF(tblPlan[[#This Row],[Attended (h)]]&gt;0,tblPlan[[#This Row],[Overtime (h)]]/tblPlan[[#This Row],[Attended (h)]],""))</f>
        <v>0.0753365016418552</v>
      </c>
      <c r="T10" s="44" t="str">
        <f>IF(tblPlan[[#This Row],[Month]]="","",IF(tblPlan[[#This Row],[Gap (heads)]]="","",IF(tblPlan[[#This Row],[Gap (heads)]]&gt;=0,"On target",IF(AND(ISNUMBER(tblPlan[[#This Row],[Overtime share]]),tblPlan[[#This Row],[Overtime share]]&lt;=OTCap),"Near target","Below target"))))</f>
        <v>Near target</v>
      </c>
      <c r="U10" s="40">
        <f>IF(tblPlan[[#This Row],[Month]]="","",IFERROR(INDEX(tblDepartments[Loaded rate (per h)],MATCH(tblPlan[[#This Row],[Department]],tblDepartments[Department],0)),""))</f>
        <v>38</v>
      </c>
      <c r="V10" s="41">
        <f>IF(tblPlan[[#This Row],[Month]]="","",(tblPlan[[#This Row],[Planned heads]]*tblPlan[[#This Row],[Paid per FTE (h)]]+tblPlan[[#This Row],[Overtime (h)]]*OTPremium)*tblPlan[[#This Row],[Loaded rate (per h)]])</f>
        <v>168625.581176471</v>
      </c>
      <c r="W10"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10" s="46" t="s">
        <v>109</v>
      </c>
    </row>
    <row r="11" spans="1:24">
      <c r="B11" s="34">
        <v>46508</v>
      </c>
      <c r="C11" s="28" t="s">
        <v>84</v>
      </c>
      <c r="D11" s="37">
        <v>2160</v>
      </c>
      <c r="E11" s="37">
        <v>1</v>
      </c>
      <c r="F11" s="37">
        <v>0</v>
      </c>
      <c r="G11" s="39">
        <f>IF(tblPlan[[#This Row],[Month]]="","",IFERROR(INDEX(tblMonths[Working days],MATCH(tblPlan[[#This Row],[Month]],tblMonths[Month],0)),""))</f>
        <v>20</v>
      </c>
      <c r="H11" s="40">
        <f>IF(tblPlan[[#This Row],[Month]]="","",IFERROR(INDEX(tblDepartments[Std hours (h/unit)],MATCH(tblPlan[[#This Row],[Department]],tblDepartments[Department],0)),""))</f>
        <v>1.6</v>
      </c>
      <c r="I11" s="41">
        <f>IF(tblPlan[[#This Row],[Month]]="","",IFERROR(INDEX(tblDepartments[Heads at start (people)],MATCH(tblPlan[[#This Row],[Department]],tblDepartments[Department],0)),""))</f>
        <v>25</v>
      </c>
      <c r="J11" s="41">
        <f>IF(tblPlan[[#This Row],[Month]]="","",tblPlan[[#This Row],[Demand (units)]]*tblPlan[[#This Row],[Std hours (h/unit)]])</f>
        <v>3456</v>
      </c>
      <c r="K11" s="39">
        <f>IF(tblPlan[[#This Row],[Month]]="","",tblPlan[[#This Row],[Working days]]*PaidHoursDay)</f>
        <v>160</v>
      </c>
      <c r="L11" s="39">
        <f>IF(tblPlan[[#This Row],[Month]]="","",tblPlan[[#This Row],[Paid per FTE (h)]]*(1-AbsenceRate)*ProdShare)</f>
        <v>121.04</v>
      </c>
      <c r="M11" s="39">
        <f>IF(tblPlan[[#This Row],[Month]]="","",IF(tblPlan[[#This Row],[Productive per FTE (h)]]&gt;0,tblPlan[[#This Row],[Required (h)]]/tblPlan[[#This Row],[Productive per FTE (h)]],""))</f>
        <v>28.552544613351</v>
      </c>
      <c r="N11" s="41">
        <f>IF(tblPlan[[#This Row],[Month]]="","",tblPlan[[#This Row],[Heads at start (people)]]+SUMIFS(tblPlan[Hires (people)],tblPlan[Department],tblPlan[[#This Row],[Department]],tblPlan[Month],"&lt;="&amp;tblPlan[[#This Row],[Month]])-SUMIFS(tblPlan[Leavers (people)],tblPlan[Department],tblPlan[[#This Row],[Department]],tblPlan[Month],"&lt;="&amp;tblPlan[[#This Row],[Month]]))</f>
        <v>25</v>
      </c>
      <c r="O11" s="42">
        <f>IF(tblPlan[[#This Row],[Month]]="","",IF(tblPlan[[#This Row],[Required FTE]]="","",tblPlan[[#This Row],[Planned heads]]-tblPlan[[#This Row],[Required FTE]]))</f>
        <v>-3.55254461335096</v>
      </c>
      <c r="P11" s="41">
        <f>IF(tblPlan[[#This Row],[Month]]="","",tblPlan[[#This Row],[Planned heads]]*tblPlan[[#This Row],[Productive per FTE (h)]])</f>
        <v>3026</v>
      </c>
      <c r="Q11" s="41">
        <f>IF(tblPlan[[#This Row],[Month]]="","",tblPlan[[#This Row],[Planned heads]]*tblPlan[[#This Row],[Paid per FTE (h)]]*(1-AbsenceRate))</f>
        <v>3560</v>
      </c>
      <c r="R11" s="41">
        <f>IF(tblPlan[[#This Row],[Month]]="","",MAX(0,tblPlan[[#This Row],[Required (h)]]-tblPlan[[#This Row],[Capacity (h)]])/ProdShare)</f>
        <v>505.882352941176</v>
      </c>
      <c r="S11" s="43">
        <f>IF(tblPlan[[#This Row],[Month]]="","",IF(tblPlan[[#This Row],[Attended (h)]]&gt;0,tblPlan[[#This Row],[Overtime (h)]]/tblPlan[[#This Row],[Attended (h)]],""))</f>
        <v>0.142101784534038</v>
      </c>
      <c r="T11" s="44" t="str">
        <f>IF(tblPlan[[#This Row],[Month]]="","",IF(tblPlan[[#This Row],[Gap (heads)]]="","",IF(tblPlan[[#This Row],[Gap (heads)]]&gt;=0,"On target",IF(AND(ISNUMBER(tblPlan[[#This Row],[Overtime share]]),tblPlan[[#This Row],[Overtime share]]&lt;=OTCap),"Near target","Below target"))))</f>
        <v>Below target</v>
      </c>
      <c r="U11" s="40">
        <f>IF(tblPlan[[#This Row],[Month]]="","",IFERROR(INDEX(tblDepartments[Loaded rate (per h)],MATCH(tblPlan[[#This Row],[Department]],tblDepartments[Department],0)),""))</f>
        <v>38</v>
      </c>
      <c r="V11" s="41">
        <f>IF(tblPlan[[#This Row],[Month]]="","",(tblPlan[[#This Row],[Planned heads]]*tblPlan[[#This Row],[Paid per FTE (h)]]+tblPlan[[#This Row],[Overtime (h)]]*OTPremium)*tblPlan[[#This Row],[Loaded rate (per h)]])</f>
        <v>180835.294117647</v>
      </c>
      <c r="W11"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11" s="46" t="s">
        <v>110</v>
      </c>
    </row>
    <row r="12" spans="1:24">
      <c r="B12" s="34">
        <v>46539</v>
      </c>
      <c r="C12" s="28" t="s">
        <v>84</v>
      </c>
      <c r="D12" s="37">
        <v>2270</v>
      </c>
      <c r="E12" s="37">
        <v>2</v>
      </c>
      <c r="F12" s="37">
        <v>0</v>
      </c>
      <c r="G12" s="39">
        <f>IF(tblPlan[[#This Row],[Month]]="","",IFERROR(INDEX(tblMonths[Working days],MATCH(tblPlan[[#This Row],[Month]],tblMonths[Month],0)),""))</f>
        <v>22</v>
      </c>
      <c r="H12" s="40">
        <f>IF(tblPlan[[#This Row],[Month]]="","",IFERROR(INDEX(tblDepartments[Std hours (h/unit)],MATCH(tblPlan[[#This Row],[Department]],tblDepartments[Department],0)),""))</f>
        <v>1.6</v>
      </c>
      <c r="I12" s="41">
        <f>IF(tblPlan[[#This Row],[Month]]="","",IFERROR(INDEX(tblDepartments[Heads at start (people)],MATCH(tblPlan[[#This Row],[Department]],tblDepartments[Department],0)),""))</f>
        <v>25</v>
      </c>
      <c r="J12" s="41">
        <f>IF(tblPlan[[#This Row],[Month]]="","",tblPlan[[#This Row],[Demand (units)]]*tblPlan[[#This Row],[Std hours (h/unit)]])</f>
        <v>3632</v>
      </c>
      <c r="K12" s="39">
        <f>IF(tblPlan[[#This Row],[Month]]="","",tblPlan[[#This Row],[Working days]]*PaidHoursDay)</f>
        <v>176</v>
      </c>
      <c r="L12" s="39">
        <f>IF(tblPlan[[#This Row],[Month]]="","",tblPlan[[#This Row],[Paid per FTE (h)]]*(1-AbsenceRate)*ProdShare)</f>
        <v>133.144</v>
      </c>
      <c r="M12" s="39">
        <f>IF(tblPlan[[#This Row],[Month]]="","",IF(tblPlan[[#This Row],[Productive per FTE (h)]]&gt;0,tblPlan[[#This Row],[Required (h)]]/tblPlan[[#This Row],[Productive per FTE (h)]],""))</f>
        <v>27.2787358048429</v>
      </c>
      <c r="N12" s="41">
        <f>IF(tblPlan[[#This Row],[Month]]="","",tblPlan[[#This Row],[Heads at start (people)]]+SUMIFS(tblPlan[Hires (people)],tblPlan[Department],tblPlan[[#This Row],[Department]],tblPlan[Month],"&lt;="&amp;tblPlan[[#This Row],[Month]])-SUMIFS(tblPlan[Leavers (people)],tblPlan[Department],tblPlan[[#This Row],[Department]],tblPlan[Month],"&lt;="&amp;tblPlan[[#This Row],[Month]]))</f>
        <v>27</v>
      </c>
      <c r="O12" s="42">
        <f>IF(tblPlan[[#This Row],[Month]]="","",IF(tblPlan[[#This Row],[Required FTE]]="","",tblPlan[[#This Row],[Planned heads]]-tblPlan[[#This Row],[Required FTE]]))</f>
        <v>-0.278735804842874</v>
      </c>
      <c r="P12" s="41">
        <f>IF(tblPlan[[#This Row],[Month]]="","",tblPlan[[#This Row],[Planned heads]]*tblPlan[[#This Row],[Productive per FTE (h)]])</f>
        <v>3594.888</v>
      </c>
      <c r="Q12" s="41">
        <f>IF(tblPlan[[#This Row],[Month]]="","",tblPlan[[#This Row],[Planned heads]]*tblPlan[[#This Row],[Paid per FTE (h)]]*(1-AbsenceRate))</f>
        <v>4229.28</v>
      </c>
      <c r="R12" s="41">
        <f>IF(tblPlan[[#This Row],[Month]]="","",MAX(0,tblPlan[[#This Row],[Required (h)]]-tblPlan[[#This Row],[Capacity (h)]])/ProdShare)</f>
        <v>43.6611764705883</v>
      </c>
      <c r="S12" s="43">
        <f>IF(tblPlan[[#This Row],[Month]]="","",IF(tblPlan[[#This Row],[Attended (h)]]&gt;0,tblPlan[[#This Row],[Overtime (h)]]/tblPlan[[#This Row],[Attended (h)]],""))</f>
        <v>0.010323548327514</v>
      </c>
      <c r="T12" s="44" t="str">
        <f>IF(tblPlan[[#This Row],[Month]]="","",IF(tblPlan[[#This Row],[Gap (heads)]]="","",IF(tblPlan[[#This Row],[Gap (heads)]]&gt;=0,"On target",IF(AND(ISNUMBER(tblPlan[[#This Row],[Overtime share]]),tblPlan[[#This Row],[Overtime share]]&lt;=OTCap),"Near target","Below target"))))</f>
        <v>Near target</v>
      </c>
      <c r="U12" s="40">
        <f>IF(tblPlan[[#This Row],[Month]]="","",IFERROR(INDEX(tblDepartments[Loaded rate (per h)],MATCH(tblPlan[[#This Row],[Department]],tblDepartments[Department],0)),""))</f>
        <v>38</v>
      </c>
      <c r="V12" s="41">
        <f>IF(tblPlan[[#This Row],[Month]]="","",(tblPlan[[#This Row],[Planned heads]]*tblPlan[[#This Row],[Paid per FTE (h)]]+tblPlan[[#This Row],[Overtime (h)]]*OTPremium)*tblPlan[[#This Row],[Loaded rate (per h)]])</f>
        <v>183064.687058824</v>
      </c>
      <c r="W12"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12" s="46" t="s">
        <v>111</v>
      </c>
    </row>
    <row r="13" spans="1:24">
      <c r="B13" s="34">
        <v>46569</v>
      </c>
      <c r="C13" s="28" t="s">
        <v>84</v>
      </c>
      <c r="D13" s="37">
        <v>2320</v>
      </c>
      <c r="E13" s="37">
        <v>0</v>
      </c>
      <c r="F13" s="37">
        <v>0</v>
      </c>
      <c r="G13" s="39">
        <f>IF(tblPlan[[#This Row],[Month]]="","",IFERROR(INDEX(tblMonths[Working days],MATCH(tblPlan[[#This Row],[Month]],tblMonths[Month],0)),""))</f>
        <v>21</v>
      </c>
      <c r="H13" s="40">
        <f>IF(tblPlan[[#This Row],[Month]]="","",IFERROR(INDEX(tblDepartments[Std hours (h/unit)],MATCH(tblPlan[[#This Row],[Department]],tblDepartments[Department],0)),""))</f>
        <v>1.6</v>
      </c>
      <c r="I13" s="41">
        <f>IF(tblPlan[[#This Row],[Month]]="","",IFERROR(INDEX(tblDepartments[Heads at start (people)],MATCH(tblPlan[[#This Row],[Department]],tblDepartments[Department],0)),""))</f>
        <v>25</v>
      </c>
      <c r="J13" s="41">
        <f>IF(tblPlan[[#This Row],[Month]]="","",tblPlan[[#This Row],[Demand (units)]]*tblPlan[[#This Row],[Std hours (h/unit)]])</f>
        <v>3712</v>
      </c>
      <c r="K13" s="39">
        <f>IF(tblPlan[[#This Row],[Month]]="","",tblPlan[[#This Row],[Working days]]*PaidHoursDay)</f>
        <v>168</v>
      </c>
      <c r="L13" s="39">
        <f>IF(tblPlan[[#This Row],[Month]]="","",tblPlan[[#This Row],[Paid per FTE (h)]]*(1-AbsenceRate)*ProdShare)</f>
        <v>127.092</v>
      </c>
      <c r="M13" s="39">
        <f>IF(tblPlan[[#This Row],[Month]]="","",IF(tblPlan[[#This Row],[Productive per FTE (h)]]&gt;0,tblPlan[[#This Row],[Required (h)]]/tblPlan[[#This Row],[Productive per FTE (h)]],""))</f>
        <v>29.2071884933749</v>
      </c>
      <c r="N13" s="41">
        <f>IF(tblPlan[[#This Row],[Month]]="","",tblPlan[[#This Row],[Heads at start (people)]]+SUMIFS(tblPlan[Hires (people)],tblPlan[Department],tblPlan[[#This Row],[Department]],tblPlan[Month],"&lt;="&amp;tblPlan[[#This Row],[Month]])-SUMIFS(tblPlan[Leavers (people)],tblPlan[Department],tblPlan[[#This Row],[Department]],tblPlan[Month],"&lt;="&amp;tblPlan[[#This Row],[Month]]))</f>
        <v>27</v>
      </c>
      <c r="O13" s="42">
        <f>IF(tblPlan[[#This Row],[Month]]="","",IF(tblPlan[[#This Row],[Required FTE]]="","",tblPlan[[#This Row],[Planned heads]]-tblPlan[[#This Row],[Required FTE]]))</f>
        <v>-2.20718849337488</v>
      </c>
      <c r="P13" s="41">
        <f>IF(tblPlan[[#This Row],[Month]]="","",tblPlan[[#This Row],[Planned heads]]*tblPlan[[#This Row],[Productive per FTE (h)]])</f>
        <v>3431.484</v>
      </c>
      <c r="Q13" s="41">
        <f>IF(tblPlan[[#This Row],[Month]]="","",tblPlan[[#This Row],[Planned heads]]*tblPlan[[#This Row],[Paid per FTE (h)]]*(1-AbsenceRate))</f>
        <v>4037.04</v>
      </c>
      <c r="R13" s="41">
        <f>IF(tblPlan[[#This Row],[Month]]="","",MAX(0,tblPlan[[#This Row],[Required (h)]]-tblPlan[[#This Row],[Capacity (h)]])/ProdShare)</f>
        <v>330.018823529412</v>
      </c>
      <c r="S13" s="43">
        <f>IF(tblPlan[[#This Row],[Month]]="","",IF(tblPlan[[#This Row],[Attended (h)]]&gt;0,tblPlan[[#This Row],[Overtime (h)]]/tblPlan[[#This Row],[Attended (h)]],""))</f>
        <v>0.0817477219768474</v>
      </c>
      <c r="T13" s="44" t="str">
        <f>IF(tblPlan[[#This Row],[Month]]="","",IF(tblPlan[[#This Row],[Gap (heads)]]="","",IF(tblPlan[[#This Row],[Gap (heads)]]&gt;=0,"On target",IF(AND(ISNUMBER(tblPlan[[#This Row],[Overtime share]]),tblPlan[[#This Row],[Overtime share]]&lt;=OTCap),"Near target","Below target"))))</f>
        <v>Near target</v>
      </c>
      <c r="U13" s="40">
        <f>IF(tblPlan[[#This Row],[Month]]="","",IFERROR(INDEX(tblDepartments[Loaded rate (per h)],MATCH(tblPlan[[#This Row],[Department]],tblDepartments[Department],0)),""))</f>
        <v>38</v>
      </c>
      <c r="V13" s="41">
        <f>IF(tblPlan[[#This Row],[Month]]="","",(tblPlan[[#This Row],[Planned heads]]*tblPlan[[#This Row],[Paid per FTE (h)]]+tblPlan[[#This Row],[Overtime (h)]]*OTPremium)*tblPlan[[#This Row],[Loaded rate (per h)]])</f>
        <v>191179.072941176</v>
      </c>
      <c r="W13"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13" s="46" t="s">
        <v>109</v>
      </c>
    </row>
    <row r="14" spans="1:24">
      <c r="B14" s="34">
        <v>46600</v>
      </c>
      <c r="C14" s="28" t="s">
        <v>84</v>
      </c>
      <c r="D14" s="37">
        <v>2480</v>
      </c>
      <c r="E14" s="37">
        <v>0</v>
      </c>
      <c r="F14" s="37">
        <v>0</v>
      </c>
      <c r="G14" s="39">
        <f>IF(tblPlan[[#This Row],[Month]]="","",IFERROR(INDEX(tblMonths[Working days],MATCH(tblPlan[[#This Row],[Month]],tblMonths[Month],0)),""))</f>
        <v>22</v>
      </c>
      <c r="H14" s="40">
        <f>IF(tblPlan[[#This Row],[Month]]="","",IFERROR(INDEX(tblDepartments[Std hours (h/unit)],MATCH(tblPlan[[#This Row],[Department]],tblDepartments[Department],0)),""))</f>
        <v>1.6</v>
      </c>
      <c r="I14" s="41">
        <f>IF(tblPlan[[#This Row],[Month]]="","",IFERROR(INDEX(tblDepartments[Heads at start (people)],MATCH(tblPlan[[#This Row],[Department]],tblDepartments[Department],0)),""))</f>
        <v>25</v>
      </c>
      <c r="J14" s="41">
        <f>IF(tblPlan[[#This Row],[Month]]="","",tblPlan[[#This Row],[Demand (units)]]*tblPlan[[#This Row],[Std hours (h/unit)]])</f>
        <v>3968</v>
      </c>
      <c r="K14" s="39">
        <f>IF(tblPlan[[#This Row],[Month]]="","",tblPlan[[#This Row],[Working days]]*PaidHoursDay)</f>
        <v>176</v>
      </c>
      <c r="L14" s="39">
        <f>IF(tblPlan[[#This Row],[Month]]="","",tblPlan[[#This Row],[Paid per FTE (h)]]*(1-AbsenceRate)*ProdShare)</f>
        <v>133.144</v>
      </c>
      <c r="M14" s="39">
        <f>IF(tblPlan[[#This Row],[Month]]="","",IF(tblPlan[[#This Row],[Productive per FTE (h)]]&gt;0,tblPlan[[#This Row],[Required (h)]]/tblPlan[[#This Row],[Productive per FTE (h)]],""))</f>
        <v>29.8023192933966</v>
      </c>
      <c r="N14" s="41">
        <f>IF(tblPlan[[#This Row],[Month]]="","",tblPlan[[#This Row],[Heads at start (people)]]+SUMIFS(tblPlan[Hires (people)],tblPlan[Department],tblPlan[[#This Row],[Department]],tblPlan[Month],"&lt;="&amp;tblPlan[[#This Row],[Month]])-SUMIFS(tblPlan[Leavers (people)],tblPlan[Department],tblPlan[[#This Row],[Department]],tblPlan[Month],"&lt;="&amp;tblPlan[[#This Row],[Month]]))</f>
        <v>27</v>
      </c>
      <c r="O14" s="42">
        <f>IF(tblPlan[[#This Row],[Month]]="","",IF(tblPlan[[#This Row],[Required FTE]]="","",tblPlan[[#This Row],[Planned heads]]-tblPlan[[#This Row],[Required FTE]]))</f>
        <v>-2.80231929339662</v>
      </c>
      <c r="P14" s="41">
        <f>IF(tblPlan[[#This Row],[Month]]="","",tblPlan[[#This Row],[Planned heads]]*tblPlan[[#This Row],[Productive per FTE (h)]])</f>
        <v>3594.888</v>
      </c>
      <c r="Q14" s="41">
        <f>IF(tblPlan[[#This Row],[Month]]="","",tblPlan[[#This Row],[Planned heads]]*tblPlan[[#This Row],[Paid per FTE (h)]]*(1-AbsenceRate))</f>
        <v>4229.28</v>
      </c>
      <c r="R14" s="41">
        <f>IF(tblPlan[[#This Row],[Month]]="","",MAX(0,tblPlan[[#This Row],[Required (h)]]-tblPlan[[#This Row],[Capacity (h)]])/ProdShare)</f>
        <v>438.955294117647</v>
      </c>
      <c r="S14" s="43">
        <f>IF(tblPlan[[#This Row],[Month]]="","",IF(tblPlan[[#This Row],[Attended (h)]]&gt;0,tblPlan[[#This Row],[Overtime (h)]]/tblPlan[[#This Row],[Attended (h)]],""))</f>
        <v>0.103789603459134</v>
      </c>
      <c r="T14" s="44" t="str">
        <f>IF(tblPlan[[#This Row],[Month]]="","",IF(tblPlan[[#This Row],[Gap (heads)]]="","",IF(tblPlan[[#This Row],[Gap (heads)]]&gt;=0,"On target",IF(AND(ISNUMBER(tblPlan[[#This Row],[Overtime share]]),tblPlan[[#This Row],[Overtime share]]&lt;=OTCap),"Near target","Below target"))))</f>
        <v>Below target</v>
      </c>
      <c r="U14" s="40">
        <f>IF(tblPlan[[#This Row],[Month]]="","",IFERROR(INDEX(tblDepartments[Loaded rate (per h)],MATCH(tblPlan[[#This Row],[Department]],tblDepartments[Department],0)),""))</f>
        <v>38</v>
      </c>
      <c r="V14" s="41">
        <f>IF(tblPlan[[#This Row],[Month]]="","",(tblPlan[[#This Row],[Planned heads]]*tblPlan[[#This Row],[Paid per FTE (h)]]+tblPlan[[#This Row],[Overtime (h)]]*OTPremium)*tblPlan[[#This Row],[Loaded rate (per h)]])</f>
        <v>205596.451764706</v>
      </c>
      <c r="W14"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14" s="46" t="s">
        <v>109</v>
      </c>
    </row>
    <row r="15" spans="1:24">
      <c r="B15" s="34">
        <v>46631</v>
      </c>
      <c r="C15" s="28" t="s">
        <v>84</v>
      </c>
      <c r="D15" s="37">
        <v>2540</v>
      </c>
      <c r="E15" s="37">
        <v>0</v>
      </c>
      <c r="F15" s="37">
        <v>0</v>
      </c>
      <c r="G15" s="39">
        <f>IF(tblPlan[[#This Row],[Month]]="","",IFERROR(INDEX(tblMonths[Working days],MATCH(tblPlan[[#This Row],[Month]],tblMonths[Month],0)),""))</f>
        <v>21</v>
      </c>
      <c r="H15" s="40">
        <f>IF(tblPlan[[#This Row],[Month]]="","",IFERROR(INDEX(tblDepartments[Std hours (h/unit)],MATCH(tblPlan[[#This Row],[Department]],tblDepartments[Department],0)),""))</f>
        <v>1.6</v>
      </c>
      <c r="I15" s="41">
        <f>IF(tblPlan[[#This Row],[Month]]="","",IFERROR(INDEX(tblDepartments[Heads at start (people)],MATCH(tblPlan[[#This Row],[Department]],tblDepartments[Department],0)),""))</f>
        <v>25</v>
      </c>
      <c r="J15" s="41">
        <f>IF(tblPlan[[#This Row],[Month]]="","",tblPlan[[#This Row],[Demand (units)]]*tblPlan[[#This Row],[Std hours (h/unit)]])</f>
        <v>4064</v>
      </c>
      <c r="K15" s="39">
        <f>IF(tblPlan[[#This Row],[Month]]="","",tblPlan[[#This Row],[Working days]]*PaidHoursDay)</f>
        <v>168</v>
      </c>
      <c r="L15" s="39">
        <f>IF(tblPlan[[#This Row],[Month]]="","",tblPlan[[#This Row],[Paid per FTE (h)]]*(1-AbsenceRate)*ProdShare)</f>
        <v>127.092</v>
      </c>
      <c r="M15" s="39">
        <f>IF(tblPlan[[#This Row],[Month]]="","",IF(tblPlan[[#This Row],[Productive per FTE (h)]]&gt;0,tblPlan[[#This Row],[Required (h)]]/tblPlan[[#This Row],[Productive per FTE (h)]],""))</f>
        <v>31.9768356780915</v>
      </c>
      <c r="N15" s="41">
        <f>IF(tblPlan[[#This Row],[Month]]="","",tblPlan[[#This Row],[Heads at start (people)]]+SUMIFS(tblPlan[Hires (people)],tblPlan[Department],tblPlan[[#This Row],[Department]],tblPlan[Month],"&lt;="&amp;tblPlan[[#This Row],[Month]])-SUMIFS(tblPlan[Leavers (people)],tblPlan[Department],tblPlan[[#This Row],[Department]],tblPlan[Month],"&lt;="&amp;tblPlan[[#This Row],[Month]]))</f>
        <v>27</v>
      </c>
      <c r="O15" s="42">
        <f>IF(tblPlan[[#This Row],[Month]]="","",IF(tblPlan[[#This Row],[Required FTE]]="","",tblPlan[[#This Row],[Planned heads]]-tblPlan[[#This Row],[Required FTE]]))</f>
        <v>-4.97683567809146</v>
      </c>
      <c r="P15" s="41">
        <f>IF(tblPlan[[#This Row],[Month]]="","",tblPlan[[#This Row],[Planned heads]]*tblPlan[[#This Row],[Productive per FTE (h)]])</f>
        <v>3431.484</v>
      </c>
      <c r="Q15" s="41">
        <f>IF(tblPlan[[#This Row],[Month]]="","",tblPlan[[#This Row],[Planned heads]]*tblPlan[[#This Row],[Paid per FTE (h)]]*(1-AbsenceRate))</f>
        <v>4037.04</v>
      </c>
      <c r="R15" s="41">
        <f>IF(tblPlan[[#This Row],[Month]]="","",MAX(0,tblPlan[[#This Row],[Required (h)]]-tblPlan[[#This Row],[Capacity (h)]])/ProdShare)</f>
        <v>744.136470588235</v>
      </c>
      <c r="S15" s="43">
        <f>IF(tblPlan[[#This Row],[Month]]="","",IF(tblPlan[[#This Row],[Attended (h)]]&gt;0,tblPlan[[#This Row],[Overtime (h)]]/tblPlan[[#This Row],[Attended (h)]],""))</f>
        <v>0.184327247336721</v>
      </c>
      <c r="T15" s="44" t="str">
        <f>IF(tblPlan[[#This Row],[Month]]="","",IF(tblPlan[[#This Row],[Gap (heads)]]="","",IF(tblPlan[[#This Row],[Gap (heads)]]&gt;=0,"On target",IF(AND(ISNUMBER(tblPlan[[#This Row],[Overtime share]]),tblPlan[[#This Row],[Overtime share]]&lt;=OTCap),"Near target","Below target"))))</f>
        <v>Below target</v>
      </c>
      <c r="U15" s="40">
        <f>IF(tblPlan[[#This Row],[Month]]="","",IFERROR(INDEX(tblDepartments[Loaded rate (per h)],MATCH(tblPlan[[#This Row],[Department]],tblDepartments[Department],0)),""))</f>
        <v>38</v>
      </c>
      <c r="V15" s="41">
        <f>IF(tblPlan[[#This Row],[Month]]="","",(tblPlan[[#This Row],[Planned heads]]*tblPlan[[#This Row],[Paid per FTE (h)]]+tblPlan[[#This Row],[Overtime (h)]]*OTPremium)*tblPlan[[#This Row],[Loaded rate (per h)]])</f>
        <v>214783.778823529</v>
      </c>
      <c r="W15"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15" s="46" t="s">
        <v>109</v>
      </c>
    </row>
    <row r="16" spans="1:24">
      <c r="B16" s="34">
        <v>46661</v>
      </c>
      <c r="C16" s="28" t="s">
        <v>84</v>
      </c>
      <c r="D16" s="37">
        <v>2380</v>
      </c>
      <c r="E16" s="37">
        <v>0</v>
      </c>
      <c r="F16" s="37">
        <v>1</v>
      </c>
      <c r="G16" s="39">
        <f>IF(tblPlan[[#This Row],[Month]]="","",IFERROR(INDEX(tblMonths[Working days],MATCH(tblPlan[[#This Row],[Month]],tblMonths[Month],0)),""))</f>
        <v>21</v>
      </c>
      <c r="H16" s="40">
        <f>IF(tblPlan[[#This Row],[Month]]="","",IFERROR(INDEX(tblDepartments[Std hours (h/unit)],MATCH(tblPlan[[#This Row],[Department]],tblDepartments[Department],0)),""))</f>
        <v>1.6</v>
      </c>
      <c r="I16" s="41">
        <f>IF(tblPlan[[#This Row],[Month]]="","",IFERROR(INDEX(tblDepartments[Heads at start (people)],MATCH(tblPlan[[#This Row],[Department]],tblDepartments[Department],0)),""))</f>
        <v>25</v>
      </c>
      <c r="J16" s="41">
        <f>IF(tblPlan[[#This Row],[Month]]="","",tblPlan[[#This Row],[Demand (units)]]*tblPlan[[#This Row],[Std hours (h/unit)]])</f>
        <v>3808</v>
      </c>
      <c r="K16" s="39">
        <f>IF(tblPlan[[#This Row],[Month]]="","",tblPlan[[#This Row],[Working days]]*PaidHoursDay)</f>
        <v>168</v>
      </c>
      <c r="L16" s="39">
        <f>IF(tblPlan[[#This Row],[Month]]="","",tblPlan[[#This Row],[Paid per FTE (h)]]*(1-AbsenceRate)*ProdShare)</f>
        <v>127.092</v>
      </c>
      <c r="M16" s="39">
        <f>IF(tblPlan[[#This Row],[Month]]="","",IF(tblPlan[[#This Row],[Productive per FTE (h)]]&gt;0,tblPlan[[#This Row],[Required (h)]]/tblPlan[[#This Row],[Productive per FTE (h)]],""))</f>
        <v>29.9625468164794</v>
      </c>
      <c r="N16" s="41">
        <f>IF(tblPlan[[#This Row],[Month]]="","",tblPlan[[#This Row],[Heads at start (people)]]+SUMIFS(tblPlan[Hires (people)],tblPlan[Department],tblPlan[[#This Row],[Department]],tblPlan[Month],"&lt;="&amp;tblPlan[[#This Row],[Month]])-SUMIFS(tblPlan[Leavers (people)],tblPlan[Department],tblPlan[[#This Row],[Department]],tblPlan[Month],"&lt;="&amp;tblPlan[[#This Row],[Month]]))</f>
        <v>26</v>
      </c>
      <c r="O16" s="42">
        <f>IF(tblPlan[[#This Row],[Month]]="","",IF(tblPlan[[#This Row],[Required FTE]]="","",tblPlan[[#This Row],[Planned heads]]-tblPlan[[#This Row],[Required FTE]]))</f>
        <v>-3.9625468164794</v>
      </c>
      <c r="P16" s="41">
        <f>IF(tblPlan[[#This Row],[Month]]="","",tblPlan[[#This Row],[Planned heads]]*tblPlan[[#This Row],[Productive per FTE (h)]])</f>
        <v>3304.392</v>
      </c>
      <c r="Q16" s="41">
        <f>IF(tblPlan[[#This Row],[Month]]="","",tblPlan[[#This Row],[Planned heads]]*tblPlan[[#This Row],[Paid per FTE (h)]]*(1-AbsenceRate))</f>
        <v>3887.52</v>
      </c>
      <c r="R16" s="41">
        <f>IF(tblPlan[[#This Row],[Month]]="","",MAX(0,tblPlan[[#This Row],[Required (h)]]-tblPlan[[#This Row],[Capacity (h)]])/ProdShare)</f>
        <v>592.48</v>
      </c>
      <c r="S16" s="43">
        <f>IF(tblPlan[[#This Row],[Month]]="","",IF(tblPlan[[#This Row],[Attended (h)]]&gt;0,tblPlan[[#This Row],[Overtime (h)]]/tblPlan[[#This Row],[Attended (h)]],""))</f>
        <v>0.152405646787669</v>
      </c>
      <c r="T16" s="44" t="str">
        <f>IF(tblPlan[[#This Row],[Month]]="","",IF(tblPlan[[#This Row],[Gap (heads)]]="","",IF(tblPlan[[#This Row],[Gap (heads)]]&gt;=0,"On target",IF(AND(ISNUMBER(tblPlan[[#This Row],[Overtime share]]),tblPlan[[#This Row],[Overtime share]]&lt;=OTCap),"Near target","Below target"))))</f>
        <v>Below target</v>
      </c>
      <c r="U16" s="40">
        <f>IF(tblPlan[[#This Row],[Month]]="","",IFERROR(INDEX(tblDepartments[Loaded rate (per h)],MATCH(tblPlan[[#This Row],[Department]],tblDepartments[Department],0)),""))</f>
        <v>38</v>
      </c>
      <c r="V16" s="41">
        <f>IF(tblPlan[[#This Row],[Month]]="","",(tblPlan[[#This Row],[Planned heads]]*tblPlan[[#This Row],[Paid per FTE (h)]]+tblPlan[[#This Row],[Overtime (h)]]*OTPremium)*tblPlan[[#This Row],[Loaded rate (per h)]])</f>
        <v>199755.36</v>
      </c>
      <c r="W16"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16" s="46" t="s">
        <v>109</v>
      </c>
    </row>
    <row r="17" spans="2:24">
      <c r="B17" s="34">
        <v>46692</v>
      </c>
      <c r="C17" s="28" t="s">
        <v>84</v>
      </c>
      <c r="D17" s="37">
        <v>2050</v>
      </c>
      <c r="E17" s="37">
        <v>1</v>
      </c>
      <c r="F17" s="37">
        <v>0</v>
      </c>
      <c r="G17" s="39">
        <f>IF(tblPlan[[#This Row],[Month]]="","",IFERROR(INDEX(tblMonths[Working days],MATCH(tblPlan[[#This Row],[Month]],tblMonths[Month],0)),""))</f>
        <v>20</v>
      </c>
      <c r="H17" s="40">
        <f>IF(tblPlan[[#This Row],[Month]]="","",IFERROR(INDEX(tblDepartments[Std hours (h/unit)],MATCH(tblPlan[[#This Row],[Department]],tblDepartments[Department],0)),""))</f>
        <v>1.6</v>
      </c>
      <c r="I17" s="41">
        <f>IF(tblPlan[[#This Row],[Month]]="","",IFERROR(INDEX(tblDepartments[Heads at start (people)],MATCH(tblPlan[[#This Row],[Department]],tblDepartments[Department],0)),""))</f>
        <v>25</v>
      </c>
      <c r="J17" s="41">
        <f>IF(tblPlan[[#This Row],[Month]]="","",tblPlan[[#This Row],[Demand (units)]]*tblPlan[[#This Row],[Std hours (h/unit)]])</f>
        <v>3280</v>
      </c>
      <c r="K17" s="39">
        <f>IF(tblPlan[[#This Row],[Month]]="","",tblPlan[[#This Row],[Working days]]*PaidHoursDay)</f>
        <v>160</v>
      </c>
      <c r="L17" s="39">
        <f>IF(tblPlan[[#This Row],[Month]]="","",tblPlan[[#This Row],[Paid per FTE (h)]]*(1-AbsenceRate)*ProdShare)</f>
        <v>121.04</v>
      </c>
      <c r="M17" s="39">
        <f>IF(tblPlan[[#This Row],[Month]]="","",IF(tblPlan[[#This Row],[Productive per FTE (h)]]&gt;0,tblPlan[[#This Row],[Required (h)]]/tblPlan[[#This Row],[Productive per FTE (h)]],""))</f>
        <v>27.0984798413748</v>
      </c>
      <c r="N17" s="41">
        <f>IF(tblPlan[[#This Row],[Month]]="","",tblPlan[[#This Row],[Heads at start (people)]]+SUMIFS(tblPlan[Hires (people)],tblPlan[Department],tblPlan[[#This Row],[Department]],tblPlan[Month],"&lt;="&amp;tblPlan[[#This Row],[Month]])-SUMIFS(tblPlan[Leavers (people)],tblPlan[Department],tblPlan[[#This Row],[Department]],tblPlan[Month],"&lt;="&amp;tblPlan[[#This Row],[Month]]))</f>
        <v>27</v>
      </c>
      <c r="O17" s="42">
        <f>IF(tblPlan[[#This Row],[Month]]="","",IF(tblPlan[[#This Row],[Required FTE]]="","",tblPlan[[#This Row],[Planned heads]]-tblPlan[[#This Row],[Required FTE]]))</f>
        <v>-0.0984798413747505</v>
      </c>
      <c r="P17" s="41">
        <f>IF(tblPlan[[#This Row],[Month]]="","",tblPlan[[#This Row],[Planned heads]]*tblPlan[[#This Row],[Productive per FTE (h)]])</f>
        <v>3268.08</v>
      </c>
      <c r="Q17" s="41">
        <f>IF(tblPlan[[#This Row],[Month]]="","",tblPlan[[#This Row],[Planned heads]]*tblPlan[[#This Row],[Paid per FTE (h)]]*(1-AbsenceRate))</f>
        <v>3844.8</v>
      </c>
      <c r="R17" s="41">
        <f>IF(tblPlan[[#This Row],[Month]]="","",MAX(0,tblPlan[[#This Row],[Required (h)]]-tblPlan[[#This Row],[Capacity (h)]])/ProdShare)</f>
        <v>14.0235294117643</v>
      </c>
      <c r="S17" s="43">
        <f>IF(tblPlan[[#This Row],[Month]]="","",IF(tblPlan[[#This Row],[Attended (h)]]&gt;0,tblPlan[[#This Row],[Overtime (h)]]/tblPlan[[#This Row],[Attended (h)]],""))</f>
        <v>0.00364740153239811</v>
      </c>
      <c r="T17" s="44" t="str">
        <f>IF(tblPlan[[#This Row],[Month]]="","",IF(tblPlan[[#This Row],[Gap (heads)]]="","",IF(tblPlan[[#This Row],[Gap (heads)]]&gt;=0,"On target",IF(AND(ISNUMBER(tblPlan[[#This Row],[Overtime share]]),tblPlan[[#This Row],[Overtime share]]&lt;=OTCap),"Near target","Below target"))))</f>
        <v>Near target</v>
      </c>
      <c r="U17" s="40">
        <f>IF(tblPlan[[#This Row],[Month]]="","",IFERROR(INDEX(tblDepartments[Loaded rate (per h)],MATCH(tblPlan[[#This Row],[Department]],tblDepartments[Department],0)),""))</f>
        <v>38</v>
      </c>
      <c r="V17" s="41">
        <f>IF(tblPlan[[#This Row],[Month]]="","",(tblPlan[[#This Row],[Planned heads]]*tblPlan[[#This Row],[Paid per FTE (h)]]+tblPlan[[#This Row],[Overtime (h)]]*OTPremium)*tblPlan[[#This Row],[Loaded rate (per h)]])</f>
        <v>164959.341176471</v>
      </c>
      <c r="W17"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17" s="46" t="s">
        <v>110</v>
      </c>
    </row>
    <row r="18" spans="2:24">
      <c r="B18" s="34">
        <v>46722</v>
      </c>
      <c r="C18" s="28" t="s">
        <v>84</v>
      </c>
      <c r="D18" s="37">
        <v>1730</v>
      </c>
      <c r="E18" s="37">
        <v>0</v>
      </c>
      <c r="F18" s="37">
        <v>1</v>
      </c>
      <c r="G18" s="39">
        <f>IF(tblPlan[[#This Row],[Month]]="","",IFERROR(INDEX(tblMonths[Working days],MATCH(tblPlan[[#This Row],[Month]],tblMonths[Month],0)),""))</f>
        <v>19</v>
      </c>
      <c r="H18" s="40">
        <f>IF(tblPlan[[#This Row],[Month]]="","",IFERROR(INDEX(tblDepartments[Std hours (h/unit)],MATCH(tblPlan[[#This Row],[Department]],tblDepartments[Department],0)),""))</f>
        <v>1.6</v>
      </c>
      <c r="I18" s="41">
        <f>IF(tblPlan[[#This Row],[Month]]="","",IFERROR(INDEX(tblDepartments[Heads at start (people)],MATCH(tblPlan[[#This Row],[Department]],tblDepartments[Department],0)),""))</f>
        <v>25</v>
      </c>
      <c r="J18" s="41">
        <f>IF(tblPlan[[#This Row],[Month]]="","",tblPlan[[#This Row],[Demand (units)]]*tblPlan[[#This Row],[Std hours (h/unit)]])</f>
        <v>2768</v>
      </c>
      <c r="K18" s="39">
        <f>IF(tblPlan[[#This Row],[Month]]="","",tblPlan[[#This Row],[Working days]]*PaidHoursDay)</f>
        <v>152</v>
      </c>
      <c r="L18" s="39">
        <f>IF(tblPlan[[#This Row],[Month]]="","",tblPlan[[#This Row],[Paid per FTE (h)]]*(1-AbsenceRate)*ProdShare)</f>
        <v>114.988</v>
      </c>
      <c r="M18" s="39">
        <f>IF(tblPlan[[#This Row],[Month]]="","",IF(tblPlan[[#This Row],[Productive per FTE (h)]]&gt;0,tblPlan[[#This Row],[Required (h)]]/tblPlan[[#This Row],[Productive per FTE (h)]],""))</f>
        <v>24.0720770863047</v>
      </c>
      <c r="N18" s="41">
        <f>IF(tblPlan[[#This Row],[Month]]="","",tblPlan[[#This Row],[Heads at start (people)]]+SUMIFS(tblPlan[Hires (people)],tblPlan[Department],tblPlan[[#This Row],[Department]],tblPlan[Month],"&lt;="&amp;tblPlan[[#This Row],[Month]])-SUMIFS(tblPlan[Leavers (people)],tblPlan[Department],tblPlan[[#This Row],[Department]],tblPlan[Month],"&lt;="&amp;tblPlan[[#This Row],[Month]]))</f>
        <v>26</v>
      </c>
      <c r="O18" s="42">
        <f>IF(tblPlan[[#This Row],[Month]]="","",IF(tblPlan[[#This Row],[Required FTE]]="","",tblPlan[[#This Row],[Planned heads]]-tblPlan[[#This Row],[Required FTE]]))</f>
        <v>1.92792291369534</v>
      </c>
      <c r="P18" s="41">
        <f>IF(tblPlan[[#This Row],[Month]]="","",tblPlan[[#This Row],[Planned heads]]*tblPlan[[#This Row],[Productive per FTE (h)]])</f>
        <v>2989.688</v>
      </c>
      <c r="Q18" s="41">
        <f>IF(tblPlan[[#This Row],[Month]]="","",tblPlan[[#This Row],[Planned heads]]*tblPlan[[#This Row],[Paid per FTE (h)]]*(1-AbsenceRate))</f>
        <v>3517.28</v>
      </c>
      <c r="R18" s="41">
        <f>IF(tblPlan[[#This Row],[Month]]="","",MAX(0,tblPlan[[#This Row],[Required (h)]]-tblPlan[[#This Row],[Capacity (h)]])/ProdShare)</f>
        <v>0</v>
      </c>
      <c r="S18" s="43">
        <f>IF(tblPlan[[#This Row],[Month]]="","",IF(tblPlan[[#This Row],[Attended (h)]]&gt;0,tblPlan[[#This Row],[Overtime (h)]]/tblPlan[[#This Row],[Attended (h)]],""))</f>
        <v>0</v>
      </c>
      <c r="T18" s="44" t="str">
        <f>IF(tblPlan[[#This Row],[Month]]="","",IF(tblPlan[[#This Row],[Gap (heads)]]="","",IF(tblPlan[[#This Row],[Gap (heads)]]&gt;=0,"On target",IF(AND(ISNUMBER(tblPlan[[#This Row],[Overtime share]]),tblPlan[[#This Row],[Overtime share]]&lt;=OTCap),"Near target","Below target"))))</f>
        <v>On target</v>
      </c>
      <c r="U18" s="40">
        <f>IF(tblPlan[[#This Row],[Month]]="","",IFERROR(INDEX(tblDepartments[Loaded rate (per h)],MATCH(tblPlan[[#This Row],[Department]],tblDepartments[Department],0)),""))</f>
        <v>38</v>
      </c>
      <c r="V18" s="41">
        <f>IF(tblPlan[[#This Row],[Month]]="","",(tblPlan[[#This Row],[Planned heads]]*tblPlan[[#This Row],[Paid per FTE (h)]]+tblPlan[[#This Row],[Overtime (h)]]*OTPremium)*tblPlan[[#This Row],[Loaded rate (per h)]])</f>
        <v>150176</v>
      </c>
      <c r="W18"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18" s="46" t="s">
        <v>109</v>
      </c>
    </row>
    <row r="19" spans="2:24">
      <c r="B19" s="34">
        <v>46388</v>
      </c>
      <c r="C19" s="28" t="s">
        <v>86</v>
      </c>
      <c r="D19" s="37">
        <v>1650</v>
      </c>
      <c r="E19" s="37">
        <v>0</v>
      </c>
      <c r="F19" s="37">
        <v>0</v>
      </c>
      <c r="G19" s="39">
        <f>IF(tblPlan[[#This Row],[Month]]="","",IFERROR(INDEX(tblMonths[Working days],MATCH(tblPlan[[#This Row],[Month]],tblMonths[Month],0)),""))</f>
        <v>20</v>
      </c>
      <c r="H19" s="40">
        <f>IF(tblPlan[[#This Row],[Month]]="","",IFERROR(INDEX(tblDepartments[Std hours (h/unit)],MATCH(tblPlan[[#This Row],[Department]],tblDepartments[Department],0)),""))</f>
        <v>1.1</v>
      </c>
      <c r="I19" s="41">
        <f>IF(tblPlan[[#This Row],[Month]]="","",IFERROR(INDEX(tblDepartments[Heads at start (people)],MATCH(tblPlan[[#This Row],[Department]],tblDepartments[Department],0)),""))</f>
        <v>16</v>
      </c>
      <c r="J19" s="41">
        <f>IF(tblPlan[[#This Row],[Month]]="","",tblPlan[[#This Row],[Demand (units)]]*tblPlan[[#This Row],[Std hours (h/unit)]])</f>
        <v>1815</v>
      </c>
      <c r="K19" s="39">
        <f>IF(tblPlan[[#This Row],[Month]]="","",tblPlan[[#This Row],[Working days]]*PaidHoursDay)</f>
        <v>160</v>
      </c>
      <c r="L19" s="39">
        <f>IF(tblPlan[[#This Row],[Month]]="","",tblPlan[[#This Row],[Paid per FTE (h)]]*(1-AbsenceRate)*ProdShare)</f>
        <v>121.04</v>
      </c>
      <c r="M19" s="39">
        <f>IF(tblPlan[[#This Row],[Month]]="","",IF(tblPlan[[#This Row],[Productive per FTE (h)]]&gt;0,tblPlan[[#This Row],[Required (h)]]/tblPlan[[#This Row],[Productive per FTE (h)]],""))</f>
        <v>14.9950429610046</v>
      </c>
      <c r="N19" s="41">
        <f>IF(tblPlan[[#This Row],[Month]]="","",tblPlan[[#This Row],[Heads at start (people)]]+SUMIFS(tblPlan[Hires (people)],tblPlan[Department],tblPlan[[#This Row],[Department]],tblPlan[Month],"&lt;="&amp;tblPlan[[#This Row],[Month]])-SUMIFS(tblPlan[Leavers (people)],tblPlan[Department],tblPlan[[#This Row],[Department]],tblPlan[Month],"&lt;="&amp;tblPlan[[#This Row],[Month]]))</f>
        <v>16</v>
      </c>
      <c r="O19" s="42">
        <f>IF(tblPlan[[#This Row],[Month]]="","",IF(tblPlan[[#This Row],[Required FTE]]="","",tblPlan[[#This Row],[Planned heads]]-tblPlan[[#This Row],[Required FTE]]))</f>
        <v>1.00495703899537</v>
      </c>
      <c r="P19" s="41">
        <f>IF(tblPlan[[#This Row],[Month]]="","",tblPlan[[#This Row],[Planned heads]]*tblPlan[[#This Row],[Productive per FTE (h)]])</f>
        <v>1936.64</v>
      </c>
      <c r="Q19" s="41">
        <f>IF(tblPlan[[#This Row],[Month]]="","",tblPlan[[#This Row],[Planned heads]]*tblPlan[[#This Row],[Paid per FTE (h)]]*(1-AbsenceRate))</f>
        <v>2278.4</v>
      </c>
      <c r="R19" s="41">
        <f>IF(tblPlan[[#This Row],[Month]]="","",MAX(0,tblPlan[[#This Row],[Required (h)]]-tblPlan[[#This Row],[Capacity (h)]])/ProdShare)</f>
        <v>0</v>
      </c>
      <c r="S19" s="43">
        <f>IF(tblPlan[[#This Row],[Month]]="","",IF(tblPlan[[#This Row],[Attended (h)]]&gt;0,tblPlan[[#This Row],[Overtime (h)]]/tblPlan[[#This Row],[Attended (h)]],""))</f>
        <v>0</v>
      </c>
      <c r="T19" s="44" t="str">
        <f>IF(tblPlan[[#This Row],[Month]]="","",IF(tblPlan[[#This Row],[Gap (heads)]]="","",IF(tblPlan[[#This Row],[Gap (heads)]]&gt;=0,"On target",IF(AND(ISNUMBER(tblPlan[[#This Row],[Overtime share]]),tblPlan[[#This Row],[Overtime share]]&lt;=OTCap),"Near target","Below target"))))</f>
        <v>On target</v>
      </c>
      <c r="U19" s="40">
        <f>IF(tblPlan[[#This Row],[Month]]="","",IFERROR(INDEX(tblDepartments[Loaded rate (per h)],MATCH(tblPlan[[#This Row],[Department]],tblDepartments[Department],0)),""))</f>
        <v>36</v>
      </c>
      <c r="V19" s="41">
        <f>IF(tblPlan[[#This Row],[Month]]="","",(tblPlan[[#This Row],[Planned heads]]*tblPlan[[#This Row],[Paid per FTE (h)]]+tblPlan[[#This Row],[Overtime (h)]]*OTPremium)*tblPlan[[#This Row],[Loaded rate (per h)]])</f>
        <v>92160</v>
      </c>
      <c r="W19"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19" s="46" t="s">
        <v>109</v>
      </c>
    </row>
    <row r="20" spans="2:24">
      <c r="B20" s="34">
        <v>46419</v>
      </c>
      <c r="C20" s="28" t="s">
        <v>86</v>
      </c>
      <c r="D20" s="37">
        <v>1700</v>
      </c>
      <c r="E20" s="37">
        <v>0</v>
      </c>
      <c r="F20" s="37">
        <v>0</v>
      </c>
      <c r="G20" s="39">
        <f>IF(tblPlan[[#This Row],[Month]]="","",IFERROR(INDEX(tblMonths[Working days],MATCH(tblPlan[[#This Row],[Month]],tblMonths[Month],0)),""))</f>
        <v>20</v>
      </c>
      <c r="H20" s="40">
        <f>IF(tblPlan[[#This Row],[Month]]="","",IFERROR(INDEX(tblDepartments[Std hours (h/unit)],MATCH(tblPlan[[#This Row],[Department]],tblDepartments[Department],0)),""))</f>
        <v>1.1</v>
      </c>
      <c r="I20" s="41">
        <f>IF(tblPlan[[#This Row],[Month]]="","",IFERROR(INDEX(tblDepartments[Heads at start (people)],MATCH(tblPlan[[#This Row],[Department]],tblDepartments[Department],0)),""))</f>
        <v>16</v>
      </c>
      <c r="J20" s="41">
        <f>IF(tblPlan[[#This Row],[Month]]="","",tblPlan[[#This Row],[Demand (units)]]*tblPlan[[#This Row],[Std hours (h/unit)]])</f>
        <v>1870</v>
      </c>
      <c r="K20" s="39">
        <f>IF(tblPlan[[#This Row],[Month]]="","",tblPlan[[#This Row],[Working days]]*PaidHoursDay)</f>
        <v>160</v>
      </c>
      <c r="L20" s="39">
        <f>IF(tblPlan[[#This Row],[Month]]="","",tblPlan[[#This Row],[Paid per FTE (h)]]*(1-AbsenceRate)*ProdShare)</f>
        <v>121.04</v>
      </c>
      <c r="M20" s="39">
        <f>IF(tblPlan[[#This Row],[Month]]="","",IF(tblPlan[[#This Row],[Productive per FTE (h)]]&gt;0,tblPlan[[#This Row],[Required (h)]]/tblPlan[[#This Row],[Productive per FTE (h)]],""))</f>
        <v>15.4494382022472</v>
      </c>
      <c r="N20" s="41">
        <f>IF(tblPlan[[#This Row],[Month]]="","",tblPlan[[#This Row],[Heads at start (people)]]+SUMIFS(tblPlan[Hires (people)],tblPlan[Department],tblPlan[[#This Row],[Department]],tblPlan[Month],"&lt;="&amp;tblPlan[[#This Row],[Month]])-SUMIFS(tblPlan[Leavers (people)],tblPlan[Department],tblPlan[[#This Row],[Department]],tblPlan[Month],"&lt;="&amp;tblPlan[[#This Row],[Month]]))</f>
        <v>16</v>
      </c>
      <c r="O20" s="42">
        <f>IF(tblPlan[[#This Row],[Month]]="","",IF(tblPlan[[#This Row],[Required FTE]]="","",tblPlan[[#This Row],[Planned heads]]-tblPlan[[#This Row],[Required FTE]]))</f>
        <v>0.550561797752808</v>
      </c>
      <c r="P20" s="41">
        <f>IF(tblPlan[[#This Row],[Month]]="","",tblPlan[[#This Row],[Planned heads]]*tblPlan[[#This Row],[Productive per FTE (h)]])</f>
        <v>1936.64</v>
      </c>
      <c r="Q20" s="41">
        <f>IF(tblPlan[[#This Row],[Month]]="","",tblPlan[[#This Row],[Planned heads]]*tblPlan[[#This Row],[Paid per FTE (h)]]*(1-AbsenceRate))</f>
        <v>2278.4</v>
      </c>
      <c r="R20" s="41">
        <f>IF(tblPlan[[#This Row],[Month]]="","",MAX(0,tblPlan[[#This Row],[Required (h)]]-tblPlan[[#This Row],[Capacity (h)]])/ProdShare)</f>
        <v>0</v>
      </c>
      <c r="S20" s="43">
        <f>IF(tblPlan[[#This Row],[Month]]="","",IF(tblPlan[[#This Row],[Attended (h)]]&gt;0,tblPlan[[#This Row],[Overtime (h)]]/tblPlan[[#This Row],[Attended (h)]],""))</f>
        <v>0</v>
      </c>
      <c r="T20" s="44" t="str">
        <f>IF(tblPlan[[#This Row],[Month]]="","",IF(tblPlan[[#This Row],[Gap (heads)]]="","",IF(tblPlan[[#This Row],[Gap (heads)]]&gt;=0,"On target",IF(AND(ISNUMBER(tblPlan[[#This Row],[Overtime share]]),tblPlan[[#This Row],[Overtime share]]&lt;=OTCap),"Near target","Below target"))))</f>
        <v>On target</v>
      </c>
      <c r="U20" s="40">
        <f>IF(tblPlan[[#This Row],[Month]]="","",IFERROR(INDEX(tblDepartments[Loaded rate (per h)],MATCH(tblPlan[[#This Row],[Department]],tblDepartments[Department],0)),""))</f>
        <v>36</v>
      </c>
      <c r="V20" s="41">
        <f>IF(tblPlan[[#This Row],[Month]]="","",(tblPlan[[#This Row],[Planned heads]]*tblPlan[[#This Row],[Paid per FTE (h)]]+tblPlan[[#This Row],[Overtime (h)]]*OTPremium)*tblPlan[[#This Row],[Loaded rate (per h)]])</f>
        <v>92160</v>
      </c>
      <c r="W20"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20" s="46" t="s">
        <v>109</v>
      </c>
    </row>
    <row r="21" spans="2:24">
      <c r="B21" s="34">
        <v>46447</v>
      </c>
      <c r="C21" s="28" t="s">
        <v>86</v>
      </c>
      <c r="D21" s="37">
        <v>1850</v>
      </c>
      <c r="E21" s="37">
        <v>0</v>
      </c>
      <c r="F21" s="37">
        <v>0</v>
      </c>
      <c r="G21" s="39">
        <f>IF(tblPlan[[#This Row],[Month]]="","",IFERROR(INDEX(tblMonths[Working days],MATCH(tblPlan[[#This Row],[Month]],tblMonths[Month],0)),""))</f>
        <v>23</v>
      </c>
      <c r="H21" s="40">
        <f>IF(tblPlan[[#This Row],[Month]]="","",IFERROR(INDEX(tblDepartments[Std hours (h/unit)],MATCH(tblPlan[[#This Row],[Department]],tblDepartments[Department],0)),""))</f>
        <v>1.1</v>
      </c>
      <c r="I21" s="41">
        <f>IF(tblPlan[[#This Row],[Month]]="","",IFERROR(INDEX(tblDepartments[Heads at start (people)],MATCH(tblPlan[[#This Row],[Department]],tblDepartments[Department],0)),""))</f>
        <v>16</v>
      </c>
      <c r="J21" s="41">
        <f>IF(tblPlan[[#This Row],[Month]]="","",tblPlan[[#This Row],[Demand (units)]]*tblPlan[[#This Row],[Std hours (h/unit)]])</f>
        <v>2035</v>
      </c>
      <c r="K21" s="39">
        <f>IF(tblPlan[[#This Row],[Month]]="","",tblPlan[[#This Row],[Working days]]*PaidHoursDay)</f>
        <v>184</v>
      </c>
      <c r="L21" s="39">
        <f>IF(tblPlan[[#This Row],[Month]]="","",tblPlan[[#This Row],[Paid per FTE (h)]]*(1-AbsenceRate)*ProdShare)</f>
        <v>139.196</v>
      </c>
      <c r="M21" s="39">
        <f>IF(tblPlan[[#This Row],[Month]]="","",IF(tblPlan[[#This Row],[Productive per FTE (h)]]&gt;0,tblPlan[[#This Row],[Required (h)]]/tblPlan[[#This Row],[Productive per FTE (h)]],""))</f>
        <v>14.6196729791086</v>
      </c>
      <c r="N21" s="41">
        <f>IF(tblPlan[[#This Row],[Month]]="","",tblPlan[[#This Row],[Heads at start (people)]]+SUMIFS(tblPlan[Hires (people)],tblPlan[Department],tblPlan[[#This Row],[Department]],tblPlan[Month],"&lt;="&amp;tblPlan[[#This Row],[Month]])-SUMIFS(tblPlan[Leavers (people)],tblPlan[Department],tblPlan[[#This Row],[Department]],tblPlan[Month],"&lt;="&amp;tblPlan[[#This Row],[Month]]))</f>
        <v>16</v>
      </c>
      <c r="O21" s="42">
        <f>IF(tblPlan[[#This Row],[Month]]="","",IF(tblPlan[[#This Row],[Required FTE]]="","",tblPlan[[#This Row],[Planned heads]]-tblPlan[[#This Row],[Required FTE]]))</f>
        <v>1.3803270208914</v>
      </c>
      <c r="P21" s="41">
        <f>IF(tblPlan[[#This Row],[Month]]="","",tblPlan[[#This Row],[Planned heads]]*tblPlan[[#This Row],[Productive per FTE (h)]])</f>
        <v>2227.136</v>
      </c>
      <c r="Q21" s="41">
        <f>IF(tblPlan[[#This Row],[Month]]="","",tblPlan[[#This Row],[Planned heads]]*tblPlan[[#This Row],[Paid per FTE (h)]]*(1-AbsenceRate))</f>
        <v>2620.16</v>
      </c>
      <c r="R21" s="41">
        <f>IF(tblPlan[[#This Row],[Month]]="","",MAX(0,tblPlan[[#This Row],[Required (h)]]-tblPlan[[#This Row],[Capacity (h)]])/ProdShare)</f>
        <v>0</v>
      </c>
      <c r="S21" s="43">
        <f>IF(tblPlan[[#This Row],[Month]]="","",IF(tblPlan[[#This Row],[Attended (h)]]&gt;0,tblPlan[[#This Row],[Overtime (h)]]/tblPlan[[#This Row],[Attended (h)]],""))</f>
        <v>0</v>
      </c>
      <c r="T21" s="44" t="str">
        <f>IF(tblPlan[[#This Row],[Month]]="","",IF(tblPlan[[#This Row],[Gap (heads)]]="","",IF(tblPlan[[#This Row],[Gap (heads)]]&gt;=0,"On target",IF(AND(ISNUMBER(tblPlan[[#This Row],[Overtime share]]),tblPlan[[#This Row],[Overtime share]]&lt;=OTCap),"Near target","Below target"))))</f>
        <v>On target</v>
      </c>
      <c r="U21" s="40">
        <f>IF(tblPlan[[#This Row],[Month]]="","",IFERROR(INDEX(tblDepartments[Loaded rate (per h)],MATCH(tblPlan[[#This Row],[Department]],tblDepartments[Department],0)),""))</f>
        <v>36</v>
      </c>
      <c r="V21" s="41">
        <f>IF(tblPlan[[#This Row],[Month]]="","",(tblPlan[[#This Row],[Planned heads]]*tblPlan[[#This Row],[Paid per FTE (h)]]+tblPlan[[#This Row],[Overtime (h)]]*OTPremium)*tblPlan[[#This Row],[Loaded rate (per h)]])</f>
        <v>105984</v>
      </c>
      <c r="W21"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21" s="46" t="s">
        <v>109</v>
      </c>
    </row>
    <row r="22" spans="2:24">
      <c r="B22" s="34">
        <v>46478</v>
      </c>
      <c r="C22" s="28" t="s">
        <v>86</v>
      </c>
      <c r="D22" s="37">
        <v>1900</v>
      </c>
      <c r="E22" s="37">
        <v>0</v>
      </c>
      <c r="F22" s="37">
        <v>1</v>
      </c>
      <c r="G22" s="39">
        <f>IF(tblPlan[[#This Row],[Month]]="","",IFERROR(INDEX(tblMonths[Working days],MATCH(tblPlan[[#This Row],[Month]],tblMonths[Month],0)),""))</f>
        <v>21</v>
      </c>
      <c r="H22" s="40">
        <f>IF(tblPlan[[#This Row],[Month]]="","",IFERROR(INDEX(tblDepartments[Std hours (h/unit)],MATCH(tblPlan[[#This Row],[Department]],tblDepartments[Department],0)),""))</f>
        <v>1.1</v>
      </c>
      <c r="I22" s="41">
        <f>IF(tblPlan[[#This Row],[Month]]="","",IFERROR(INDEX(tblDepartments[Heads at start (people)],MATCH(tblPlan[[#This Row],[Department]],tblDepartments[Department],0)),""))</f>
        <v>16</v>
      </c>
      <c r="J22" s="41">
        <f>IF(tblPlan[[#This Row],[Month]]="","",tblPlan[[#This Row],[Demand (units)]]*tblPlan[[#This Row],[Std hours (h/unit)]])</f>
        <v>2090</v>
      </c>
      <c r="K22" s="39">
        <f>IF(tblPlan[[#This Row],[Month]]="","",tblPlan[[#This Row],[Working days]]*PaidHoursDay)</f>
        <v>168</v>
      </c>
      <c r="L22" s="39">
        <f>IF(tblPlan[[#This Row],[Month]]="","",tblPlan[[#This Row],[Paid per FTE (h)]]*(1-AbsenceRate)*ProdShare)</f>
        <v>127.092</v>
      </c>
      <c r="M22" s="39">
        <f>IF(tblPlan[[#This Row],[Month]]="","",IF(tblPlan[[#This Row],[Productive per FTE (h)]]&gt;0,tblPlan[[#This Row],[Required (h)]]/tblPlan[[#This Row],[Productive per FTE (h)]],""))</f>
        <v>16.4447801592547</v>
      </c>
      <c r="N22" s="41">
        <f>IF(tblPlan[[#This Row],[Month]]="","",tblPlan[[#This Row],[Heads at start (people)]]+SUMIFS(tblPlan[Hires (people)],tblPlan[Department],tblPlan[[#This Row],[Department]],tblPlan[Month],"&lt;="&amp;tblPlan[[#This Row],[Month]])-SUMIFS(tblPlan[Leavers (people)],tblPlan[Department],tblPlan[[#This Row],[Department]],tblPlan[Month],"&lt;="&amp;tblPlan[[#This Row],[Month]]))</f>
        <v>15</v>
      </c>
      <c r="O22" s="42">
        <f>IF(tblPlan[[#This Row],[Month]]="","",IF(tblPlan[[#This Row],[Required FTE]]="","",tblPlan[[#This Row],[Planned heads]]-tblPlan[[#This Row],[Required FTE]]))</f>
        <v>-1.44478015925471</v>
      </c>
      <c r="P22" s="41">
        <f>IF(tblPlan[[#This Row],[Month]]="","",tblPlan[[#This Row],[Planned heads]]*tblPlan[[#This Row],[Productive per FTE (h)]])</f>
        <v>1906.38</v>
      </c>
      <c r="Q22" s="41">
        <f>IF(tblPlan[[#This Row],[Month]]="","",tblPlan[[#This Row],[Planned heads]]*tblPlan[[#This Row],[Paid per FTE (h)]]*(1-AbsenceRate))</f>
        <v>2242.8</v>
      </c>
      <c r="R22" s="41">
        <f>IF(tblPlan[[#This Row],[Month]]="","",MAX(0,tblPlan[[#This Row],[Required (h)]]-tblPlan[[#This Row],[Capacity (h)]])/ProdShare)</f>
        <v>216.023529411765</v>
      </c>
      <c r="S22" s="43">
        <f>IF(tblPlan[[#This Row],[Month]]="","",IF(tblPlan[[#This Row],[Attended (h)]]&gt;0,tblPlan[[#This Row],[Overtime (h)]]/tblPlan[[#This Row],[Attended (h)]],""))</f>
        <v>0.0963186772836476</v>
      </c>
      <c r="T22" s="44" t="str">
        <f>IF(tblPlan[[#This Row],[Month]]="","",IF(tblPlan[[#This Row],[Gap (heads)]]="","",IF(tblPlan[[#This Row],[Gap (heads)]]&gt;=0,"On target",IF(AND(ISNUMBER(tblPlan[[#This Row],[Overtime share]]),tblPlan[[#This Row],[Overtime share]]&lt;=OTCap),"Near target","Below target"))))</f>
        <v>Near target</v>
      </c>
      <c r="U22" s="40">
        <f>IF(tblPlan[[#This Row],[Month]]="","",IFERROR(INDEX(tblDepartments[Loaded rate (per h)],MATCH(tblPlan[[#This Row],[Department]],tblDepartments[Department],0)),""))</f>
        <v>36</v>
      </c>
      <c r="V22" s="41">
        <f>IF(tblPlan[[#This Row],[Month]]="","",(tblPlan[[#This Row],[Planned heads]]*tblPlan[[#This Row],[Paid per FTE (h)]]+tblPlan[[#This Row],[Overtime (h)]]*OTPremium)*tblPlan[[#This Row],[Loaded rate (per h)]])</f>
        <v>102385.270588235</v>
      </c>
      <c r="W22"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22" s="46" t="s">
        <v>109</v>
      </c>
    </row>
    <row r="23" spans="2:24">
      <c r="B23" s="34">
        <v>46508</v>
      </c>
      <c r="C23" s="28" t="s">
        <v>86</v>
      </c>
      <c r="D23" s="37">
        <v>2000</v>
      </c>
      <c r="E23" s="37">
        <v>1</v>
      </c>
      <c r="F23" s="37">
        <v>0</v>
      </c>
      <c r="G23" s="39">
        <f>IF(tblPlan[[#This Row],[Month]]="","",IFERROR(INDEX(tblMonths[Working days],MATCH(tblPlan[[#This Row],[Month]],tblMonths[Month],0)),""))</f>
        <v>20</v>
      </c>
      <c r="H23" s="40">
        <f>IF(tblPlan[[#This Row],[Month]]="","",IFERROR(INDEX(tblDepartments[Std hours (h/unit)],MATCH(tblPlan[[#This Row],[Department]],tblDepartments[Department],0)),""))</f>
        <v>1.1</v>
      </c>
      <c r="I23" s="41">
        <f>IF(tblPlan[[#This Row],[Month]]="","",IFERROR(INDEX(tblDepartments[Heads at start (people)],MATCH(tblPlan[[#This Row],[Department]],tblDepartments[Department],0)),""))</f>
        <v>16</v>
      </c>
      <c r="J23" s="41">
        <f>IF(tblPlan[[#This Row],[Month]]="","",tblPlan[[#This Row],[Demand (units)]]*tblPlan[[#This Row],[Std hours (h/unit)]])</f>
        <v>2200</v>
      </c>
      <c r="K23" s="39">
        <f>IF(tblPlan[[#This Row],[Month]]="","",tblPlan[[#This Row],[Working days]]*PaidHoursDay)</f>
        <v>160</v>
      </c>
      <c r="L23" s="39">
        <f>IF(tblPlan[[#This Row],[Month]]="","",tblPlan[[#This Row],[Paid per FTE (h)]]*(1-AbsenceRate)*ProdShare)</f>
        <v>121.04</v>
      </c>
      <c r="M23" s="39">
        <f>IF(tblPlan[[#This Row],[Month]]="","",IF(tblPlan[[#This Row],[Productive per FTE (h)]]&gt;0,tblPlan[[#This Row],[Required (h)]]/tblPlan[[#This Row],[Productive per FTE (h)]],""))</f>
        <v>18.1758096497026</v>
      </c>
      <c r="N23" s="41">
        <f>IF(tblPlan[[#This Row],[Month]]="","",tblPlan[[#This Row],[Heads at start (people)]]+SUMIFS(tblPlan[Hires (people)],tblPlan[Department],tblPlan[[#This Row],[Department]],tblPlan[Month],"&lt;="&amp;tblPlan[[#This Row],[Month]])-SUMIFS(tblPlan[Leavers (people)],tblPlan[Department],tblPlan[[#This Row],[Department]],tblPlan[Month],"&lt;="&amp;tblPlan[[#This Row],[Month]]))</f>
        <v>16</v>
      </c>
      <c r="O23" s="42">
        <f>IF(tblPlan[[#This Row],[Month]]="","",IF(tblPlan[[#This Row],[Required FTE]]="","",tblPlan[[#This Row],[Planned heads]]-tblPlan[[#This Row],[Required FTE]]))</f>
        <v>-2.17580964970258</v>
      </c>
      <c r="P23" s="41">
        <f>IF(tblPlan[[#This Row],[Month]]="","",tblPlan[[#This Row],[Planned heads]]*tblPlan[[#This Row],[Productive per FTE (h)]])</f>
        <v>1936.64</v>
      </c>
      <c r="Q23" s="41">
        <f>IF(tblPlan[[#This Row],[Month]]="","",tblPlan[[#This Row],[Planned heads]]*tblPlan[[#This Row],[Paid per FTE (h)]]*(1-AbsenceRate))</f>
        <v>2278.4</v>
      </c>
      <c r="R23" s="41">
        <f>IF(tblPlan[[#This Row],[Month]]="","",MAX(0,tblPlan[[#This Row],[Required (h)]]-tblPlan[[#This Row],[Capacity (h)]])/ProdShare)</f>
        <v>309.835294117647</v>
      </c>
      <c r="S23" s="43">
        <f>IF(tblPlan[[#This Row],[Month]]="","",IF(tblPlan[[#This Row],[Attended (h)]]&gt;0,tblPlan[[#This Row],[Overtime (h)]]/tblPlan[[#This Row],[Attended (h)]],""))</f>
        <v>0.135988103106411</v>
      </c>
      <c r="T23" s="44" t="str">
        <f>IF(tblPlan[[#This Row],[Month]]="","",IF(tblPlan[[#This Row],[Gap (heads)]]="","",IF(tblPlan[[#This Row],[Gap (heads)]]&gt;=0,"On target",IF(AND(ISNUMBER(tblPlan[[#This Row],[Overtime share]]),tblPlan[[#This Row],[Overtime share]]&lt;=OTCap),"Near target","Below target"))))</f>
        <v>Below target</v>
      </c>
      <c r="U23" s="40">
        <f>IF(tblPlan[[#This Row],[Month]]="","",IFERROR(INDEX(tblDepartments[Loaded rate (per h)],MATCH(tblPlan[[#This Row],[Department]],tblDepartments[Department],0)),""))</f>
        <v>36</v>
      </c>
      <c r="V23" s="41">
        <f>IF(tblPlan[[#This Row],[Month]]="","",(tblPlan[[#This Row],[Planned heads]]*tblPlan[[#This Row],[Paid per FTE (h)]]+tblPlan[[#This Row],[Overtime (h)]]*OTPremium)*tblPlan[[#This Row],[Loaded rate (per h)]])</f>
        <v>108891.105882353</v>
      </c>
      <c r="W23"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23" s="46" t="s">
        <v>110</v>
      </c>
    </row>
    <row r="24" spans="2:24">
      <c r="B24" s="34">
        <v>46539</v>
      </c>
      <c r="C24" s="28" t="s">
        <v>86</v>
      </c>
      <c r="D24" s="37">
        <v>2100</v>
      </c>
      <c r="E24" s="37">
        <v>0</v>
      </c>
      <c r="F24" s="37">
        <v>0</v>
      </c>
      <c r="G24" s="39">
        <f>IF(tblPlan[[#This Row],[Month]]="","",IFERROR(INDEX(tblMonths[Working days],MATCH(tblPlan[[#This Row],[Month]],tblMonths[Month],0)),""))</f>
        <v>22</v>
      </c>
      <c r="H24" s="40">
        <f>IF(tblPlan[[#This Row],[Month]]="","",IFERROR(INDEX(tblDepartments[Std hours (h/unit)],MATCH(tblPlan[[#This Row],[Department]],tblDepartments[Department],0)),""))</f>
        <v>1.1</v>
      </c>
      <c r="I24" s="41">
        <f>IF(tblPlan[[#This Row],[Month]]="","",IFERROR(INDEX(tblDepartments[Heads at start (people)],MATCH(tblPlan[[#This Row],[Department]],tblDepartments[Department],0)),""))</f>
        <v>16</v>
      </c>
      <c r="J24" s="41">
        <f>IF(tblPlan[[#This Row],[Month]]="","",tblPlan[[#This Row],[Demand (units)]]*tblPlan[[#This Row],[Std hours (h/unit)]])</f>
        <v>2310</v>
      </c>
      <c r="K24" s="39">
        <f>IF(tblPlan[[#This Row],[Month]]="","",tblPlan[[#This Row],[Working days]]*PaidHoursDay)</f>
        <v>176</v>
      </c>
      <c r="L24" s="39">
        <f>IF(tblPlan[[#This Row],[Month]]="","",tblPlan[[#This Row],[Paid per FTE (h)]]*(1-AbsenceRate)*ProdShare)</f>
        <v>133.144</v>
      </c>
      <c r="M24" s="39">
        <f>IF(tblPlan[[#This Row],[Month]]="","",IF(tblPlan[[#This Row],[Productive per FTE (h)]]&gt;0,tblPlan[[#This Row],[Required (h)]]/tblPlan[[#This Row],[Productive per FTE (h)]],""))</f>
        <v>17.349636483807</v>
      </c>
      <c r="N24" s="41">
        <f>IF(tblPlan[[#This Row],[Month]]="","",tblPlan[[#This Row],[Heads at start (people)]]+SUMIFS(tblPlan[Hires (people)],tblPlan[Department],tblPlan[[#This Row],[Department]],tblPlan[Month],"&lt;="&amp;tblPlan[[#This Row],[Month]])-SUMIFS(tblPlan[Leavers (people)],tblPlan[Department],tblPlan[[#This Row],[Department]],tblPlan[Month],"&lt;="&amp;tblPlan[[#This Row],[Month]]))</f>
        <v>16</v>
      </c>
      <c r="O24" s="42">
        <f>IF(tblPlan[[#This Row],[Month]]="","",IF(tblPlan[[#This Row],[Required FTE]]="","",tblPlan[[#This Row],[Planned heads]]-tblPlan[[#This Row],[Required FTE]]))</f>
        <v>-1.349636483807</v>
      </c>
      <c r="P24" s="41">
        <f>IF(tblPlan[[#This Row],[Month]]="","",tblPlan[[#This Row],[Planned heads]]*tblPlan[[#This Row],[Productive per FTE (h)]])</f>
        <v>2130.304</v>
      </c>
      <c r="Q24" s="41">
        <f>IF(tblPlan[[#This Row],[Month]]="","",tblPlan[[#This Row],[Planned heads]]*tblPlan[[#This Row],[Paid per FTE (h)]]*(1-AbsenceRate))</f>
        <v>2506.24</v>
      </c>
      <c r="R24" s="41">
        <f>IF(tblPlan[[#This Row],[Month]]="","",MAX(0,tblPlan[[#This Row],[Required (h)]]-tblPlan[[#This Row],[Capacity (h)]])/ProdShare)</f>
        <v>211.407058823529</v>
      </c>
      <c r="S24" s="43">
        <f>IF(tblPlan[[#This Row],[Month]]="","",IF(tblPlan[[#This Row],[Attended (h)]]&gt;0,tblPlan[[#This Row],[Overtime (h)]]/tblPlan[[#This Row],[Attended (h)]],""))</f>
        <v>0.0843522802379378</v>
      </c>
      <c r="T24" s="44" t="str">
        <f>IF(tblPlan[[#This Row],[Month]]="","",IF(tblPlan[[#This Row],[Gap (heads)]]="","",IF(tblPlan[[#This Row],[Gap (heads)]]&gt;=0,"On target",IF(AND(ISNUMBER(tblPlan[[#This Row],[Overtime share]]),tblPlan[[#This Row],[Overtime share]]&lt;=OTCap),"Near target","Below target"))))</f>
        <v>Near target</v>
      </c>
      <c r="U24" s="40">
        <f>IF(tblPlan[[#This Row],[Month]]="","",IFERROR(INDEX(tblDepartments[Loaded rate (per h)],MATCH(tblPlan[[#This Row],[Department]],tblDepartments[Department],0)),""))</f>
        <v>36</v>
      </c>
      <c r="V24" s="41">
        <f>IF(tblPlan[[#This Row],[Month]]="","",(tblPlan[[#This Row],[Planned heads]]*tblPlan[[#This Row],[Paid per FTE (h)]]+tblPlan[[#This Row],[Overtime (h)]]*OTPremium)*tblPlan[[#This Row],[Loaded rate (per h)]])</f>
        <v>112791.981176471</v>
      </c>
      <c r="W24"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24" s="46" t="s">
        <v>109</v>
      </c>
    </row>
    <row r="25" spans="2:24">
      <c r="B25" s="34">
        <v>46569</v>
      </c>
      <c r="C25" s="28" t="s">
        <v>86</v>
      </c>
      <c r="D25" s="37">
        <v>2150</v>
      </c>
      <c r="E25" s="37">
        <v>0</v>
      </c>
      <c r="F25" s="37">
        <v>0</v>
      </c>
      <c r="G25" s="39">
        <f>IF(tblPlan[[#This Row],[Month]]="","",IFERROR(INDEX(tblMonths[Working days],MATCH(tblPlan[[#This Row],[Month]],tblMonths[Month],0)),""))</f>
        <v>21</v>
      </c>
      <c r="H25" s="40">
        <f>IF(tblPlan[[#This Row],[Month]]="","",IFERROR(INDEX(tblDepartments[Std hours (h/unit)],MATCH(tblPlan[[#This Row],[Department]],tblDepartments[Department],0)),""))</f>
        <v>1.1</v>
      </c>
      <c r="I25" s="41">
        <f>IF(tblPlan[[#This Row],[Month]]="","",IFERROR(INDEX(tblDepartments[Heads at start (people)],MATCH(tblPlan[[#This Row],[Department]],tblDepartments[Department],0)),""))</f>
        <v>16</v>
      </c>
      <c r="J25" s="41">
        <f>IF(tblPlan[[#This Row],[Month]]="","",tblPlan[[#This Row],[Demand (units)]]*tblPlan[[#This Row],[Std hours (h/unit)]])</f>
        <v>2365</v>
      </c>
      <c r="K25" s="39">
        <f>IF(tblPlan[[#This Row],[Month]]="","",tblPlan[[#This Row],[Working days]]*PaidHoursDay)</f>
        <v>168</v>
      </c>
      <c r="L25" s="39">
        <f>IF(tblPlan[[#This Row],[Month]]="","",tblPlan[[#This Row],[Paid per FTE (h)]]*(1-AbsenceRate)*ProdShare)</f>
        <v>127.092</v>
      </c>
      <c r="M25" s="39">
        <f>IF(tblPlan[[#This Row],[Month]]="","",IF(tblPlan[[#This Row],[Productive per FTE (h)]]&gt;0,tblPlan[[#This Row],[Required (h)]]/tblPlan[[#This Row],[Productive per FTE (h)]],""))</f>
        <v>18.6085670223145</v>
      </c>
      <c r="N25" s="41">
        <f>IF(tblPlan[[#This Row],[Month]]="","",tblPlan[[#This Row],[Heads at start (people)]]+SUMIFS(tblPlan[Hires (people)],tblPlan[Department],tblPlan[[#This Row],[Department]],tblPlan[Month],"&lt;="&amp;tblPlan[[#This Row],[Month]])-SUMIFS(tblPlan[Leavers (people)],tblPlan[Department],tblPlan[[#This Row],[Department]],tblPlan[Month],"&lt;="&amp;tblPlan[[#This Row],[Month]]))</f>
        <v>16</v>
      </c>
      <c r="O25" s="42">
        <f>IF(tblPlan[[#This Row],[Month]]="","",IF(tblPlan[[#This Row],[Required FTE]]="","",tblPlan[[#This Row],[Planned heads]]-tblPlan[[#This Row],[Required FTE]]))</f>
        <v>-2.60856702231455</v>
      </c>
      <c r="P25" s="41">
        <f>IF(tblPlan[[#This Row],[Month]]="","",tblPlan[[#This Row],[Planned heads]]*tblPlan[[#This Row],[Productive per FTE (h)]])</f>
        <v>2033.472</v>
      </c>
      <c r="Q25" s="41">
        <f>IF(tblPlan[[#This Row],[Month]]="","",tblPlan[[#This Row],[Planned heads]]*tblPlan[[#This Row],[Paid per FTE (h)]]*(1-AbsenceRate))</f>
        <v>2392.32</v>
      </c>
      <c r="R25" s="41">
        <f>IF(tblPlan[[#This Row],[Month]]="","",MAX(0,tblPlan[[#This Row],[Required (h)]]-tblPlan[[#This Row],[Capacity (h)]])/ProdShare)</f>
        <v>390.032941176471</v>
      </c>
      <c r="S25" s="43">
        <f>IF(tblPlan[[#This Row],[Month]]="","",IF(tblPlan[[#This Row],[Attended (h)]]&gt;0,tblPlan[[#This Row],[Overtime (h)]]/tblPlan[[#This Row],[Attended (h)]],""))</f>
        <v>0.163035438894659</v>
      </c>
      <c r="T25" s="44" t="str">
        <f>IF(tblPlan[[#This Row],[Month]]="","",IF(tblPlan[[#This Row],[Gap (heads)]]="","",IF(tblPlan[[#This Row],[Gap (heads)]]&gt;=0,"On target",IF(AND(ISNUMBER(tblPlan[[#This Row],[Overtime share]]),tblPlan[[#This Row],[Overtime share]]&lt;=OTCap),"Near target","Below target"))))</f>
        <v>Below target</v>
      </c>
      <c r="U25" s="40">
        <f>IF(tblPlan[[#This Row],[Month]]="","",IFERROR(INDEX(tblDepartments[Loaded rate (per h)],MATCH(tblPlan[[#This Row],[Department]],tblDepartments[Department],0)),""))</f>
        <v>36</v>
      </c>
      <c r="V25" s="41">
        <f>IF(tblPlan[[#This Row],[Month]]="","",(tblPlan[[#This Row],[Planned heads]]*tblPlan[[#This Row],[Paid per FTE (h)]]+tblPlan[[#This Row],[Overtime (h)]]*OTPremium)*tblPlan[[#This Row],[Loaded rate (per h)]])</f>
        <v>117829.778823529</v>
      </c>
      <c r="W25"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25" s="46" t="s">
        <v>109</v>
      </c>
    </row>
    <row r="26" spans="2:24">
      <c r="B26" s="34">
        <v>46600</v>
      </c>
      <c r="C26" s="28" t="s">
        <v>86</v>
      </c>
      <c r="D26" s="37">
        <v>2300</v>
      </c>
      <c r="E26" s="37">
        <v>1</v>
      </c>
      <c r="F26" s="37">
        <v>0</v>
      </c>
      <c r="G26" s="39">
        <f>IF(tblPlan[[#This Row],[Month]]="","",IFERROR(INDEX(tblMonths[Working days],MATCH(tblPlan[[#This Row],[Month]],tblMonths[Month],0)),""))</f>
        <v>22</v>
      </c>
      <c r="H26" s="40">
        <f>IF(tblPlan[[#This Row],[Month]]="","",IFERROR(INDEX(tblDepartments[Std hours (h/unit)],MATCH(tblPlan[[#This Row],[Department]],tblDepartments[Department],0)),""))</f>
        <v>1.1</v>
      </c>
      <c r="I26" s="41">
        <f>IF(tblPlan[[#This Row],[Month]]="","",IFERROR(INDEX(tblDepartments[Heads at start (people)],MATCH(tblPlan[[#This Row],[Department]],tblDepartments[Department],0)),""))</f>
        <v>16</v>
      </c>
      <c r="J26" s="41">
        <f>IF(tblPlan[[#This Row],[Month]]="","",tblPlan[[#This Row],[Demand (units)]]*tblPlan[[#This Row],[Std hours (h/unit)]])</f>
        <v>2530</v>
      </c>
      <c r="K26" s="39">
        <f>IF(tblPlan[[#This Row],[Month]]="","",tblPlan[[#This Row],[Working days]]*PaidHoursDay)</f>
        <v>176</v>
      </c>
      <c r="L26" s="39">
        <f>IF(tblPlan[[#This Row],[Month]]="","",tblPlan[[#This Row],[Paid per FTE (h)]]*(1-AbsenceRate)*ProdShare)</f>
        <v>133.144</v>
      </c>
      <c r="M26" s="39">
        <f>IF(tblPlan[[#This Row],[Month]]="","",IF(tblPlan[[#This Row],[Productive per FTE (h)]]&gt;0,tblPlan[[#This Row],[Required (h)]]/tblPlan[[#This Row],[Productive per FTE (h)]],""))</f>
        <v>19.0019828155981</v>
      </c>
      <c r="N26" s="41">
        <f>IF(tblPlan[[#This Row],[Month]]="","",tblPlan[[#This Row],[Heads at start (people)]]+SUMIFS(tblPlan[Hires (people)],tblPlan[Department],tblPlan[[#This Row],[Department]],tblPlan[Month],"&lt;="&amp;tblPlan[[#This Row],[Month]])-SUMIFS(tblPlan[Leavers (people)],tblPlan[Department],tblPlan[[#This Row],[Department]],tblPlan[Month],"&lt;="&amp;tblPlan[[#This Row],[Month]]))</f>
        <v>17</v>
      </c>
      <c r="O26" s="42">
        <f>IF(tblPlan[[#This Row],[Month]]="","",IF(tblPlan[[#This Row],[Required FTE]]="","",tblPlan[[#This Row],[Planned heads]]-tblPlan[[#This Row],[Required FTE]]))</f>
        <v>-2.00198281559815</v>
      </c>
      <c r="P26" s="41">
        <f>IF(tblPlan[[#This Row],[Month]]="","",tblPlan[[#This Row],[Planned heads]]*tblPlan[[#This Row],[Productive per FTE (h)]])</f>
        <v>2263.448</v>
      </c>
      <c r="Q26" s="41">
        <f>IF(tblPlan[[#This Row],[Month]]="","",tblPlan[[#This Row],[Planned heads]]*tblPlan[[#This Row],[Paid per FTE (h)]]*(1-AbsenceRate))</f>
        <v>2662.88</v>
      </c>
      <c r="R26" s="41">
        <f>IF(tblPlan[[#This Row],[Month]]="","",MAX(0,tblPlan[[#This Row],[Required (h)]]-tblPlan[[#This Row],[Capacity (h)]])/ProdShare)</f>
        <v>313.590588235294</v>
      </c>
      <c r="S26" s="43">
        <f>IF(tblPlan[[#This Row],[Month]]="","",IF(tblPlan[[#This Row],[Attended (h)]]&gt;0,tblPlan[[#This Row],[Overtime (h)]]/tblPlan[[#This Row],[Attended (h)]],""))</f>
        <v>0.117763695035185</v>
      </c>
      <c r="T26" s="44" t="str">
        <f>IF(tblPlan[[#This Row],[Month]]="","",IF(tblPlan[[#This Row],[Gap (heads)]]="","",IF(tblPlan[[#This Row],[Gap (heads)]]&gt;=0,"On target",IF(AND(ISNUMBER(tblPlan[[#This Row],[Overtime share]]),tblPlan[[#This Row],[Overtime share]]&lt;=OTCap),"Near target","Below target"))))</f>
        <v>Below target</v>
      </c>
      <c r="U26" s="40">
        <f>IF(tblPlan[[#This Row],[Month]]="","",IFERROR(INDEX(tblDepartments[Loaded rate (per h)],MATCH(tblPlan[[#This Row],[Department]],tblDepartments[Department],0)),""))</f>
        <v>36</v>
      </c>
      <c r="V26" s="41">
        <f>IF(tblPlan[[#This Row],[Month]]="","",(tblPlan[[#This Row],[Planned heads]]*tblPlan[[#This Row],[Paid per FTE (h)]]+tblPlan[[#This Row],[Overtime (h)]]*OTPremium)*tblPlan[[#This Row],[Loaded rate (per h)]])</f>
        <v>124645.891764706</v>
      </c>
      <c r="W26"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26" s="46" t="s">
        <v>112</v>
      </c>
    </row>
    <row r="27" spans="2:24">
      <c r="B27" s="34">
        <v>46631</v>
      </c>
      <c r="C27" s="28" t="s">
        <v>86</v>
      </c>
      <c r="D27" s="37">
        <v>2350</v>
      </c>
      <c r="E27" s="37">
        <v>0</v>
      </c>
      <c r="F27" s="37">
        <v>0</v>
      </c>
      <c r="G27" s="39">
        <f>IF(tblPlan[[#This Row],[Month]]="","",IFERROR(INDEX(tblMonths[Working days],MATCH(tblPlan[[#This Row],[Month]],tblMonths[Month],0)),""))</f>
        <v>21</v>
      </c>
      <c r="H27" s="40">
        <f>IF(tblPlan[[#This Row],[Month]]="","",IFERROR(INDEX(tblDepartments[Std hours (h/unit)],MATCH(tblPlan[[#This Row],[Department]],tblDepartments[Department],0)),""))</f>
        <v>1.1</v>
      </c>
      <c r="I27" s="41">
        <f>IF(tblPlan[[#This Row],[Month]]="","",IFERROR(INDEX(tblDepartments[Heads at start (people)],MATCH(tblPlan[[#This Row],[Department]],tblDepartments[Department],0)),""))</f>
        <v>16</v>
      </c>
      <c r="J27" s="41">
        <f>IF(tblPlan[[#This Row],[Month]]="","",tblPlan[[#This Row],[Demand (units)]]*tblPlan[[#This Row],[Std hours (h/unit)]])</f>
        <v>2585</v>
      </c>
      <c r="K27" s="39">
        <f>IF(tblPlan[[#This Row],[Month]]="","",tblPlan[[#This Row],[Working days]]*PaidHoursDay)</f>
        <v>168</v>
      </c>
      <c r="L27" s="39">
        <f>IF(tblPlan[[#This Row],[Month]]="","",tblPlan[[#This Row],[Paid per FTE (h)]]*(1-AbsenceRate)*ProdShare)</f>
        <v>127.092</v>
      </c>
      <c r="M27" s="39">
        <f>IF(tblPlan[[#This Row],[Month]]="","",IF(tblPlan[[#This Row],[Productive per FTE (h)]]&gt;0,tblPlan[[#This Row],[Required (h)]]/tblPlan[[#This Row],[Productive per FTE (h)]],""))</f>
        <v>20.3395965127624</v>
      </c>
      <c r="N27" s="41">
        <f>IF(tblPlan[[#This Row],[Month]]="","",tblPlan[[#This Row],[Heads at start (people)]]+SUMIFS(tblPlan[Hires (people)],tblPlan[Department],tblPlan[[#This Row],[Department]],tblPlan[Month],"&lt;="&amp;tblPlan[[#This Row],[Month]])-SUMIFS(tblPlan[Leavers (people)],tblPlan[Department],tblPlan[[#This Row],[Department]],tblPlan[Month],"&lt;="&amp;tblPlan[[#This Row],[Month]]))</f>
        <v>17</v>
      </c>
      <c r="O27" s="42">
        <f>IF(tblPlan[[#This Row],[Month]]="","",IF(tblPlan[[#This Row],[Required FTE]]="","",tblPlan[[#This Row],[Planned heads]]-tblPlan[[#This Row],[Required FTE]]))</f>
        <v>-3.33959651276241</v>
      </c>
      <c r="P27" s="41">
        <f>IF(tblPlan[[#This Row],[Month]]="","",tblPlan[[#This Row],[Planned heads]]*tblPlan[[#This Row],[Productive per FTE (h)]])</f>
        <v>2160.564</v>
      </c>
      <c r="Q27" s="41">
        <f>IF(tblPlan[[#This Row],[Month]]="","",tblPlan[[#This Row],[Planned heads]]*tblPlan[[#This Row],[Paid per FTE (h)]]*(1-AbsenceRate))</f>
        <v>2541.84</v>
      </c>
      <c r="R27" s="41">
        <f>IF(tblPlan[[#This Row],[Month]]="","",MAX(0,tblPlan[[#This Row],[Required (h)]]-tblPlan[[#This Row],[Capacity (h)]])/ProdShare)</f>
        <v>499.336470588236</v>
      </c>
      <c r="S27" s="43">
        <f>IF(tblPlan[[#This Row],[Month]]="","",IF(tblPlan[[#This Row],[Attended (h)]]&gt;0,tblPlan[[#This Row],[Overtime (h)]]/tblPlan[[#This Row],[Attended (h)]],""))</f>
        <v>0.196446853691906</v>
      </c>
      <c r="T27" s="44" t="str">
        <f>IF(tblPlan[[#This Row],[Month]]="","",IF(tblPlan[[#This Row],[Gap (heads)]]="","",IF(tblPlan[[#This Row],[Gap (heads)]]&gt;=0,"On target",IF(AND(ISNUMBER(tblPlan[[#This Row],[Overtime share]]),tblPlan[[#This Row],[Overtime share]]&lt;=OTCap),"Near target","Below target"))))</f>
        <v>Below target</v>
      </c>
      <c r="U27" s="40">
        <f>IF(tblPlan[[#This Row],[Month]]="","",IFERROR(INDEX(tblDepartments[Loaded rate (per h)],MATCH(tblPlan[[#This Row],[Department]],tblDepartments[Department],0)),""))</f>
        <v>36</v>
      </c>
      <c r="V27" s="41">
        <f>IF(tblPlan[[#This Row],[Month]]="","",(tblPlan[[#This Row],[Planned heads]]*tblPlan[[#This Row],[Paid per FTE (h)]]+tblPlan[[#This Row],[Overtime (h)]]*OTPremium)*tblPlan[[#This Row],[Loaded rate (per h)]])</f>
        <v>129780.169411765</v>
      </c>
      <c r="W27"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27" s="46" t="s">
        <v>109</v>
      </c>
    </row>
    <row r="28" spans="2:24">
      <c r="B28" s="34">
        <v>46661</v>
      </c>
      <c r="C28" s="28" t="s">
        <v>86</v>
      </c>
      <c r="D28" s="37">
        <v>2200</v>
      </c>
      <c r="E28" s="37">
        <v>0</v>
      </c>
      <c r="F28" s="37">
        <v>0</v>
      </c>
      <c r="G28" s="39">
        <f>IF(tblPlan[[#This Row],[Month]]="","",IFERROR(INDEX(tblMonths[Working days],MATCH(tblPlan[[#This Row],[Month]],tblMonths[Month],0)),""))</f>
        <v>21</v>
      </c>
      <c r="H28" s="40">
        <f>IF(tblPlan[[#This Row],[Month]]="","",IFERROR(INDEX(tblDepartments[Std hours (h/unit)],MATCH(tblPlan[[#This Row],[Department]],tblDepartments[Department],0)),""))</f>
        <v>1.1</v>
      </c>
      <c r="I28" s="41">
        <f>IF(tblPlan[[#This Row],[Month]]="","",IFERROR(INDEX(tblDepartments[Heads at start (people)],MATCH(tblPlan[[#This Row],[Department]],tblDepartments[Department],0)),""))</f>
        <v>16</v>
      </c>
      <c r="J28" s="41">
        <f>IF(tblPlan[[#This Row],[Month]]="","",tblPlan[[#This Row],[Demand (units)]]*tblPlan[[#This Row],[Std hours (h/unit)]])</f>
        <v>2420</v>
      </c>
      <c r="K28" s="39">
        <f>IF(tblPlan[[#This Row],[Month]]="","",tblPlan[[#This Row],[Working days]]*PaidHoursDay)</f>
        <v>168</v>
      </c>
      <c r="L28" s="39">
        <f>IF(tblPlan[[#This Row],[Month]]="","",tblPlan[[#This Row],[Paid per FTE (h)]]*(1-AbsenceRate)*ProdShare)</f>
        <v>127.092</v>
      </c>
      <c r="M28" s="39">
        <f>IF(tblPlan[[#This Row],[Month]]="","",IF(tblPlan[[#This Row],[Productive per FTE (h)]]&gt;0,tblPlan[[#This Row],[Required (h)]]/tblPlan[[#This Row],[Productive per FTE (h)]],""))</f>
        <v>19.0413243949265</v>
      </c>
      <c r="N28" s="41">
        <f>IF(tblPlan[[#This Row],[Month]]="","",tblPlan[[#This Row],[Heads at start (people)]]+SUMIFS(tblPlan[Hires (people)],tblPlan[Department],tblPlan[[#This Row],[Department]],tblPlan[Month],"&lt;="&amp;tblPlan[[#This Row],[Month]])-SUMIFS(tblPlan[Leavers (people)],tblPlan[Department],tblPlan[[#This Row],[Department]],tblPlan[Month],"&lt;="&amp;tblPlan[[#This Row],[Month]]))</f>
        <v>17</v>
      </c>
      <c r="O28" s="42">
        <f>IF(tblPlan[[#This Row],[Month]]="","",IF(tblPlan[[#This Row],[Required FTE]]="","",tblPlan[[#This Row],[Planned heads]]-tblPlan[[#This Row],[Required FTE]]))</f>
        <v>-2.04132439492651</v>
      </c>
      <c r="P28" s="41">
        <f>IF(tblPlan[[#This Row],[Month]]="","",tblPlan[[#This Row],[Planned heads]]*tblPlan[[#This Row],[Productive per FTE (h)]])</f>
        <v>2160.564</v>
      </c>
      <c r="Q28" s="41">
        <f>IF(tblPlan[[#This Row],[Month]]="","",tblPlan[[#This Row],[Planned heads]]*tblPlan[[#This Row],[Paid per FTE (h)]]*(1-AbsenceRate))</f>
        <v>2541.84</v>
      </c>
      <c r="R28" s="41">
        <f>IF(tblPlan[[#This Row],[Month]]="","",MAX(0,tblPlan[[#This Row],[Required (h)]]-tblPlan[[#This Row],[Capacity (h)]])/ProdShare)</f>
        <v>305.218823529412</v>
      </c>
      <c r="S28" s="43">
        <f>IF(tblPlan[[#This Row],[Month]]="","",IF(tblPlan[[#This Row],[Attended (h)]]&gt;0,tblPlan[[#This Row],[Overtime (h)]]/tblPlan[[#This Row],[Attended (h)]],""))</f>
        <v>0.120077905583912</v>
      </c>
      <c r="T28" s="44" t="str">
        <f>IF(tblPlan[[#This Row],[Month]]="","",IF(tblPlan[[#This Row],[Gap (heads)]]="","",IF(tblPlan[[#This Row],[Gap (heads)]]&gt;=0,"On target",IF(AND(ISNUMBER(tblPlan[[#This Row],[Overtime share]]),tblPlan[[#This Row],[Overtime share]]&lt;=OTCap),"Near target","Below target"))))</f>
        <v>Below target</v>
      </c>
      <c r="U28" s="40">
        <f>IF(tblPlan[[#This Row],[Month]]="","",IFERROR(INDEX(tblDepartments[Loaded rate (per h)],MATCH(tblPlan[[#This Row],[Department]],tblDepartments[Department],0)),""))</f>
        <v>36</v>
      </c>
      <c r="V28" s="41">
        <f>IF(tblPlan[[#This Row],[Month]]="","",(tblPlan[[#This Row],[Planned heads]]*tblPlan[[#This Row],[Paid per FTE (h)]]+tblPlan[[#This Row],[Overtime (h)]]*OTPremium)*tblPlan[[#This Row],[Loaded rate (per h)]])</f>
        <v>119297.816470588</v>
      </c>
      <c r="W28"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28" s="46" t="s">
        <v>109</v>
      </c>
    </row>
    <row r="29" spans="2:24">
      <c r="B29" s="34">
        <v>46692</v>
      </c>
      <c r="C29" s="28" t="s">
        <v>86</v>
      </c>
      <c r="D29" s="37">
        <v>1900</v>
      </c>
      <c r="E29" s="37">
        <v>0</v>
      </c>
      <c r="F29" s="37">
        <v>0</v>
      </c>
      <c r="G29" s="39">
        <f>IF(tblPlan[[#This Row],[Month]]="","",IFERROR(INDEX(tblMonths[Working days],MATCH(tblPlan[[#This Row],[Month]],tblMonths[Month],0)),""))</f>
        <v>20</v>
      </c>
      <c r="H29" s="40">
        <f>IF(tblPlan[[#This Row],[Month]]="","",IFERROR(INDEX(tblDepartments[Std hours (h/unit)],MATCH(tblPlan[[#This Row],[Department]],tblDepartments[Department],0)),""))</f>
        <v>1.1</v>
      </c>
      <c r="I29" s="41">
        <f>IF(tblPlan[[#This Row],[Month]]="","",IFERROR(INDEX(tblDepartments[Heads at start (people)],MATCH(tblPlan[[#This Row],[Department]],tblDepartments[Department],0)),""))</f>
        <v>16</v>
      </c>
      <c r="J29" s="41">
        <f>IF(tblPlan[[#This Row],[Month]]="","",tblPlan[[#This Row],[Demand (units)]]*tblPlan[[#This Row],[Std hours (h/unit)]])</f>
        <v>2090</v>
      </c>
      <c r="K29" s="39">
        <f>IF(tblPlan[[#This Row],[Month]]="","",tblPlan[[#This Row],[Working days]]*PaidHoursDay)</f>
        <v>160</v>
      </c>
      <c r="L29" s="39">
        <f>IF(tblPlan[[#This Row],[Month]]="","",tblPlan[[#This Row],[Paid per FTE (h)]]*(1-AbsenceRate)*ProdShare)</f>
        <v>121.04</v>
      </c>
      <c r="M29" s="39">
        <f>IF(tblPlan[[#This Row],[Month]]="","",IF(tblPlan[[#This Row],[Productive per FTE (h)]]&gt;0,tblPlan[[#This Row],[Required (h)]]/tblPlan[[#This Row],[Productive per FTE (h)]],""))</f>
        <v>17.2670191672175</v>
      </c>
      <c r="N29" s="41">
        <f>IF(tblPlan[[#This Row],[Month]]="","",tblPlan[[#This Row],[Heads at start (people)]]+SUMIFS(tblPlan[Hires (people)],tblPlan[Department],tblPlan[[#This Row],[Department]],tblPlan[Month],"&lt;="&amp;tblPlan[[#This Row],[Month]])-SUMIFS(tblPlan[Leavers (people)],tblPlan[Department],tblPlan[[#This Row],[Department]],tblPlan[Month],"&lt;="&amp;tblPlan[[#This Row],[Month]]))</f>
        <v>17</v>
      </c>
      <c r="O29" s="42">
        <f>IF(tblPlan[[#This Row],[Month]]="","",IF(tblPlan[[#This Row],[Required FTE]]="","",tblPlan[[#This Row],[Planned heads]]-tblPlan[[#This Row],[Required FTE]]))</f>
        <v>-0.267019167217448</v>
      </c>
      <c r="P29" s="41">
        <f>IF(tblPlan[[#This Row],[Month]]="","",tblPlan[[#This Row],[Planned heads]]*tblPlan[[#This Row],[Productive per FTE (h)]])</f>
        <v>2057.68</v>
      </c>
      <c r="Q29" s="41">
        <f>IF(tblPlan[[#This Row],[Month]]="","",tblPlan[[#This Row],[Planned heads]]*tblPlan[[#This Row],[Paid per FTE (h)]]*(1-AbsenceRate))</f>
        <v>2420.8</v>
      </c>
      <c r="R29" s="41">
        <f>IF(tblPlan[[#This Row],[Month]]="","",MAX(0,tblPlan[[#This Row],[Required (h)]]-tblPlan[[#This Row],[Capacity (h)]])/ProdShare)</f>
        <v>38.0235294117644</v>
      </c>
      <c r="S29" s="43">
        <f>IF(tblPlan[[#This Row],[Month]]="","",IF(tblPlan[[#This Row],[Attended (h)]]&gt;0,tblPlan[[#This Row],[Overtime (h)]]/tblPlan[[#This Row],[Attended (h)]],""))</f>
        <v>0.0157070098363204</v>
      </c>
      <c r="T29" s="44" t="str">
        <f>IF(tblPlan[[#This Row],[Month]]="","",IF(tblPlan[[#This Row],[Gap (heads)]]="","",IF(tblPlan[[#This Row],[Gap (heads)]]&gt;=0,"On target",IF(AND(ISNUMBER(tblPlan[[#This Row],[Overtime share]]),tblPlan[[#This Row],[Overtime share]]&lt;=OTCap),"Near target","Below target"))))</f>
        <v>Near target</v>
      </c>
      <c r="U29" s="40">
        <f>IF(tblPlan[[#This Row],[Month]]="","",IFERROR(INDEX(tblDepartments[Loaded rate (per h)],MATCH(tblPlan[[#This Row],[Department]],tblDepartments[Department],0)),""))</f>
        <v>36</v>
      </c>
      <c r="V29" s="41">
        <f>IF(tblPlan[[#This Row],[Month]]="","",(tblPlan[[#This Row],[Planned heads]]*tblPlan[[#This Row],[Paid per FTE (h)]]+tblPlan[[#This Row],[Overtime (h)]]*OTPremium)*tblPlan[[#This Row],[Loaded rate (per h)]])</f>
        <v>99973.2705882353</v>
      </c>
      <c r="W29"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29" s="46" t="s">
        <v>109</v>
      </c>
    </row>
    <row r="30" spans="2:24">
      <c r="B30" s="34">
        <v>46722</v>
      </c>
      <c r="C30" s="28" t="s">
        <v>86</v>
      </c>
      <c r="D30" s="37">
        <v>1600</v>
      </c>
      <c r="E30" s="37">
        <v>0</v>
      </c>
      <c r="F30" s="37">
        <v>0</v>
      </c>
      <c r="G30" s="39">
        <f>IF(tblPlan[[#This Row],[Month]]="","",IFERROR(INDEX(tblMonths[Working days],MATCH(tblPlan[[#This Row],[Month]],tblMonths[Month],0)),""))</f>
        <v>19</v>
      </c>
      <c r="H30" s="40">
        <f>IF(tblPlan[[#This Row],[Month]]="","",IFERROR(INDEX(tblDepartments[Std hours (h/unit)],MATCH(tblPlan[[#This Row],[Department]],tblDepartments[Department],0)),""))</f>
        <v>1.1</v>
      </c>
      <c r="I30" s="41">
        <f>IF(tblPlan[[#This Row],[Month]]="","",IFERROR(INDEX(tblDepartments[Heads at start (people)],MATCH(tblPlan[[#This Row],[Department]],tblDepartments[Department],0)),""))</f>
        <v>16</v>
      </c>
      <c r="J30" s="41">
        <f>IF(tblPlan[[#This Row],[Month]]="","",tblPlan[[#This Row],[Demand (units)]]*tblPlan[[#This Row],[Std hours (h/unit)]])</f>
        <v>1760</v>
      </c>
      <c r="K30" s="39">
        <f>IF(tblPlan[[#This Row],[Month]]="","",tblPlan[[#This Row],[Working days]]*PaidHoursDay)</f>
        <v>152</v>
      </c>
      <c r="L30" s="39">
        <f>IF(tblPlan[[#This Row],[Month]]="","",tblPlan[[#This Row],[Paid per FTE (h)]]*(1-AbsenceRate)*ProdShare)</f>
        <v>114.988</v>
      </c>
      <c r="M30" s="39">
        <f>IF(tblPlan[[#This Row],[Month]]="","",IF(tblPlan[[#This Row],[Productive per FTE (h)]]&gt;0,tblPlan[[#This Row],[Required (h)]]/tblPlan[[#This Row],[Productive per FTE (h)]],""))</f>
        <v>15.3059449681706</v>
      </c>
      <c r="N30" s="41">
        <f>IF(tblPlan[[#This Row],[Month]]="","",tblPlan[[#This Row],[Heads at start (people)]]+SUMIFS(tblPlan[Hires (people)],tblPlan[Department],tblPlan[[#This Row],[Department]],tblPlan[Month],"&lt;="&amp;tblPlan[[#This Row],[Month]])-SUMIFS(tblPlan[Leavers (people)],tblPlan[Department],tblPlan[[#This Row],[Department]],tblPlan[Month],"&lt;="&amp;tblPlan[[#This Row],[Month]]))</f>
        <v>17</v>
      </c>
      <c r="O30" s="42">
        <f>IF(tblPlan[[#This Row],[Month]]="","",IF(tblPlan[[#This Row],[Required FTE]]="","",tblPlan[[#This Row],[Planned heads]]-tblPlan[[#This Row],[Required FTE]]))</f>
        <v>1.69405503182941</v>
      </c>
      <c r="P30" s="41">
        <f>IF(tblPlan[[#This Row],[Month]]="","",tblPlan[[#This Row],[Planned heads]]*tblPlan[[#This Row],[Productive per FTE (h)]])</f>
        <v>1954.796</v>
      </c>
      <c r="Q30" s="41">
        <f>IF(tblPlan[[#This Row],[Month]]="","",tblPlan[[#This Row],[Planned heads]]*tblPlan[[#This Row],[Paid per FTE (h)]]*(1-AbsenceRate))</f>
        <v>2299.76</v>
      </c>
      <c r="R30" s="41">
        <f>IF(tblPlan[[#This Row],[Month]]="","",MAX(0,tblPlan[[#This Row],[Required (h)]]-tblPlan[[#This Row],[Capacity (h)]])/ProdShare)</f>
        <v>0</v>
      </c>
      <c r="S30" s="43">
        <f>IF(tblPlan[[#This Row],[Month]]="","",IF(tblPlan[[#This Row],[Attended (h)]]&gt;0,tblPlan[[#This Row],[Overtime (h)]]/tblPlan[[#This Row],[Attended (h)]],""))</f>
        <v>0</v>
      </c>
      <c r="T30" s="44" t="str">
        <f>IF(tblPlan[[#This Row],[Month]]="","",IF(tblPlan[[#This Row],[Gap (heads)]]="","",IF(tblPlan[[#This Row],[Gap (heads)]]&gt;=0,"On target",IF(AND(ISNUMBER(tblPlan[[#This Row],[Overtime share]]),tblPlan[[#This Row],[Overtime share]]&lt;=OTCap),"Near target","Below target"))))</f>
        <v>On target</v>
      </c>
      <c r="U30" s="40">
        <f>IF(tblPlan[[#This Row],[Month]]="","",IFERROR(INDEX(tblDepartments[Loaded rate (per h)],MATCH(tblPlan[[#This Row],[Department]],tblDepartments[Department],0)),""))</f>
        <v>36</v>
      </c>
      <c r="V30" s="41">
        <f>IF(tblPlan[[#This Row],[Month]]="","",(tblPlan[[#This Row],[Planned heads]]*tblPlan[[#This Row],[Paid per FTE (h)]]+tblPlan[[#This Row],[Overtime (h)]]*OTPremium)*tblPlan[[#This Row],[Loaded rate (per h)]])</f>
        <v>93024</v>
      </c>
      <c r="W30"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30" s="46" t="s">
        <v>109</v>
      </c>
    </row>
    <row r="31" spans="2:24">
      <c r="B31" s="34">
        <v>46388</v>
      </c>
      <c r="C31" s="28" t="s">
        <v>88</v>
      </c>
      <c r="D31" s="37">
        <v>1650</v>
      </c>
      <c r="E31" s="37">
        <v>0</v>
      </c>
      <c r="F31" s="37">
        <v>1</v>
      </c>
      <c r="G31" s="39">
        <f>IF(tblPlan[[#This Row],[Month]]="","",IFERROR(INDEX(tblMonths[Working days],MATCH(tblPlan[[#This Row],[Month]],tblMonths[Month],0)),""))</f>
        <v>20</v>
      </c>
      <c r="H31" s="40">
        <f>IF(tblPlan[[#This Row],[Month]]="","",IFERROR(INDEX(tblDepartments[Std hours (h/unit)],MATCH(tblPlan[[#This Row],[Department]],tblDepartments[Department],0)),""))</f>
        <v>2.4</v>
      </c>
      <c r="I31" s="41">
        <f>IF(tblPlan[[#This Row],[Month]]="","",IFERROR(INDEX(tblDepartments[Heads at start (people)],MATCH(tblPlan[[#This Row],[Department]],tblDepartments[Department],0)),""))</f>
        <v>34</v>
      </c>
      <c r="J31" s="41">
        <f>IF(tblPlan[[#This Row],[Month]]="","",tblPlan[[#This Row],[Demand (units)]]*tblPlan[[#This Row],[Std hours (h/unit)]])</f>
        <v>3960</v>
      </c>
      <c r="K31" s="39">
        <f>IF(tblPlan[[#This Row],[Month]]="","",tblPlan[[#This Row],[Working days]]*PaidHoursDay)</f>
        <v>160</v>
      </c>
      <c r="L31" s="39">
        <f>IF(tblPlan[[#This Row],[Month]]="","",tblPlan[[#This Row],[Paid per FTE (h)]]*(1-AbsenceRate)*ProdShare)</f>
        <v>121.04</v>
      </c>
      <c r="M31" s="39">
        <f>IF(tblPlan[[#This Row],[Month]]="","",IF(tblPlan[[#This Row],[Productive per FTE (h)]]&gt;0,tblPlan[[#This Row],[Required (h)]]/tblPlan[[#This Row],[Productive per FTE (h)]],""))</f>
        <v>32.7164573694646</v>
      </c>
      <c r="N31" s="41">
        <f>IF(tblPlan[[#This Row],[Month]]="","",tblPlan[[#This Row],[Heads at start (people)]]+SUMIFS(tblPlan[Hires (people)],tblPlan[Department],tblPlan[[#This Row],[Department]],tblPlan[Month],"&lt;="&amp;tblPlan[[#This Row],[Month]])-SUMIFS(tblPlan[Leavers (people)],tblPlan[Department],tblPlan[[#This Row],[Department]],tblPlan[Month],"&lt;="&amp;tblPlan[[#This Row],[Month]]))</f>
        <v>33</v>
      </c>
      <c r="O31" s="42">
        <f>IF(tblPlan[[#This Row],[Month]]="","",IF(tblPlan[[#This Row],[Required FTE]]="","",tblPlan[[#This Row],[Planned heads]]-tblPlan[[#This Row],[Required FTE]]))</f>
        <v>0.283542630535365</v>
      </c>
      <c r="P31" s="41">
        <f>IF(tblPlan[[#This Row],[Month]]="","",tblPlan[[#This Row],[Planned heads]]*tblPlan[[#This Row],[Productive per FTE (h)]])</f>
        <v>3994.32</v>
      </c>
      <c r="Q31" s="41">
        <f>IF(tblPlan[[#This Row],[Month]]="","",tblPlan[[#This Row],[Planned heads]]*tblPlan[[#This Row],[Paid per FTE (h)]]*(1-AbsenceRate))</f>
        <v>4699.2</v>
      </c>
      <c r="R31" s="41">
        <f>IF(tblPlan[[#This Row],[Month]]="","",MAX(0,tblPlan[[#This Row],[Required (h)]]-tblPlan[[#This Row],[Capacity (h)]])/ProdShare)</f>
        <v>0</v>
      </c>
      <c r="S31" s="43">
        <f>IF(tblPlan[[#This Row],[Month]]="","",IF(tblPlan[[#This Row],[Attended (h)]]&gt;0,tblPlan[[#This Row],[Overtime (h)]]/tblPlan[[#This Row],[Attended (h)]],""))</f>
        <v>0</v>
      </c>
      <c r="T31" s="44" t="str">
        <f>IF(tblPlan[[#This Row],[Month]]="","",IF(tblPlan[[#This Row],[Gap (heads)]]="","",IF(tblPlan[[#This Row],[Gap (heads)]]&gt;=0,"On target",IF(AND(ISNUMBER(tblPlan[[#This Row],[Overtime share]]),tblPlan[[#This Row],[Overtime share]]&lt;=OTCap),"Near target","Below target"))))</f>
        <v>On target</v>
      </c>
      <c r="U31" s="40">
        <f>IF(tblPlan[[#This Row],[Month]]="","",IFERROR(INDEX(tblDepartments[Loaded rate (per h)],MATCH(tblPlan[[#This Row],[Department]],tblDepartments[Department],0)),""))</f>
        <v>31</v>
      </c>
      <c r="V31" s="41">
        <f>IF(tblPlan[[#This Row],[Month]]="","",(tblPlan[[#This Row],[Planned heads]]*tblPlan[[#This Row],[Paid per FTE (h)]]+tblPlan[[#This Row],[Overtime (h)]]*OTPremium)*tblPlan[[#This Row],[Loaded rate (per h)]])</f>
        <v>163680</v>
      </c>
      <c r="W31"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31" s="46" t="s">
        <v>109</v>
      </c>
    </row>
    <row r="32" spans="2:24">
      <c r="B32" s="34">
        <v>46419</v>
      </c>
      <c r="C32" s="28" t="s">
        <v>88</v>
      </c>
      <c r="D32" s="37">
        <v>1700</v>
      </c>
      <c r="E32" s="37">
        <v>1</v>
      </c>
      <c r="F32" s="37">
        <v>0</v>
      </c>
      <c r="G32" s="39">
        <f>IF(tblPlan[[#This Row],[Month]]="","",IFERROR(INDEX(tblMonths[Working days],MATCH(tblPlan[[#This Row],[Month]],tblMonths[Month],0)),""))</f>
        <v>20</v>
      </c>
      <c r="H32" s="40">
        <f>IF(tblPlan[[#This Row],[Month]]="","",IFERROR(INDEX(tblDepartments[Std hours (h/unit)],MATCH(tblPlan[[#This Row],[Department]],tblDepartments[Department],0)),""))</f>
        <v>2.4</v>
      </c>
      <c r="I32" s="41">
        <f>IF(tblPlan[[#This Row],[Month]]="","",IFERROR(INDEX(tblDepartments[Heads at start (people)],MATCH(tblPlan[[#This Row],[Department]],tblDepartments[Department],0)),""))</f>
        <v>34</v>
      </c>
      <c r="J32" s="41">
        <f>IF(tblPlan[[#This Row],[Month]]="","",tblPlan[[#This Row],[Demand (units)]]*tblPlan[[#This Row],[Std hours (h/unit)]])</f>
        <v>4080</v>
      </c>
      <c r="K32" s="39">
        <f>IF(tblPlan[[#This Row],[Month]]="","",tblPlan[[#This Row],[Working days]]*PaidHoursDay)</f>
        <v>160</v>
      </c>
      <c r="L32" s="39">
        <f>IF(tblPlan[[#This Row],[Month]]="","",tblPlan[[#This Row],[Paid per FTE (h)]]*(1-AbsenceRate)*ProdShare)</f>
        <v>121.04</v>
      </c>
      <c r="M32" s="39">
        <f>IF(tblPlan[[#This Row],[Month]]="","",IF(tblPlan[[#This Row],[Productive per FTE (h)]]&gt;0,tblPlan[[#This Row],[Required (h)]]/tblPlan[[#This Row],[Productive per FTE (h)]],""))</f>
        <v>33.7078651685393</v>
      </c>
      <c r="N32" s="41">
        <f>IF(tblPlan[[#This Row],[Month]]="","",tblPlan[[#This Row],[Heads at start (people)]]+SUMIFS(tblPlan[Hires (people)],tblPlan[Department],tblPlan[[#This Row],[Department]],tblPlan[Month],"&lt;="&amp;tblPlan[[#This Row],[Month]])-SUMIFS(tblPlan[Leavers (people)],tblPlan[Department],tblPlan[[#This Row],[Department]],tblPlan[Month],"&lt;="&amp;tblPlan[[#This Row],[Month]]))</f>
        <v>34</v>
      </c>
      <c r="O32" s="42">
        <f>IF(tblPlan[[#This Row],[Month]]="","",IF(tblPlan[[#This Row],[Required FTE]]="","",tblPlan[[#This Row],[Planned heads]]-tblPlan[[#This Row],[Required FTE]]))</f>
        <v>0.292134831460679</v>
      </c>
      <c r="P32" s="41">
        <f>IF(tblPlan[[#This Row],[Month]]="","",tblPlan[[#This Row],[Planned heads]]*tblPlan[[#This Row],[Productive per FTE (h)]])</f>
        <v>4115.36</v>
      </c>
      <c r="Q32" s="41">
        <f>IF(tblPlan[[#This Row],[Month]]="","",tblPlan[[#This Row],[Planned heads]]*tblPlan[[#This Row],[Paid per FTE (h)]]*(1-AbsenceRate))</f>
        <v>4841.6</v>
      </c>
      <c r="R32" s="41">
        <f>IF(tblPlan[[#This Row],[Month]]="","",MAX(0,tblPlan[[#This Row],[Required (h)]]-tblPlan[[#This Row],[Capacity (h)]])/ProdShare)</f>
        <v>0</v>
      </c>
      <c r="S32" s="43">
        <f>IF(tblPlan[[#This Row],[Month]]="","",IF(tblPlan[[#This Row],[Attended (h)]]&gt;0,tblPlan[[#This Row],[Overtime (h)]]/tblPlan[[#This Row],[Attended (h)]],""))</f>
        <v>0</v>
      </c>
      <c r="T32" s="44" t="str">
        <f>IF(tblPlan[[#This Row],[Month]]="","",IF(tblPlan[[#This Row],[Gap (heads)]]="","",IF(tblPlan[[#This Row],[Gap (heads)]]&gt;=0,"On target",IF(AND(ISNUMBER(tblPlan[[#This Row],[Overtime share]]),tblPlan[[#This Row],[Overtime share]]&lt;=OTCap),"Near target","Below target"))))</f>
        <v>On target</v>
      </c>
      <c r="U32" s="40">
        <f>IF(tblPlan[[#This Row],[Month]]="","",IFERROR(INDEX(tblDepartments[Loaded rate (per h)],MATCH(tblPlan[[#This Row],[Department]],tblDepartments[Department],0)),""))</f>
        <v>31</v>
      </c>
      <c r="V32" s="41">
        <f>IF(tblPlan[[#This Row],[Month]]="","",(tblPlan[[#This Row],[Planned heads]]*tblPlan[[#This Row],[Paid per FTE (h)]]+tblPlan[[#This Row],[Overtime (h)]]*OTPremium)*tblPlan[[#This Row],[Loaded rate (per h)]])</f>
        <v>168640</v>
      </c>
      <c r="W32"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32" s="46" t="s">
        <v>110</v>
      </c>
    </row>
    <row r="33" spans="2:24">
      <c r="B33" s="34">
        <v>46447</v>
      </c>
      <c r="C33" s="28" t="s">
        <v>88</v>
      </c>
      <c r="D33" s="37">
        <v>1850</v>
      </c>
      <c r="E33" s="37">
        <v>0</v>
      </c>
      <c r="F33" s="37">
        <v>1</v>
      </c>
      <c r="G33" s="39">
        <f>IF(tblPlan[[#This Row],[Month]]="","",IFERROR(INDEX(tblMonths[Working days],MATCH(tblPlan[[#This Row],[Month]],tblMonths[Month],0)),""))</f>
        <v>23</v>
      </c>
      <c r="H33" s="40">
        <f>IF(tblPlan[[#This Row],[Month]]="","",IFERROR(INDEX(tblDepartments[Std hours (h/unit)],MATCH(tblPlan[[#This Row],[Department]],tblDepartments[Department],0)),""))</f>
        <v>2.4</v>
      </c>
      <c r="I33" s="41">
        <f>IF(tblPlan[[#This Row],[Month]]="","",IFERROR(INDEX(tblDepartments[Heads at start (people)],MATCH(tblPlan[[#This Row],[Department]],tblDepartments[Department],0)),""))</f>
        <v>34</v>
      </c>
      <c r="J33" s="41">
        <f>IF(tblPlan[[#This Row],[Month]]="","",tblPlan[[#This Row],[Demand (units)]]*tblPlan[[#This Row],[Std hours (h/unit)]])</f>
        <v>4440</v>
      </c>
      <c r="K33" s="39">
        <f>IF(tblPlan[[#This Row],[Month]]="","",tblPlan[[#This Row],[Working days]]*PaidHoursDay)</f>
        <v>184</v>
      </c>
      <c r="L33" s="39">
        <f>IF(tblPlan[[#This Row],[Month]]="","",tblPlan[[#This Row],[Paid per FTE (h)]]*(1-AbsenceRate)*ProdShare)</f>
        <v>139.196</v>
      </c>
      <c r="M33" s="39">
        <f>IF(tblPlan[[#This Row],[Month]]="","",IF(tblPlan[[#This Row],[Productive per FTE (h)]]&gt;0,tblPlan[[#This Row],[Required (h)]]/tblPlan[[#This Row],[Productive per FTE (h)]],""))</f>
        <v>31.8974683180551</v>
      </c>
      <c r="N33" s="41">
        <f>IF(tblPlan[[#This Row],[Month]]="","",tblPlan[[#This Row],[Heads at start (people)]]+SUMIFS(tblPlan[Hires (people)],tblPlan[Department],tblPlan[[#This Row],[Department]],tblPlan[Month],"&lt;="&amp;tblPlan[[#This Row],[Month]])-SUMIFS(tblPlan[Leavers (people)],tblPlan[Department],tblPlan[[#This Row],[Department]],tblPlan[Month],"&lt;="&amp;tblPlan[[#This Row],[Month]]))</f>
        <v>33</v>
      </c>
      <c r="O33" s="42">
        <f>IF(tblPlan[[#This Row],[Month]]="","",IF(tblPlan[[#This Row],[Required FTE]]="","",tblPlan[[#This Row],[Planned heads]]-tblPlan[[#This Row],[Required FTE]]))</f>
        <v>1.10253168194488</v>
      </c>
      <c r="P33" s="41">
        <f>IF(tblPlan[[#This Row],[Month]]="","",tblPlan[[#This Row],[Planned heads]]*tblPlan[[#This Row],[Productive per FTE (h)]])</f>
        <v>4593.468</v>
      </c>
      <c r="Q33" s="41">
        <f>IF(tblPlan[[#This Row],[Month]]="","",tblPlan[[#This Row],[Planned heads]]*tblPlan[[#This Row],[Paid per FTE (h)]]*(1-AbsenceRate))</f>
        <v>5404.08</v>
      </c>
      <c r="R33" s="41">
        <f>IF(tblPlan[[#This Row],[Month]]="","",MAX(0,tblPlan[[#This Row],[Required (h)]]-tblPlan[[#This Row],[Capacity (h)]])/ProdShare)</f>
        <v>0</v>
      </c>
      <c r="S33" s="43">
        <f>IF(tblPlan[[#This Row],[Month]]="","",IF(tblPlan[[#This Row],[Attended (h)]]&gt;0,tblPlan[[#This Row],[Overtime (h)]]/tblPlan[[#This Row],[Attended (h)]],""))</f>
        <v>0</v>
      </c>
      <c r="T33" s="44" t="str">
        <f>IF(tblPlan[[#This Row],[Month]]="","",IF(tblPlan[[#This Row],[Gap (heads)]]="","",IF(tblPlan[[#This Row],[Gap (heads)]]&gt;=0,"On target",IF(AND(ISNUMBER(tblPlan[[#This Row],[Overtime share]]),tblPlan[[#This Row],[Overtime share]]&lt;=OTCap),"Near target","Below target"))))</f>
        <v>On target</v>
      </c>
      <c r="U33" s="40">
        <f>IF(tblPlan[[#This Row],[Month]]="","",IFERROR(INDEX(tblDepartments[Loaded rate (per h)],MATCH(tblPlan[[#This Row],[Department]],tblDepartments[Department],0)),""))</f>
        <v>31</v>
      </c>
      <c r="V33" s="41">
        <f>IF(tblPlan[[#This Row],[Month]]="","",(tblPlan[[#This Row],[Planned heads]]*tblPlan[[#This Row],[Paid per FTE (h)]]+tblPlan[[#This Row],[Overtime (h)]]*OTPremium)*tblPlan[[#This Row],[Loaded rate (per h)]])</f>
        <v>188232</v>
      </c>
      <c r="W33"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33" s="46" t="s">
        <v>109</v>
      </c>
    </row>
    <row r="34" spans="2:24">
      <c r="B34" s="34">
        <v>46478</v>
      </c>
      <c r="C34" s="28" t="s">
        <v>88</v>
      </c>
      <c r="D34" s="37">
        <v>1900</v>
      </c>
      <c r="E34" s="37">
        <v>1</v>
      </c>
      <c r="F34" s="37">
        <v>1</v>
      </c>
      <c r="G34" s="39">
        <f>IF(tblPlan[[#This Row],[Month]]="","",IFERROR(INDEX(tblMonths[Working days],MATCH(tblPlan[[#This Row],[Month]],tblMonths[Month],0)),""))</f>
        <v>21</v>
      </c>
      <c r="H34" s="40">
        <f>IF(tblPlan[[#This Row],[Month]]="","",IFERROR(INDEX(tblDepartments[Std hours (h/unit)],MATCH(tblPlan[[#This Row],[Department]],tblDepartments[Department],0)),""))</f>
        <v>2.4</v>
      </c>
      <c r="I34" s="41">
        <f>IF(tblPlan[[#This Row],[Month]]="","",IFERROR(INDEX(tblDepartments[Heads at start (people)],MATCH(tblPlan[[#This Row],[Department]],tblDepartments[Department],0)),""))</f>
        <v>34</v>
      </c>
      <c r="J34" s="41">
        <f>IF(tblPlan[[#This Row],[Month]]="","",tblPlan[[#This Row],[Demand (units)]]*tblPlan[[#This Row],[Std hours (h/unit)]])</f>
        <v>4560</v>
      </c>
      <c r="K34" s="39">
        <f>IF(tblPlan[[#This Row],[Month]]="","",tblPlan[[#This Row],[Working days]]*PaidHoursDay)</f>
        <v>168</v>
      </c>
      <c r="L34" s="39">
        <f>IF(tblPlan[[#This Row],[Month]]="","",tblPlan[[#This Row],[Paid per FTE (h)]]*(1-AbsenceRate)*ProdShare)</f>
        <v>127.092</v>
      </c>
      <c r="M34" s="39">
        <f>IF(tblPlan[[#This Row],[Month]]="","",IF(tblPlan[[#This Row],[Productive per FTE (h)]]&gt;0,tblPlan[[#This Row],[Required (h)]]/tblPlan[[#This Row],[Productive per FTE (h)]],""))</f>
        <v>35.8795203474648</v>
      </c>
      <c r="N34" s="41">
        <f>IF(tblPlan[[#This Row],[Month]]="","",tblPlan[[#This Row],[Heads at start (people)]]+SUMIFS(tblPlan[Hires (people)],tblPlan[Department],tblPlan[[#This Row],[Department]],tblPlan[Month],"&lt;="&amp;tblPlan[[#This Row],[Month]])-SUMIFS(tblPlan[Leavers (people)],tblPlan[Department],tblPlan[[#This Row],[Department]],tblPlan[Month],"&lt;="&amp;tblPlan[[#This Row],[Month]]))</f>
        <v>33</v>
      </c>
      <c r="O34" s="42">
        <f>IF(tblPlan[[#This Row],[Month]]="","",IF(tblPlan[[#This Row],[Required FTE]]="","",tblPlan[[#This Row],[Planned heads]]-tblPlan[[#This Row],[Required FTE]]))</f>
        <v>-2.87952034746483</v>
      </c>
      <c r="P34" s="41">
        <f>IF(tblPlan[[#This Row],[Month]]="","",tblPlan[[#This Row],[Planned heads]]*tblPlan[[#This Row],[Productive per FTE (h)]])</f>
        <v>4194.036</v>
      </c>
      <c r="Q34" s="41">
        <f>IF(tblPlan[[#This Row],[Month]]="","",tblPlan[[#This Row],[Planned heads]]*tblPlan[[#This Row],[Paid per FTE (h)]]*(1-AbsenceRate))</f>
        <v>4934.16</v>
      </c>
      <c r="R34" s="41">
        <f>IF(tblPlan[[#This Row],[Month]]="","",MAX(0,tblPlan[[#This Row],[Required (h)]]-tblPlan[[#This Row],[Capacity (h)]])/ProdShare)</f>
        <v>430.545882352941</v>
      </c>
      <c r="S34" s="43">
        <f>IF(tblPlan[[#This Row],[Month]]="","",IF(tblPlan[[#This Row],[Attended (h)]]&gt;0,tblPlan[[#This Row],[Overtime (h)]]/tblPlan[[#This Row],[Attended (h)]],""))</f>
        <v>0.0872581923474191</v>
      </c>
      <c r="T34" s="44" t="str">
        <f>IF(tblPlan[[#This Row],[Month]]="","",IF(tblPlan[[#This Row],[Gap (heads)]]="","",IF(tblPlan[[#This Row],[Gap (heads)]]&gt;=0,"On target",IF(AND(ISNUMBER(tblPlan[[#This Row],[Overtime share]]),tblPlan[[#This Row],[Overtime share]]&lt;=OTCap),"Near target","Below target"))))</f>
        <v>Near target</v>
      </c>
      <c r="U34" s="40">
        <f>IF(tblPlan[[#This Row],[Month]]="","",IFERROR(INDEX(tblDepartments[Loaded rate (per h)],MATCH(tblPlan[[#This Row],[Department]],tblDepartments[Department],0)),""))</f>
        <v>31</v>
      </c>
      <c r="V34" s="41">
        <f>IF(tblPlan[[#This Row],[Month]]="","",(tblPlan[[#This Row],[Planned heads]]*tblPlan[[#This Row],[Paid per FTE (h)]]+tblPlan[[#This Row],[Overtime (h)]]*OTPremium)*tblPlan[[#This Row],[Loaded rate (per h)]])</f>
        <v>191884.383529412</v>
      </c>
      <c r="W34"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34" s="46" t="s">
        <v>110</v>
      </c>
    </row>
    <row r="35" spans="2:24">
      <c r="B35" s="34">
        <v>46508</v>
      </c>
      <c r="C35" s="28" t="s">
        <v>88</v>
      </c>
      <c r="D35" s="37">
        <v>2000</v>
      </c>
      <c r="E35" s="37">
        <v>4</v>
      </c>
      <c r="F35" s="37">
        <v>0</v>
      </c>
      <c r="G35" s="39">
        <f>IF(tblPlan[[#This Row],[Month]]="","",IFERROR(INDEX(tblMonths[Working days],MATCH(tblPlan[[#This Row],[Month]],tblMonths[Month],0)),""))</f>
        <v>20</v>
      </c>
      <c r="H35" s="40">
        <f>IF(tblPlan[[#This Row],[Month]]="","",IFERROR(INDEX(tblDepartments[Std hours (h/unit)],MATCH(tblPlan[[#This Row],[Department]],tblDepartments[Department],0)),""))</f>
        <v>2.4</v>
      </c>
      <c r="I35" s="41">
        <f>IF(tblPlan[[#This Row],[Month]]="","",IFERROR(INDEX(tblDepartments[Heads at start (people)],MATCH(tblPlan[[#This Row],[Department]],tblDepartments[Department],0)),""))</f>
        <v>34</v>
      </c>
      <c r="J35" s="41">
        <f>IF(tblPlan[[#This Row],[Month]]="","",tblPlan[[#This Row],[Demand (units)]]*tblPlan[[#This Row],[Std hours (h/unit)]])</f>
        <v>4800</v>
      </c>
      <c r="K35" s="39">
        <f>IF(tblPlan[[#This Row],[Month]]="","",tblPlan[[#This Row],[Working days]]*PaidHoursDay)</f>
        <v>160</v>
      </c>
      <c r="L35" s="39">
        <f>IF(tblPlan[[#This Row],[Month]]="","",tblPlan[[#This Row],[Paid per FTE (h)]]*(1-AbsenceRate)*ProdShare)</f>
        <v>121.04</v>
      </c>
      <c r="M35" s="39">
        <f>IF(tblPlan[[#This Row],[Month]]="","",IF(tblPlan[[#This Row],[Productive per FTE (h)]]&gt;0,tblPlan[[#This Row],[Required (h)]]/tblPlan[[#This Row],[Productive per FTE (h)]],""))</f>
        <v>39.6563119629874</v>
      </c>
      <c r="N35" s="41">
        <f>IF(tblPlan[[#This Row],[Month]]="","",tblPlan[[#This Row],[Heads at start (people)]]+SUMIFS(tblPlan[Hires (people)],tblPlan[Department],tblPlan[[#This Row],[Department]],tblPlan[Month],"&lt;="&amp;tblPlan[[#This Row],[Month]])-SUMIFS(tblPlan[Leavers (people)],tblPlan[Department],tblPlan[[#This Row],[Department]],tblPlan[Month],"&lt;="&amp;tblPlan[[#This Row],[Month]]))</f>
        <v>37</v>
      </c>
      <c r="O35" s="42">
        <f>IF(tblPlan[[#This Row],[Month]]="","",IF(tblPlan[[#This Row],[Required FTE]]="","",tblPlan[[#This Row],[Planned heads]]-tblPlan[[#This Row],[Required FTE]]))</f>
        <v>-2.65631196298744</v>
      </c>
      <c r="P35" s="41">
        <f>IF(tblPlan[[#This Row],[Month]]="","",tblPlan[[#This Row],[Planned heads]]*tblPlan[[#This Row],[Productive per FTE (h)]])</f>
        <v>4478.48</v>
      </c>
      <c r="Q35" s="41">
        <f>IF(tblPlan[[#This Row],[Month]]="","",tblPlan[[#This Row],[Planned heads]]*tblPlan[[#This Row],[Paid per FTE (h)]]*(1-AbsenceRate))</f>
        <v>5268.8</v>
      </c>
      <c r="R35" s="41">
        <f>IF(tblPlan[[#This Row],[Month]]="","",MAX(0,tblPlan[[#This Row],[Required (h)]]-tblPlan[[#This Row],[Capacity (h)]])/ProdShare)</f>
        <v>378.258823529411</v>
      </c>
      <c r="S35" s="43">
        <f>IF(tblPlan[[#This Row],[Month]]="","",IF(tblPlan[[#This Row],[Attended (h)]]&gt;0,tblPlan[[#This Row],[Overtime (h)]]/tblPlan[[#This Row],[Attended (h)]],""))</f>
        <v>0.0717922152158767</v>
      </c>
      <c r="T35" s="44" t="str">
        <f>IF(tblPlan[[#This Row],[Month]]="","",IF(tblPlan[[#This Row],[Gap (heads)]]="","",IF(tblPlan[[#This Row],[Gap (heads)]]&gt;=0,"On target",IF(AND(ISNUMBER(tblPlan[[#This Row],[Overtime share]]),tblPlan[[#This Row],[Overtime share]]&lt;=OTCap),"Near target","Below target"))))</f>
        <v>Near target</v>
      </c>
      <c r="U35" s="40">
        <f>IF(tblPlan[[#This Row],[Month]]="","",IFERROR(INDEX(tblDepartments[Loaded rate (per h)],MATCH(tblPlan[[#This Row],[Department]],tblDepartments[Department],0)),""))</f>
        <v>31</v>
      </c>
      <c r="V35" s="41">
        <f>IF(tblPlan[[#This Row],[Month]]="","",(tblPlan[[#This Row],[Planned heads]]*tblPlan[[#This Row],[Paid per FTE (h)]]+tblPlan[[#This Row],[Overtime (h)]]*OTPremium)*tblPlan[[#This Row],[Loaded rate (per h)]])</f>
        <v>201109.035294118</v>
      </c>
      <c r="W35"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35" s="46" t="s">
        <v>113</v>
      </c>
    </row>
    <row r="36" spans="2:24">
      <c r="B36" s="34">
        <v>46539</v>
      </c>
      <c r="C36" s="28" t="s">
        <v>88</v>
      </c>
      <c r="D36" s="37">
        <v>2100</v>
      </c>
      <c r="E36" s="37">
        <v>0</v>
      </c>
      <c r="F36" s="37">
        <v>0</v>
      </c>
      <c r="G36" s="39">
        <f>IF(tblPlan[[#This Row],[Month]]="","",IFERROR(INDEX(tblMonths[Working days],MATCH(tblPlan[[#This Row],[Month]],tblMonths[Month],0)),""))</f>
        <v>22</v>
      </c>
      <c r="H36" s="40">
        <f>IF(tblPlan[[#This Row],[Month]]="","",IFERROR(INDEX(tblDepartments[Std hours (h/unit)],MATCH(tblPlan[[#This Row],[Department]],tblDepartments[Department],0)),""))</f>
        <v>2.4</v>
      </c>
      <c r="I36" s="41">
        <f>IF(tblPlan[[#This Row],[Month]]="","",IFERROR(INDEX(tblDepartments[Heads at start (people)],MATCH(tblPlan[[#This Row],[Department]],tblDepartments[Department],0)),""))</f>
        <v>34</v>
      </c>
      <c r="J36" s="41">
        <f>IF(tblPlan[[#This Row],[Month]]="","",tblPlan[[#This Row],[Demand (units)]]*tblPlan[[#This Row],[Std hours (h/unit)]])</f>
        <v>5040</v>
      </c>
      <c r="K36" s="39">
        <f>IF(tblPlan[[#This Row],[Month]]="","",tblPlan[[#This Row],[Working days]]*PaidHoursDay)</f>
        <v>176</v>
      </c>
      <c r="L36" s="39">
        <f>IF(tblPlan[[#This Row],[Month]]="","",tblPlan[[#This Row],[Paid per FTE (h)]]*(1-AbsenceRate)*ProdShare)</f>
        <v>133.144</v>
      </c>
      <c r="M36" s="39">
        <f>IF(tblPlan[[#This Row],[Month]]="","",IF(tblPlan[[#This Row],[Productive per FTE (h)]]&gt;0,tblPlan[[#This Row],[Required (h)]]/tblPlan[[#This Row],[Productive per FTE (h)]],""))</f>
        <v>37.8537523283062</v>
      </c>
      <c r="N36" s="41">
        <f>IF(tblPlan[[#This Row],[Month]]="","",tblPlan[[#This Row],[Heads at start (people)]]+SUMIFS(tblPlan[Hires (people)],tblPlan[Department],tblPlan[[#This Row],[Department]],tblPlan[Month],"&lt;="&amp;tblPlan[[#This Row],[Month]])-SUMIFS(tblPlan[Leavers (people)],tblPlan[Department],tblPlan[[#This Row],[Department]],tblPlan[Month],"&lt;="&amp;tblPlan[[#This Row],[Month]]))</f>
        <v>37</v>
      </c>
      <c r="O36" s="42">
        <f>IF(tblPlan[[#This Row],[Month]]="","",IF(tblPlan[[#This Row],[Required FTE]]="","",tblPlan[[#This Row],[Planned heads]]-tblPlan[[#This Row],[Required FTE]]))</f>
        <v>-0.853752328306193</v>
      </c>
      <c r="P36" s="41">
        <f>IF(tblPlan[[#This Row],[Month]]="","",tblPlan[[#This Row],[Planned heads]]*tblPlan[[#This Row],[Productive per FTE (h)]])</f>
        <v>4926.328</v>
      </c>
      <c r="Q36" s="41">
        <f>IF(tblPlan[[#This Row],[Month]]="","",tblPlan[[#This Row],[Planned heads]]*tblPlan[[#This Row],[Paid per FTE (h)]]*(1-AbsenceRate))</f>
        <v>5795.68</v>
      </c>
      <c r="R36" s="41">
        <f>IF(tblPlan[[#This Row],[Month]]="","",MAX(0,tblPlan[[#This Row],[Required (h)]]-tblPlan[[#This Row],[Capacity (h)]])/ProdShare)</f>
        <v>133.731764705882</v>
      </c>
      <c r="S36" s="43">
        <f>IF(tblPlan[[#This Row],[Month]]="","",IF(tblPlan[[#This Row],[Attended (h)]]&gt;0,tblPlan[[#This Row],[Overtime (h)]]/tblPlan[[#This Row],[Attended (h)]],""))</f>
        <v>0.0230743872515187</v>
      </c>
      <c r="T36" s="44" t="str">
        <f>IF(tblPlan[[#This Row],[Month]]="","",IF(tblPlan[[#This Row],[Gap (heads)]]="","",IF(tblPlan[[#This Row],[Gap (heads)]]&gt;=0,"On target",IF(AND(ISNUMBER(tblPlan[[#This Row],[Overtime share]]),tblPlan[[#This Row],[Overtime share]]&lt;=OTCap),"Near target","Below target"))))</f>
        <v>Near target</v>
      </c>
      <c r="U36" s="40">
        <f>IF(tblPlan[[#This Row],[Month]]="","",IFERROR(INDEX(tblDepartments[Loaded rate (per h)],MATCH(tblPlan[[#This Row],[Department]],tblDepartments[Department],0)),""))</f>
        <v>31</v>
      </c>
      <c r="V36" s="41">
        <f>IF(tblPlan[[#This Row],[Month]]="","",(tblPlan[[#This Row],[Planned heads]]*tblPlan[[#This Row],[Paid per FTE (h)]]+tblPlan[[#This Row],[Overtime (h)]]*OTPremium)*tblPlan[[#This Row],[Loaded rate (per h)]])</f>
        <v>208090.527058824</v>
      </c>
      <c r="W36"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36" s="46" t="s">
        <v>109</v>
      </c>
    </row>
    <row r="37" spans="2:24">
      <c r="B37" s="34">
        <v>46569</v>
      </c>
      <c r="C37" s="28" t="s">
        <v>88</v>
      </c>
      <c r="D37" s="37">
        <v>2150</v>
      </c>
      <c r="E37" s="37">
        <v>3</v>
      </c>
      <c r="F37" s="37">
        <v>0</v>
      </c>
      <c r="G37" s="39">
        <f>IF(tblPlan[[#This Row],[Month]]="","",IFERROR(INDEX(tblMonths[Working days],MATCH(tblPlan[[#This Row],[Month]],tblMonths[Month],0)),""))</f>
        <v>21</v>
      </c>
      <c r="H37" s="40">
        <f>IF(tblPlan[[#This Row],[Month]]="","",IFERROR(INDEX(tblDepartments[Std hours (h/unit)],MATCH(tblPlan[[#This Row],[Department]],tblDepartments[Department],0)),""))</f>
        <v>2.4</v>
      </c>
      <c r="I37" s="41">
        <f>IF(tblPlan[[#This Row],[Month]]="","",IFERROR(INDEX(tblDepartments[Heads at start (people)],MATCH(tblPlan[[#This Row],[Department]],tblDepartments[Department],0)),""))</f>
        <v>34</v>
      </c>
      <c r="J37" s="41">
        <f>IF(tblPlan[[#This Row],[Month]]="","",tblPlan[[#This Row],[Demand (units)]]*tblPlan[[#This Row],[Std hours (h/unit)]])</f>
        <v>5160</v>
      </c>
      <c r="K37" s="39">
        <f>IF(tblPlan[[#This Row],[Month]]="","",tblPlan[[#This Row],[Working days]]*PaidHoursDay)</f>
        <v>168</v>
      </c>
      <c r="L37" s="39">
        <f>IF(tblPlan[[#This Row],[Month]]="","",tblPlan[[#This Row],[Paid per FTE (h)]]*(1-AbsenceRate)*ProdShare)</f>
        <v>127.092</v>
      </c>
      <c r="M37" s="39">
        <f>IF(tblPlan[[#This Row],[Month]]="","",IF(tblPlan[[#This Row],[Productive per FTE (h)]]&gt;0,tblPlan[[#This Row],[Required (h)]]/tblPlan[[#This Row],[Productive per FTE (h)]],""))</f>
        <v>40.6005098668681</v>
      </c>
      <c r="N37" s="41">
        <f>IF(tblPlan[[#This Row],[Month]]="","",tblPlan[[#This Row],[Heads at start (people)]]+SUMIFS(tblPlan[Hires (people)],tblPlan[Department],tblPlan[[#This Row],[Department]],tblPlan[Month],"&lt;="&amp;tblPlan[[#This Row],[Month]])-SUMIFS(tblPlan[Leavers (people)],tblPlan[Department],tblPlan[[#This Row],[Department]],tblPlan[Month],"&lt;="&amp;tblPlan[[#This Row],[Month]]))</f>
        <v>40</v>
      </c>
      <c r="O37" s="42">
        <f>IF(tblPlan[[#This Row],[Month]]="","",IF(tblPlan[[#This Row],[Required FTE]]="","",tblPlan[[#This Row],[Planned heads]]-tblPlan[[#This Row],[Required FTE]]))</f>
        <v>-0.600509866868094</v>
      </c>
      <c r="P37" s="41">
        <f>IF(tblPlan[[#This Row],[Month]]="","",tblPlan[[#This Row],[Planned heads]]*tblPlan[[#This Row],[Productive per FTE (h)]])</f>
        <v>5083.68</v>
      </c>
      <c r="Q37" s="41">
        <f>IF(tblPlan[[#This Row],[Month]]="","",tblPlan[[#This Row],[Planned heads]]*tblPlan[[#This Row],[Paid per FTE (h)]]*(1-AbsenceRate))</f>
        <v>5980.8</v>
      </c>
      <c r="R37" s="41">
        <f>IF(tblPlan[[#This Row],[Month]]="","",MAX(0,tblPlan[[#This Row],[Required (h)]]-tblPlan[[#This Row],[Capacity (h)]])/ProdShare)</f>
        <v>89.7882352941173</v>
      </c>
      <c r="S37" s="43">
        <f>IF(tblPlan[[#This Row],[Month]]="","",IF(tblPlan[[#This Row],[Attended (h)]]&gt;0,tblPlan[[#This Row],[Overtime (h)]]/tblPlan[[#This Row],[Attended (h)]],""))</f>
        <v>0.0150127466717023</v>
      </c>
      <c r="T37" s="44" t="str">
        <f>IF(tblPlan[[#This Row],[Month]]="","",IF(tblPlan[[#This Row],[Gap (heads)]]="","",IF(tblPlan[[#This Row],[Gap (heads)]]&gt;=0,"On target",IF(AND(ISNUMBER(tblPlan[[#This Row],[Overtime share]]),tblPlan[[#This Row],[Overtime share]]&lt;=OTCap),"Near target","Below target"))))</f>
        <v>Near target</v>
      </c>
      <c r="U37" s="40">
        <f>IF(tblPlan[[#This Row],[Month]]="","",IFERROR(INDEX(tblDepartments[Loaded rate (per h)],MATCH(tblPlan[[#This Row],[Department]],tblDepartments[Department],0)),""))</f>
        <v>31</v>
      </c>
      <c r="V37" s="41">
        <f>IF(tblPlan[[#This Row],[Month]]="","",(tblPlan[[#This Row],[Planned heads]]*tblPlan[[#This Row],[Paid per FTE (h)]]+tblPlan[[#This Row],[Overtime (h)]]*OTPremium)*tblPlan[[#This Row],[Loaded rate (per h)]])</f>
        <v>212495.152941176</v>
      </c>
      <c r="W37"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37" s="46" t="s">
        <v>113</v>
      </c>
    </row>
    <row r="38" spans="2:24">
      <c r="B38" s="34">
        <v>46600</v>
      </c>
      <c r="C38" s="28" t="s">
        <v>88</v>
      </c>
      <c r="D38" s="37">
        <v>2300</v>
      </c>
      <c r="E38" s="37">
        <v>0</v>
      </c>
      <c r="F38" s="37">
        <v>0</v>
      </c>
      <c r="G38" s="39">
        <f>IF(tblPlan[[#This Row],[Month]]="","",IFERROR(INDEX(tblMonths[Working days],MATCH(tblPlan[[#This Row],[Month]],tblMonths[Month],0)),""))</f>
        <v>22</v>
      </c>
      <c r="H38" s="40">
        <f>IF(tblPlan[[#This Row],[Month]]="","",IFERROR(INDEX(tblDepartments[Std hours (h/unit)],MATCH(tblPlan[[#This Row],[Department]],tblDepartments[Department],0)),""))</f>
        <v>2.4</v>
      </c>
      <c r="I38" s="41">
        <f>IF(tblPlan[[#This Row],[Month]]="","",IFERROR(INDEX(tblDepartments[Heads at start (people)],MATCH(tblPlan[[#This Row],[Department]],tblDepartments[Department],0)),""))</f>
        <v>34</v>
      </c>
      <c r="J38" s="41">
        <f>IF(tblPlan[[#This Row],[Month]]="","",tblPlan[[#This Row],[Demand (units)]]*tblPlan[[#This Row],[Std hours (h/unit)]])</f>
        <v>5520</v>
      </c>
      <c r="K38" s="39">
        <f>IF(tblPlan[[#This Row],[Month]]="","",tblPlan[[#This Row],[Working days]]*PaidHoursDay)</f>
        <v>176</v>
      </c>
      <c r="L38" s="39">
        <f>IF(tblPlan[[#This Row],[Month]]="","",tblPlan[[#This Row],[Paid per FTE (h)]]*(1-AbsenceRate)*ProdShare)</f>
        <v>133.144</v>
      </c>
      <c r="M38" s="39">
        <f>IF(tblPlan[[#This Row],[Month]]="","",IF(tblPlan[[#This Row],[Productive per FTE (h)]]&gt;0,tblPlan[[#This Row],[Required (h)]]/tblPlan[[#This Row],[Productive per FTE (h)]],""))</f>
        <v>41.4588715976687</v>
      </c>
      <c r="N38" s="41">
        <f>IF(tblPlan[[#This Row],[Month]]="","",tblPlan[[#This Row],[Heads at start (people)]]+SUMIFS(tblPlan[Hires (people)],tblPlan[Department],tblPlan[[#This Row],[Department]],tblPlan[Month],"&lt;="&amp;tblPlan[[#This Row],[Month]])-SUMIFS(tblPlan[Leavers (people)],tblPlan[Department],tblPlan[[#This Row],[Department]],tblPlan[Month],"&lt;="&amp;tblPlan[[#This Row],[Month]]))</f>
        <v>40</v>
      </c>
      <c r="O38" s="42">
        <f>IF(tblPlan[[#This Row],[Month]]="","",IF(tblPlan[[#This Row],[Required FTE]]="","",tblPlan[[#This Row],[Planned heads]]-tblPlan[[#This Row],[Required FTE]]))</f>
        <v>-1.45887159766869</v>
      </c>
      <c r="P38" s="41">
        <f>IF(tblPlan[[#This Row],[Month]]="","",tblPlan[[#This Row],[Planned heads]]*tblPlan[[#This Row],[Productive per FTE (h)]])</f>
        <v>5325.76</v>
      </c>
      <c r="Q38" s="41">
        <f>IF(tblPlan[[#This Row],[Month]]="","",tblPlan[[#This Row],[Planned heads]]*tblPlan[[#This Row],[Paid per FTE (h)]]*(1-AbsenceRate))</f>
        <v>6265.6</v>
      </c>
      <c r="R38" s="41">
        <f>IF(tblPlan[[#This Row],[Month]]="","",MAX(0,tblPlan[[#This Row],[Required (h)]]-tblPlan[[#This Row],[Capacity (h)]])/ProdShare)</f>
        <v>228.517647058823</v>
      </c>
      <c r="S38" s="43">
        <f>IF(tblPlan[[#This Row],[Month]]="","",IF(tblPlan[[#This Row],[Attended (h)]]&gt;0,tblPlan[[#This Row],[Overtime (h)]]/tblPlan[[#This Row],[Attended (h)]],""))</f>
        <v>0.0364717899417172</v>
      </c>
      <c r="T38" s="44" t="str">
        <f>IF(tblPlan[[#This Row],[Month]]="","",IF(tblPlan[[#This Row],[Gap (heads)]]="","",IF(tblPlan[[#This Row],[Gap (heads)]]&gt;=0,"On target",IF(AND(ISNUMBER(tblPlan[[#This Row],[Overtime share]]),tblPlan[[#This Row],[Overtime share]]&lt;=OTCap),"Near target","Below target"))))</f>
        <v>Near target</v>
      </c>
      <c r="U38" s="40">
        <f>IF(tblPlan[[#This Row],[Month]]="","",IFERROR(INDEX(tblDepartments[Loaded rate (per h)],MATCH(tblPlan[[#This Row],[Department]],tblDepartments[Department],0)),""))</f>
        <v>31</v>
      </c>
      <c r="V38" s="41">
        <f>IF(tblPlan[[#This Row],[Month]]="","",(tblPlan[[#This Row],[Planned heads]]*tblPlan[[#This Row],[Paid per FTE (h)]]+tblPlan[[#This Row],[Overtime (h)]]*OTPremium)*tblPlan[[#This Row],[Loaded rate (per h)]])</f>
        <v>228866.070588235</v>
      </c>
      <c r="W38"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38" s="46" t="s">
        <v>109</v>
      </c>
    </row>
    <row r="39" spans="2:24">
      <c r="B39" s="34">
        <v>46631</v>
      </c>
      <c r="C39" s="28" t="s">
        <v>88</v>
      </c>
      <c r="D39" s="37">
        <v>2350</v>
      </c>
      <c r="E39" s="37">
        <v>2</v>
      </c>
      <c r="F39" s="37">
        <v>0</v>
      </c>
      <c r="G39" s="39">
        <f>IF(tblPlan[[#This Row],[Month]]="","",IFERROR(INDEX(tblMonths[Working days],MATCH(tblPlan[[#This Row],[Month]],tblMonths[Month],0)),""))</f>
        <v>21</v>
      </c>
      <c r="H39" s="40">
        <f>IF(tblPlan[[#This Row],[Month]]="","",IFERROR(INDEX(tblDepartments[Std hours (h/unit)],MATCH(tblPlan[[#This Row],[Department]],tblDepartments[Department],0)),""))</f>
        <v>2.4</v>
      </c>
      <c r="I39" s="41">
        <f>IF(tblPlan[[#This Row],[Month]]="","",IFERROR(INDEX(tblDepartments[Heads at start (people)],MATCH(tblPlan[[#This Row],[Department]],tblDepartments[Department],0)),""))</f>
        <v>34</v>
      </c>
      <c r="J39" s="41">
        <f>IF(tblPlan[[#This Row],[Month]]="","",tblPlan[[#This Row],[Demand (units)]]*tblPlan[[#This Row],[Std hours (h/unit)]])</f>
        <v>5640</v>
      </c>
      <c r="K39" s="39">
        <f>IF(tblPlan[[#This Row],[Month]]="","",tblPlan[[#This Row],[Working days]]*PaidHoursDay)</f>
        <v>168</v>
      </c>
      <c r="L39" s="39">
        <f>IF(tblPlan[[#This Row],[Month]]="","",tblPlan[[#This Row],[Paid per FTE (h)]]*(1-AbsenceRate)*ProdShare)</f>
        <v>127.092</v>
      </c>
      <c r="M39" s="39">
        <f>IF(tblPlan[[#This Row],[Month]]="","",IF(tblPlan[[#This Row],[Productive per FTE (h)]]&gt;0,tblPlan[[#This Row],[Required (h)]]/tblPlan[[#This Row],[Productive per FTE (h)]],""))</f>
        <v>44.3773014823907</v>
      </c>
      <c r="N39" s="41">
        <f>IF(tblPlan[[#This Row],[Month]]="","",tblPlan[[#This Row],[Heads at start (people)]]+SUMIFS(tblPlan[Hires (people)],tblPlan[Department],tblPlan[[#This Row],[Department]],tblPlan[Month],"&lt;="&amp;tblPlan[[#This Row],[Month]])-SUMIFS(tblPlan[Leavers (people)],tblPlan[Department],tblPlan[[#This Row],[Department]],tblPlan[Month],"&lt;="&amp;tblPlan[[#This Row],[Month]]))</f>
        <v>42</v>
      </c>
      <c r="O39" s="42">
        <f>IF(tblPlan[[#This Row],[Month]]="","",IF(tblPlan[[#This Row],[Required FTE]]="","",tblPlan[[#This Row],[Planned heads]]-tblPlan[[#This Row],[Required FTE]]))</f>
        <v>-2.37730148239071</v>
      </c>
      <c r="P39" s="41">
        <f>IF(tblPlan[[#This Row],[Month]]="","",tblPlan[[#This Row],[Planned heads]]*tblPlan[[#This Row],[Productive per FTE (h)]])</f>
        <v>5337.864</v>
      </c>
      <c r="Q39" s="41">
        <f>IF(tblPlan[[#This Row],[Month]]="","",tblPlan[[#This Row],[Planned heads]]*tblPlan[[#This Row],[Paid per FTE (h)]]*(1-AbsenceRate))</f>
        <v>6279.84</v>
      </c>
      <c r="R39" s="41">
        <f>IF(tblPlan[[#This Row],[Month]]="","",MAX(0,tblPlan[[#This Row],[Required (h)]]-tblPlan[[#This Row],[Capacity (h)]])/ProdShare)</f>
        <v>355.454117647059</v>
      </c>
      <c r="S39" s="43">
        <f>IF(tblPlan[[#This Row],[Month]]="","",IF(tblPlan[[#This Row],[Attended (h)]]&gt;0,tblPlan[[#This Row],[Overtime (h)]]/tblPlan[[#This Row],[Attended (h)]],""))</f>
        <v>0.0566024162473979</v>
      </c>
      <c r="T39" s="44" t="str">
        <f>IF(tblPlan[[#This Row],[Month]]="","",IF(tblPlan[[#This Row],[Gap (heads)]]="","",IF(tblPlan[[#This Row],[Gap (heads)]]&gt;=0,"On target",IF(AND(ISNUMBER(tblPlan[[#This Row],[Overtime share]]),tblPlan[[#This Row],[Overtime share]]&lt;=OTCap),"Near target","Below target"))))</f>
        <v>Near target</v>
      </c>
      <c r="U39" s="40">
        <f>IF(tblPlan[[#This Row],[Month]]="","",IFERROR(INDEX(tblDepartments[Loaded rate (per h)],MATCH(tblPlan[[#This Row],[Department]],tblDepartments[Department],0)),""))</f>
        <v>31</v>
      </c>
      <c r="V39" s="41">
        <f>IF(tblPlan[[#This Row],[Month]]="","",(tblPlan[[#This Row],[Planned heads]]*tblPlan[[#This Row],[Paid per FTE (h)]]+tblPlan[[#This Row],[Overtime (h)]]*OTPremium)*tblPlan[[#This Row],[Loaded rate (per h)]])</f>
        <v>235264.616470588</v>
      </c>
      <c r="W39"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39" s="46" t="s">
        <v>111</v>
      </c>
    </row>
    <row r="40" spans="2:24">
      <c r="B40" s="34">
        <v>46661</v>
      </c>
      <c r="C40" s="28" t="s">
        <v>88</v>
      </c>
      <c r="D40" s="37">
        <v>2200</v>
      </c>
      <c r="E40" s="37">
        <v>0</v>
      </c>
      <c r="F40" s="37">
        <v>0</v>
      </c>
      <c r="G40" s="39">
        <f>IF(tblPlan[[#This Row],[Month]]="","",IFERROR(INDEX(tblMonths[Working days],MATCH(tblPlan[[#This Row],[Month]],tblMonths[Month],0)),""))</f>
        <v>21</v>
      </c>
      <c r="H40" s="40">
        <f>IF(tblPlan[[#This Row],[Month]]="","",IFERROR(INDEX(tblDepartments[Std hours (h/unit)],MATCH(tblPlan[[#This Row],[Department]],tblDepartments[Department],0)),""))</f>
        <v>2.4</v>
      </c>
      <c r="I40" s="41">
        <f>IF(tblPlan[[#This Row],[Month]]="","",IFERROR(INDEX(tblDepartments[Heads at start (people)],MATCH(tblPlan[[#This Row],[Department]],tblDepartments[Department],0)),""))</f>
        <v>34</v>
      </c>
      <c r="J40" s="41">
        <f>IF(tblPlan[[#This Row],[Month]]="","",tblPlan[[#This Row],[Demand (units)]]*tblPlan[[#This Row],[Std hours (h/unit)]])</f>
        <v>5280</v>
      </c>
      <c r="K40" s="39">
        <f>IF(tblPlan[[#This Row],[Month]]="","",tblPlan[[#This Row],[Working days]]*PaidHoursDay)</f>
        <v>168</v>
      </c>
      <c r="L40" s="39">
        <f>IF(tblPlan[[#This Row],[Month]]="","",tblPlan[[#This Row],[Paid per FTE (h)]]*(1-AbsenceRate)*ProdShare)</f>
        <v>127.092</v>
      </c>
      <c r="M40" s="39">
        <f>IF(tblPlan[[#This Row],[Month]]="","",IF(tblPlan[[#This Row],[Productive per FTE (h)]]&gt;0,tblPlan[[#This Row],[Required (h)]]/tblPlan[[#This Row],[Productive per FTE (h)]],""))</f>
        <v>41.5447077707488</v>
      </c>
      <c r="N40" s="41">
        <f>IF(tblPlan[[#This Row],[Month]]="","",tblPlan[[#This Row],[Heads at start (people)]]+SUMIFS(tblPlan[Hires (people)],tblPlan[Department],tblPlan[[#This Row],[Department]],tblPlan[Month],"&lt;="&amp;tblPlan[[#This Row],[Month]])-SUMIFS(tblPlan[Leavers (people)],tblPlan[Department],tblPlan[[#This Row],[Department]],tblPlan[Month],"&lt;="&amp;tblPlan[[#This Row],[Month]]))</f>
        <v>42</v>
      </c>
      <c r="O40" s="42">
        <f>IF(tblPlan[[#This Row],[Month]]="","",IF(tblPlan[[#This Row],[Required FTE]]="","",tblPlan[[#This Row],[Planned heads]]-tblPlan[[#This Row],[Required FTE]]))</f>
        <v>0.455292229251249</v>
      </c>
      <c r="P40" s="41">
        <f>IF(tblPlan[[#This Row],[Month]]="","",tblPlan[[#This Row],[Planned heads]]*tblPlan[[#This Row],[Productive per FTE (h)]])</f>
        <v>5337.864</v>
      </c>
      <c r="Q40" s="41">
        <f>IF(tblPlan[[#This Row],[Month]]="","",tblPlan[[#This Row],[Planned heads]]*tblPlan[[#This Row],[Paid per FTE (h)]]*(1-AbsenceRate))</f>
        <v>6279.84</v>
      </c>
      <c r="R40" s="41">
        <f>IF(tblPlan[[#This Row],[Month]]="","",MAX(0,tblPlan[[#This Row],[Required (h)]]-tblPlan[[#This Row],[Capacity (h)]])/ProdShare)</f>
        <v>0</v>
      </c>
      <c r="S40" s="43">
        <f>IF(tblPlan[[#This Row],[Month]]="","",IF(tblPlan[[#This Row],[Attended (h)]]&gt;0,tblPlan[[#This Row],[Overtime (h)]]/tblPlan[[#This Row],[Attended (h)]],""))</f>
        <v>0</v>
      </c>
      <c r="T40" s="44" t="str">
        <f>IF(tblPlan[[#This Row],[Month]]="","",IF(tblPlan[[#This Row],[Gap (heads)]]="","",IF(tblPlan[[#This Row],[Gap (heads)]]&gt;=0,"On target",IF(AND(ISNUMBER(tblPlan[[#This Row],[Overtime share]]),tblPlan[[#This Row],[Overtime share]]&lt;=OTCap),"Near target","Below target"))))</f>
        <v>On target</v>
      </c>
      <c r="U40" s="40">
        <f>IF(tblPlan[[#This Row],[Month]]="","",IFERROR(INDEX(tblDepartments[Loaded rate (per h)],MATCH(tblPlan[[#This Row],[Department]],tblDepartments[Department],0)),""))</f>
        <v>31</v>
      </c>
      <c r="V40" s="41">
        <f>IF(tblPlan[[#This Row],[Month]]="","",(tblPlan[[#This Row],[Planned heads]]*tblPlan[[#This Row],[Paid per FTE (h)]]+tblPlan[[#This Row],[Overtime (h)]]*OTPremium)*tblPlan[[#This Row],[Loaded rate (per h)]])</f>
        <v>218736</v>
      </c>
      <c r="W40"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40" s="46" t="s">
        <v>109</v>
      </c>
    </row>
    <row r="41" spans="2:24">
      <c r="B41" s="34">
        <v>46692</v>
      </c>
      <c r="C41" s="28" t="s">
        <v>88</v>
      </c>
      <c r="D41" s="37">
        <v>1900</v>
      </c>
      <c r="E41" s="37">
        <v>0</v>
      </c>
      <c r="F41" s="37">
        <v>1</v>
      </c>
      <c r="G41" s="39">
        <f>IF(tblPlan[[#This Row],[Month]]="","",IFERROR(INDEX(tblMonths[Working days],MATCH(tblPlan[[#This Row],[Month]],tblMonths[Month],0)),""))</f>
        <v>20</v>
      </c>
      <c r="H41" s="40">
        <f>IF(tblPlan[[#This Row],[Month]]="","",IFERROR(INDEX(tblDepartments[Std hours (h/unit)],MATCH(tblPlan[[#This Row],[Department]],tblDepartments[Department],0)),""))</f>
        <v>2.4</v>
      </c>
      <c r="I41" s="41">
        <f>IF(tblPlan[[#This Row],[Month]]="","",IFERROR(INDEX(tblDepartments[Heads at start (people)],MATCH(tblPlan[[#This Row],[Department]],tblDepartments[Department],0)),""))</f>
        <v>34</v>
      </c>
      <c r="J41" s="41">
        <f>IF(tblPlan[[#This Row],[Month]]="","",tblPlan[[#This Row],[Demand (units)]]*tblPlan[[#This Row],[Std hours (h/unit)]])</f>
        <v>4560</v>
      </c>
      <c r="K41" s="39">
        <f>IF(tblPlan[[#This Row],[Month]]="","",tblPlan[[#This Row],[Working days]]*PaidHoursDay)</f>
        <v>160</v>
      </c>
      <c r="L41" s="39">
        <f>IF(tblPlan[[#This Row],[Month]]="","",tblPlan[[#This Row],[Paid per FTE (h)]]*(1-AbsenceRate)*ProdShare)</f>
        <v>121.04</v>
      </c>
      <c r="M41" s="39">
        <f>IF(tblPlan[[#This Row],[Month]]="","",IF(tblPlan[[#This Row],[Productive per FTE (h)]]&gt;0,tblPlan[[#This Row],[Required (h)]]/tblPlan[[#This Row],[Productive per FTE (h)]],""))</f>
        <v>37.6734963648381</v>
      </c>
      <c r="N41" s="41">
        <f>IF(tblPlan[[#This Row],[Month]]="","",tblPlan[[#This Row],[Heads at start (people)]]+SUMIFS(tblPlan[Hires (people)],tblPlan[Department],tblPlan[[#This Row],[Department]],tblPlan[Month],"&lt;="&amp;tblPlan[[#This Row],[Month]])-SUMIFS(tblPlan[Leavers (people)],tblPlan[Department],tblPlan[[#This Row],[Department]],tblPlan[Month],"&lt;="&amp;tblPlan[[#This Row],[Month]]))</f>
        <v>41</v>
      </c>
      <c r="O41" s="42">
        <f>IF(tblPlan[[#This Row],[Month]]="","",IF(tblPlan[[#This Row],[Required FTE]]="","",tblPlan[[#This Row],[Planned heads]]-tblPlan[[#This Row],[Required FTE]]))</f>
        <v>3.32650363516193</v>
      </c>
      <c r="P41" s="41">
        <f>IF(tblPlan[[#This Row],[Month]]="","",tblPlan[[#This Row],[Planned heads]]*tblPlan[[#This Row],[Productive per FTE (h)]])</f>
        <v>4962.64</v>
      </c>
      <c r="Q41" s="41">
        <f>IF(tblPlan[[#This Row],[Month]]="","",tblPlan[[#This Row],[Planned heads]]*tblPlan[[#This Row],[Paid per FTE (h)]]*(1-AbsenceRate))</f>
        <v>5838.4</v>
      </c>
      <c r="R41" s="41">
        <f>IF(tblPlan[[#This Row],[Month]]="","",MAX(0,tblPlan[[#This Row],[Required (h)]]-tblPlan[[#This Row],[Capacity (h)]])/ProdShare)</f>
        <v>0</v>
      </c>
      <c r="S41" s="43">
        <f>IF(tblPlan[[#This Row],[Month]]="","",IF(tblPlan[[#This Row],[Attended (h)]]&gt;0,tblPlan[[#This Row],[Overtime (h)]]/tblPlan[[#This Row],[Attended (h)]],""))</f>
        <v>0</v>
      </c>
      <c r="T41" s="44" t="str">
        <f>IF(tblPlan[[#This Row],[Month]]="","",IF(tblPlan[[#This Row],[Gap (heads)]]="","",IF(tblPlan[[#This Row],[Gap (heads)]]&gt;=0,"On target",IF(AND(ISNUMBER(tblPlan[[#This Row],[Overtime share]]),tblPlan[[#This Row],[Overtime share]]&lt;=OTCap),"Near target","Below target"))))</f>
        <v>On target</v>
      </c>
      <c r="U41" s="40">
        <f>IF(tblPlan[[#This Row],[Month]]="","",IFERROR(INDEX(tblDepartments[Loaded rate (per h)],MATCH(tblPlan[[#This Row],[Department]],tblDepartments[Department],0)),""))</f>
        <v>31</v>
      </c>
      <c r="V41" s="41">
        <f>IF(tblPlan[[#This Row],[Month]]="","",(tblPlan[[#This Row],[Planned heads]]*tblPlan[[#This Row],[Paid per FTE (h)]]+tblPlan[[#This Row],[Overtime (h)]]*OTPremium)*tblPlan[[#This Row],[Loaded rate (per h)]])</f>
        <v>203360</v>
      </c>
      <c r="W41"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41" s="46" t="s">
        <v>109</v>
      </c>
    </row>
    <row r="42" spans="2:24">
      <c r="B42" s="34">
        <v>46722</v>
      </c>
      <c r="C42" s="28" t="s">
        <v>88</v>
      </c>
      <c r="D42" s="37">
        <v>1600</v>
      </c>
      <c r="E42" s="37">
        <v>1</v>
      </c>
      <c r="F42" s="37">
        <v>0</v>
      </c>
      <c r="G42" s="39">
        <f>IF(tblPlan[[#This Row],[Month]]="","",IFERROR(INDEX(tblMonths[Working days],MATCH(tblPlan[[#This Row],[Month]],tblMonths[Month],0)),""))</f>
        <v>19</v>
      </c>
      <c r="H42" s="40">
        <f>IF(tblPlan[[#This Row],[Month]]="","",IFERROR(INDEX(tblDepartments[Std hours (h/unit)],MATCH(tblPlan[[#This Row],[Department]],tblDepartments[Department],0)),""))</f>
        <v>2.4</v>
      </c>
      <c r="I42" s="41">
        <f>IF(tblPlan[[#This Row],[Month]]="","",IFERROR(INDEX(tblDepartments[Heads at start (people)],MATCH(tblPlan[[#This Row],[Department]],tblDepartments[Department],0)),""))</f>
        <v>34</v>
      </c>
      <c r="J42" s="41">
        <f>IF(tblPlan[[#This Row],[Month]]="","",tblPlan[[#This Row],[Demand (units)]]*tblPlan[[#This Row],[Std hours (h/unit)]])</f>
        <v>3840</v>
      </c>
      <c r="K42" s="39">
        <f>IF(tblPlan[[#This Row],[Month]]="","",tblPlan[[#This Row],[Working days]]*PaidHoursDay)</f>
        <v>152</v>
      </c>
      <c r="L42" s="39">
        <f>IF(tblPlan[[#This Row],[Month]]="","",tblPlan[[#This Row],[Paid per FTE (h)]]*(1-AbsenceRate)*ProdShare)</f>
        <v>114.988</v>
      </c>
      <c r="M42" s="39">
        <f>IF(tblPlan[[#This Row],[Month]]="","",IF(tblPlan[[#This Row],[Productive per FTE (h)]]&gt;0,tblPlan[[#This Row],[Required (h)]]/tblPlan[[#This Row],[Productive per FTE (h)]],""))</f>
        <v>33.3947890214631</v>
      </c>
      <c r="N42" s="41">
        <f>IF(tblPlan[[#This Row],[Month]]="","",tblPlan[[#This Row],[Heads at start (people)]]+SUMIFS(tblPlan[Hires (people)],tblPlan[Department],tblPlan[[#This Row],[Department]],tblPlan[Month],"&lt;="&amp;tblPlan[[#This Row],[Month]])-SUMIFS(tblPlan[Leavers (people)],tblPlan[Department],tblPlan[[#This Row],[Department]],tblPlan[Month],"&lt;="&amp;tblPlan[[#This Row],[Month]]))</f>
        <v>42</v>
      </c>
      <c r="O42" s="42">
        <f>IF(tblPlan[[#This Row],[Month]]="","",IF(tblPlan[[#This Row],[Required FTE]]="","",tblPlan[[#This Row],[Planned heads]]-tblPlan[[#This Row],[Required FTE]]))</f>
        <v>8.60521097853689</v>
      </c>
      <c r="P42" s="41">
        <f>IF(tblPlan[[#This Row],[Month]]="","",tblPlan[[#This Row],[Planned heads]]*tblPlan[[#This Row],[Productive per FTE (h)]])</f>
        <v>4829.496</v>
      </c>
      <c r="Q42" s="41">
        <f>IF(tblPlan[[#This Row],[Month]]="","",tblPlan[[#This Row],[Planned heads]]*tblPlan[[#This Row],[Paid per FTE (h)]]*(1-AbsenceRate))</f>
        <v>5681.76</v>
      </c>
      <c r="R42" s="41">
        <f>IF(tblPlan[[#This Row],[Month]]="","",MAX(0,tblPlan[[#This Row],[Required (h)]]-tblPlan[[#This Row],[Capacity (h)]])/ProdShare)</f>
        <v>0</v>
      </c>
      <c r="S42" s="43">
        <f>IF(tblPlan[[#This Row],[Month]]="","",IF(tblPlan[[#This Row],[Attended (h)]]&gt;0,tblPlan[[#This Row],[Overtime (h)]]/tblPlan[[#This Row],[Attended (h)]],""))</f>
        <v>0</v>
      </c>
      <c r="T42" s="44" t="str">
        <f>IF(tblPlan[[#This Row],[Month]]="","",IF(tblPlan[[#This Row],[Gap (heads)]]="","",IF(tblPlan[[#This Row],[Gap (heads)]]&gt;=0,"On target",IF(AND(ISNUMBER(tblPlan[[#This Row],[Overtime share]]),tblPlan[[#This Row],[Overtime share]]&lt;=OTCap),"Near target","Below target"))))</f>
        <v>On target</v>
      </c>
      <c r="U42" s="40">
        <f>IF(tblPlan[[#This Row],[Month]]="","",IFERROR(INDEX(tblDepartments[Loaded rate (per h)],MATCH(tblPlan[[#This Row],[Department]],tblDepartments[Department],0)),""))</f>
        <v>31</v>
      </c>
      <c r="V42" s="41">
        <f>IF(tblPlan[[#This Row],[Month]]="","",(tblPlan[[#This Row],[Planned heads]]*tblPlan[[#This Row],[Paid per FTE (h)]]+tblPlan[[#This Row],[Overtime (h)]]*OTPremium)*tblPlan[[#This Row],[Loaded rate (per h)]])</f>
        <v>197904</v>
      </c>
      <c r="W42"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42" s="46" t="s">
        <v>110</v>
      </c>
    </row>
    <row r="43" spans="2:24">
      <c r="B43" s="34">
        <v>46388</v>
      </c>
      <c r="C43" s="28" t="s">
        <v>90</v>
      </c>
      <c r="D43" s="37">
        <v>1650</v>
      </c>
      <c r="E43" s="37">
        <v>0</v>
      </c>
      <c r="F43" s="37">
        <v>1</v>
      </c>
      <c r="G43" s="39">
        <f>IF(tblPlan[[#This Row],[Month]]="","",IFERROR(INDEX(tblMonths[Working days],MATCH(tblPlan[[#This Row],[Month]],tblMonths[Month],0)),""))</f>
        <v>20</v>
      </c>
      <c r="H43" s="40">
        <f>IF(tblPlan[[#This Row],[Month]]="","",IFERROR(INDEX(tblDepartments[Std hours (h/unit)],MATCH(tblPlan[[#This Row],[Department]],tblDepartments[Department],0)),""))</f>
        <v>0.6</v>
      </c>
      <c r="I43" s="41">
        <f>IF(tblPlan[[#This Row],[Month]]="","",IFERROR(INDEX(tblDepartments[Heads at start (people)],MATCH(tblPlan[[#This Row],[Department]],tblDepartments[Department],0)),""))</f>
        <v>9</v>
      </c>
      <c r="J43" s="41">
        <f>IF(tblPlan[[#This Row],[Month]]="","",tblPlan[[#This Row],[Demand (units)]]*tblPlan[[#This Row],[Std hours (h/unit)]])</f>
        <v>990</v>
      </c>
      <c r="K43" s="39">
        <f>IF(tblPlan[[#This Row],[Month]]="","",tblPlan[[#This Row],[Working days]]*PaidHoursDay)</f>
        <v>160</v>
      </c>
      <c r="L43" s="39">
        <f>IF(tblPlan[[#This Row],[Month]]="","",tblPlan[[#This Row],[Paid per FTE (h)]]*(1-AbsenceRate)*ProdShare)</f>
        <v>121.04</v>
      </c>
      <c r="M43" s="39">
        <f>IF(tblPlan[[#This Row],[Month]]="","",IF(tblPlan[[#This Row],[Productive per FTE (h)]]&gt;0,tblPlan[[#This Row],[Required (h)]]/tblPlan[[#This Row],[Productive per FTE (h)]],""))</f>
        <v>8.17911434236616</v>
      </c>
      <c r="N43" s="41">
        <f>IF(tblPlan[[#This Row],[Month]]="","",tblPlan[[#This Row],[Heads at start (people)]]+SUMIFS(tblPlan[Hires (people)],tblPlan[Department],tblPlan[[#This Row],[Department]],tblPlan[Month],"&lt;="&amp;tblPlan[[#This Row],[Month]])-SUMIFS(tblPlan[Leavers (people)],tblPlan[Department],tblPlan[[#This Row],[Department]],tblPlan[Month],"&lt;="&amp;tblPlan[[#This Row],[Month]]))</f>
        <v>8</v>
      </c>
      <c r="O43" s="42">
        <f>IF(tblPlan[[#This Row],[Month]]="","",IF(tblPlan[[#This Row],[Required FTE]]="","",tblPlan[[#This Row],[Planned heads]]-tblPlan[[#This Row],[Required FTE]]))</f>
        <v>-0.179114342366159</v>
      </c>
      <c r="P43" s="41">
        <f>IF(tblPlan[[#This Row],[Month]]="","",tblPlan[[#This Row],[Planned heads]]*tblPlan[[#This Row],[Productive per FTE (h)]])</f>
        <v>968.32</v>
      </c>
      <c r="Q43" s="41">
        <f>IF(tblPlan[[#This Row],[Month]]="","",tblPlan[[#This Row],[Planned heads]]*tblPlan[[#This Row],[Paid per FTE (h)]]*(1-AbsenceRate))</f>
        <v>1139.2</v>
      </c>
      <c r="R43" s="41">
        <f>IF(tblPlan[[#This Row],[Month]]="","",MAX(0,tblPlan[[#This Row],[Required (h)]]-tblPlan[[#This Row],[Capacity (h)]])/ProdShare)</f>
        <v>25.5058823529411</v>
      </c>
      <c r="S43" s="43">
        <f>IF(tblPlan[[#This Row],[Month]]="","",IF(tblPlan[[#This Row],[Attended (h)]]&gt;0,tblPlan[[#This Row],[Overtime (h)]]/tblPlan[[#This Row],[Attended (h)]],""))</f>
        <v>0.0223892927957699</v>
      </c>
      <c r="T43" s="44" t="str">
        <f>IF(tblPlan[[#This Row],[Month]]="","",IF(tblPlan[[#This Row],[Gap (heads)]]="","",IF(tblPlan[[#This Row],[Gap (heads)]]&gt;=0,"On target",IF(AND(ISNUMBER(tblPlan[[#This Row],[Overtime share]]),tblPlan[[#This Row],[Overtime share]]&lt;=OTCap),"Near target","Below target"))))</f>
        <v>Near target</v>
      </c>
      <c r="U43" s="40">
        <f>IF(tblPlan[[#This Row],[Month]]="","",IFERROR(INDEX(tblDepartments[Loaded rate (per h)],MATCH(tblPlan[[#This Row],[Department]],tblDepartments[Department],0)),""))</f>
        <v>29</v>
      </c>
      <c r="V43" s="41">
        <f>IF(tblPlan[[#This Row],[Month]]="","",(tblPlan[[#This Row],[Planned heads]]*tblPlan[[#This Row],[Paid per FTE (h)]]+tblPlan[[#This Row],[Overtime (h)]]*OTPremium)*tblPlan[[#This Row],[Loaded rate (per h)]])</f>
        <v>38229.5058823529</v>
      </c>
      <c r="W43"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43" s="46" t="s">
        <v>109</v>
      </c>
    </row>
    <row r="44" spans="2:24">
      <c r="B44" s="34">
        <v>46419</v>
      </c>
      <c r="C44" s="28" t="s">
        <v>90</v>
      </c>
      <c r="D44" s="37">
        <v>1700</v>
      </c>
      <c r="E44" s="37">
        <v>1</v>
      </c>
      <c r="F44" s="37">
        <v>0</v>
      </c>
      <c r="G44" s="39">
        <f>IF(tblPlan[[#This Row],[Month]]="","",IFERROR(INDEX(tblMonths[Working days],MATCH(tblPlan[[#This Row],[Month]],tblMonths[Month],0)),""))</f>
        <v>20</v>
      </c>
      <c r="H44" s="40">
        <f>IF(tblPlan[[#This Row],[Month]]="","",IFERROR(INDEX(tblDepartments[Std hours (h/unit)],MATCH(tblPlan[[#This Row],[Department]],tblDepartments[Department],0)),""))</f>
        <v>0.6</v>
      </c>
      <c r="I44" s="41">
        <f>IF(tblPlan[[#This Row],[Month]]="","",IFERROR(INDEX(tblDepartments[Heads at start (people)],MATCH(tblPlan[[#This Row],[Department]],tblDepartments[Department],0)),""))</f>
        <v>9</v>
      </c>
      <c r="J44" s="41">
        <f>IF(tblPlan[[#This Row],[Month]]="","",tblPlan[[#This Row],[Demand (units)]]*tblPlan[[#This Row],[Std hours (h/unit)]])</f>
        <v>1020</v>
      </c>
      <c r="K44" s="39">
        <f>IF(tblPlan[[#This Row],[Month]]="","",tblPlan[[#This Row],[Working days]]*PaidHoursDay)</f>
        <v>160</v>
      </c>
      <c r="L44" s="39">
        <f>IF(tblPlan[[#This Row],[Month]]="","",tblPlan[[#This Row],[Paid per FTE (h)]]*(1-AbsenceRate)*ProdShare)</f>
        <v>121.04</v>
      </c>
      <c r="M44" s="39">
        <f>IF(tblPlan[[#This Row],[Month]]="","",IF(tblPlan[[#This Row],[Productive per FTE (h)]]&gt;0,tblPlan[[#This Row],[Required (h)]]/tblPlan[[#This Row],[Productive per FTE (h)]],""))</f>
        <v>8.42696629213483</v>
      </c>
      <c r="N44" s="41">
        <f>IF(tblPlan[[#This Row],[Month]]="","",tblPlan[[#This Row],[Heads at start (people)]]+SUMIFS(tblPlan[Hires (people)],tblPlan[Department],tblPlan[[#This Row],[Department]],tblPlan[Month],"&lt;="&amp;tblPlan[[#This Row],[Month]])-SUMIFS(tblPlan[Leavers (people)],tblPlan[Department],tblPlan[[#This Row],[Department]],tblPlan[Month],"&lt;="&amp;tblPlan[[#This Row],[Month]]))</f>
        <v>9</v>
      </c>
      <c r="O44" s="42">
        <f>IF(tblPlan[[#This Row],[Month]]="","",IF(tblPlan[[#This Row],[Required FTE]]="","",tblPlan[[#This Row],[Planned heads]]-tblPlan[[#This Row],[Required FTE]]))</f>
        <v>0.57303370786517</v>
      </c>
      <c r="P44" s="41">
        <f>IF(tblPlan[[#This Row],[Month]]="","",tblPlan[[#This Row],[Planned heads]]*tblPlan[[#This Row],[Productive per FTE (h)]])</f>
        <v>1089.36</v>
      </c>
      <c r="Q44" s="41">
        <f>IF(tblPlan[[#This Row],[Month]]="","",tblPlan[[#This Row],[Planned heads]]*tblPlan[[#This Row],[Paid per FTE (h)]]*(1-AbsenceRate))</f>
        <v>1281.6</v>
      </c>
      <c r="R44" s="41">
        <f>IF(tblPlan[[#This Row],[Month]]="","",MAX(0,tblPlan[[#This Row],[Required (h)]]-tblPlan[[#This Row],[Capacity (h)]])/ProdShare)</f>
        <v>0</v>
      </c>
      <c r="S44" s="43">
        <f>IF(tblPlan[[#This Row],[Month]]="","",IF(tblPlan[[#This Row],[Attended (h)]]&gt;0,tblPlan[[#This Row],[Overtime (h)]]/tblPlan[[#This Row],[Attended (h)]],""))</f>
        <v>0</v>
      </c>
      <c r="T44" s="44" t="str">
        <f>IF(tblPlan[[#This Row],[Month]]="","",IF(tblPlan[[#This Row],[Gap (heads)]]="","",IF(tblPlan[[#This Row],[Gap (heads)]]&gt;=0,"On target",IF(AND(ISNUMBER(tblPlan[[#This Row],[Overtime share]]),tblPlan[[#This Row],[Overtime share]]&lt;=OTCap),"Near target","Below target"))))</f>
        <v>On target</v>
      </c>
      <c r="U44" s="40">
        <f>IF(tblPlan[[#This Row],[Month]]="","",IFERROR(INDEX(tblDepartments[Loaded rate (per h)],MATCH(tblPlan[[#This Row],[Department]],tblDepartments[Department],0)),""))</f>
        <v>29</v>
      </c>
      <c r="V44" s="41">
        <f>IF(tblPlan[[#This Row],[Month]]="","",(tblPlan[[#This Row],[Planned heads]]*tblPlan[[#This Row],[Paid per FTE (h)]]+tblPlan[[#This Row],[Overtime (h)]]*OTPremium)*tblPlan[[#This Row],[Loaded rate (per h)]])</f>
        <v>41760</v>
      </c>
      <c r="W44"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44" s="46" t="s">
        <v>110</v>
      </c>
    </row>
    <row r="45" spans="2:24">
      <c r="B45" s="34">
        <v>46447</v>
      </c>
      <c r="C45" s="28" t="s">
        <v>90</v>
      </c>
      <c r="D45" s="37">
        <v>1850</v>
      </c>
      <c r="E45" s="37">
        <v>0</v>
      </c>
      <c r="F45" s="37">
        <v>0</v>
      </c>
      <c r="G45" s="39">
        <f>IF(tblPlan[[#This Row],[Month]]="","",IFERROR(INDEX(tblMonths[Working days],MATCH(tblPlan[[#This Row],[Month]],tblMonths[Month],0)),""))</f>
        <v>23</v>
      </c>
      <c r="H45" s="40">
        <f>IF(tblPlan[[#This Row],[Month]]="","",IFERROR(INDEX(tblDepartments[Std hours (h/unit)],MATCH(tblPlan[[#This Row],[Department]],tblDepartments[Department],0)),""))</f>
        <v>0.6</v>
      </c>
      <c r="I45" s="41">
        <f>IF(tblPlan[[#This Row],[Month]]="","",IFERROR(INDEX(tblDepartments[Heads at start (people)],MATCH(tblPlan[[#This Row],[Department]],tblDepartments[Department],0)),""))</f>
        <v>9</v>
      </c>
      <c r="J45" s="41">
        <f>IF(tblPlan[[#This Row],[Month]]="","",tblPlan[[#This Row],[Demand (units)]]*tblPlan[[#This Row],[Std hours (h/unit)]])</f>
        <v>1110</v>
      </c>
      <c r="K45" s="39">
        <f>IF(tblPlan[[#This Row],[Month]]="","",tblPlan[[#This Row],[Working days]]*PaidHoursDay)</f>
        <v>184</v>
      </c>
      <c r="L45" s="39">
        <f>IF(tblPlan[[#This Row],[Month]]="","",tblPlan[[#This Row],[Paid per FTE (h)]]*(1-AbsenceRate)*ProdShare)</f>
        <v>139.196</v>
      </c>
      <c r="M45" s="39">
        <f>IF(tblPlan[[#This Row],[Month]]="","",IF(tblPlan[[#This Row],[Productive per FTE (h)]]&gt;0,tblPlan[[#This Row],[Required (h)]]/tblPlan[[#This Row],[Productive per FTE (h)]],""))</f>
        <v>7.97436707951378</v>
      </c>
      <c r="N45" s="41">
        <f>IF(tblPlan[[#This Row],[Month]]="","",tblPlan[[#This Row],[Heads at start (people)]]+SUMIFS(tblPlan[Hires (people)],tblPlan[Department],tblPlan[[#This Row],[Department]],tblPlan[Month],"&lt;="&amp;tblPlan[[#This Row],[Month]])-SUMIFS(tblPlan[Leavers (people)],tblPlan[Department],tblPlan[[#This Row],[Department]],tblPlan[Month],"&lt;="&amp;tblPlan[[#This Row],[Month]]))</f>
        <v>9</v>
      </c>
      <c r="O45" s="42">
        <f>IF(tblPlan[[#This Row],[Month]]="","",IF(tblPlan[[#This Row],[Required FTE]]="","",tblPlan[[#This Row],[Planned heads]]-tblPlan[[#This Row],[Required FTE]]))</f>
        <v>1.02563292048622</v>
      </c>
      <c r="P45" s="41">
        <f>IF(tblPlan[[#This Row],[Month]]="","",tblPlan[[#This Row],[Planned heads]]*tblPlan[[#This Row],[Productive per FTE (h)]])</f>
        <v>1252.764</v>
      </c>
      <c r="Q45" s="41">
        <f>IF(tblPlan[[#This Row],[Month]]="","",tblPlan[[#This Row],[Planned heads]]*tblPlan[[#This Row],[Paid per FTE (h)]]*(1-AbsenceRate))</f>
        <v>1473.84</v>
      </c>
      <c r="R45" s="41">
        <f>IF(tblPlan[[#This Row],[Month]]="","",MAX(0,tblPlan[[#This Row],[Required (h)]]-tblPlan[[#This Row],[Capacity (h)]])/ProdShare)</f>
        <v>0</v>
      </c>
      <c r="S45" s="43">
        <f>IF(tblPlan[[#This Row],[Month]]="","",IF(tblPlan[[#This Row],[Attended (h)]]&gt;0,tblPlan[[#This Row],[Overtime (h)]]/tblPlan[[#This Row],[Attended (h)]],""))</f>
        <v>0</v>
      </c>
      <c r="T45" s="44" t="str">
        <f>IF(tblPlan[[#This Row],[Month]]="","",IF(tblPlan[[#This Row],[Gap (heads)]]="","",IF(tblPlan[[#This Row],[Gap (heads)]]&gt;=0,"On target",IF(AND(ISNUMBER(tblPlan[[#This Row],[Overtime share]]),tblPlan[[#This Row],[Overtime share]]&lt;=OTCap),"Near target","Below target"))))</f>
        <v>On target</v>
      </c>
      <c r="U45" s="40">
        <f>IF(tblPlan[[#This Row],[Month]]="","",IFERROR(INDEX(tblDepartments[Loaded rate (per h)],MATCH(tblPlan[[#This Row],[Department]],tblDepartments[Department],0)),""))</f>
        <v>29</v>
      </c>
      <c r="V45" s="41">
        <f>IF(tblPlan[[#This Row],[Month]]="","",(tblPlan[[#This Row],[Planned heads]]*tblPlan[[#This Row],[Paid per FTE (h)]]+tblPlan[[#This Row],[Overtime (h)]]*OTPremium)*tblPlan[[#This Row],[Loaded rate (per h)]])</f>
        <v>48024</v>
      </c>
      <c r="W45"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45" s="46" t="s">
        <v>109</v>
      </c>
    </row>
    <row r="46" spans="2:24">
      <c r="B46" s="34">
        <v>46478</v>
      </c>
      <c r="C46" s="28" t="s">
        <v>90</v>
      </c>
      <c r="D46" s="37">
        <v>1900</v>
      </c>
      <c r="E46" s="37">
        <v>0</v>
      </c>
      <c r="F46" s="37">
        <v>0</v>
      </c>
      <c r="G46" s="39">
        <f>IF(tblPlan[[#This Row],[Month]]="","",IFERROR(INDEX(tblMonths[Working days],MATCH(tblPlan[[#This Row],[Month]],tblMonths[Month],0)),""))</f>
        <v>21</v>
      </c>
      <c r="H46" s="40">
        <f>IF(tblPlan[[#This Row],[Month]]="","",IFERROR(INDEX(tblDepartments[Std hours (h/unit)],MATCH(tblPlan[[#This Row],[Department]],tblDepartments[Department],0)),""))</f>
        <v>0.6</v>
      </c>
      <c r="I46" s="41">
        <f>IF(tblPlan[[#This Row],[Month]]="","",IFERROR(INDEX(tblDepartments[Heads at start (people)],MATCH(tblPlan[[#This Row],[Department]],tblDepartments[Department],0)),""))</f>
        <v>9</v>
      </c>
      <c r="J46" s="41">
        <f>IF(tblPlan[[#This Row],[Month]]="","",tblPlan[[#This Row],[Demand (units)]]*tblPlan[[#This Row],[Std hours (h/unit)]])</f>
        <v>1140</v>
      </c>
      <c r="K46" s="39">
        <f>IF(tblPlan[[#This Row],[Month]]="","",tblPlan[[#This Row],[Working days]]*PaidHoursDay)</f>
        <v>168</v>
      </c>
      <c r="L46" s="39">
        <f>IF(tblPlan[[#This Row],[Month]]="","",tblPlan[[#This Row],[Paid per FTE (h)]]*(1-AbsenceRate)*ProdShare)</f>
        <v>127.092</v>
      </c>
      <c r="M46" s="39">
        <f>IF(tblPlan[[#This Row],[Month]]="","",IF(tblPlan[[#This Row],[Productive per FTE (h)]]&gt;0,tblPlan[[#This Row],[Required (h)]]/tblPlan[[#This Row],[Productive per FTE (h)]],""))</f>
        <v>8.96988008686621</v>
      </c>
      <c r="N46" s="41">
        <f>IF(tblPlan[[#This Row],[Month]]="","",tblPlan[[#This Row],[Heads at start (people)]]+SUMIFS(tblPlan[Hires (people)],tblPlan[Department],tblPlan[[#This Row],[Department]],tblPlan[Month],"&lt;="&amp;tblPlan[[#This Row],[Month]])-SUMIFS(tblPlan[Leavers (people)],tblPlan[Department],tblPlan[[#This Row],[Department]],tblPlan[Month],"&lt;="&amp;tblPlan[[#This Row],[Month]]))</f>
        <v>9</v>
      </c>
      <c r="O46" s="42">
        <f>IF(tblPlan[[#This Row],[Month]]="","",IF(tblPlan[[#This Row],[Required FTE]]="","",tblPlan[[#This Row],[Planned heads]]-tblPlan[[#This Row],[Required FTE]]))</f>
        <v>0.0301199131337935</v>
      </c>
      <c r="P46" s="41">
        <f>IF(tblPlan[[#This Row],[Month]]="","",tblPlan[[#This Row],[Planned heads]]*tblPlan[[#This Row],[Productive per FTE (h)]])</f>
        <v>1143.828</v>
      </c>
      <c r="Q46" s="41">
        <f>IF(tblPlan[[#This Row],[Month]]="","",tblPlan[[#This Row],[Planned heads]]*tblPlan[[#This Row],[Paid per FTE (h)]]*(1-AbsenceRate))</f>
        <v>1345.68</v>
      </c>
      <c r="R46" s="41">
        <f>IF(tblPlan[[#This Row],[Month]]="","",MAX(0,tblPlan[[#This Row],[Required (h)]]-tblPlan[[#This Row],[Capacity (h)]])/ProdShare)</f>
        <v>0</v>
      </c>
      <c r="S46" s="43">
        <f>IF(tblPlan[[#This Row],[Month]]="","",IF(tblPlan[[#This Row],[Attended (h)]]&gt;0,tblPlan[[#This Row],[Overtime (h)]]/tblPlan[[#This Row],[Attended (h)]],""))</f>
        <v>0</v>
      </c>
      <c r="T46" s="44" t="str">
        <f>IF(tblPlan[[#This Row],[Month]]="","",IF(tblPlan[[#This Row],[Gap (heads)]]="","",IF(tblPlan[[#This Row],[Gap (heads)]]&gt;=0,"On target",IF(AND(ISNUMBER(tblPlan[[#This Row],[Overtime share]]),tblPlan[[#This Row],[Overtime share]]&lt;=OTCap),"Near target","Below target"))))</f>
        <v>On target</v>
      </c>
      <c r="U46" s="40">
        <f>IF(tblPlan[[#This Row],[Month]]="","",IFERROR(INDEX(tblDepartments[Loaded rate (per h)],MATCH(tblPlan[[#This Row],[Department]],tblDepartments[Department],0)),""))</f>
        <v>29</v>
      </c>
      <c r="V46" s="41">
        <f>IF(tblPlan[[#This Row],[Month]]="","",(tblPlan[[#This Row],[Planned heads]]*tblPlan[[#This Row],[Paid per FTE (h)]]+tblPlan[[#This Row],[Overtime (h)]]*OTPremium)*tblPlan[[#This Row],[Loaded rate (per h)]])</f>
        <v>43848</v>
      </c>
      <c r="W46"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46" s="46" t="s">
        <v>109</v>
      </c>
    </row>
    <row r="47" spans="2:24">
      <c r="B47" s="34">
        <v>46508</v>
      </c>
      <c r="C47" s="28" t="s">
        <v>90</v>
      </c>
      <c r="D47" s="37">
        <v>2000</v>
      </c>
      <c r="E47" s="37">
        <v>0</v>
      </c>
      <c r="F47" s="37">
        <v>0</v>
      </c>
      <c r="G47" s="39">
        <f>IF(tblPlan[[#This Row],[Month]]="","",IFERROR(INDEX(tblMonths[Working days],MATCH(tblPlan[[#This Row],[Month]],tblMonths[Month],0)),""))</f>
        <v>20</v>
      </c>
      <c r="H47" s="40">
        <f>IF(tblPlan[[#This Row],[Month]]="","",IFERROR(INDEX(tblDepartments[Std hours (h/unit)],MATCH(tblPlan[[#This Row],[Department]],tblDepartments[Department],0)),""))</f>
        <v>0.6</v>
      </c>
      <c r="I47" s="41">
        <f>IF(tblPlan[[#This Row],[Month]]="","",IFERROR(INDEX(tblDepartments[Heads at start (people)],MATCH(tblPlan[[#This Row],[Department]],tblDepartments[Department],0)),""))</f>
        <v>9</v>
      </c>
      <c r="J47" s="41">
        <f>IF(tblPlan[[#This Row],[Month]]="","",tblPlan[[#This Row],[Demand (units)]]*tblPlan[[#This Row],[Std hours (h/unit)]])</f>
        <v>1200</v>
      </c>
      <c r="K47" s="39">
        <f>IF(tblPlan[[#This Row],[Month]]="","",tblPlan[[#This Row],[Working days]]*PaidHoursDay)</f>
        <v>160</v>
      </c>
      <c r="L47" s="39">
        <f>IF(tblPlan[[#This Row],[Month]]="","",tblPlan[[#This Row],[Paid per FTE (h)]]*(1-AbsenceRate)*ProdShare)</f>
        <v>121.04</v>
      </c>
      <c r="M47" s="39">
        <f>IF(tblPlan[[#This Row],[Month]]="","",IF(tblPlan[[#This Row],[Productive per FTE (h)]]&gt;0,tblPlan[[#This Row],[Required (h)]]/tblPlan[[#This Row],[Productive per FTE (h)]],""))</f>
        <v>9.91407799074686</v>
      </c>
      <c r="N47" s="41">
        <f>IF(tblPlan[[#This Row],[Month]]="","",tblPlan[[#This Row],[Heads at start (people)]]+SUMIFS(tblPlan[Hires (people)],tblPlan[Department],tblPlan[[#This Row],[Department]],tblPlan[Month],"&lt;="&amp;tblPlan[[#This Row],[Month]])-SUMIFS(tblPlan[Leavers (people)],tblPlan[Department],tblPlan[[#This Row],[Department]],tblPlan[Month],"&lt;="&amp;tblPlan[[#This Row],[Month]]))</f>
        <v>9</v>
      </c>
      <c r="O47" s="42">
        <f>IF(tblPlan[[#This Row],[Month]]="","",IF(tblPlan[[#This Row],[Required FTE]]="","",tblPlan[[#This Row],[Planned heads]]-tblPlan[[#This Row],[Required FTE]]))</f>
        <v>-0.91407799074686</v>
      </c>
      <c r="P47" s="41">
        <f>IF(tblPlan[[#This Row],[Month]]="","",tblPlan[[#This Row],[Planned heads]]*tblPlan[[#This Row],[Productive per FTE (h)]])</f>
        <v>1089.36</v>
      </c>
      <c r="Q47" s="41">
        <f>IF(tblPlan[[#This Row],[Month]]="","",tblPlan[[#This Row],[Planned heads]]*tblPlan[[#This Row],[Paid per FTE (h)]]*(1-AbsenceRate))</f>
        <v>1281.6</v>
      </c>
      <c r="R47" s="41">
        <f>IF(tblPlan[[#This Row],[Month]]="","",MAX(0,tblPlan[[#This Row],[Required (h)]]-tblPlan[[#This Row],[Capacity (h)]])/ProdShare)</f>
        <v>130.164705882353</v>
      </c>
      <c r="S47" s="43">
        <f>IF(tblPlan[[#This Row],[Month]]="","",IF(tblPlan[[#This Row],[Attended (h)]]&gt;0,tblPlan[[#This Row],[Overtime (h)]]/tblPlan[[#This Row],[Attended (h)]],""))</f>
        <v>0.101564221194096</v>
      </c>
      <c r="T47" s="44" t="str">
        <f>IF(tblPlan[[#This Row],[Month]]="","",IF(tblPlan[[#This Row],[Gap (heads)]]="","",IF(tblPlan[[#This Row],[Gap (heads)]]&gt;=0,"On target",IF(AND(ISNUMBER(tblPlan[[#This Row],[Overtime share]]),tblPlan[[#This Row],[Overtime share]]&lt;=OTCap),"Near target","Below target"))))</f>
        <v>Below target</v>
      </c>
      <c r="U47" s="40">
        <f>IF(tblPlan[[#This Row],[Month]]="","",IFERROR(INDEX(tblDepartments[Loaded rate (per h)],MATCH(tblPlan[[#This Row],[Department]],tblDepartments[Department],0)),""))</f>
        <v>29</v>
      </c>
      <c r="V47" s="41">
        <f>IF(tblPlan[[#This Row],[Month]]="","",(tblPlan[[#This Row],[Planned heads]]*tblPlan[[#This Row],[Paid per FTE (h)]]+tblPlan[[#This Row],[Overtime (h)]]*OTPremium)*tblPlan[[#This Row],[Loaded rate (per h)]])</f>
        <v>47422.1647058823</v>
      </c>
      <c r="W47"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47" s="46" t="s">
        <v>109</v>
      </c>
    </row>
    <row r="48" spans="2:24">
      <c r="B48" s="34">
        <v>46539</v>
      </c>
      <c r="C48" s="28" t="s">
        <v>90</v>
      </c>
      <c r="D48" s="37">
        <v>2100</v>
      </c>
      <c r="E48" s="37">
        <v>0</v>
      </c>
      <c r="F48" s="37">
        <v>0</v>
      </c>
      <c r="G48" s="39">
        <f>IF(tblPlan[[#This Row],[Month]]="","",IFERROR(INDEX(tblMonths[Working days],MATCH(tblPlan[[#This Row],[Month]],tblMonths[Month],0)),""))</f>
        <v>22</v>
      </c>
      <c r="H48" s="40">
        <f>IF(tblPlan[[#This Row],[Month]]="","",IFERROR(INDEX(tblDepartments[Std hours (h/unit)],MATCH(tblPlan[[#This Row],[Department]],tblDepartments[Department],0)),""))</f>
        <v>0.6</v>
      </c>
      <c r="I48" s="41">
        <f>IF(tblPlan[[#This Row],[Month]]="","",IFERROR(INDEX(tblDepartments[Heads at start (people)],MATCH(tblPlan[[#This Row],[Department]],tblDepartments[Department],0)),""))</f>
        <v>9</v>
      </c>
      <c r="J48" s="41">
        <f>IF(tblPlan[[#This Row],[Month]]="","",tblPlan[[#This Row],[Demand (units)]]*tblPlan[[#This Row],[Std hours (h/unit)]])</f>
        <v>1260</v>
      </c>
      <c r="K48" s="39">
        <f>IF(tblPlan[[#This Row],[Month]]="","",tblPlan[[#This Row],[Working days]]*PaidHoursDay)</f>
        <v>176</v>
      </c>
      <c r="L48" s="39">
        <f>IF(tblPlan[[#This Row],[Month]]="","",tblPlan[[#This Row],[Paid per FTE (h)]]*(1-AbsenceRate)*ProdShare)</f>
        <v>133.144</v>
      </c>
      <c r="M48" s="39">
        <f>IF(tblPlan[[#This Row],[Month]]="","",IF(tblPlan[[#This Row],[Productive per FTE (h)]]&gt;0,tblPlan[[#This Row],[Required (h)]]/tblPlan[[#This Row],[Productive per FTE (h)]],""))</f>
        <v>9.46343808207655</v>
      </c>
      <c r="N48" s="41">
        <f>IF(tblPlan[[#This Row],[Month]]="","",tblPlan[[#This Row],[Heads at start (people)]]+SUMIFS(tblPlan[Hires (people)],tblPlan[Department],tblPlan[[#This Row],[Department]],tblPlan[Month],"&lt;="&amp;tblPlan[[#This Row],[Month]])-SUMIFS(tblPlan[Leavers (people)],tblPlan[Department],tblPlan[[#This Row],[Department]],tblPlan[Month],"&lt;="&amp;tblPlan[[#This Row],[Month]]))</f>
        <v>9</v>
      </c>
      <c r="O48" s="42">
        <f>IF(tblPlan[[#This Row],[Month]]="","",IF(tblPlan[[#This Row],[Required FTE]]="","",tblPlan[[#This Row],[Planned heads]]-tblPlan[[#This Row],[Required FTE]]))</f>
        <v>-0.463438082076548</v>
      </c>
      <c r="P48" s="41">
        <f>IF(tblPlan[[#This Row],[Month]]="","",tblPlan[[#This Row],[Planned heads]]*tblPlan[[#This Row],[Productive per FTE (h)]])</f>
        <v>1198.296</v>
      </c>
      <c r="Q48" s="41">
        <f>IF(tblPlan[[#This Row],[Month]]="","",tblPlan[[#This Row],[Planned heads]]*tblPlan[[#This Row],[Paid per FTE (h)]]*(1-AbsenceRate))</f>
        <v>1409.76</v>
      </c>
      <c r="R48" s="41">
        <f>IF(tblPlan[[#This Row],[Month]]="","",MAX(0,tblPlan[[#This Row],[Required (h)]]-tblPlan[[#This Row],[Capacity (h)]])/ProdShare)</f>
        <v>72.5929411764705</v>
      </c>
      <c r="S48" s="43">
        <f>IF(tblPlan[[#This Row],[Month]]="","",IF(tblPlan[[#This Row],[Attended (h)]]&gt;0,tblPlan[[#This Row],[Overtime (h)]]/tblPlan[[#This Row],[Attended (h)]],""))</f>
        <v>0.0514931202307276</v>
      </c>
      <c r="T48" s="44" t="str">
        <f>IF(tblPlan[[#This Row],[Month]]="","",IF(tblPlan[[#This Row],[Gap (heads)]]="","",IF(tblPlan[[#This Row],[Gap (heads)]]&gt;=0,"On target",IF(AND(ISNUMBER(tblPlan[[#This Row],[Overtime share]]),tblPlan[[#This Row],[Overtime share]]&lt;=OTCap),"Near target","Below target"))))</f>
        <v>Near target</v>
      </c>
      <c r="U48" s="40">
        <f>IF(tblPlan[[#This Row],[Month]]="","",IFERROR(INDEX(tblDepartments[Loaded rate (per h)],MATCH(tblPlan[[#This Row],[Department]],tblDepartments[Department],0)),""))</f>
        <v>29</v>
      </c>
      <c r="V48" s="41">
        <f>IF(tblPlan[[#This Row],[Month]]="","",(tblPlan[[#This Row],[Planned heads]]*tblPlan[[#This Row],[Paid per FTE (h)]]+tblPlan[[#This Row],[Overtime (h)]]*OTPremium)*tblPlan[[#This Row],[Loaded rate (per h)]])</f>
        <v>49093.7929411765</v>
      </c>
      <c r="W48"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48" s="46" t="s">
        <v>109</v>
      </c>
    </row>
    <row r="49" spans="2:24">
      <c r="B49" s="34">
        <v>46569</v>
      </c>
      <c r="C49" s="28" t="s">
        <v>90</v>
      </c>
      <c r="D49" s="37">
        <v>2150</v>
      </c>
      <c r="E49" s="37">
        <v>1</v>
      </c>
      <c r="F49" s="37">
        <v>0</v>
      </c>
      <c r="G49" s="39">
        <f>IF(tblPlan[[#This Row],[Month]]="","",IFERROR(INDEX(tblMonths[Working days],MATCH(tblPlan[[#This Row],[Month]],tblMonths[Month],0)),""))</f>
        <v>21</v>
      </c>
      <c r="H49" s="40">
        <f>IF(tblPlan[[#This Row],[Month]]="","",IFERROR(INDEX(tblDepartments[Std hours (h/unit)],MATCH(tblPlan[[#This Row],[Department]],tblDepartments[Department],0)),""))</f>
        <v>0.6</v>
      </c>
      <c r="I49" s="41">
        <f>IF(tblPlan[[#This Row],[Month]]="","",IFERROR(INDEX(tblDepartments[Heads at start (people)],MATCH(tblPlan[[#This Row],[Department]],tblDepartments[Department],0)),""))</f>
        <v>9</v>
      </c>
      <c r="J49" s="41">
        <f>IF(tblPlan[[#This Row],[Month]]="","",tblPlan[[#This Row],[Demand (units)]]*tblPlan[[#This Row],[Std hours (h/unit)]])</f>
        <v>1290</v>
      </c>
      <c r="K49" s="39">
        <f>IF(tblPlan[[#This Row],[Month]]="","",tblPlan[[#This Row],[Working days]]*PaidHoursDay)</f>
        <v>168</v>
      </c>
      <c r="L49" s="39">
        <f>IF(tblPlan[[#This Row],[Month]]="","",tblPlan[[#This Row],[Paid per FTE (h)]]*(1-AbsenceRate)*ProdShare)</f>
        <v>127.092</v>
      </c>
      <c r="M49" s="39">
        <f>IF(tblPlan[[#This Row],[Month]]="","",IF(tblPlan[[#This Row],[Productive per FTE (h)]]&gt;0,tblPlan[[#This Row],[Required (h)]]/tblPlan[[#This Row],[Productive per FTE (h)]],""))</f>
        <v>10.150127466717</v>
      </c>
      <c r="N49" s="41">
        <f>IF(tblPlan[[#This Row],[Month]]="","",tblPlan[[#This Row],[Heads at start (people)]]+SUMIFS(tblPlan[Hires (people)],tblPlan[Department],tblPlan[[#This Row],[Department]],tblPlan[Month],"&lt;="&amp;tblPlan[[#This Row],[Month]])-SUMIFS(tblPlan[Leavers (people)],tblPlan[Department],tblPlan[[#This Row],[Department]],tblPlan[Month],"&lt;="&amp;tblPlan[[#This Row],[Month]]))</f>
        <v>10</v>
      </c>
      <c r="O49" s="42">
        <f>IF(tblPlan[[#This Row],[Month]]="","",IF(tblPlan[[#This Row],[Required FTE]]="","",tblPlan[[#This Row],[Planned heads]]-tblPlan[[#This Row],[Required FTE]]))</f>
        <v>-0.150127466717024</v>
      </c>
      <c r="P49" s="41">
        <f>IF(tblPlan[[#This Row],[Month]]="","",tblPlan[[#This Row],[Planned heads]]*tblPlan[[#This Row],[Productive per FTE (h)]])</f>
        <v>1270.92</v>
      </c>
      <c r="Q49" s="41">
        <f>IF(tblPlan[[#This Row],[Month]]="","",tblPlan[[#This Row],[Planned heads]]*tblPlan[[#This Row],[Paid per FTE (h)]]*(1-AbsenceRate))</f>
        <v>1495.2</v>
      </c>
      <c r="R49" s="41">
        <f>IF(tblPlan[[#This Row],[Month]]="","",MAX(0,tblPlan[[#This Row],[Required (h)]]-tblPlan[[#This Row],[Capacity (h)]])/ProdShare)</f>
        <v>22.4470588235293</v>
      </c>
      <c r="S49" s="43">
        <f>IF(tblPlan[[#This Row],[Month]]="","",IF(tblPlan[[#This Row],[Attended (h)]]&gt;0,tblPlan[[#This Row],[Overtime (h)]]/tblPlan[[#This Row],[Attended (h)]],""))</f>
        <v>0.0150127466717023</v>
      </c>
      <c r="T49" s="44" t="str">
        <f>IF(tblPlan[[#This Row],[Month]]="","",IF(tblPlan[[#This Row],[Gap (heads)]]="","",IF(tblPlan[[#This Row],[Gap (heads)]]&gt;=0,"On target",IF(AND(ISNUMBER(tblPlan[[#This Row],[Overtime share]]),tblPlan[[#This Row],[Overtime share]]&lt;=OTCap),"Near target","Below target"))))</f>
        <v>Near target</v>
      </c>
      <c r="U49" s="40">
        <f>IF(tblPlan[[#This Row],[Month]]="","",IFERROR(INDEX(tblDepartments[Loaded rate (per h)],MATCH(tblPlan[[#This Row],[Department]],tblDepartments[Department],0)),""))</f>
        <v>29</v>
      </c>
      <c r="V49" s="41">
        <f>IF(tblPlan[[#This Row],[Month]]="","",(tblPlan[[#This Row],[Planned heads]]*tblPlan[[#This Row],[Paid per FTE (h)]]+tblPlan[[#This Row],[Overtime (h)]]*OTPremium)*tblPlan[[#This Row],[Loaded rate (per h)]])</f>
        <v>49696.4470588235</v>
      </c>
      <c r="W49"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49" s="46" t="s">
        <v>112</v>
      </c>
    </row>
    <row r="50" spans="2:24">
      <c r="B50" s="34">
        <v>46600</v>
      </c>
      <c r="C50" s="28" t="s">
        <v>90</v>
      </c>
      <c r="D50" s="37">
        <v>2300</v>
      </c>
      <c r="E50" s="37">
        <v>0</v>
      </c>
      <c r="F50" s="37">
        <v>0</v>
      </c>
      <c r="G50" s="39">
        <f>IF(tblPlan[[#This Row],[Month]]="","",IFERROR(INDEX(tblMonths[Working days],MATCH(tblPlan[[#This Row],[Month]],tblMonths[Month],0)),""))</f>
        <v>22</v>
      </c>
      <c r="H50" s="40">
        <f>IF(tblPlan[[#This Row],[Month]]="","",IFERROR(INDEX(tblDepartments[Std hours (h/unit)],MATCH(tblPlan[[#This Row],[Department]],tblDepartments[Department],0)),""))</f>
        <v>0.6</v>
      </c>
      <c r="I50" s="41">
        <f>IF(tblPlan[[#This Row],[Month]]="","",IFERROR(INDEX(tblDepartments[Heads at start (people)],MATCH(tblPlan[[#This Row],[Department]],tblDepartments[Department],0)),""))</f>
        <v>9</v>
      </c>
      <c r="J50" s="41">
        <f>IF(tblPlan[[#This Row],[Month]]="","",tblPlan[[#This Row],[Demand (units)]]*tblPlan[[#This Row],[Std hours (h/unit)]])</f>
        <v>1380</v>
      </c>
      <c r="K50" s="39">
        <f>IF(tblPlan[[#This Row],[Month]]="","",tblPlan[[#This Row],[Working days]]*PaidHoursDay)</f>
        <v>176</v>
      </c>
      <c r="L50" s="39">
        <f>IF(tblPlan[[#This Row],[Month]]="","",tblPlan[[#This Row],[Paid per FTE (h)]]*(1-AbsenceRate)*ProdShare)</f>
        <v>133.144</v>
      </c>
      <c r="M50" s="39">
        <f>IF(tblPlan[[#This Row],[Month]]="","",IF(tblPlan[[#This Row],[Productive per FTE (h)]]&gt;0,tblPlan[[#This Row],[Required (h)]]/tblPlan[[#This Row],[Productive per FTE (h)]],""))</f>
        <v>10.3647178994172</v>
      </c>
      <c r="N50" s="41">
        <f>IF(tblPlan[[#This Row],[Month]]="","",tblPlan[[#This Row],[Heads at start (people)]]+SUMIFS(tblPlan[Hires (people)],tblPlan[Department],tblPlan[[#This Row],[Department]],tblPlan[Month],"&lt;="&amp;tblPlan[[#This Row],[Month]])-SUMIFS(tblPlan[Leavers (people)],tblPlan[Department],tblPlan[[#This Row],[Department]],tblPlan[Month],"&lt;="&amp;tblPlan[[#This Row],[Month]]))</f>
        <v>10</v>
      </c>
      <c r="O50" s="42">
        <f>IF(tblPlan[[#This Row],[Month]]="","",IF(tblPlan[[#This Row],[Required FTE]]="","",tblPlan[[#This Row],[Planned heads]]-tblPlan[[#This Row],[Required FTE]]))</f>
        <v>-0.364717899417173</v>
      </c>
      <c r="P50" s="41">
        <f>IF(tblPlan[[#This Row],[Month]]="","",tblPlan[[#This Row],[Planned heads]]*tblPlan[[#This Row],[Productive per FTE (h)]])</f>
        <v>1331.44</v>
      </c>
      <c r="Q50" s="41">
        <f>IF(tblPlan[[#This Row],[Month]]="","",tblPlan[[#This Row],[Planned heads]]*tblPlan[[#This Row],[Paid per FTE (h)]]*(1-AbsenceRate))</f>
        <v>1566.4</v>
      </c>
      <c r="R50" s="41">
        <f>IF(tblPlan[[#This Row],[Month]]="","",MAX(0,tblPlan[[#This Row],[Required (h)]]-tblPlan[[#This Row],[Capacity (h)]])/ProdShare)</f>
        <v>57.1294117647058</v>
      </c>
      <c r="S50" s="43">
        <f>IF(tblPlan[[#This Row],[Month]]="","",IF(tblPlan[[#This Row],[Attended (h)]]&gt;0,tblPlan[[#This Row],[Overtime (h)]]/tblPlan[[#This Row],[Attended (h)]],""))</f>
        <v>0.0364717899417172</v>
      </c>
      <c r="T50" s="44" t="str">
        <f>IF(tblPlan[[#This Row],[Month]]="","",IF(tblPlan[[#This Row],[Gap (heads)]]="","",IF(tblPlan[[#This Row],[Gap (heads)]]&gt;=0,"On target",IF(AND(ISNUMBER(tblPlan[[#This Row],[Overtime share]]),tblPlan[[#This Row],[Overtime share]]&lt;=OTCap),"Near target","Below target"))))</f>
        <v>Near target</v>
      </c>
      <c r="U50" s="40">
        <f>IF(tblPlan[[#This Row],[Month]]="","",IFERROR(INDEX(tblDepartments[Loaded rate (per h)],MATCH(tblPlan[[#This Row],[Department]],tblDepartments[Department],0)),""))</f>
        <v>29</v>
      </c>
      <c r="V50" s="41">
        <f>IF(tblPlan[[#This Row],[Month]]="","",(tblPlan[[#This Row],[Planned heads]]*tblPlan[[#This Row],[Paid per FTE (h)]]+tblPlan[[#This Row],[Overtime (h)]]*OTPremium)*tblPlan[[#This Row],[Loaded rate (per h)]])</f>
        <v>53525.1294117647</v>
      </c>
      <c r="W50"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50" s="46" t="s">
        <v>109</v>
      </c>
    </row>
    <row r="51" spans="2:24">
      <c r="B51" s="34">
        <v>46631</v>
      </c>
      <c r="C51" s="28" t="s">
        <v>90</v>
      </c>
      <c r="D51" s="37">
        <v>2350</v>
      </c>
      <c r="E51" s="37">
        <v>0</v>
      </c>
      <c r="F51" s="37">
        <v>0</v>
      </c>
      <c r="G51" s="39">
        <f>IF(tblPlan[[#This Row],[Month]]="","",IFERROR(INDEX(tblMonths[Working days],MATCH(tblPlan[[#This Row],[Month]],tblMonths[Month],0)),""))</f>
        <v>21</v>
      </c>
      <c r="H51" s="40">
        <f>IF(tblPlan[[#This Row],[Month]]="","",IFERROR(INDEX(tblDepartments[Std hours (h/unit)],MATCH(tblPlan[[#This Row],[Department]],tblDepartments[Department],0)),""))</f>
        <v>0.6</v>
      </c>
      <c r="I51" s="41">
        <f>IF(tblPlan[[#This Row],[Month]]="","",IFERROR(INDEX(tblDepartments[Heads at start (people)],MATCH(tblPlan[[#This Row],[Department]],tblDepartments[Department],0)),""))</f>
        <v>9</v>
      </c>
      <c r="J51" s="41">
        <f>IF(tblPlan[[#This Row],[Month]]="","",tblPlan[[#This Row],[Demand (units)]]*tblPlan[[#This Row],[Std hours (h/unit)]])</f>
        <v>1410</v>
      </c>
      <c r="K51" s="39">
        <f>IF(tblPlan[[#This Row],[Month]]="","",tblPlan[[#This Row],[Working days]]*PaidHoursDay)</f>
        <v>168</v>
      </c>
      <c r="L51" s="39">
        <f>IF(tblPlan[[#This Row],[Month]]="","",tblPlan[[#This Row],[Paid per FTE (h)]]*(1-AbsenceRate)*ProdShare)</f>
        <v>127.092</v>
      </c>
      <c r="M51" s="39">
        <f>IF(tblPlan[[#This Row],[Month]]="","",IF(tblPlan[[#This Row],[Productive per FTE (h)]]&gt;0,tblPlan[[#This Row],[Required (h)]]/tblPlan[[#This Row],[Productive per FTE (h)]],""))</f>
        <v>11.0943253705977</v>
      </c>
      <c r="N51" s="41">
        <f>IF(tblPlan[[#This Row],[Month]]="","",tblPlan[[#This Row],[Heads at start (people)]]+SUMIFS(tblPlan[Hires (people)],tblPlan[Department],tblPlan[[#This Row],[Department]],tblPlan[Month],"&lt;="&amp;tblPlan[[#This Row],[Month]])-SUMIFS(tblPlan[Leavers (people)],tblPlan[Department],tblPlan[[#This Row],[Department]],tblPlan[Month],"&lt;="&amp;tblPlan[[#This Row],[Month]]))</f>
        <v>10</v>
      </c>
      <c r="O51" s="42">
        <f>IF(tblPlan[[#This Row],[Month]]="","",IF(tblPlan[[#This Row],[Required FTE]]="","",tblPlan[[#This Row],[Planned heads]]-tblPlan[[#This Row],[Required FTE]]))</f>
        <v>-1.09432537059768</v>
      </c>
      <c r="P51" s="41">
        <f>IF(tblPlan[[#This Row],[Month]]="","",tblPlan[[#This Row],[Planned heads]]*tblPlan[[#This Row],[Productive per FTE (h)]])</f>
        <v>1270.92</v>
      </c>
      <c r="Q51" s="41">
        <f>IF(tblPlan[[#This Row],[Month]]="","",tblPlan[[#This Row],[Planned heads]]*tblPlan[[#This Row],[Paid per FTE (h)]]*(1-AbsenceRate))</f>
        <v>1495.2</v>
      </c>
      <c r="R51" s="41">
        <f>IF(tblPlan[[#This Row],[Month]]="","",MAX(0,tblPlan[[#This Row],[Required (h)]]-tblPlan[[#This Row],[Capacity (h)]])/ProdShare)</f>
        <v>163.623529411765</v>
      </c>
      <c r="S51" s="43">
        <f>IF(tblPlan[[#This Row],[Month]]="","",IF(tblPlan[[#This Row],[Attended (h)]]&gt;0,tblPlan[[#This Row],[Overtime (h)]]/tblPlan[[#This Row],[Attended (h)]],""))</f>
        <v>0.109432537059768</v>
      </c>
      <c r="T51" s="44" t="str">
        <f>IF(tblPlan[[#This Row],[Month]]="","",IF(tblPlan[[#This Row],[Gap (heads)]]="","",IF(tblPlan[[#This Row],[Gap (heads)]]&gt;=0,"On target",IF(AND(ISNUMBER(tblPlan[[#This Row],[Overtime share]]),tblPlan[[#This Row],[Overtime share]]&lt;=OTCap),"Near target","Below target"))))</f>
        <v>Below target</v>
      </c>
      <c r="U51" s="40">
        <f>IF(tblPlan[[#This Row],[Month]]="","",IFERROR(INDEX(tblDepartments[Loaded rate (per h)],MATCH(tblPlan[[#This Row],[Department]],tblDepartments[Department],0)),""))</f>
        <v>29</v>
      </c>
      <c r="V51" s="41">
        <f>IF(tblPlan[[#This Row],[Month]]="","",(tblPlan[[#This Row],[Planned heads]]*tblPlan[[#This Row],[Paid per FTE (h)]]+tblPlan[[#This Row],[Overtime (h)]]*OTPremium)*tblPlan[[#This Row],[Loaded rate (per h)]])</f>
        <v>55837.6235294118</v>
      </c>
      <c r="W51"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51" s="46" t="s">
        <v>109</v>
      </c>
    </row>
    <row r="52" spans="2:24">
      <c r="B52" s="34">
        <v>46661</v>
      </c>
      <c r="C52" s="28" t="s">
        <v>90</v>
      </c>
      <c r="D52" s="37">
        <v>2200</v>
      </c>
      <c r="E52" s="37">
        <v>0</v>
      </c>
      <c r="F52" s="37">
        <v>0</v>
      </c>
      <c r="G52" s="39">
        <f>IF(tblPlan[[#This Row],[Month]]="","",IFERROR(INDEX(tblMonths[Working days],MATCH(tblPlan[[#This Row],[Month]],tblMonths[Month],0)),""))</f>
        <v>21</v>
      </c>
      <c r="H52" s="40">
        <f>IF(tblPlan[[#This Row],[Month]]="","",IFERROR(INDEX(tblDepartments[Std hours (h/unit)],MATCH(tblPlan[[#This Row],[Department]],tblDepartments[Department],0)),""))</f>
        <v>0.6</v>
      </c>
      <c r="I52" s="41">
        <f>IF(tblPlan[[#This Row],[Month]]="","",IFERROR(INDEX(tblDepartments[Heads at start (people)],MATCH(tblPlan[[#This Row],[Department]],tblDepartments[Department],0)),""))</f>
        <v>9</v>
      </c>
      <c r="J52" s="41">
        <f>IF(tblPlan[[#This Row],[Month]]="","",tblPlan[[#This Row],[Demand (units)]]*tblPlan[[#This Row],[Std hours (h/unit)]])</f>
        <v>1320</v>
      </c>
      <c r="K52" s="39">
        <f>IF(tblPlan[[#This Row],[Month]]="","",tblPlan[[#This Row],[Working days]]*PaidHoursDay)</f>
        <v>168</v>
      </c>
      <c r="L52" s="39">
        <f>IF(tblPlan[[#This Row],[Month]]="","",tblPlan[[#This Row],[Paid per FTE (h)]]*(1-AbsenceRate)*ProdShare)</f>
        <v>127.092</v>
      </c>
      <c r="M52" s="39">
        <f>IF(tblPlan[[#This Row],[Month]]="","",IF(tblPlan[[#This Row],[Productive per FTE (h)]]&gt;0,tblPlan[[#This Row],[Required (h)]]/tblPlan[[#This Row],[Productive per FTE (h)]],""))</f>
        <v>10.3861769426872</v>
      </c>
      <c r="N52" s="41">
        <f>IF(tblPlan[[#This Row],[Month]]="","",tblPlan[[#This Row],[Heads at start (people)]]+SUMIFS(tblPlan[Hires (people)],tblPlan[Department],tblPlan[[#This Row],[Department]],tblPlan[Month],"&lt;="&amp;tblPlan[[#This Row],[Month]])-SUMIFS(tblPlan[Leavers (people)],tblPlan[Department],tblPlan[[#This Row],[Department]],tblPlan[Month],"&lt;="&amp;tblPlan[[#This Row],[Month]]))</f>
        <v>10</v>
      </c>
      <c r="O52" s="42">
        <f>IF(tblPlan[[#This Row],[Month]]="","",IF(tblPlan[[#This Row],[Required FTE]]="","",tblPlan[[#This Row],[Planned heads]]-tblPlan[[#This Row],[Required FTE]]))</f>
        <v>-0.386176942687188</v>
      </c>
      <c r="P52" s="41">
        <f>IF(tblPlan[[#This Row],[Month]]="","",tblPlan[[#This Row],[Planned heads]]*tblPlan[[#This Row],[Productive per FTE (h)]])</f>
        <v>1270.92</v>
      </c>
      <c r="Q52" s="41">
        <f>IF(tblPlan[[#This Row],[Month]]="","",tblPlan[[#This Row],[Planned heads]]*tblPlan[[#This Row],[Paid per FTE (h)]]*(1-AbsenceRate))</f>
        <v>1495.2</v>
      </c>
      <c r="R52" s="41">
        <f>IF(tblPlan[[#This Row],[Month]]="","",MAX(0,tblPlan[[#This Row],[Required (h)]]-tblPlan[[#This Row],[Capacity (h)]])/ProdShare)</f>
        <v>57.7411764705882</v>
      </c>
      <c r="S52" s="43">
        <f>IF(tblPlan[[#This Row],[Month]]="","",IF(tblPlan[[#This Row],[Attended (h)]]&gt;0,tblPlan[[#This Row],[Overtime (h)]]/tblPlan[[#This Row],[Attended (h)]],""))</f>
        <v>0.0386176942687187</v>
      </c>
      <c r="T52" s="44" t="str">
        <f>IF(tblPlan[[#This Row],[Month]]="","",IF(tblPlan[[#This Row],[Gap (heads)]]="","",IF(tblPlan[[#This Row],[Gap (heads)]]&gt;=0,"On target",IF(AND(ISNUMBER(tblPlan[[#This Row],[Overtime share]]),tblPlan[[#This Row],[Overtime share]]&lt;=OTCap),"Near target","Below target"))))</f>
        <v>Near target</v>
      </c>
      <c r="U52" s="40">
        <f>IF(tblPlan[[#This Row],[Month]]="","",IFERROR(INDEX(tblDepartments[Loaded rate (per h)],MATCH(tblPlan[[#This Row],[Department]],tblDepartments[Department],0)),""))</f>
        <v>29</v>
      </c>
      <c r="V52" s="41">
        <f>IF(tblPlan[[#This Row],[Month]]="","",(tblPlan[[#This Row],[Planned heads]]*tblPlan[[#This Row],[Paid per FTE (h)]]+tblPlan[[#This Row],[Overtime (h)]]*OTPremium)*tblPlan[[#This Row],[Loaded rate (per h)]])</f>
        <v>51231.7411764706</v>
      </c>
      <c r="W52"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52" s="46" t="s">
        <v>109</v>
      </c>
    </row>
    <row r="53" spans="2:24">
      <c r="B53" s="34">
        <v>46692</v>
      </c>
      <c r="C53" s="28" t="s">
        <v>90</v>
      </c>
      <c r="D53" s="37">
        <v>1900</v>
      </c>
      <c r="E53" s="37">
        <v>0</v>
      </c>
      <c r="F53" s="37">
        <v>0</v>
      </c>
      <c r="G53" s="39">
        <f>IF(tblPlan[[#This Row],[Month]]="","",IFERROR(INDEX(tblMonths[Working days],MATCH(tblPlan[[#This Row],[Month]],tblMonths[Month],0)),""))</f>
        <v>20</v>
      </c>
      <c r="H53" s="40">
        <f>IF(tblPlan[[#This Row],[Month]]="","",IFERROR(INDEX(tblDepartments[Std hours (h/unit)],MATCH(tblPlan[[#This Row],[Department]],tblDepartments[Department],0)),""))</f>
        <v>0.6</v>
      </c>
      <c r="I53" s="41">
        <f>IF(tblPlan[[#This Row],[Month]]="","",IFERROR(INDEX(tblDepartments[Heads at start (people)],MATCH(tblPlan[[#This Row],[Department]],tblDepartments[Department],0)),""))</f>
        <v>9</v>
      </c>
      <c r="J53" s="41">
        <f>IF(tblPlan[[#This Row],[Month]]="","",tblPlan[[#This Row],[Demand (units)]]*tblPlan[[#This Row],[Std hours (h/unit)]])</f>
        <v>1140</v>
      </c>
      <c r="K53" s="39">
        <f>IF(tblPlan[[#This Row],[Month]]="","",tblPlan[[#This Row],[Working days]]*PaidHoursDay)</f>
        <v>160</v>
      </c>
      <c r="L53" s="39">
        <f>IF(tblPlan[[#This Row],[Month]]="","",tblPlan[[#This Row],[Paid per FTE (h)]]*(1-AbsenceRate)*ProdShare)</f>
        <v>121.04</v>
      </c>
      <c r="M53" s="39">
        <f>IF(tblPlan[[#This Row],[Month]]="","",IF(tblPlan[[#This Row],[Productive per FTE (h)]]&gt;0,tblPlan[[#This Row],[Required (h)]]/tblPlan[[#This Row],[Productive per FTE (h)]],""))</f>
        <v>9.41837409120952</v>
      </c>
      <c r="N53" s="41">
        <f>IF(tblPlan[[#This Row],[Month]]="","",tblPlan[[#This Row],[Heads at start (people)]]+SUMIFS(tblPlan[Hires (people)],tblPlan[Department],tblPlan[[#This Row],[Department]],tblPlan[Month],"&lt;="&amp;tblPlan[[#This Row],[Month]])-SUMIFS(tblPlan[Leavers (people)],tblPlan[Department],tblPlan[[#This Row],[Department]],tblPlan[Month],"&lt;="&amp;tblPlan[[#This Row],[Month]]))</f>
        <v>10</v>
      </c>
      <c r="O53" s="42">
        <f>IF(tblPlan[[#This Row],[Month]]="","",IF(tblPlan[[#This Row],[Required FTE]]="","",tblPlan[[#This Row],[Planned heads]]-tblPlan[[#This Row],[Required FTE]]))</f>
        <v>0.581625908790484</v>
      </c>
      <c r="P53" s="41">
        <f>IF(tblPlan[[#This Row],[Month]]="","",tblPlan[[#This Row],[Planned heads]]*tblPlan[[#This Row],[Productive per FTE (h)]])</f>
        <v>1210.4</v>
      </c>
      <c r="Q53" s="41">
        <f>IF(tblPlan[[#This Row],[Month]]="","",tblPlan[[#This Row],[Planned heads]]*tblPlan[[#This Row],[Paid per FTE (h)]]*(1-AbsenceRate))</f>
        <v>1424</v>
      </c>
      <c r="R53" s="41">
        <f>IF(tblPlan[[#This Row],[Month]]="","",MAX(0,tblPlan[[#This Row],[Required (h)]]-tblPlan[[#This Row],[Capacity (h)]])/ProdShare)</f>
        <v>0</v>
      </c>
      <c r="S53" s="43">
        <f>IF(tblPlan[[#This Row],[Month]]="","",IF(tblPlan[[#This Row],[Attended (h)]]&gt;0,tblPlan[[#This Row],[Overtime (h)]]/tblPlan[[#This Row],[Attended (h)]],""))</f>
        <v>0</v>
      </c>
      <c r="T53" s="44" t="str">
        <f>IF(tblPlan[[#This Row],[Month]]="","",IF(tblPlan[[#This Row],[Gap (heads)]]="","",IF(tblPlan[[#This Row],[Gap (heads)]]&gt;=0,"On target",IF(AND(ISNUMBER(tblPlan[[#This Row],[Overtime share]]),tblPlan[[#This Row],[Overtime share]]&lt;=OTCap),"Near target","Below target"))))</f>
        <v>On target</v>
      </c>
      <c r="U53" s="40">
        <f>IF(tblPlan[[#This Row],[Month]]="","",IFERROR(INDEX(tblDepartments[Loaded rate (per h)],MATCH(tblPlan[[#This Row],[Department]],tblDepartments[Department],0)),""))</f>
        <v>29</v>
      </c>
      <c r="V53" s="41">
        <f>IF(tblPlan[[#This Row],[Month]]="","",(tblPlan[[#This Row],[Planned heads]]*tblPlan[[#This Row],[Paid per FTE (h)]]+tblPlan[[#This Row],[Overtime (h)]]*OTPremium)*tblPlan[[#This Row],[Loaded rate (per h)]])</f>
        <v>46400</v>
      </c>
      <c r="W53"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53" s="46" t="s">
        <v>109</v>
      </c>
    </row>
    <row r="54" spans="2:24">
      <c r="B54" s="34">
        <v>46722</v>
      </c>
      <c r="C54" s="28" t="s">
        <v>90</v>
      </c>
      <c r="D54" s="37">
        <v>1600</v>
      </c>
      <c r="E54" s="37">
        <v>0</v>
      </c>
      <c r="F54" s="37">
        <v>0</v>
      </c>
      <c r="G54" s="39">
        <f>IF(tblPlan[[#This Row],[Month]]="","",IFERROR(INDEX(tblMonths[Working days],MATCH(tblPlan[[#This Row],[Month]],tblMonths[Month],0)),""))</f>
        <v>19</v>
      </c>
      <c r="H54" s="40">
        <f>IF(tblPlan[[#This Row],[Month]]="","",IFERROR(INDEX(tblDepartments[Std hours (h/unit)],MATCH(tblPlan[[#This Row],[Department]],tblDepartments[Department],0)),""))</f>
        <v>0.6</v>
      </c>
      <c r="I54" s="41">
        <f>IF(tblPlan[[#This Row],[Month]]="","",IFERROR(INDEX(tblDepartments[Heads at start (people)],MATCH(tblPlan[[#This Row],[Department]],tblDepartments[Department],0)),""))</f>
        <v>9</v>
      </c>
      <c r="J54" s="41">
        <f>IF(tblPlan[[#This Row],[Month]]="","",tblPlan[[#This Row],[Demand (units)]]*tblPlan[[#This Row],[Std hours (h/unit)]])</f>
        <v>960</v>
      </c>
      <c r="K54" s="39">
        <f>IF(tblPlan[[#This Row],[Month]]="","",tblPlan[[#This Row],[Working days]]*PaidHoursDay)</f>
        <v>152</v>
      </c>
      <c r="L54" s="39">
        <f>IF(tblPlan[[#This Row],[Month]]="","",tblPlan[[#This Row],[Paid per FTE (h)]]*(1-AbsenceRate)*ProdShare)</f>
        <v>114.988</v>
      </c>
      <c r="M54" s="39">
        <f>IF(tblPlan[[#This Row],[Month]]="","",IF(tblPlan[[#This Row],[Productive per FTE (h)]]&gt;0,tblPlan[[#This Row],[Required (h)]]/tblPlan[[#This Row],[Productive per FTE (h)]],""))</f>
        <v>8.34869725536578</v>
      </c>
      <c r="N54" s="41">
        <f>IF(tblPlan[[#This Row],[Month]]="","",tblPlan[[#This Row],[Heads at start (people)]]+SUMIFS(tblPlan[Hires (people)],tblPlan[Department],tblPlan[[#This Row],[Department]],tblPlan[Month],"&lt;="&amp;tblPlan[[#This Row],[Month]])-SUMIFS(tblPlan[Leavers (people)],tblPlan[Department],tblPlan[[#This Row],[Department]],tblPlan[Month],"&lt;="&amp;tblPlan[[#This Row],[Month]]))</f>
        <v>10</v>
      </c>
      <c r="O54" s="42">
        <f>IF(tblPlan[[#This Row],[Month]]="","",IF(tblPlan[[#This Row],[Required FTE]]="","",tblPlan[[#This Row],[Planned heads]]-tblPlan[[#This Row],[Required FTE]]))</f>
        <v>1.65130274463422</v>
      </c>
      <c r="P54" s="41">
        <f>IF(tblPlan[[#This Row],[Month]]="","",tblPlan[[#This Row],[Planned heads]]*tblPlan[[#This Row],[Productive per FTE (h)]])</f>
        <v>1149.88</v>
      </c>
      <c r="Q54" s="41">
        <f>IF(tblPlan[[#This Row],[Month]]="","",tblPlan[[#This Row],[Planned heads]]*tblPlan[[#This Row],[Paid per FTE (h)]]*(1-AbsenceRate))</f>
        <v>1352.8</v>
      </c>
      <c r="R54" s="41">
        <f>IF(tblPlan[[#This Row],[Month]]="","",MAX(0,tblPlan[[#This Row],[Required (h)]]-tblPlan[[#This Row],[Capacity (h)]])/ProdShare)</f>
        <v>0</v>
      </c>
      <c r="S54" s="43">
        <f>IF(tblPlan[[#This Row],[Month]]="","",IF(tblPlan[[#This Row],[Attended (h)]]&gt;0,tblPlan[[#This Row],[Overtime (h)]]/tblPlan[[#This Row],[Attended (h)]],""))</f>
        <v>0</v>
      </c>
      <c r="T54" s="44" t="str">
        <f>IF(tblPlan[[#This Row],[Month]]="","",IF(tblPlan[[#This Row],[Gap (heads)]]="","",IF(tblPlan[[#This Row],[Gap (heads)]]&gt;=0,"On target",IF(AND(ISNUMBER(tblPlan[[#This Row],[Overtime share]]),tblPlan[[#This Row],[Overtime share]]&lt;=OTCap),"Near target","Below target"))))</f>
        <v>On target</v>
      </c>
      <c r="U54" s="40">
        <f>IF(tblPlan[[#This Row],[Month]]="","",IFERROR(INDEX(tblDepartments[Loaded rate (per h)],MATCH(tblPlan[[#This Row],[Department]],tblDepartments[Department],0)),""))</f>
        <v>29</v>
      </c>
      <c r="V54" s="41">
        <f>IF(tblPlan[[#This Row],[Month]]="","",(tblPlan[[#This Row],[Planned heads]]*tblPlan[[#This Row],[Paid per FTE (h)]]+tblPlan[[#This Row],[Overtime (h)]]*OTPremium)*tblPlan[[#This Row],[Loaded rate (per h)]])</f>
        <v>44080</v>
      </c>
      <c r="W54" s="45" t="str">
        <f>IF(tblPlan[[#This Row],[Month]]="","",IF(tblPlan[[#This Row],[Department]]="","Missing department",IF(tblPlan[[#This Row],[Demand (units)]]="","Missing demand",IF(tblPlan[[#This Row],[Std hours (h/unit)]]="","Department not on Setup",IF(tblPlan[[#This Row],[Working days]]="","Month not on the Setup calendar",IF(COUNTIFS(tblPlan[Department],tblPlan[[#This Row],[Department]],tblPlan[Month],tblPlan[[#This Row],[Month]])&gt;1,"Duplicate department and month",IF(tblPlan[[#This Row],[Planned heads]]&lt;0,"More leavers than heads","OK")))))))</f>
        <v>OK</v>
      </c>
      <c r="X54" s="46" t="s">
        <v>109</v>
      </c>
    </row>
  </sheetData>
  <mergeCells count="3">
    <mergeCell ref="A1:X1"/>
    <mergeCell ref="B2:W2"/>
    <mergeCell ref="B4:X4"/>
  </mergeCells>
  <conditionalFormatting sqref="S7:S554">
    <cfRule type="expression" dxfId="3" priority="1" stopIfTrue="1">
      <formula>AND(ISNUMBER(S7),S7&lt;=(OTCap))</formula>
    </cfRule>
    <cfRule type="expression" dxfId="4" priority="2" stopIfTrue="1">
      <formula>AND(ISNUMBER(S7),S7&lt;=(OTCap)*(1+0))</formula>
    </cfRule>
    <cfRule type="expression" dxfId="5" priority="3">
      <formula>ISNUMBER(S7)</formula>
    </cfRule>
  </conditionalFormatting>
  <conditionalFormatting sqref="T7:T554">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W7:W554">
    <cfRule type="expression" dxfId="3" priority="24">
      <formula>$W7="OK"</formula>
    </cfRule>
    <cfRule type="expression" dxfId="1" priority="25">
      <formula>AND($W7&lt;&gt;"",$W7&lt;&gt;"OK")</formula>
    </cfRule>
  </conditionalFormatting>
  <dataValidations count="6">
    <dataValidation type="date" allowBlank="1" showInputMessage="1" showErrorMessage="1" errorTitle="Check this entry" error="Enter a date between 01 Jan 2000 and 31 Dec 2100." promptTitle="Month" prompt="First day of the month; must be on the Setup calendar. Enter a date between 01 Jan 2000 and 31 Dec 2100." sqref="B7:B554">
      <formula1>36526</formula1>
      <formula2>73415</formula2>
    </dataValidation>
    <dataValidation type="list" allowBlank="1" showInputMessage="1" showErrorMessage="1" errorTitle="Check this entry" error="Pick from the list (edit the list on Setup: Departments)." promptTitle="Department" prompt="Pick from the list (edit the list on Setup: Departments)." sqref="C7:C554">
      <formula1>Departments</formula1>
    </dataValidation>
    <dataValidation type="whole" allowBlank="1" showInputMessage="1" showErrorMessage="1" errorTitle="Check this entry" error="Enter a whole number of at least 0." promptTitle="Demand (units)" prompt="Units this department must produce this month. Enter a whole number of at least 0." sqref="D7:D554">
      <formula1>0</formula1>
      <formula2>1000000000.0</formula2>
    </dataValidation>
    <dataValidation type="whole" allowBlank="1" showInputMessage="1" showErrorMessage="1" errorTitle="Check this entry" error="Enter a whole number from 0 to 10,000." promptTitle="Hires (people)" prompt="People joining at the start of the month (new positions and backfills). Enter a whole number from 0 to 10,000." sqref="E7:E554">
      <formula1>0</formula1>
      <formula2>10000</formula2>
    </dataValidation>
    <dataValidation type="whole" allowBlank="1" showInputMessage="1" showErrorMessage="1" errorTitle="Check this entry" error="Enter a whole number from 0 to 10,000." promptTitle="Leavers (people)" prompt="People expected to leave at the start of the month (resignations, retirements, ends of contract). Enter a whole number from 0 to 10,000." sqref="F7:F554">
      <formula1>0</formula1>
      <formula2>10000</formula2>
    </dataValidation>
    <dataValidation type="textLength" allowBlank="1" showInputMessage="1" showErrorMessage="1" errorTitle="Check this entry" error="Text up to 255 characters." promptTitle="Notes" prompt="Text up to 255 characters." sqref="X7:X554">
      <formula1>0</formula1>
      <formula2>255</formula2>
    </dataValidation>
  </dataValidations>
  <hyperlinks>
    <hyperlink ref="X2" r:id="rId1" tooltip="Free manufacturing calculators and templates"/>
  </hyperlinks>
  <pageMargins left="0.4" right="0.4" top="0.7" bottom="0.65" header="0.3" footer="0.3"/>
  <pageSetup fitToHeight="0" orientation="landscape"/>
  <headerFooter>
    <oddHeader>&amp;L&amp;8MFG Calcs - Production Headcount Plan&amp;R&amp;8&amp;A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O67"/>
  <sheetViews>
    <sheetView showGridLines="0" zoomScale="90" zoomScaleNormal="90" workbookViewId="0"/>
  </sheetViews>
  <sheetFormatPr defaultRowHeight="15"/>
  <cols>
    <col min="1" max="1" width="2.7109375" customWidth="1"/>
    <col min="2" max="2" width="22.7109375" customWidth="1"/>
    <col min="3" max="15" width="9.28515625" customWidth="1"/>
  </cols>
  <sheetData>
    <row r="1" spans="1:15" ht="30" customHeight="1">
      <c r="A1" s="1" t="s">
        <v>0</v>
      </c>
      <c r="B1" s="1"/>
      <c r="C1" s="1"/>
      <c r="D1" s="1"/>
      <c r="E1" s="1"/>
      <c r="F1" s="1"/>
      <c r="G1" s="1"/>
      <c r="H1" s="1"/>
      <c r="I1" s="1"/>
      <c r="J1" s="1"/>
      <c r="K1" s="1"/>
      <c r="L1" s="1"/>
      <c r="M1" s="1"/>
      <c r="N1" s="1"/>
      <c r="O1" s="1"/>
    </row>
    <row r="2" spans="1:15" ht="21" customHeight="1">
      <c r="B2" s="2" t="s">
        <v>22</v>
      </c>
      <c r="C2" s="2"/>
      <c r="D2" s="2"/>
      <c r="E2" s="2"/>
      <c r="F2" s="2"/>
      <c r="G2" s="2"/>
      <c r="H2" s="2"/>
      <c r="I2" s="2"/>
      <c r="J2" s="2"/>
      <c r="K2" s="2"/>
      <c r="L2" s="2"/>
      <c r="M2" s="2"/>
      <c r="N2" s="3" t="s">
        <v>2</v>
      </c>
      <c r="O2" s="3"/>
    </row>
    <row r="3" spans="1:15" ht="6" customHeight="1"/>
    <row r="4" spans="1:15">
      <c r="B4" s="47" t="str">
        <f>PlantName&amp;": "&amp;COUNTA(tblDepartments[Department])&amp;" departments, "&amp;COUNT(tblMonths[Month])&amp;" months from "&amp;IF(COUNT(tblMonths[Month])=0,"-",TEXT(MIN(tblMonths[Month]),"mmm yyyy"))&amp;". Heads at start "&amp;SUM(tblDepartments[Heads at start (people)])&amp;"; money in "&amp;Currency&amp;"."</f>
        <v>Ridgeway Pumps (example): 4 departments, 12 months from Jan 2027. Heads at start 84; money in USD.</v>
      </c>
      <c r="C4" s="47"/>
      <c r="D4" s="47"/>
      <c r="E4" s="47"/>
      <c r="F4" s="47"/>
      <c r="G4" s="47"/>
      <c r="H4" s="47"/>
      <c r="I4" s="47"/>
      <c r="J4" s="47"/>
      <c r="K4" s="47"/>
      <c r="L4" s="47"/>
      <c r="M4" s="47"/>
      <c r="N4" s="47"/>
      <c r="O4" s="47"/>
    </row>
    <row r="6" spans="1:15" ht="18" customHeight="1">
      <c r="B6" s="48" t="s">
        <v>114</v>
      </c>
      <c r="C6" s="48"/>
      <c r="D6" s="48" t="s">
        <v>115</v>
      </c>
      <c r="E6" s="48"/>
      <c r="F6" s="48"/>
      <c r="G6" s="48"/>
      <c r="H6" s="48" t="s">
        <v>116</v>
      </c>
      <c r="I6" s="48"/>
      <c r="J6" s="48"/>
      <c r="K6" s="48"/>
      <c r="L6" s="48" t="str">
        <f>"LABOUR COST ("&amp;Currency&amp;")"</f>
        <v>LABOUR COST (USD)</v>
      </c>
      <c r="M6" s="48"/>
      <c r="N6" s="48"/>
      <c r="O6" s="48"/>
    </row>
    <row r="7" spans="1:15" ht="21" customHeight="1">
      <c r="B7" s="49">
        <f>IF(COUNT(tblPlan[Gap (heads)])=0,"",MAX(0,-MIN(tblPlan[Gap (heads)])))</f>
        <v>4.97683567809146</v>
      </c>
      <c r="C7" s="49"/>
      <c r="D7" s="50">
        <f>COUNTIF(tblPlan[Status],"Below target")</f>
        <v>11</v>
      </c>
      <c r="E7" s="50"/>
      <c r="F7" s="50"/>
      <c r="G7" s="50"/>
      <c r="H7" s="50">
        <f>SUM(tblPlan[Overtime (h)])</f>
        <v>7368.47058823529</v>
      </c>
      <c r="I7" s="50"/>
      <c r="J7" s="50"/>
      <c r="K7" s="50"/>
      <c r="L7" s="50">
        <f>SUM(tblPlan[Labour cost])</f>
        <v>6424109.04235294</v>
      </c>
      <c r="M7" s="50"/>
      <c r="N7" s="50"/>
      <c r="O7" s="50"/>
    </row>
    <row r="8" spans="1:15" ht="21" customHeight="1">
      <c r="B8" s="49"/>
      <c r="C8" s="49"/>
      <c r="D8" s="50"/>
      <c r="E8" s="50"/>
      <c r="F8" s="50"/>
      <c r="G8" s="50"/>
      <c r="H8" s="50"/>
      <c r="I8" s="50"/>
      <c r="J8" s="50"/>
      <c r="K8" s="50"/>
      <c r="L8" s="50"/>
      <c r="M8" s="50"/>
      <c r="N8" s="50"/>
      <c r="O8" s="50"/>
    </row>
    <row r="9" spans="1:15">
      <c r="B9" s="51" t="s">
        <v>117</v>
      </c>
      <c r="C9" s="51"/>
      <c r="D9" s="52">
        <f>0</f>
        <v>0</v>
      </c>
      <c r="E9" s="52"/>
      <c r="F9" s="52"/>
      <c r="G9" s="52"/>
      <c r="H9" s="51" t="s">
        <v>118</v>
      </c>
      <c r="I9" s="51"/>
      <c r="J9" s="51"/>
      <c r="K9" s="51"/>
      <c r="L9" s="51" t="s">
        <v>119</v>
      </c>
      <c r="M9" s="51"/>
      <c r="N9" s="51"/>
      <c r="O9" s="51"/>
    </row>
    <row r="10" spans="1:15" ht="18" customHeight="1">
      <c r="B10" s="53"/>
      <c r="C10" s="53"/>
      <c r="D10" s="53" t="str">
        <f>IF(NOT(ISNUMBER(KpiBeyond)),"No data",IF(KpiBeyond&lt;=(0),"On target",IF(KpiBeyond&lt;=(0)*(1+0.05),"Near target","Above target")))</f>
        <v>Above target</v>
      </c>
      <c r="E10" s="53"/>
      <c r="F10" s="53"/>
      <c r="G10" s="53"/>
      <c r="H10" s="53"/>
      <c r="I10" s="53"/>
      <c r="J10" s="53"/>
      <c r="K10" s="53"/>
      <c r="L10" s="53"/>
      <c r="M10" s="53"/>
      <c r="N10" s="53"/>
      <c r="O10" s="53"/>
    </row>
    <row r="29" spans="2:14">
      <c r="B29" s="32" t="s">
        <v>120</v>
      </c>
      <c r="C29" s="32"/>
      <c r="D29" s="32"/>
      <c r="E29" s="32"/>
      <c r="F29" s="32"/>
      <c r="G29" s="32"/>
      <c r="H29" s="32"/>
      <c r="I29" s="32"/>
      <c r="J29" s="32"/>
      <c r="K29" s="32"/>
      <c r="L29" s="32"/>
      <c r="M29" s="32"/>
      <c r="N29" s="32"/>
    </row>
    <row r="30" spans="2:14" ht="32" customHeight="1">
      <c r="B30" s="54" t="s">
        <v>60</v>
      </c>
      <c r="C30" s="33" t="s">
        <v>95</v>
      </c>
      <c r="D30" s="33" t="s">
        <v>98</v>
      </c>
      <c r="E30" s="33" t="s">
        <v>99</v>
      </c>
      <c r="F30" s="33" t="s">
        <v>100</v>
      </c>
      <c r="G30" s="33" t="s">
        <v>121</v>
      </c>
      <c r="H30" s="33" t="s">
        <v>122</v>
      </c>
      <c r="I30" s="33" t="s">
        <v>103</v>
      </c>
      <c r="J30" s="33" t="s">
        <v>104</v>
      </c>
      <c r="K30" s="33" t="s">
        <v>106</v>
      </c>
      <c r="L30" s="33"/>
      <c r="M30" s="33" t="s">
        <v>123</v>
      </c>
      <c r="N30" s="33"/>
    </row>
    <row r="31" spans="2:14" ht="14" customHeight="1">
      <c r="B31" s="36"/>
      <c r="C31" s="36"/>
      <c r="D31" s="36"/>
      <c r="E31" s="36"/>
      <c r="F31" s="36"/>
      <c r="G31" s="36"/>
      <c r="H31" s="36"/>
      <c r="I31" s="36"/>
      <c r="J31" s="36"/>
      <c r="K31" s="36" t="str">
        <f>Currency</f>
        <v>USD</v>
      </c>
      <c r="L31" s="36"/>
      <c r="M31" s="36"/>
      <c r="N31" s="36"/>
    </row>
    <row r="32" spans="2:14">
      <c r="B32" s="55">
        <f>IF(COUNT(tblMonths[Month])&lt;1,"",INDEX(tblMonths[Month],1))</f>
        <v>46388</v>
      </c>
      <c r="C32" s="41">
        <f>IF($B$32="","",SUMIFS(tblPlan[Required (h)],tblPlan[Month],$B$32))</f>
        <v>9613</v>
      </c>
      <c r="D32" s="39">
        <f>IF($B$32="","",SUMIFS(tblPlan[Required FTE],tblPlan[Month],$B$32))</f>
        <v>79.4200264375413</v>
      </c>
      <c r="E32" s="41">
        <f>IF($B$32="","",SUMIFS(tblPlan[Planned heads],tblPlan[Month],$B$32))</f>
        <v>82</v>
      </c>
      <c r="F32" s="42">
        <f>IF($B$32="","",$E$32-$D$32)</f>
        <v>2.57997356245869</v>
      </c>
      <c r="G32" s="41">
        <f>IF($B$32="","",SUMIFS(tblPlan[Hires (people)],tblPlan[Month],$B$32))</f>
        <v>0</v>
      </c>
      <c r="H32" s="41">
        <f>IF($B$32="","",SUMIFS(tblPlan[Leavers (people)],tblPlan[Month],$B$32))</f>
        <v>2</v>
      </c>
      <c r="I32" s="41">
        <f>IF($B$32="","",SUMIFS(tblPlan[Overtime (h)],tblPlan[Month],$B$32))</f>
        <v>25.5058823529411</v>
      </c>
      <c r="J32" s="43">
        <f>IF($B$32="","",IF((SUMIFS(tblPlan[Attended (h)],tblPlan[Month],$B$32))=0,"",(SUMIFS(tblPlan[Overtime (h)],tblPlan[Month],$B$32))/(SUMIFS(tblPlan[Attended (h)],tblPlan[Month],$B$32))))</f>
        <v>0.0021843212483678</v>
      </c>
      <c r="K32" s="41">
        <f>IF($B$32="","",SUMIFS(tblPlan[Labour cost],tblPlan[Month],$B$32))</f>
        <v>446069.505882353</v>
      </c>
      <c r="L32" s="41"/>
      <c r="M32" s="44" t="str">
        <f>IF($B$32="","",IF(COUNTIFS(tblPlan[Month],$B$32,tblPlan[Status],"Below target")&gt;0,"Below target",IF(COUNTIFS(tblPlan[Month],$B$32,tblPlan[Status],"Near target")&gt;0,"Near target",IF(COUNTIFS(tblPlan[Month],$B$32)&gt;0,"On target",""))))</f>
        <v>Near target</v>
      </c>
      <c r="N32" s="44"/>
    </row>
    <row r="33" spans="2:14">
      <c r="B33" s="55">
        <f>IF($B$32="","",IF(COUNT(tblMonths[Month])&lt;MATCH($B$32,tblMonths[Month],0)+1,"",INDEX(tblMonths[Month],MATCH($B$32,tblMonths[Month],0)+1)))</f>
        <v>46419</v>
      </c>
      <c r="C33" s="41">
        <f>IF($B$33="","",SUMIFS(tblPlan[Required (h)],tblPlan[Month],$B$33))</f>
        <v>9914</v>
      </c>
      <c r="D33" s="39">
        <f>IF($B$33="","",SUMIFS(tblPlan[Required FTE],tblPlan[Month],$B$33))</f>
        <v>81.906807666887</v>
      </c>
      <c r="E33" s="41">
        <f>IF($B$33="","",SUMIFS(tblPlan[Planned heads],tblPlan[Month],$B$33))</f>
        <v>84</v>
      </c>
      <c r="F33" s="42">
        <f>IF($B$33="","",$E$33-$D$33)</f>
        <v>2.09319233311302</v>
      </c>
      <c r="G33" s="41">
        <f>IF($B$33="","",SUMIFS(tblPlan[Hires (people)],tblPlan[Month],$B$33))</f>
        <v>2</v>
      </c>
      <c r="H33" s="41">
        <f>IF($B$33="","",SUMIFS(tblPlan[Leavers (people)],tblPlan[Month],$B$33))</f>
        <v>0</v>
      </c>
      <c r="I33" s="41">
        <f>IF($B$33="","",SUMIFS(tblPlan[Overtime (h)],tblPlan[Month],$B$33))</f>
        <v>0</v>
      </c>
      <c r="J33" s="43">
        <f>IF($B$33="","",IF((SUMIFS(tblPlan[Attended (h)],tblPlan[Month],$B$33))=0,"",(SUMIFS(tblPlan[Overtime (h)],tblPlan[Month],$B$33))/(SUMIFS(tblPlan[Attended (h)],tblPlan[Month],$B$33))))</f>
        <v>0</v>
      </c>
      <c r="K33" s="41">
        <f>IF($B$33="","",SUMIFS(tblPlan[Labour cost],tblPlan[Month],$B$33))</f>
        <v>454560</v>
      </c>
      <c r="L33" s="41"/>
      <c r="M33" s="44" t="str">
        <f>IF($B$33="","",IF(COUNTIFS(tblPlan[Month],$B$33,tblPlan[Status],"Below target")&gt;0,"Below target",IF(COUNTIFS(tblPlan[Month],$B$33,tblPlan[Status],"Near target")&gt;0,"Near target",IF(COUNTIFS(tblPlan[Month],$B$33)&gt;0,"On target",""))))</f>
        <v>On target</v>
      </c>
      <c r="N33" s="44"/>
    </row>
    <row r="34" spans="2:14">
      <c r="B34" s="55">
        <f>IF($B$33="","",IF(COUNT(tblMonths[Month])&lt;MATCH($B$33,tblMonths[Month],0)+1,"",INDEX(tblMonths[Month],MATCH($B$33,tblMonths[Month],0)+1)))</f>
        <v>46447</v>
      </c>
      <c r="C34" s="41">
        <f>IF($B$34="","",SUMIFS(tblPlan[Required (h)],tblPlan[Month],$B$34))</f>
        <v>10785</v>
      </c>
      <c r="D34" s="39">
        <f>IF($B$34="","",SUMIFS(tblPlan[Required FTE],tblPlan[Month],$B$34))</f>
        <v>77.4806747320325</v>
      </c>
      <c r="E34" s="41">
        <f>IF($B$34="","",SUMIFS(tblPlan[Planned heads],tblPlan[Month],$B$34))</f>
        <v>83</v>
      </c>
      <c r="F34" s="42">
        <f>IF($B$34="","",$E$34-$D$34)</f>
        <v>5.51932526796747</v>
      </c>
      <c r="G34" s="41">
        <f>IF($B$34="","",SUMIFS(tblPlan[Hires (people)],tblPlan[Month],$B$34))</f>
        <v>0</v>
      </c>
      <c r="H34" s="41">
        <f>IF($B$34="","",SUMIFS(tblPlan[Leavers (people)],tblPlan[Month],$B$34))</f>
        <v>1</v>
      </c>
      <c r="I34" s="41">
        <f>IF($B$34="","",SUMIFS(tblPlan[Overtime (h)],tblPlan[Month],$B$34))</f>
        <v>0</v>
      </c>
      <c r="J34" s="43">
        <f>IF($B$34="","",IF((SUMIFS(tblPlan[Attended (h)],tblPlan[Month],$B$34))=0,"",(SUMIFS(tblPlan[Overtime (h)],tblPlan[Month],$B$34))/(SUMIFS(tblPlan[Attended (h)],tblPlan[Month],$B$34))))</f>
        <v>0</v>
      </c>
      <c r="K34" s="41">
        <f>IF($B$34="","",SUMIFS(tblPlan[Labour cost],tblPlan[Month],$B$34))</f>
        <v>517040</v>
      </c>
      <c r="L34" s="41"/>
      <c r="M34" s="44" t="str">
        <f>IF($B$34="","",IF(COUNTIFS(tblPlan[Month],$B$34,tblPlan[Status],"Below target")&gt;0,"Below target",IF(COUNTIFS(tblPlan[Month],$B$34,tblPlan[Status],"Near target")&gt;0,"Near target",IF(COUNTIFS(tblPlan[Month],$B$34)&gt;0,"On target",""))))</f>
        <v>On target</v>
      </c>
      <c r="N34" s="44"/>
    </row>
    <row r="35" spans="2:14">
      <c r="B35" s="55">
        <f>IF($B$34="","",IF(COUNT(tblMonths[Month])&lt;MATCH($B$34,tblMonths[Month],0)+1,"",INDEX(tblMonths[Month],MATCH($B$34,tblMonths[Month],0)+1)))</f>
        <v>46478</v>
      </c>
      <c r="C35" s="41">
        <f>IF($B$35="","",SUMIFS(tblPlan[Required (h)],tblPlan[Month],$B$35))</f>
        <v>11070</v>
      </c>
      <c r="D35" s="39">
        <f>IF($B$35="","",SUMIFS(tblPlan[Required FTE],tblPlan[Month],$B$35))</f>
        <v>87.1022566329903</v>
      </c>
      <c r="E35" s="41">
        <f>IF($B$35="","",SUMIFS(tblPlan[Planned heads],tblPlan[Month],$B$35))</f>
        <v>81</v>
      </c>
      <c r="F35" s="42">
        <f>IF($B$35="","",$E$35-$D$35)</f>
        <v>-6.10225663299028</v>
      </c>
      <c r="G35" s="41">
        <f>IF($B$35="","",SUMIFS(tblPlan[Hires (people)],tblPlan[Month],$B$35))</f>
        <v>1</v>
      </c>
      <c r="H35" s="41">
        <f>IF($B$35="","",SUMIFS(tblPlan[Leavers (people)],tblPlan[Month],$B$35))</f>
        <v>3</v>
      </c>
      <c r="I35" s="41">
        <f>IF($B$35="","",SUMIFS(tblPlan[Overtime (h)],tblPlan[Month],$B$35))</f>
        <v>916.912941176471</v>
      </c>
      <c r="J35" s="43">
        <f>IF($B$35="","",IF((SUMIFS(tblPlan[Attended (h)],tblPlan[Month],$B$35))=0,"",(SUMIFS(tblPlan[Overtime (h)],tblPlan[Month],$B$35))/(SUMIFS(tblPlan[Attended (h)],tblPlan[Month],$B$35))))</f>
        <v>0.0757083524212848</v>
      </c>
      <c r="K35" s="41">
        <f>IF($B$35="","",SUMIFS(tblPlan[Labour cost],tblPlan[Month],$B$35))</f>
        <v>506743.235294118</v>
      </c>
      <c r="L35" s="41"/>
      <c r="M35" s="44" t="str">
        <f>IF($B$35="","",IF(COUNTIFS(tblPlan[Month],$B$35,tblPlan[Status],"Below target")&gt;0,"Below target",IF(COUNTIFS(tblPlan[Month],$B$35,tblPlan[Status],"Near target")&gt;0,"Near target",IF(COUNTIFS(tblPlan[Month],$B$35)&gt;0,"On target",""))))</f>
        <v>Near target</v>
      </c>
      <c r="N35" s="44"/>
    </row>
    <row r="36" spans="2:14">
      <c r="B36" s="55">
        <f>IF($B$35="","",IF(COUNT(tblMonths[Month])&lt;MATCH($B$35,tblMonths[Month],0)+1,"",INDEX(tblMonths[Month],MATCH($B$35,tblMonths[Month],0)+1)))</f>
        <v>46508</v>
      </c>
      <c r="C36" s="41">
        <f>IF($B$36="","",SUMIFS(tblPlan[Required (h)],tblPlan[Month],$B$36))</f>
        <v>11656</v>
      </c>
      <c r="D36" s="39">
        <f>IF($B$36="","",SUMIFS(tblPlan[Required FTE],tblPlan[Month],$B$36))</f>
        <v>96.2987442167878</v>
      </c>
      <c r="E36" s="41">
        <f>IF($B$36="","",SUMIFS(tblPlan[Planned heads],tblPlan[Month],$B$36))</f>
        <v>87</v>
      </c>
      <c r="F36" s="42">
        <f>IF($B$36="","",$E$36-$D$36)</f>
        <v>-9.29874421678782</v>
      </c>
      <c r="G36" s="41">
        <f>IF($B$36="","",SUMIFS(tblPlan[Hires (people)],tblPlan[Month],$B$36))</f>
        <v>6</v>
      </c>
      <c r="H36" s="41">
        <f>IF($B$36="","",SUMIFS(tblPlan[Leavers (people)],tblPlan[Month],$B$36))</f>
        <v>0</v>
      </c>
      <c r="I36" s="41">
        <f>IF($B$36="","",SUMIFS(tblPlan[Overtime (h)],tblPlan[Month],$B$36))</f>
        <v>1324.14117647059</v>
      </c>
      <c r="J36" s="43">
        <f>IF($B$36="","",IF((SUMIFS(tblPlan[Attended (h)],tblPlan[Month],$B$36))=0,"",(SUMIFS(tblPlan[Overtime (h)],tblPlan[Month],$B$36))/(SUMIFS(tblPlan[Attended (h)],tblPlan[Month],$B$36))))</f>
        <v>0.106882117434343</v>
      </c>
      <c r="K36" s="41">
        <f>IF($B$36="","",SUMIFS(tblPlan[Labour cost],tblPlan[Month],$B$36))</f>
        <v>538257.6</v>
      </c>
      <c r="L36" s="41"/>
      <c r="M36" s="44" t="str">
        <f>IF($B$36="","",IF(COUNTIFS(tblPlan[Month],$B$36,tblPlan[Status],"Below target")&gt;0,"Below target",IF(COUNTIFS(tblPlan[Month],$B$36,tblPlan[Status],"Near target")&gt;0,"Near target",IF(COUNTIFS(tblPlan[Month],$B$36)&gt;0,"On target",""))))</f>
        <v>Below target</v>
      </c>
      <c r="N36" s="44"/>
    </row>
    <row r="37" spans="2:14">
      <c r="B37" s="55">
        <f>IF($B$36="","",IF(COUNT(tblMonths[Month])&lt;MATCH($B$36,tblMonths[Month],0)+1,"",INDEX(tblMonths[Month],MATCH($B$36,tblMonths[Month],0)+1)))</f>
        <v>46539</v>
      </c>
      <c r="C37" s="41">
        <f>IF($B$37="","",SUMIFS(tblPlan[Required (h)],tblPlan[Month],$B$37))</f>
        <v>12242</v>
      </c>
      <c r="D37" s="39">
        <f>IF($B$37="","",SUMIFS(tblPlan[Required FTE],tblPlan[Month],$B$37))</f>
        <v>91.9455626990326</v>
      </c>
      <c r="E37" s="41">
        <f>IF($B$37="","",SUMIFS(tblPlan[Planned heads],tblPlan[Month],$B$37))</f>
        <v>89</v>
      </c>
      <c r="F37" s="42">
        <f>IF($B$37="","",$E$37-$D$37)</f>
        <v>-2.94556269903262</v>
      </c>
      <c r="G37" s="41">
        <f>IF($B$37="","",SUMIFS(tblPlan[Hires (people)],tblPlan[Month],$B$37))</f>
        <v>2</v>
      </c>
      <c r="H37" s="41">
        <f>IF($B$37="","",SUMIFS(tblPlan[Leavers (people)],tblPlan[Month],$B$37))</f>
        <v>0</v>
      </c>
      <c r="I37" s="41">
        <f>IF($B$37="","",SUMIFS(tblPlan[Overtime (h)],tblPlan[Month],$B$37))</f>
        <v>461.39294117647</v>
      </c>
      <c r="J37" s="43">
        <f>IF($B$37="","",IF((SUMIFS(tblPlan[Attended (h)],tblPlan[Month],$B$37))=0,"",(SUMIFS(tblPlan[Overtime (h)],tblPlan[Month],$B$37))/(SUMIFS(tblPlan[Attended (h)],tblPlan[Month],$B$37))))</f>
        <v>0.0330962101014901</v>
      </c>
      <c r="K37" s="41">
        <f>IF($B$37="","",SUMIFS(tblPlan[Labour cost],tblPlan[Month],$B$37))</f>
        <v>553040.988235294</v>
      </c>
      <c r="L37" s="41"/>
      <c r="M37" s="44" t="str">
        <f>IF($B$37="","",IF(COUNTIFS(tblPlan[Month],$B$37,tblPlan[Status],"Below target")&gt;0,"Below target",IF(COUNTIFS(tblPlan[Month],$B$37,tblPlan[Status],"Near target")&gt;0,"Near target",IF(COUNTIFS(tblPlan[Month],$B$37)&gt;0,"On target",""))))</f>
        <v>Near target</v>
      </c>
      <c r="N37" s="44"/>
    </row>
    <row r="38" spans="2:14">
      <c r="B38" s="55">
        <f>IF($B$37="","",IF(COUNT(tblMonths[Month])&lt;MATCH($B$37,tblMonths[Month],0)+1,"",INDEX(tblMonths[Month],MATCH($B$37,tblMonths[Month],0)+1)))</f>
        <v>46569</v>
      </c>
      <c r="C38" s="41">
        <f>IF($B$38="","",SUMIFS(tblPlan[Required (h)],tblPlan[Month],$B$38))</f>
        <v>12527</v>
      </c>
      <c r="D38" s="39">
        <f>IF($B$38="","",SUMIFS(tblPlan[Required FTE],tblPlan[Month],$B$38))</f>
        <v>98.5663928492745</v>
      </c>
      <c r="E38" s="41">
        <f>IF($B$38="","",SUMIFS(tblPlan[Planned heads],tblPlan[Month],$B$38))</f>
        <v>93</v>
      </c>
      <c r="F38" s="42">
        <f>IF($B$38="","",$E$38-$D$38)</f>
        <v>-5.56639284927454</v>
      </c>
      <c r="G38" s="41">
        <f>IF($B$38="","",SUMIFS(tblPlan[Hires (people)],tblPlan[Month],$B$38))</f>
        <v>4</v>
      </c>
      <c r="H38" s="41">
        <f>IF($B$38="","",SUMIFS(tblPlan[Leavers (people)],tblPlan[Month],$B$38))</f>
        <v>0</v>
      </c>
      <c r="I38" s="41">
        <f>IF($B$38="","",SUMIFS(tblPlan[Overtime (h)],tblPlan[Month],$B$38))</f>
        <v>832.287058823529</v>
      </c>
      <c r="J38" s="43">
        <f>IF($B$38="","",IF((SUMIFS(tblPlan[Attended (h)],tblPlan[Month],$B$38))=0,"",(SUMIFS(tblPlan[Overtime (h)],tblPlan[Month],$B$38))/(SUMIFS(tblPlan[Attended (h)],tblPlan[Month],$B$38))))</f>
        <v>0.0598536865513391</v>
      </c>
      <c r="K38" s="41">
        <f>IF($B$38="","",SUMIFS(tblPlan[Labour cost],tblPlan[Month],$B$38))</f>
        <v>571200.451764706</v>
      </c>
      <c r="L38" s="41"/>
      <c r="M38" s="44" t="str">
        <f>IF($B$38="","",IF(COUNTIFS(tblPlan[Month],$B$38,tblPlan[Status],"Below target")&gt;0,"Below target",IF(COUNTIFS(tblPlan[Month],$B$38,tblPlan[Status],"Near target")&gt;0,"Near target",IF(COUNTIFS(tblPlan[Month],$B$38)&gt;0,"On target",""))))</f>
        <v>Below target</v>
      </c>
      <c r="N38" s="44"/>
    </row>
    <row r="39" spans="2:14">
      <c r="B39" s="55">
        <f>IF($B$38="","",IF(COUNT(tblMonths[Month])&lt;MATCH($B$38,tblMonths[Month],0)+1,"",INDEX(tblMonths[Month],MATCH($B$38,tblMonths[Month],0)+1)))</f>
        <v>46600</v>
      </c>
      <c r="C39" s="41">
        <f>IF($B$39="","",SUMIFS(tblPlan[Required (h)],tblPlan[Month],$B$39))</f>
        <v>13398</v>
      </c>
      <c r="D39" s="39">
        <f>IF($B$39="","",SUMIFS(tblPlan[Required FTE],tblPlan[Month],$B$39))</f>
        <v>100.627891606081</v>
      </c>
      <c r="E39" s="41">
        <f>IF($B$39="","",SUMIFS(tblPlan[Planned heads],tblPlan[Month],$B$39))</f>
        <v>94</v>
      </c>
      <c r="F39" s="42">
        <f>IF($B$39="","",$E$39-$D$39)</f>
        <v>-6.62789160608062</v>
      </c>
      <c r="G39" s="41">
        <f>IF($B$39="","",SUMIFS(tblPlan[Hires (people)],tblPlan[Month],$B$39))</f>
        <v>1</v>
      </c>
      <c r="H39" s="41">
        <f>IF($B$39="","",SUMIFS(tblPlan[Leavers (people)],tblPlan[Month],$B$39))</f>
        <v>0</v>
      </c>
      <c r="I39" s="41">
        <f>IF($B$39="","",SUMIFS(tblPlan[Overtime (h)],tblPlan[Month],$B$39))</f>
        <v>1038.19294117647</v>
      </c>
      <c r="J39" s="43">
        <f>IF($B$39="","",IF((SUMIFS(tblPlan[Attended (h)],tblPlan[Month],$B$39))=0,"",(SUMIFS(tblPlan[Overtime (h)],tblPlan[Month],$B$39))/(SUMIFS(tblPlan[Attended (h)],tblPlan[Month],$B$39))))</f>
        <v>0.0705094851710705</v>
      </c>
      <c r="K39" s="41">
        <f>IF($B$39="","",SUMIFS(tblPlan[Labour cost],tblPlan[Month],$B$39))</f>
        <v>612633.543529412</v>
      </c>
      <c r="L39" s="41"/>
      <c r="M39" s="44" t="str">
        <f>IF($B$39="","",IF(COUNTIFS(tblPlan[Month],$B$39,tblPlan[Status],"Below target")&gt;0,"Below target",IF(COUNTIFS(tblPlan[Month],$B$39,tblPlan[Status],"Near target")&gt;0,"Near target",IF(COUNTIFS(tblPlan[Month],$B$39)&gt;0,"On target",""))))</f>
        <v>Below target</v>
      </c>
      <c r="N39" s="44"/>
    </row>
    <row r="40" spans="2:14">
      <c r="B40" s="55">
        <f>IF($B$39="","",IF(COUNT(tblMonths[Month])&lt;MATCH($B$39,tblMonths[Month],0)+1,"",INDEX(tblMonths[Month],MATCH($B$39,tblMonths[Month],0)+1)))</f>
        <v>46631</v>
      </c>
      <c r="C40" s="41">
        <f>IF($B$40="","",SUMIFS(tblPlan[Required (h)],tblPlan[Month],$B$40))</f>
        <v>13699</v>
      </c>
      <c r="D40" s="39">
        <f>IF($B$40="","",SUMIFS(tblPlan[Required FTE],tblPlan[Month],$B$40))</f>
        <v>107.788059043842</v>
      </c>
      <c r="E40" s="41">
        <f>IF($B$40="","",SUMIFS(tblPlan[Planned heads],tblPlan[Month],$B$40))</f>
        <v>96</v>
      </c>
      <c r="F40" s="42">
        <f>IF($B$40="","",$E$40-$D$40)</f>
        <v>-11.7880590438423</v>
      </c>
      <c r="G40" s="41">
        <f>IF($B$40="","",SUMIFS(tblPlan[Hires (people)],tblPlan[Month],$B$40))</f>
        <v>2</v>
      </c>
      <c r="H40" s="41">
        <f>IF($B$40="","",SUMIFS(tblPlan[Leavers (people)],tblPlan[Month],$B$40))</f>
        <v>0</v>
      </c>
      <c r="I40" s="41">
        <f>IF($B$40="","",SUMIFS(tblPlan[Overtime (h)],tblPlan[Month],$B$40))</f>
        <v>1762.55058823529</v>
      </c>
      <c r="J40" s="43">
        <f>IF($B$40="","",IF((SUMIFS(tblPlan[Attended (h)],tblPlan[Month],$B$40))=0,"",(SUMIFS(tblPlan[Overtime (h)],tblPlan[Month],$B$40))/(SUMIFS(tblPlan[Attended (h)],tblPlan[Month],$B$40))))</f>
        <v>0.12279228170669</v>
      </c>
      <c r="K40" s="41">
        <f>IF($B$40="","",SUMIFS(tblPlan[Labour cost],tblPlan[Month],$B$40))</f>
        <v>635666.188235294</v>
      </c>
      <c r="L40" s="41"/>
      <c r="M40" s="44" t="str">
        <f>IF($B$40="","",IF(COUNTIFS(tblPlan[Month],$B$40,tblPlan[Status],"Below target")&gt;0,"Below target",IF(COUNTIFS(tblPlan[Month],$B$40,tblPlan[Status],"Near target")&gt;0,"Near target",IF(COUNTIFS(tblPlan[Month],$B$40)&gt;0,"On target",""))))</f>
        <v>Below target</v>
      </c>
      <c r="N40" s="44"/>
    </row>
    <row r="41" spans="2:14">
      <c r="B41" s="55">
        <f>IF($B$40="","",IF(COUNT(tblMonths[Month])&lt;MATCH($B$40,tblMonths[Month],0)+1,"",INDEX(tblMonths[Month],MATCH($B$40,tblMonths[Month],0)+1)))</f>
        <v>46661</v>
      </c>
      <c r="C41" s="41">
        <f>IF($B$41="","",SUMIFS(tblPlan[Required (h)],tblPlan[Month],$B$41))</f>
        <v>12828</v>
      </c>
      <c r="D41" s="39">
        <f>IF($B$41="","",SUMIFS(tblPlan[Required FTE],tblPlan[Month],$B$41))</f>
        <v>100.934755924842</v>
      </c>
      <c r="E41" s="41">
        <f>IF($B$41="","",SUMIFS(tblPlan[Planned heads],tblPlan[Month],$B$41))</f>
        <v>95</v>
      </c>
      <c r="F41" s="42">
        <f>IF($B$41="","",$E$41-$D$41)</f>
        <v>-5.93475592484185</v>
      </c>
      <c r="G41" s="41">
        <f>IF($B$41="","",SUMIFS(tblPlan[Hires (people)],tblPlan[Month],$B$41))</f>
        <v>0</v>
      </c>
      <c r="H41" s="41">
        <f>IF($B$41="","",SUMIFS(tblPlan[Leavers (people)],tblPlan[Month],$B$41))</f>
        <v>1</v>
      </c>
      <c r="I41" s="41">
        <f>IF($B$41="","",SUMIFS(tblPlan[Overtime (h)],tblPlan[Month],$B$41))</f>
        <v>955.44</v>
      </c>
      <c r="J41" s="43">
        <f>IF($B$41="","",IF((SUMIFS(tblPlan[Attended (h)],tblPlan[Month],$B$41))=0,"",(SUMIFS(tblPlan[Overtime (h)],tblPlan[Month],$B$41))/(SUMIFS(tblPlan[Attended (h)],tblPlan[Month],$B$41))))</f>
        <v>0.0672636647799274</v>
      </c>
      <c r="K41" s="41">
        <f>IF($B$41="","",SUMIFS(tblPlan[Labour cost],tblPlan[Month],$B$41))</f>
        <v>589020.917647059</v>
      </c>
      <c r="L41" s="41"/>
      <c r="M41" s="44" t="str">
        <f>IF($B$41="","",IF(COUNTIFS(tblPlan[Month],$B$41,tblPlan[Status],"Below target")&gt;0,"Below target",IF(COUNTIFS(tblPlan[Month],$B$41,tblPlan[Status],"Near target")&gt;0,"Near target",IF(COUNTIFS(tblPlan[Month],$B$41)&gt;0,"On target",""))))</f>
        <v>Below target</v>
      </c>
      <c r="N41" s="44"/>
    </row>
    <row r="42" spans="2:14">
      <c r="B42" s="55">
        <f>IF($B$41="","",IF(COUNT(tblMonths[Month])&lt;MATCH($B$41,tblMonths[Month],0)+1,"",INDEX(tblMonths[Month],MATCH($B$41,tblMonths[Month],0)+1)))</f>
        <v>46692</v>
      </c>
      <c r="C42" s="41">
        <f>IF($B$42="","",SUMIFS(tblPlan[Required (h)],tblPlan[Month],$B$42))</f>
        <v>11070</v>
      </c>
      <c r="D42" s="39">
        <f>IF($B$42="","",SUMIFS(tblPlan[Required FTE],tblPlan[Month],$B$42))</f>
        <v>91.4573694646398</v>
      </c>
      <c r="E42" s="41">
        <f>IF($B$42="","",SUMIFS(tblPlan[Planned heads],tblPlan[Month],$B$42))</f>
        <v>95</v>
      </c>
      <c r="F42" s="42">
        <f>IF($B$42="","",$E$42-$D$42)</f>
        <v>3.54263053536022</v>
      </c>
      <c r="G42" s="41">
        <f>IF($B$42="","",SUMIFS(tblPlan[Hires (people)],tblPlan[Month],$B$42))</f>
        <v>1</v>
      </c>
      <c r="H42" s="41">
        <f>IF($B$42="","",SUMIFS(tblPlan[Leavers (people)],tblPlan[Month],$B$42))</f>
        <v>1</v>
      </c>
      <c r="I42" s="41">
        <f>IF($B$42="","",SUMIFS(tblPlan[Overtime (h)],tblPlan[Month],$B$42))</f>
        <v>52.0470588235286</v>
      </c>
      <c r="J42" s="43">
        <f>IF($B$42="","",IF((SUMIFS(tblPlan[Attended (h)],tblPlan[Month],$B$42))=0,"",(SUMIFS(tblPlan[Overtime (h)],tblPlan[Month],$B$42))/(SUMIFS(tblPlan[Attended (h)],tblPlan[Month],$B$42))))</f>
        <v>0.003847357985181</v>
      </c>
      <c r="K42" s="41">
        <f>IF($B$42="","",SUMIFS(tblPlan[Labour cost],tblPlan[Month],$B$42))</f>
        <v>514692.611764706</v>
      </c>
      <c r="L42" s="41"/>
      <c r="M42" s="44" t="str">
        <f>IF($B$42="","",IF(COUNTIFS(tblPlan[Month],$B$42,tblPlan[Status],"Below target")&gt;0,"Below target",IF(COUNTIFS(tblPlan[Month],$B$42,tblPlan[Status],"Near target")&gt;0,"Near target",IF(COUNTIFS(tblPlan[Month],$B$42)&gt;0,"On target",""))))</f>
        <v>Near target</v>
      </c>
      <c r="N42" s="44"/>
    </row>
    <row r="43" spans="2:14">
      <c r="B43" s="55">
        <f>IF($B$42="","",IF(COUNT(tblMonths[Month])&lt;MATCH($B$42,tblMonths[Month],0)+1,"",INDEX(tblMonths[Month],MATCH($B$42,tblMonths[Month],0)+1)))</f>
        <v>46722</v>
      </c>
      <c r="C43" s="41">
        <f>IF($B$43="","",SUMIFS(tblPlan[Required (h)],tblPlan[Month],$B$43))</f>
        <v>9328</v>
      </c>
      <c r="D43" s="39">
        <f>IF($B$43="","",SUMIFS(tblPlan[Required FTE],tblPlan[Month],$B$43))</f>
        <v>81.1215083313041</v>
      </c>
      <c r="E43" s="41">
        <f>IF($B$43="","",SUMIFS(tblPlan[Planned heads],tblPlan[Month],$B$43))</f>
        <v>95</v>
      </c>
      <c r="F43" s="42">
        <f>IF($B$43="","",$E$43-$D$43)</f>
        <v>13.8784916686959</v>
      </c>
      <c r="G43" s="41">
        <f>IF($B$43="","",SUMIFS(tblPlan[Hires (people)],tblPlan[Month],$B$43))</f>
        <v>1</v>
      </c>
      <c r="H43" s="41">
        <f>IF($B$43="","",SUMIFS(tblPlan[Leavers (people)],tblPlan[Month],$B$43))</f>
        <v>1</v>
      </c>
      <c r="I43" s="41">
        <f>IF($B$43="","",SUMIFS(tblPlan[Overtime (h)],tblPlan[Month],$B$43))</f>
        <v>0</v>
      </c>
      <c r="J43" s="43">
        <f>IF($B$43="","",IF((SUMIFS(tblPlan[Attended (h)],tblPlan[Month],$B$43))=0,"",(SUMIFS(tblPlan[Overtime (h)],tblPlan[Month],$B$43))/(SUMIFS(tblPlan[Attended (h)],tblPlan[Month],$B$43))))</f>
        <v>0</v>
      </c>
      <c r="K43" s="41">
        <f>IF($B$43="","",SUMIFS(tblPlan[Labour cost],tblPlan[Month],$B$43))</f>
        <v>485184</v>
      </c>
      <c r="L43" s="41"/>
      <c r="M43" s="44" t="str">
        <f>IF($B$43="","",IF(COUNTIFS(tblPlan[Month],$B$43,tblPlan[Status],"Below target")&gt;0,"Below target",IF(COUNTIFS(tblPlan[Month],$B$43,tblPlan[Status],"Near target")&gt;0,"Near target",IF(COUNTIFS(tblPlan[Month],$B$43)&gt;0,"On target",""))))</f>
        <v>On target</v>
      </c>
      <c r="N43" s="44"/>
    </row>
    <row r="45" spans="2:14">
      <c r="B45" s="32" t="s">
        <v>124</v>
      </c>
      <c r="C45" s="32"/>
      <c r="D45" s="32"/>
      <c r="E45" s="32"/>
      <c r="F45" s="32"/>
      <c r="G45" s="32"/>
      <c r="H45" s="32"/>
      <c r="I45" s="32"/>
      <c r="J45" s="32"/>
      <c r="K45" s="32"/>
      <c r="L45" s="32"/>
      <c r="M45" s="32"/>
      <c r="N45" s="32"/>
    </row>
    <row r="46" spans="2:14">
      <c r="B46" s="54" t="s">
        <v>100</v>
      </c>
      <c r="C46" s="56">
        <f>IF(COUNT(tblMonths[Month])&lt;1,"",INDEX(tblMonths[Month],1))</f>
        <v>46388</v>
      </c>
      <c r="D46" s="56">
        <f>IF($C$46="","",IF(COUNT(tblMonths[Month])&lt;MATCH($C$46,tblMonths[Month],0)+1,"",INDEX(tblMonths[Month],MATCH($C$46,tblMonths[Month],0)+1)))</f>
        <v>46419</v>
      </c>
      <c r="E46" s="56">
        <f>IF($D$46="","",IF(COUNT(tblMonths[Month])&lt;MATCH($D$46,tblMonths[Month],0)+1,"",INDEX(tblMonths[Month],MATCH($D$46,tblMonths[Month],0)+1)))</f>
        <v>46447</v>
      </c>
      <c r="F46" s="56">
        <f>IF($E$46="","",IF(COUNT(tblMonths[Month])&lt;MATCH($E$46,tblMonths[Month],0)+1,"",INDEX(tblMonths[Month],MATCH($E$46,tblMonths[Month],0)+1)))</f>
        <v>46478</v>
      </c>
      <c r="G46" s="56">
        <f>IF($F$46="","",IF(COUNT(tblMonths[Month])&lt;MATCH($F$46,tblMonths[Month],0)+1,"",INDEX(tblMonths[Month],MATCH($F$46,tblMonths[Month],0)+1)))</f>
        <v>46508</v>
      </c>
      <c r="H46" s="56">
        <f>IF($G$46="","",IF(COUNT(tblMonths[Month])&lt;MATCH($G$46,tblMonths[Month],0)+1,"",INDEX(tblMonths[Month],MATCH($G$46,tblMonths[Month],0)+1)))</f>
        <v>46539</v>
      </c>
      <c r="I46" s="56">
        <f>IF($H$46="","",IF(COUNT(tblMonths[Month])&lt;MATCH($H$46,tblMonths[Month],0)+1,"",INDEX(tblMonths[Month],MATCH($H$46,tblMonths[Month],0)+1)))</f>
        <v>46569</v>
      </c>
      <c r="J46" s="56">
        <f>IF($I$46="","",IF(COUNT(tblMonths[Month])&lt;MATCH($I$46,tblMonths[Month],0)+1,"",INDEX(tblMonths[Month],MATCH($I$46,tblMonths[Month],0)+1)))</f>
        <v>46600</v>
      </c>
      <c r="K46" s="56">
        <f>IF($J$46="","",IF(COUNT(tblMonths[Month])&lt;MATCH($J$46,tblMonths[Month],0)+1,"",INDEX(tblMonths[Month],MATCH($J$46,tblMonths[Month],0)+1)))</f>
        <v>46631</v>
      </c>
      <c r="L46" s="56">
        <f>IF($K$46="","",IF(COUNT(tblMonths[Month])&lt;MATCH($K$46,tblMonths[Month],0)+1,"",INDEX(tblMonths[Month],MATCH($K$46,tblMonths[Month],0)+1)))</f>
        <v>46661</v>
      </c>
      <c r="M46" s="56">
        <f>IF($L$46="","",IF(COUNT(tblMonths[Month])&lt;MATCH($L$46,tblMonths[Month],0)+1,"",INDEX(tblMonths[Month],MATCH($L$46,tblMonths[Month],0)+1)))</f>
        <v>46692</v>
      </c>
      <c r="N46" s="56">
        <f>IF($M$46="","",IF(COUNT(tblMonths[Month])&lt;MATCH($M$46,tblMonths[Month],0)+1,"",INDEX(tblMonths[Month],MATCH($M$46,tblMonths[Month],0)+1)))</f>
        <v>46722</v>
      </c>
    </row>
    <row r="47" spans="2:14">
      <c r="B47" s="57" t="str">
        <f>IFERROR(INDEX(tblDepartments[Department],1)&amp;"","")</f>
        <v>Machining</v>
      </c>
      <c r="C47" s="58">
        <f>IF(OR($B$47="",$C$46=""),"",SUMIFS(tblPlan[Gap (heads)],tblPlan[Department],$B$47,tblPlan[Month],$C$46))</f>
        <v>1.47058823529412</v>
      </c>
      <c r="D47" s="58">
        <f>IF(OR($B$47="",$D$46=""),"",SUMIFS(tblPlan[Gap (heads)],tblPlan[Department],$B$47,tblPlan[Month],$D$46))</f>
        <v>0.677461996034371</v>
      </c>
      <c r="E47" s="58">
        <f>IF(OR($B$47="",$E$46=""),"",SUMIFS(tblPlan[Gap (heads)],tblPlan[Department],$B$47,tblPlan[Month],$E$46))</f>
        <v>2.01083364464496</v>
      </c>
      <c r="F47" s="58">
        <f>IF(OR($B$47="",$F$46=""),"",SUMIFS(tblPlan[Gap (heads)],tblPlan[Department],$B$47,tblPlan[Month],$F$46))</f>
        <v>-1.80807603940453</v>
      </c>
      <c r="G47" s="58">
        <f>IF(OR($B$47="",$G$46=""),"",SUMIFS(tblPlan[Gap (heads)],tblPlan[Department],$B$47,tblPlan[Month],$G$46))</f>
        <v>-3.55254461335096</v>
      </c>
      <c r="H47" s="58">
        <f>IF(OR($B$47="",$H$46=""),"",SUMIFS(tblPlan[Gap (heads)],tblPlan[Department],$B$47,tblPlan[Month],$H$46))</f>
        <v>-0.278735804842874</v>
      </c>
      <c r="I47" s="58">
        <f>IF(OR($B$47="",$I$46=""),"",SUMIFS(tblPlan[Gap (heads)],tblPlan[Department],$B$47,tblPlan[Month],$I$46))</f>
        <v>-2.20718849337488</v>
      </c>
      <c r="J47" s="58">
        <f>IF(OR($B$47="",$J$46=""),"",SUMIFS(tblPlan[Gap (heads)],tblPlan[Department],$B$47,tblPlan[Month],$J$46))</f>
        <v>-2.80231929339662</v>
      </c>
      <c r="K47" s="58">
        <f>IF(OR($B$47="",$K$46=""),"",SUMIFS(tblPlan[Gap (heads)],tblPlan[Department],$B$47,tblPlan[Month],$K$46))</f>
        <v>-4.97683567809146</v>
      </c>
      <c r="L47" s="58">
        <f>IF(OR($B$47="",$L$46=""),"",SUMIFS(tblPlan[Gap (heads)],tblPlan[Department],$B$47,tblPlan[Month],$L$46))</f>
        <v>-3.9625468164794</v>
      </c>
      <c r="M47" s="58">
        <f>IF(OR($B$47="",$M$46=""),"",SUMIFS(tblPlan[Gap (heads)],tblPlan[Department],$B$47,tblPlan[Month],$M$46))</f>
        <v>-0.0984798413747505</v>
      </c>
      <c r="N47" s="58">
        <f>IF(OR($B$47="",$N$46=""),"",SUMIFS(tblPlan[Gap (heads)],tblPlan[Department],$B$47,tblPlan[Month],$N$46))</f>
        <v>1.92792291369534</v>
      </c>
    </row>
    <row r="48" spans="2:14">
      <c r="B48" s="57" t="str">
        <f>IFERROR(INDEX(tblDepartments[Department],2)&amp;"","")</f>
        <v>Fabrication</v>
      </c>
      <c r="C48" s="58">
        <f>IF(OR($B$48="",$C$46=""),"",SUMIFS(tblPlan[Gap (heads)],tblPlan[Department],$B$48,tblPlan[Month],$C$46))</f>
        <v>1.00495703899537</v>
      </c>
      <c r="D48" s="58">
        <f>IF(OR($B$48="",$D$46=""),"",SUMIFS(tblPlan[Gap (heads)],tblPlan[Department],$B$48,tblPlan[Month],$D$46))</f>
        <v>0.550561797752808</v>
      </c>
      <c r="E48" s="58">
        <f>IF(OR($B$48="",$E$46=""),"",SUMIFS(tblPlan[Gap (heads)],tblPlan[Department],$B$48,tblPlan[Month],$E$46))</f>
        <v>1.3803270208914</v>
      </c>
      <c r="F48" s="58">
        <f>IF(OR($B$48="",$F$46=""),"",SUMIFS(tblPlan[Gap (heads)],tblPlan[Department],$B$48,tblPlan[Month],$F$46))</f>
        <v>-1.44478015925471</v>
      </c>
      <c r="G48" s="58">
        <f>IF(OR($B$48="",$G$46=""),"",SUMIFS(tblPlan[Gap (heads)],tblPlan[Department],$B$48,tblPlan[Month],$G$46))</f>
        <v>-2.17580964970258</v>
      </c>
      <c r="H48" s="58">
        <f>IF(OR($B$48="",$H$46=""),"",SUMIFS(tblPlan[Gap (heads)],tblPlan[Department],$B$48,tblPlan[Month],$H$46))</f>
        <v>-1.349636483807</v>
      </c>
      <c r="I48" s="58">
        <f>IF(OR($B$48="",$I$46=""),"",SUMIFS(tblPlan[Gap (heads)],tblPlan[Department],$B$48,tblPlan[Month],$I$46))</f>
        <v>-2.60856702231455</v>
      </c>
      <c r="J48" s="58">
        <f>IF(OR($B$48="",$J$46=""),"",SUMIFS(tblPlan[Gap (heads)],tblPlan[Department],$B$48,tblPlan[Month],$J$46))</f>
        <v>-2.00198281559815</v>
      </c>
      <c r="K48" s="58">
        <f>IF(OR($B$48="",$K$46=""),"",SUMIFS(tblPlan[Gap (heads)],tblPlan[Department],$B$48,tblPlan[Month],$K$46))</f>
        <v>-3.33959651276241</v>
      </c>
      <c r="L48" s="58">
        <f>IF(OR($B$48="",$L$46=""),"",SUMIFS(tblPlan[Gap (heads)],tblPlan[Department],$B$48,tblPlan[Month],$L$46))</f>
        <v>-2.04132439492651</v>
      </c>
      <c r="M48" s="58">
        <f>IF(OR($B$48="",$M$46=""),"",SUMIFS(tblPlan[Gap (heads)],tblPlan[Department],$B$48,tblPlan[Month],$M$46))</f>
        <v>-0.267019167217448</v>
      </c>
      <c r="N48" s="58">
        <f>IF(OR($B$48="",$N$46=""),"",SUMIFS(tblPlan[Gap (heads)],tblPlan[Department],$B$48,tblPlan[Month],$N$46))</f>
        <v>1.69405503182941</v>
      </c>
    </row>
    <row r="49" spans="2:15">
      <c r="B49" s="57" t="str">
        <f>IFERROR(INDEX(tblDepartments[Department],3)&amp;"","")</f>
        <v>Assembly</v>
      </c>
      <c r="C49" s="58">
        <f>IF(OR($B$49="",$C$46=""),"",SUMIFS(tblPlan[Gap (heads)],tblPlan[Department],$B$49,tblPlan[Month],$C$46))</f>
        <v>0.283542630535365</v>
      </c>
      <c r="D49" s="58">
        <f>IF(OR($B$49="",$D$46=""),"",SUMIFS(tblPlan[Gap (heads)],tblPlan[Department],$B$49,tblPlan[Month],$D$46))</f>
        <v>0.292134831460679</v>
      </c>
      <c r="E49" s="58">
        <f>IF(OR($B$49="",$E$46=""),"",SUMIFS(tblPlan[Gap (heads)],tblPlan[Department],$B$49,tblPlan[Month],$E$46))</f>
        <v>1.10253168194488</v>
      </c>
      <c r="F49" s="58">
        <f>IF(OR($B$49="",$F$46=""),"",SUMIFS(tblPlan[Gap (heads)],tblPlan[Department],$B$49,tblPlan[Month],$F$46))</f>
        <v>-2.87952034746483</v>
      </c>
      <c r="G49" s="58">
        <f>IF(OR($B$49="",$G$46=""),"",SUMIFS(tblPlan[Gap (heads)],tblPlan[Department],$B$49,tblPlan[Month],$G$46))</f>
        <v>-2.65631196298744</v>
      </c>
      <c r="H49" s="58">
        <f>IF(OR($B$49="",$H$46=""),"",SUMIFS(tblPlan[Gap (heads)],tblPlan[Department],$B$49,tblPlan[Month],$H$46))</f>
        <v>-0.853752328306193</v>
      </c>
      <c r="I49" s="58">
        <f>IF(OR($B$49="",$I$46=""),"",SUMIFS(tblPlan[Gap (heads)],tblPlan[Department],$B$49,tblPlan[Month],$I$46))</f>
        <v>-0.600509866868094</v>
      </c>
      <c r="J49" s="58">
        <f>IF(OR($B$49="",$J$46=""),"",SUMIFS(tblPlan[Gap (heads)],tblPlan[Department],$B$49,tblPlan[Month],$J$46))</f>
        <v>-1.45887159766869</v>
      </c>
      <c r="K49" s="58">
        <f>IF(OR($B$49="",$K$46=""),"",SUMIFS(tblPlan[Gap (heads)],tblPlan[Department],$B$49,tblPlan[Month],$K$46))</f>
        <v>-2.37730148239071</v>
      </c>
      <c r="L49" s="58">
        <f>IF(OR($B$49="",$L$46=""),"",SUMIFS(tblPlan[Gap (heads)],tblPlan[Department],$B$49,tblPlan[Month],$L$46))</f>
        <v>0.455292229251249</v>
      </c>
      <c r="M49" s="58">
        <f>IF(OR($B$49="",$M$46=""),"",SUMIFS(tblPlan[Gap (heads)],tblPlan[Department],$B$49,tblPlan[Month],$M$46))</f>
        <v>3.32650363516193</v>
      </c>
      <c r="N49" s="58">
        <f>IF(OR($B$49="",$N$46=""),"",SUMIFS(tblPlan[Gap (heads)],tblPlan[Department],$B$49,tblPlan[Month],$N$46))</f>
        <v>8.60521097853689</v>
      </c>
    </row>
    <row r="50" spans="2:15">
      <c r="B50" s="57" t="str">
        <f>IFERROR(INDEX(tblDepartments[Department],4)&amp;"","")</f>
        <v>Test and pack</v>
      </c>
      <c r="C50" s="58">
        <f>IF(OR($B$50="",$C$46=""),"",SUMIFS(tblPlan[Gap (heads)],tblPlan[Department],$B$50,tblPlan[Month],$C$46))</f>
        <v>-0.179114342366159</v>
      </c>
      <c r="D50" s="58">
        <f>IF(OR($B$50="",$D$46=""),"",SUMIFS(tblPlan[Gap (heads)],tblPlan[Department],$B$50,tblPlan[Month],$D$46))</f>
        <v>0.57303370786517</v>
      </c>
      <c r="E50" s="58">
        <f>IF(OR($B$50="",$E$46=""),"",SUMIFS(tblPlan[Gap (heads)],tblPlan[Department],$B$50,tblPlan[Month],$E$46))</f>
        <v>1.02563292048622</v>
      </c>
      <c r="F50" s="58">
        <f>IF(OR($B$50="",$F$46=""),"",SUMIFS(tblPlan[Gap (heads)],tblPlan[Department],$B$50,tblPlan[Month],$F$46))</f>
        <v>0.0301199131337935</v>
      </c>
      <c r="G50" s="58">
        <f>IF(OR($B$50="",$G$46=""),"",SUMIFS(tblPlan[Gap (heads)],tblPlan[Department],$B$50,tblPlan[Month],$G$46))</f>
        <v>-0.91407799074686</v>
      </c>
      <c r="H50" s="58">
        <f>IF(OR($B$50="",$H$46=""),"",SUMIFS(tblPlan[Gap (heads)],tblPlan[Department],$B$50,tblPlan[Month],$H$46))</f>
        <v>-0.463438082076548</v>
      </c>
      <c r="I50" s="58">
        <f>IF(OR($B$50="",$I$46=""),"",SUMIFS(tblPlan[Gap (heads)],tblPlan[Department],$B$50,tblPlan[Month],$I$46))</f>
        <v>-0.150127466717024</v>
      </c>
      <c r="J50" s="58">
        <f>IF(OR($B$50="",$J$46=""),"",SUMIFS(tblPlan[Gap (heads)],tblPlan[Department],$B$50,tblPlan[Month],$J$46))</f>
        <v>-0.364717899417173</v>
      </c>
      <c r="K50" s="58">
        <f>IF(OR($B$50="",$K$46=""),"",SUMIFS(tblPlan[Gap (heads)],tblPlan[Department],$B$50,tblPlan[Month],$K$46))</f>
        <v>-1.09432537059768</v>
      </c>
      <c r="L50" s="58">
        <f>IF(OR($B$50="",$L$46=""),"",SUMIFS(tblPlan[Gap (heads)],tblPlan[Department],$B$50,tblPlan[Month],$L$46))</f>
        <v>-0.386176942687188</v>
      </c>
      <c r="M50" s="58">
        <f>IF(OR($B$50="",$M$46=""),"",SUMIFS(tblPlan[Gap (heads)],tblPlan[Department],$B$50,tblPlan[Month],$M$46))</f>
        <v>0.581625908790484</v>
      </c>
      <c r="N50" s="58">
        <f>IF(OR($B$50="",$N$46=""),"",SUMIFS(tblPlan[Gap (heads)],tblPlan[Department],$B$50,tblPlan[Month],$N$46))</f>
        <v>1.65130274463422</v>
      </c>
    </row>
    <row r="52" spans="2:15">
      <c r="B52" s="32" t="s">
        <v>125</v>
      </c>
      <c r="C52" s="32"/>
      <c r="D52" s="32"/>
      <c r="E52" s="32"/>
      <c r="F52" s="32"/>
      <c r="G52" s="32"/>
      <c r="H52" s="32"/>
      <c r="I52" s="32"/>
      <c r="J52" s="32"/>
      <c r="K52" s="32"/>
      <c r="L52" s="32"/>
      <c r="M52" s="32"/>
      <c r="N52" s="32"/>
    </row>
    <row r="53" spans="2:15">
      <c r="B53" s="54" t="s">
        <v>104</v>
      </c>
      <c r="C53" s="56">
        <f>IF(COUNT(tblMonths[Month])&lt;1,"",INDEX(tblMonths[Month],1))</f>
        <v>46388</v>
      </c>
      <c r="D53" s="56">
        <f>IF($C$53="","",IF(COUNT(tblMonths[Month])&lt;MATCH($C$53,tblMonths[Month],0)+1,"",INDEX(tblMonths[Month],MATCH($C$53,tblMonths[Month],0)+1)))</f>
        <v>46419</v>
      </c>
      <c r="E53" s="56">
        <f>IF($D$53="","",IF(COUNT(tblMonths[Month])&lt;MATCH($D$53,tblMonths[Month],0)+1,"",INDEX(tblMonths[Month],MATCH($D$53,tblMonths[Month],0)+1)))</f>
        <v>46447</v>
      </c>
      <c r="F53" s="56">
        <f>IF($E$53="","",IF(COUNT(tblMonths[Month])&lt;MATCH($E$53,tblMonths[Month],0)+1,"",INDEX(tblMonths[Month],MATCH($E$53,tblMonths[Month],0)+1)))</f>
        <v>46478</v>
      </c>
      <c r="G53" s="56">
        <f>IF($F$53="","",IF(COUNT(tblMonths[Month])&lt;MATCH($F$53,tblMonths[Month],0)+1,"",INDEX(tblMonths[Month],MATCH($F$53,tblMonths[Month],0)+1)))</f>
        <v>46508</v>
      </c>
      <c r="H53" s="56">
        <f>IF($G$53="","",IF(COUNT(tblMonths[Month])&lt;MATCH($G$53,tblMonths[Month],0)+1,"",INDEX(tblMonths[Month],MATCH($G$53,tblMonths[Month],0)+1)))</f>
        <v>46539</v>
      </c>
      <c r="I53" s="56">
        <f>IF($H$53="","",IF(COUNT(tblMonths[Month])&lt;MATCH($H$53,tblMonths[Month],0)+1,"",INDEX(tblMonths[Month],MATCH($H$53,tblMonths[Month],0)+1)))</f>
        <v>46569</v>
      </c>
      <c r="J53" s="56">
        <f>IF($I$53="","",IF(COUNT(tblMonths[Month])&lt;MATCH($I$53,tblMonths[Month],0)+1,"",INDEX(tblMonths[Month],MATCH($I$53,tblMonths[Month],0)+1)))</f>
        <v>46600</v>
      </c>
      <c r="K53" s="56">
        <f>IF($J$53="","",IF(COUNT(tblMonths[Month])&lt;MATCH($J$53,tblMonths[Month],0)+1,"",INDEX(tblMonths[Month],MATCH($J$53,tblMonths[Month],0)+1)))</f>
        <v>46631</v>
      </c>
      <c r="L53" s="56">
        <f>IF($K$53="","",IF(COUNT(tblMonths[Month])&lt;MATCH($K$53,tblMonths[Month],0)+1,"",INDEX(tblMonths[Month],MATCH($K$53,tblMonths[Month],0)+1)))</f>
        <v>46661</v>
      </c>
      <c r="M53" s="56">
        <f>IF($L$53="","",IF(COUNT(tblMonths[Month])&lt;MATCH($L$53,tblMonths[Month],0)+1,"",INDEX(tblMonths[Month],MATCH($L$53,tblMonths[Month],0)+1)))</f>
        <v>46692</v>
      </c>
      <c r="N53" s="56">
        <f>IF($M$53="","",IF(COUNT(tblMonths[Month])&lt;MATCH($M$53,tblMonths[Month],0)+1,"",INDEX(tblMonths[Month],MATCH($M$53,tblMonths[Month],0)+1)))</f>
        <v>46722</v>
      </c>
    </row>
    <row r="54" spans="2:15">
      <c r="B54" s="57" t="str">
        <f>IFERROR(INDEX(tblDepartments[Department],1)&amp;"","")</f>
        <v>Machining</v>
      </c>
      <c r="C54" s="59">
        <f>IF(OR($B$54="",$C$53=""),"",IF(SUMIFS(tblPlan[Attended (h)],tblPlan[Department],$B$54,tblPlan[Month],$C$53)&gt;0,SUMIFS(tblPlan[Overtime (h)],tblPlan[Department],$B$54,tblPlan[Month],$C$53)/SUMIFS(tblPlan[Attended (h)],tblPlan[Department],$B$54,tblPlan[Month],$C$53),""))</f>
        <v>0</v>
      </c>
      <c r="D54" s="59">
        <f>IF(OR($B$54="",$D$53=""),"",IF(SUMIFS(tblPlan[Attended (h)],tblPlan[Department],$B$54,tblPlan[Month],$D$53)&gt;0,SUMIFS(tblPlan[Overtime (h)],tblPlan[Department],$B$54,tblPlan[Month],$D$53)/SUMIFS(tblPlan[Attended (h)],tblPlan[Department],$B$54,tblPlan[Month],$D$53),""))</f>
        <v>0</v>
      </c>
      <c r="E54" s="59">
        <f>IF(OR($B$54="",$E$53=""),"",IF(SUMIFS(tblPlan[Attended (h)],tblPlan[Department],$B$54,tblPlan[Month],$E$53)&gt;0,SUMIFS(tblPlan[Overtime (h)],tblPlan[Department],$B$54,tblPlan[Month],$E$53)/SUMIFS(tblPlan[Attended (h)],tblPlan[Department],$B$54,tblPlan[Month],$E$53),""))</f>
        <v>0</v>
      </c>
      <c r="F54" s="59">
        <f>IF(OR($B$54="",$F$53=""),"",IF(SUMIFS(tblPlan[Attended (h)],tblPlan[Department],$B$54,tblPlan[Month],$F$53)&gt;0,SUMIFS(tblPlan[Overtime (h)],tblPlan[Department],$B$54,tblPlan[Month],$F$53)/SUMIFS(tblPlan[Attended (h)],tblPlan[Department],$B$54,tblPlan[Month],$F$53),""))</f>
        <v>0.0753365016418552</v>
      </c>
      <c r="G54" s="59">
        <f>IF(OR($B$54="",$G$53=""),"",IF(SUMIFS(tblPlan[Attended (h)],tblPlan[Department],$B$54,tblPlan[Month],$G$53)&gt;0,SUMIFS(tblPlan[Overtime (h)],tblPlan[Department],$B$54,tblPlan[Month],$G$53)/SUMIFS(tblPlan[Attended (h)],tblPlan[Department],$B$54,tblPlan[Month],$G$53),""))</f>
        <v>0.142101784534038</v>
      </c>
      <c r="H54" s="59">
        <f>IF(OR($B$54="",$H$53=""),"",IF(SUMIFS(tblPlan[Attended (h)],tblPlan[Department],$B$54,tblPlan[Month],$H$53)&gt;0,SUMIFS(tblPlan[Overtime (h)],tblPlan[Department],$B$54,tblPlan[Month],$H$53)/SUMIFS(tblPlan[Attended (h)],tblPlan[Department],$B$54,tblPlan[Month],$H$53),""))</f>
        <v>0.010323548327514</v>
      </c>
      <c r="I54" s="59">
        <f>IF(OR($B$54="",$I$53=""),"",IF(SUMIFS(tblPlan[Attended (h)],tblPlan[Department],$B$54,tblPlan[Month],$I$53)&gt;0,SUMIFS(tblPlan[Overtime (h)],tblPlan[Department],$B$54,tblPlan[Month],$I$53)/SUMIFS(tblPlan[Attended (h)],tblPlan[Department],$B$54,tblPlan[Month],$I$53),""))</f>
        <v>0.0817477219768474</v>
      </c>
      <c r="J54" s="59">
        <f>IF(OR($B$54="",$J$53=""),"",IF(SUMIFS(tblPlan[Attended (h)],tblPlan[Department],$B$54,tblPlan[Month],$J$53)&gt;0,SUMIFS(tblPlan[Overtime (h)],tblPlan[Department],$B$54,tblPlan[Month],$J$53)/SUMIFS(tblPlan[Attended (h)],tblPlan[Department],$B$54,tblPlan[Month],$J$53),""))</f>
        <v>0.103789603459134</v>
      </c>
      <c r="K54" s="59">
        <f>IF(OR($B$54="",$K$53=""),"",IF(SUMIFS(tblPlan[Attended (h)],tblPlan[Department],$B$54,tblPlan[Month],$K$53)&gt;0,SUMIFS(tblPlan[Overtime (h)],tblPlan[Department],$B$54,tblPlan[Month],$K$53)/SUMIFS(tblPlan[Attended (h)],tblPlan[Department],$B$54,tblPlan[Month],$K$53),""))</f>
        <v>0.184327247336721</v>
      </c>
      <c r="L54" s="59">
        <f>IF(OR($B$54="",$L$53=""),"",IF(SUMIFS(tblPlan[Attended (h)],tblPlan[Department],$B$54,tblPlan[Month],$L$53)&gt;0,SUMIFS(tblPlan[Overtime (h)],tblPlan[Department],$B$54,tblPlan[Month],$L$53)/SUMIFS(tblPlan[Attended (h)],tblPlan[Department],$B$54,tblPlan[Month],$L$53),""))</f>
        <v>0.152405646787669</v>
      </c>
      <c r="M54" s="59">
        <f>IF(OR($B$54="",$M$53=""),"",IF(SUMIFS(tblPlan[Attended (h)],tblPlan[Department],$B$54,tblPlan[Month],$M$53)&gt;0,SUMIFS(tblPlan[Overtime (h)],tblPlan[Department],$B$54,tblPlan[Month],$M$53)/SUMIFS(tblPlan[Attended (h)],tblPlan[Department],$B$54,tblPlan[Month],$M$53),""))</f>
        <v>0.00364740153239811</v>
      </c>
      <c r="N54" s="59">
        <f>IF(OR($B$54="",$N$53=""),"",IF(SUMIFS(tblPlan[Attended (h)],tblPlan[Department],$B$54,tblPlan[Month],$N$53)&gt;0,SUMIFS(tblPlan[Overtime (h)],tblPlan[Department],$B$54,tblPlan[Month],$N$53)/SUMIFS(tblPlan[Attended (h)],tblPlan[Department],$B$54,tblPlan[Month],$N$53),""))</f>
        <v>0</v>
      </c>
    </row>
    <row r="55" spans="2:15">
      <c r="B55" s="57" t="str">
        <f>IFERROR(INDEX(tblDepartments[Department],2)&amp;"","")</f>
        <v>Fabrication</v>
      </c>
      <c r="C55" s="59">
        <f>IF(OR($B$55="",$C$53=""),"",IF(SUMIFS(tblPlan[Attended (h)],tblPlan[Department],$B$55,tblPlan[Month],$C$53)&gt;0,SUMIFS(tblPlan[Overtime (h)],tblPlan[Department],$B$55,tblPlan[Month],$C$53)/SUMIFS(tblPlan[Attended (h)],tblPlan[Department],$B$55,tblPlan[Month],$C$53),""))</f>
        <v>0</v>
      </c>
      <c r="D55" s="59">
        <f>IF(OR($B$55="",$D$53=""),"",IF(SUMIFS(tblPlan[Attended (h)],tblPlan[Department],$B$55,tblPlan[Month],$D$53)&gt;0,SUMIFS(tblPlan[Overtime (h)],tblPlan[Department],$B$55,tblPlan[Month],$D$53)/SUMIFS(tblPlan[Attended (h)],tblPlan[Department],$B$55,tblPlan[Month],$D$53),""))</f>
        <v>0</v>
      </c>
      <c r="E55" s="59">
        <f>IF(OR($B$55="",$E$53=""),"",IF(SUMIFS(tblPlan[Attended (h)],tblPlan[Department],$B$55,tblPlan[Month],$E$53)&gt;0,SUMIFS(tblPlan[Overtime (h)],tblPlan[Department],$B$55,tblPlan[Month],$E$53)/SUMIFS(tblPlan[Attended (h)],tblPlan[Department],$B$55,tblPlan[Month],$E$53),""))</f>
        <v>0</v>
      </c>
      <c r="F55" s="59">
        <f>IF(OR($B$55="",$F$53=""),"",IF(SUMIFS(tblPlan[Attended (h)],tblPlan[Department],$B$55,tblPlan[Month],$F$53)&gt;0,SUMIFS(tblPlan[Overtime (h)],tblPlan[Department],$B$55,tblPlan[Month],$F$53)/SUMIFS(tblPlan[Attended (h)],tblPlan[Department],$B$55,tblPlan[Month],$F$53),""))</f>
        <v>0.0963186772836476</v>
      </c>
      <c r="G55" s="59">
        <f>IF(OR($B$55="",$G$53=""),"",IF(SUMIFS(tblPlan[Attended (h)],tblPlan[Department],$B$55,tblPlan[Month],$G$53)&gt;0,SUMIFS(tblPlan[Overtime (h)],tblPlan[Department],$B$55,tblPlan[Month],$G$53)/SUMIFS(tblPlan[Attended (h)],tblPlan[Department],$B$55,tblPlan[Month],$G$53),""))</f>
        <v>0.135988103106411</v>
      </c>
      <c r="H55" s="59">
        <f>IF(OR($B$55="",$H$53=""),"",IF(SUMIFS(tblPlan[Attended (h)],tblPlan[Department],$B$55,tblPlan[Month],$H$53)&gt;0,SUMIFS(tblPlan[Overtime (h)],tblPlan[Department],$B$55,tblPlan[Month],$H$53)/SUMIFS(tblPlan[Attended (h)],tblPlan[Department],$B$55,tblPlan[Month],$H$53),""))</f>
        <v>0.0843522802379378</v>
      </c>
      <c r="I55" s="59">
        <f>IF(OR($B$55="",$I$53=""),"",IF(SUMIFS(tblPlan[Attended (h)],tblPlan[Department],$B$55,tblPlan[Month],$I$53)&gt;0,SUMIFS(tblPlan[Overtime (h)],tblPlan[Department],$B$55,tblPlan[Month],$I$53)/SUMIFS(tblPlan[Attended (h)],tblPlan[Department],$B$55,tblPlan[Month],$I$53),""))</f>
        <v>0.163035438894659</v>
      </c>
      <c r="J55" s="59">
        <f>IF(OR($B$55="",$J$53=""),"",IF(SUMIFS(tblPlan[Attended (h)],tblPlan[Department],$B$55,tblPlan[Month],$J$53)&gt;0,SUMIFS(tblPlan[Overtime (h)],tblPlan[Department],$B$55,tblPlan[Month],$J$53)/SUMIFS(tblPlan[Attended (h)],tblPlan[Department],$B$55,tblPlan[Month],$J$53),""))</f>
        <v>0.117763695035185</v>
      </c>
      <c r="K55" s="59">
        <f>IF(OR($B$55="",$K$53=""),"",IF(SUMIFS(tblPlan[Attended (h)],tblPlan[Department],$B$55,tblPlan[Month],$K$53)&gt;0,SUMIFS(tblPlan[Overtime (h)],tblPlan[Department],$B$55,tblPlan[Month],$K$53)/SUMIFS(tblPlan[Attended (h)],tblPlan[Department],$B$55,tblPlan[Month],$K$53),""))</f>
        <v>0.196446853691906</v>
      </c>
      <c r="L55" s="59">
        <f>IF(OR($B$55="",$L$53=""),"",IF(SUMIFS(tblPlan[Attended (h)],tblPlan[Department],$B$55,tblPlan[Month],$L$53)&gt;0,SUMIFS(tblPlan[Overtime (h)],tblPlan[Department],$B$55,tblPlan[Month],$L$53)/SUMIFS(tblPlan[Attended (h)],tblPlan[Department],$B$55,tblPlan[Month],$L$53),""))</f>
        <v>0.120077905583912</v>
      </c>
      <c r="M55" s="59">
        <f>IF(OR($B$55="",$M$53=""),"",IF(SUMIFS(tblPlan[Attended (h)],tblPlan[Department],$B$55,tblPlan[Month],$M$53)&gt;0,SUMIFS(tblPlan[Overtime (h)],tblPlan[Department],$B$55,tblPlan[Month],$M$53)/SUMIFS(tblPlan[Attended (h)],tblPlan[Department],$B$55,tblPlan[Month],$M$53),""))</f>
        <v>0.0157070098363204</v>
      </c>
      <c r="N55" s="59">
        <f>IF(OR($B$55="",$N$53=""),"",IF(SUMIFS(tblPlan[Attended (h)],tblPlan[Department],$B$55,tblPlan[Month],$N$53)&gt;0,SUMIFS(tblPlan[Overtime (h)],tblPlan[Department],$B$55,tblPlan[Month],$N$53)/SUMIFS(tblPlan[Attended (h)],tblPlan[Department],$B$55,tblPlan[Month],$N$53),""))</f>
        <v>0</v>
      </c>
    </row>
    <row r="56" spans="2:15">
      <c r="B56" s="57" t="str">
        <f>IFERROR(INDEX(tblDepartments[Department],3)&amp;"","")</f>
        <v>Assembly</v>
      </c>
      <c r="C56" s="59">
        <f>IF(OR($B$56="",$C$53=""),"",IF(SUMIFS(tblPlan[Attended (h)],tblPlan[Department],$B$56,tblPlan[Month],$C$53)&gt;0,SUMIFS(tblPlan[Overtime (h)],tblPlan[Department],$B$56,tblPlan[Month],$C$53)/SUMIFS(tblPlan[Attended (h)],tblPlan[Department],$B$56,tblPlan[Month],$C$53),""))</f>
        <v>0</v>
      </c>
      <c r="D56" s="59">
        <f>IF(OR($B$56="",$D$53=""),"",IF(SUMIFS(tblPlan[Attended (h)],tblPlan[Department],$B$56,tblPlan[Month],$D$53)&gt;0,SUMIFS(tblPlan[Overtime (h)],tblPlan[Department],$B$56,tblPlan[Month],$D$53)/SUMIFS(tblPlan[Attended (h)],tblPlan[Department],$B$56,tblPlan[Month],$D$53),""))</f>
        <v>0</v>
      </c>
      <c r="E56" s="59">
        <f>IF(OR($B$56="",$E$53=""),"",IF(SUMIFS(tblPlan[Attended (h)],tblPlan[Department],$B$56,tblPlan[Month],$E$53)&gt;0,SUMIFS(tblPlan[Overtime (h)],tblPlan[Department],$B$56,tblPlan[Month],$E$53)/SUMIFS(tblPlan[Attended (h)],tblPlan[Department],$B$56,tblPlan[Month],$E$53),""))</f>
        <v>0</v>
      </c>
      <c r="F56" s="59">
        <f>IF(OR($B$56="",$F$53=""),"",IF(SUMIFS(tblPlan[Attended (h)],tblPlan[Department],$B$56,tblPlan[Month],$F$53)&gt;0,SUMIFS(tblPlan[Overtime (h)],tblPlan[Department],$B$56,tblPlan[Month],$F$53)/SUMIFS(tblPlan[Attended (h)],tblPlan[Department],$B$56,tblPlan[Month],$F$53),""))</f>
        <v>0.0872581923474191</v>
      </c>
      <c r="G56" s="59">
        <f>IF(OR($B$56="",$G$53=""),"",IF(SUMIFS(tblPlan[Attended (h)],tblPlan[Department],$B$56,tblPlan[Month],$G$53)&gt;0,SUMIFS(tblPlan[Overtime (h)],tblPlan[Department],$B$56,tblPlan[Month],$G$53)/SUMIFS(tblPlan[Attended (h)],tblPlan[Department],$B$56,tblPlan[Month],$G$53),""))</f>
        <v>0.0717922152158767</v>
      </c>
      <c r="H56" s="59">
        <f>IF(OR($B$56="",$H$53=""),"",IF(SUMIFS(tblPlan[Attended (h)],tblPlan[Department],$B$56,tblPlan[Month],$H$53)&gt;0,SUMIFS(tblPlan[Overtime (h)],tblPlan[Department],$B$56,tblPlan[Month],$H$53)/SUMIFS(tblPlan[Attended (h)],tblPlan[Department],$B$56,tblPlan[Month],$H$53),""))</f>
        <v>0.0230743872515187</v>
      </c>
      <c r="I56" s="59">
        <f>IF(OR($B$56="",$I$53=""),"",IF(SUMIFS(tblPlan[Attended (h)],tblPlan[Department],$B$56,tblPlan[Month],$I$53)&gt;0,SUMIFS(tblPlan[Overtime (h)],tblPlan[Department],$B$56,tblPlan[Month],$I$53)/SUMIFS(tblPlan[Attended (h)],tblPlan[Department],$B$56,tblPlan[Month],$I$53),""))</f>
        <v>0.0150127466717023</v>
      </c>
      <c r="J56" s="59">
        <f>IF(OR($B$56="",$J$53=""),"",IF(SUMIFS(tblPlan[Attended (h)],tblPlan[Department],$B$56,tblPlan[Month],$J$53)&gt;0,SUMIFS(tblPlan[Overtime (h)],tblPlan[Department],$B$56,tblPlan[Month],$J$53)/SUMIFS(tblPlan[Attended (h)],tblPlan[Department],$B$56,tblPlan[Month],$J$53),""))</f>
        <v>0.0364717899417172</v>
      </c>
      <c r="K56" s="59">
        <f>IF(OR($B$56="",$K$53=""),"",IF(SUMIFS(tblPlan[Attended (h)],tblPlan[Department],$B$56,tblPlan[Month],$K$53)&gt;0,SUMIFS(tblPlan[Overtime (h)],tblPlan[Department],$B$56,tblPlan[Month],$K$53)/SUMIFS(tblPlan[Attended (h)],tblPlan[Department],$B$56,tblPlan[Month],$K$53),""))</f>
        <v>0.0566024162473979</v>
      </c>
      <c r="L56" s="59">
        <f>IF(OR($B$56="",$L$53=""),"",IF(SUMIFS(tblPlan[Attended (h)],tblPlan[Department],$B$56,tblPlan[Month],$L$53)&gt;0,SUMIFS(tblPlan[Overtime (h)],tblPlan[Department],$B$56,tblPlan[Month],$L$53)/SUMIFS(tblPlan[Attended (h)],tblPlan[Department],$B$56,tblPlan[Month],$L$53),""))</f>
        <v>0</v>
      </c>
      <c r="M56" s="59">
        <f>IF(OR($B$56="",$M$53=""),"",IF(SUMIFS(tblPlan[Attended (h)],tblPlan[Department],$B$56,tblPlan[Month],$M$53)&gt;0,SUMIFS(tblPlan[Overtime (h)],tblPlan[Department],$B$56,tblPlan[Month],$M$53)/SUMIFS(tblPlan[Attended (h)],tblPlan[Department],$B$56,tblPlan[Month],$M$53),""))</f>
        <v>0</v>
      </c>
      <c r="N56" s="59">
        <f>IF(OR($B$56="",$N$53=""),"",IF(SUMIFS(tblPlan[Attended (h)],tblPlan[Department],$B$56,tblPlan[Month],$N$53)&gt;0,SUMIFS(tblPlan[Overtime (h)],tblPlan[Department],$B$56,tblPlan[Month],$N$53)/SUMIFS(tblPlan[Attended (h)],tblPlan[Department],$B$56,tblPlan[Month],$N$53),""))</f>
        <v>0</v>
      </c>
    </row>
    <row r="57" spans="2:15">
      <c r="B57" s="57" t="str">
        <f>IFERROR(INDEX(tblDepartments[Department],4)&amp;"","")</f>
        <v>Test and pack</v>
      </c>
      <c r="C57" s="59">
        <f>IF(OR($B$57="",$C$53=""),"",IF(SUMIFS(tblPlan[Attended (h)],tblPlan[Department],$B$57,tblPlan[Month],$C$53)&gt;0,SUMIFS(tblPlan[Overtime (h)],tblPlan[Department],$B$57,tblPlan[Month],$C$53)/SUMIFS(tblPlan[Attended (h)],tblPlan[Department],$B$57,tblPlan[Month],$C$53),""))</f>
        <v>0.0223892927957699</v>
      </c>
      <c r="D57" s="59">
        <f>IF(OR($B$57="",$D$53=""),"",IF(SUMIFS(tblPlan[Attended (h)],tblPlan[Department],$B$57,tblPlan[Month],$D$53)&gt;0,SUMIFS(tblPlan[Overtime (h)],tblPlan[Department],$B$57,tblPlan[Month],$D$53)/SUMIFS(tblPlan[Attended (h)],tblPlan[Department],$B$57,tblPlan[Month],$D$53),""))</f>
        <v>0</v>
      </c>
      <c r="E57" s="59">
        <f>IF(OR($B$57="",$E$53=""),"",IF(SUMIFS(tblPlan[Attended (h)],tblPlan[Department],$B$57,tblPlan[Month],$E$53)&gt;0,SUMIFS(tblPlan[Overtime (h)],tblPlan[Department],$B$57,tblPlan[Month],$E$53)/SUMIFS(tblPlan[Attended (h)],tblPlan[Department],$B$57,tblPlan[Month],$E$53),""))</f>
        <v>0</v>
      </c>
      <c r="F57" s="59">
        <f>IF(OR($B$57="",$F$53=""),"",IF(SUMIFS(tblPlan[Attended (h)],tblPlan[Department],$B$57,tblPlan[Month],$F$53)&gt;0,SUMIFS(tblPlan[Overtime (h)],tblPlan[Department],$B$57,tblPlan[Month],$F$53)/SUMIFS(tblPlan[Attended (h)],tblPlan[Department],$B$57,tblPlan[Month],$F$53),""))</f>
        <v>0</v>
      </c>
      <c r="G57" s="59">
        <f>IF(OR($B$57="",$G$53=""),"",IF(SUMIFS(tblPlan[Attended (h)],tblPlan[Department],$B$57,tblPlan[Month],$G$53)&gt;0,SUMIFS(tblPlan[Overtime (h)],tblPlan[Department],$B$57,tblPlan[Month],$G$53)/SUMIFS(tblPlan[Attended (h)],tblPlan[Department],$B$57,tblPlan[Month],$G$53),""))</f>
        <v>0.101564221194096</v>
      </c>
      <c r="H57" s="59">
        <f>IF(OR($B$57="",$H$53=""),"",IF(SUMIFS(tblPlan[Attended (h)],tblPlan[Department],$B$57,tblPlan[Month],$H$53)&gt;0,SUMIFS(tblPlan[Overtime (h)],tblPlan[Department],$B$57,tblPlan[Month],$H$53)/SUMIFS(tblPlan[Attended (h)],tblPlan[Department],$B$57,tblPlan[Month],$H$53),""))</f>
        <v>0.0514931202307276</v>
      </c>
      <c r="I57" s="59">
        <f>IF(OR($B$57="",$I$53=""),"",IF(SUMIFS(tblPlan[Attended (h)],tblPlan[Department],$B$57,tblPlan[Month],$I$53)&gt;0,SUMIFS(tblPlan[Overtime (h)],tblPlan[Department],$B$57,tblPlan[Month],$I$53)/SUMIFS(tblPlan[Attended (h)],tblPlan[Department],$B$57,tblPlan[Month],$I$53),""))</f>
        <v>0.0150127466717023</v>
      </c>
      <c r="J57" s="59">
        <f>IF(OR($B$57="",$J$53=""),"",IF(SUMIFS(tblPlan[Attended (h)],tblPlan[Department],$B$57,tblPlan[Month],$J$53)&gt;0,SUMIFS(tblPlan[Overtime (h)],tblPlan[Department],$B$57,tblPlan[Month],$J$53)/SUMIFS(tblPlan[Attended (h)],tblPlan[Department],$B$57,tblPlan[Month],$J$53),""))</f>
        <v>0.0364717899417172</v>
      </c>
      <c r="K57" s="59">
        <f>IF(OR($B$57="",$K$53=""),"",IF(SUMIFS(tblPlan[Attended (h)],tblPlan[Department],$B$57,tblPlan[Month],$K$53)&gt;0,SUMIFS(tblPlan[Overtime (h)],tblPlan[Department],$B$57,tblPlan[Month],$K$53)/SUMIFS(tblPlan[Attended (h)],tblPlan[Department],$B$57,tblPlan[Month],$K$53),""))</f>
        <v>0.109432537059768</v>
      </c>
      <c r="L57" s="59">
        <f>IF(OR($B$57="",$L$53=""),"",IF(SUMIFS(tblPlan[Attended (h)],tblPlan[Department],$B$57,tblPlan[Month],$L$53)&gt;0,SUMIFS(tblPlan[Overtime (h)],tblPlan[Department],$B$57,tblPlan[Month],$L$53)/SUMIFS(tblPlan[Attended (h)],tblPlan[Department],$B$57,tblPlan[Month],$L$53),""))</f>
        <v>0.0386176942687187</v>
      </c>
      <c r="M57" s="59">
        <f>IF(OR($B$57="",$M$53=""),"",IF(SUMIFS(tblPlan[Attended (h)],tblPlan[Department],$B$57,tblPlan[Month],$M$53)&gt;0,SUMIFS(tblPlan[Overtime (h)],tblPlan[Department],$B$57,tblPlan[Month],$M$53)/SUMIFS(tblPlan[Attended (h)],tblPlan[Department],$B$57,tblPlan[Month],$M$53),""))</f>
        <v>0</v>
      </c>
      <c r="N57" s="59">
        <f>IF(OR($B$57="",$N$53=""),"",IF(SUMIFS(tblPlan[Attended (h)],tblPlan[Department],$B$57,tblPlan[Month],$N$53)&gt;0,SUMIFS(tblPlan[Overtime (h)],tblPlan[Department],$B$57,tblPlan[Month],$N$53)/SUMIFS(tblPlan[Attended (h)],tblPlan[Department],$B$57,tblPlan[Month],$N$53),""))</f>
        <v>0</v>
      </c>
    </row>
    <row r="59" spans="2:15">
      <c r="B59" s="32" t="s">
        <v>126</v>
      </c>
      <c r="C59" s="32"/>
      <c r="D59" s="32"/>
      <c r="E59" s="32"/>
      <c r="F59" s="32"/>
      <c r="G59" s="32"/>
      <c r="H59" s="32"/>
      <c r="I59" s="32"/>
      <c r="J59" s="32"/>
      <c r="K59" s="32"/>
      <c r="L59" s="32"/>
      <c r="M59" s="32"/>
      <c r="N59" s="32"/>
      <c r="O59" s="32"/>
    </row>
    <row r="60" spans="2:15">
      <c r="B60" s="54" t="s">
        <v>103</v>
      </c>
      <c r="C60" s="56">
        <f>IF(COUNT(tblMonths[Month])&lt;1,"",INDEX(tblMonths[Month],1))</f>
        <v>46388</v>
      </c>
      <c r="D60" s="56">
        <f>IF($C$60="","",IF(COUNT(tblMonths[Month])&lt;MATCH($C$60,tblMonths[Month],0)+1,"",INDEX(tblMonths[Month],MATCH($C$60,tblMonths[Month],0)+1)))</f>
        <v>46419</v>
      </c>
      <c r="E60" s="56">
        <f>IF($D$60="","",IF(COUNT(tblMonths[Month])&lt;MATCH($D$60,tblMonths[Month],0)+1,"",INDEX(tblMonths[Month],MATCH($D$60,tblMonths[Month],0)+1)))</f>
        <v>46447</v>
      </c>
      <c r="F60" s="56">
        <f>IF($E$60="","",IF(COUNT(tblMonths[Month])&lt;MATCH($E$60,tblMonths[Month],0)+1,"",INDEX(tblMonths[Month],MATCH($E$60,tblMonths[Month],0)+1)))</f>
        <v>46478</v>
      </c>
      <c r="G60" s="56">
        <f>IF($F$60="","",IF(COUNT(tblMonths[Month])&lt;MATCH($F$60,tblMonths[Month],0)+1,"",INDEX(tblMonths[Month],MATCH($F$60,tblMonths[Month],0)+1)))</f>
        <v>46508</v>
      </c>
      <c r="H60" s="56">
        <f>IF($G$60="","",IF(COUNT(tblMonths[Month])&lt;MATCH($G$60,tblMonths[Month],0)+1,"",INDEX(tblMonths[Month],MATCH($G$60,tblMonths[Month],0)+1)))</f>
        <v>46539</v>
      </c>
      <c r="I60" s="56">
        <f>IF($H$60="","",IF(COUNT(tblMonths[Month])&lt;MATCH($H$60,tblMonths[Month],0)+1,"",INDEX(tblMonths[Month],MATCH($H$60,tblMonths[Month],0)+1)))</f>
        <v>46569</v>
      </c>
      <c r="J60" s="56">
        <f>IF($I$60="","",IF(COUNT(tblMonths[Month])&lt;MATCH($I$60,tblMonths[Month],0)+1,"",INDEX(tblMonths[Month],MATCH($I$60,tblMonths[Month],0)+1)))</f>
        <v>46600</v>
      </c>
      <c r="K60" s="56">
        <f>IF($J$60="","",IF(COUNT(tblMonths[Month])&lt;MATCH($J$60,tblMonths[Month],0)+1,"",INDEX(tblMonths[Month],MATCH($J$60,tblMonths[Month],0)+1)))</f>
        <v>46631</v>
      </c>
      <c r="L60" s="56">
        <f>IF($K$60="","",IF(COUNT(tblMonths[Month])&lt;MATCH($K$60,tblMonths[Month],0)+1,"",INDEX(tblMonths[Month],MATCH($K$60,tblMonths[Month],0)+1)))</f>
        <v>46661</v>
      </c>
      <c r="M60" s="56">
        <f>IF($L$60="","",IF(COUNT(tblMonths[Month])&lt;MATCH($L$60,tblMonths[Month],0)+1,"",INDEX(tblMonths[Month],MATCH($L$60,tblMonths[Month],0)+1)))</f>
        <v>46692</v>
      </c>
      <c r="N60" s="56">
        <f>IF($M$60="","",IF(COUNT(tblMonths[Month])&lt;MATCH($M$60,tblMonths[Month],0)+1,"",INDEX(tblMonths[Month],MATCH($M$60,tblMonths[Month],0)+1)))</f>
        <v>46722</v>
      </c>
      <c r="O60" s="33" t="s">
        <v>127</v>
      </c>
    </row>
    <row r="61" spans="2:15">
      <c r="B61" s="57" t="str">
        <f>IFERROR(INDEX(tblDepartments[Department],1)&amp;"","")</f>
        <v>Machining</v>
      </c>
      <c r="C61" s="60">
        <f>IF(OR($B$61="",$C$60=""),"",SUMIFS(tblPlan[Overtime (h)],tblPlan[Department],$B$61,tblPlan[Month],$C$60))</f>
        <v>0</v>
      </c>
      <c r="D61" s="60">
        <f>IF(OR($B$61="",$D$60=""),"",SUMIFS(tblPlan[Overtime (h)],tblPlan[Department],$B$61,tblPlan[Month],$D$60))</f>
        <v>0</v>
      </c>
      <c r="E61" s="60">
        <f>IF(OR($B$61="",$E$60=""),"",SUMIFS(tblPlan[Overtime (h)],tblPlan[Department],$B$61,tblPlan[Month],$E$60))</f>
        <v>0</v>
      </c>
      <c r="F61" s="60">
        <f>IF(OR($B$61="",$F$60=""),"",SUMIFS(tblPlan[Overtime (h)],tblPlan[Department],$B$61,tblPlan[Month],$F$60))</f>
        <v>270.343529411765</v>
      </c>
      <c r="G61" s="60">
        <f>IF(OR($B$61="",$G$60=""),"",SUMIFS(tblPlan[Overtime (h)],tblPlan[Department],$B$61,tblPlan[Month],$G$60))</f>
        <v>505.882352941176</v>
      </c>
      <c r="H61" s="60">
        <f>IF(OR($B$61="",$H$60=""),"",SUMIFS(tblPlan[Overtime (h)],tblPlan[Department],$B$61,tblPlan[Month],$H$60))</f>
        <v>43.6611764705883</v>
      </c>
      <c r="I61" s="60">
        <f>IF(OR($B$61="",$I$60=""),"",SUMIFS(tblPlan[Overtime (h)],tblPlan[Department],$B$61,tblPlan[Month],$I$60))</f>
        <v>330.018823529412</v>
      </c>
      <c r="J61" s="60">
        <f>IF(OR($B$61="",$J$60=""),"",SUMIFS(tblPlan[Overtime (h)],tblPlan[Department],$B$61,tblPlan[Month],$J$60))</f>
        <v>438.955294117647</v>
      </c>
      <c r="K61" s="60">
        <f>IF(OR($B$61="",$K$60=""),"",SUMIFS(tblPlan[Overtime (h)],tblPlan[Department],$B$61,tblPlan[Month],$K$60))</f>
        <v>744.136470588235</v>
      </c>
      <c r="L61" s="60">
        <f>IF(OR($B$61="",$L$60=""),"",SUMIFS(tblPlan[Overtime (h)],tblPlan[Department],$B$61,tblPlan[Month],$L$60))</f>
        <v>592.48</v>
      </c>
      <c r="M61" s="60">
        <f>IF(OR($B$61="",$M$60=""),"",SUMIFS(tblPlan[Overtime (h)],tblPlan[Department],$B$61,tblPlan[Month],$M$60))</f>
        <v>14.0235294117643</v>
      </c>
      <c r="N61" s="60">
        <f>IF(OR($B$61="",$N$60=""),"",SUMIFS(tblPlan[Overtime (h)],tblPlan[Department],$B$61,tblPlan[Month],$N$60))</f>
        <v>0</v>
      </c>
      <c r="O61" s="61">
        <f>IF($B$61="","",SUM($C$61:$N$61))</f>
        <v>2939.50117647059</v>
      </c>
    </row>
    <row r="62" spans="2:15">
      <c r="B62" s="57" t="str">
        <f>IFERROR(INDEX(tblDepartments[Department],2)&amp;"","")</f>
        <v>Fabrication</v>
      </c>
      <c r="C62" s="60">
        <f>IF(OR($B$62="",$C$60=""),"",SUMIFS(tblPlan[Overtime (h)],tblPlan[Department],$B$62,tblPlan[Month],$C$60))</f>
        <v>0</v>
      </c>
      <c r="D62" s="60">
        <f>IF(OR($B$62="",$D$60=""),"",SUMIFS(tblPlan[Overtime (h)],tblPlan[Department],$B$62,tblPlan[Month],$D$60))</f>
        <v>0</v>
      </c>
      <c r="E62" s="60">
        <f>IF(OR($B$62="",$E$60=""),"",SUMIFS(tblPlan[Overtime (h)],tblPlan[Department],$B$62,tblPlan[Month],$E$60))</f>
        <v>0</v>
      </c>
      <c r="F62" s="60">
        <f>IF(OR($B$62="",$F$60=""),"",SUMIFS(tblPlan[Overtime (h)],tblPlan[Department],$B$62,tblPlan[Month],$F$60))</f>
        <v>216.023529411765</v>
      </c>
      <c r="G62" s="60">
        <f>IF(OR($B$62="",$G$60=""),"",SUMIFS(tblPlan[Overtime (h)],tblPlan[Department],$B$62,tblPlan[Month],$G$60))</f>
        <v>309.835294117647</v>
      </c>
      <c r="H62" s="60">
        <f>IF(OR($B$62="",$H$60=""),"",SUMIFS(tblPlan[Overtime (h)],tblPlan[Department],$B$62,tblPlan[Month],$H$60))</f>
        <v>211.407058823529</v>
      </c>
      <c r="I62" s="60">
        <f>IF(OR($B$62="",$I$60=""),"",SUMIFS(tblPlan[Overtime (h)],tblPlan[Department],$B$62,tblPlan[Month],$I$60))</f>
        <v>390.032941176471</v>
      </c>
      <c r="J62" s="60">
        <f>IF(OR($B$62="",$J$60=""),"",SUMIFS(tblPlan[Overtime (h)],tblPlan[Department],$B$62,tblPlan[Month],$J$60))</f>
        <v>313.590588235294</v>
      </c>
      <c r="K62" s="60">
        <f>IF(OR($B$62="",$K$60=""),"",SUMIFS(tblPlan[Overtime (h)],tblPlan[Department],$B$62,tblPlan[Month],$K$60))</f>
        <v>499.336470588236</v>
      </c>
      <c r="L62" s="60">
        <f>IF(OR($B$62="",$L$60=""),"",SUMIFS(tblPlan[Overtime (h)],tblPlan[Department],$B$62,tblPlan[Month],$L$60))</f>
        <v>305.218823529412</v>
      </c>
      <c r="M62" s="60">
        <f>IF(OR($B$62="",$M$60=""),"",SUMIFS(tblPlan[Overtime (h)],tblPlan[Department],$B$62,tblPlan[Month],$M$60))</f>
        <v>38.0235294117644</v>
      </c>
      <c r="N62" s="60">
        <f>IF(OR($B$62="",$N$60=""),"",SUMIFS(tblPlan[Overtime (h)],tblPlan[Department],$B$62,tblPlan[Month],$N$60))</f>
        <v>0</v>
      </c>
      <c r="O62" s="61">
        <f>IF($B$62="","",SUM($C$62:$N$62))</f>
        <v>2283.46823529412</v>
      </c>
    </row>
    <row r="63" spans="2:15">
      <c r="B63" s="57" t="str">
        <f>IFERROR(INDEX(tblDepartments[Department],3)&amp;"","")</f>
        <v>Assembly</v>
      </c>
      <c r="C63" s="60">
        <f>IF(OR($B$63="",$C$60=""),"",SUMIFS(tblPlan[Overtime (h)],tblPlan[Department],$B$63,tblPlan[Month],$C$60))</f>
        <v>0</v>
      </c>
      <c r="D63" s="60">
        <f>IF(OR($B$63="",$D$60=""),"",SUMIFS(tblPlan[Overtime (h)],tblPlan[Department],$B$63,tblPlan[Month],$D$60))</f>
        <v>0</v>
      </c>
      <c r="E63" s="60">
        <f>IF(OR($B$63="",$E$60=""),"",SUMIFS(tblPlan[Overtime (h)],tblPlan[Department],$B$63,tblPlan[Month],$E$60))</f>
        <v>0</v>
      </c>
      <c r="F63" s="60">
        <f>IF(OR($B$63="",$F$60=""),"",SUMIFS(tblPlan[Overtime (h)],tblPlan[Department],$B$63,tblPlan[Month],$F$60))</f>
        <v>430.545882352941</v>
      </c>
      <c r="G63" s="60">
        <f>IF(OR($B$63="",$G$60=""),"",SUMIFS(tblPlan[Overtime (h)],tblPlan[Department],$B$63,tblPlan[Month],$G$60))</f>
        <v>378.258823529411</v>
      </c>
      <c r="H63" s="60">
        <f>IF(OR($B$63="",$H$60=""),"",SUMIFS(tblPlan[Overtime (h)],tblPlan[Department],$B$63,tblPlan[Month],$H$60))</f>
        <v>133.731764705882</v>
      </c>
      <c r="I63" s="60">
        <f>IF(OR($B$63="",$I$60=""),"",SUMIFS(tblPlan[Overtime (h)],tblPlan[Department],$B$63,tblPlan[Month],$I$60))</f>
        <v>89.7882352941173</v>
      </c>
      <c r="J63" s="60">
        <f>IF(OR($B$63="",$J$60=""),"",SUMIFS(tblPlan[Overtime (h)],tblPlan[Department],$B$63,tblPlan[Month],$J$60))</f>
        <v>228.517647058823</v>
      </c>
      <c r="K63" s="60">
        <f>IF(OR($B$63="",$K$60=""),"",SUMIFS(tblPlan[Overtime (h)],tblPlan[Department],$B$63,tblPlan[Month],$K$60))</f>
        <v>355.454117647059</v>
      </c>
      <c r="L63" s="60">
        <f>IF(OR($B$63="",$L$60=""),"",SUMIFS(tblPlan[Overtime (h)],tblPlan[Department],$B$63,tblPlan[Month],$L$60))</f>
        <v>0</v>
      </c>
      <c r="M63" s="60">
        <f>IF(OR($B$63="",$M$60=""),"",SUMIFS(tblPlan[Overtime (h)],tblPlan[Department],$B$63,tblPlan[Month],$M$60))</f>
        <v>0</v>
      </c>
      <c r="N63" s="60">
        <f>IF(OR($B$63="",$N$60=""),"",SUMIFS(tblPlan[Overtime (h)],tblPlan[Department],$B$63,tblPlan[Month],$N$60))</f>
        <v>0</v>
      </c>
      <c r="O63" s="61">
        <f>IF($B$63="","",SUM($C$63:$N$63))</f>
        <v>1616.29647058823</v>
      </c>
    </row>
    <row r="64" spans="2:15">
      <c r="B64" s="57" t="str">
        <f>IFERROR(INDEX(tblDepartments[Department],4)&amp;"","")</f>
        <v>Test and pack</v>
      </c>
      <c r="C64" s="60">
        <f>IF(OR($B$64="",$C$60=""),"",SUMIFS(tblPlan[Overtime (h)],tblPlan[Department],$B$64,tblPlan[Month],$C$60))</f>
        <v>25.5058823529411</v>
      </c>
      <c r="D64" s="60">
        <f>IF(OR($B$64="",$D$60=""),"",SUMIFS(tblPlan[Overtime (h)],tblPlan[Department],$B$64,tblPlan[Month],$D$60))</f>
        <v>0</v>
      </c>
      <c r="E64" s="60">
        <f>IF(OR($B$64="",$E$60=""),"",SUMIFS(tblPlan[Overtime (h)],tblPlan[Department],$B$64,tblPlan[Month],$E$60))</f>
        <v>0</v>
      </c>
      <c r="F64" s="60">
        <f>IF(OR($B$64="",$F$60=""),"",SUMIFS(tblPlan[Overtime (h)],tblPlan[Department],$B$64,tblPlan[Month],$F$60))</f>
        <v>0</v>
      </c>
      <c r="G64" s="60">
        <f>IF(OR($B$64="",$G$60=""),"",SUMIFS(tblPlan[Overtime (h)],tblPlan[Department],$B$64,tblPlan[Month],$G$60))</f>
        <v>130.164705882353</v>
      </c>
      <c r="H64" s="60">
        <f>IF(OR($B$64="",$H$60=""),"",SUMIFS(tblPlan[Overtime (h)],tblPlan[Department],$B$64,tblPlan[Month],$H$60))</f>
        <v>72.5929411764705</v>
      </c>
      <c r="I64" s="60">
        <f>IF(OR($B$64="",$I$60=""),"",SUMIFS(tblPlan[Overtime (h)],tblPlan[Department],$B$64,tblPlan[Month],$I$60))</f>
        <v>22.4470588235293</v>
      </c>
      <c r="J64" s="60">
        <f>IF(OR($B$64="",$J$60=""),"",SUMIFS(tblPlan[Overtime (h)],tblPlan[Department],$B$64,tblPlan[Month],$J$60))</f>
        <v>57.1294117647058</v>
      </c>
      <c r="K64" s="60">
        <f>IF(OR($B$64="",$K$60=""),"",SUMIFS(tblPlan[Overtime (h)],tblPlan[Department],$B$64,tblPlan[Month],$K$60))</f>
        <v>163.623529411765</v>
      </c>
      <c r="L64" s="60">
        <f>IF(OR($B$64="",$L$60=""),"",SUMIFS(tblPlan[Overtime (h)],tblPlan[Department],$B$64,tblPlan[Month],$L$60))</f>
        <v>57.7411764705882</v>
      </c>
      <c r="M64" s="60">
        <f>IF(OR($B$64="",$M$60=""),"",SUMIFS(tblPlan[Overtime (h)],tblPlan[Department],$B$64,tblPlan[Month],$M$60))</f>
        <v>0</v>
      </c>
      <c r="N64" s="60">
        <f>IF(OR($B$64="",$N$60=""),"",SUMIFS(tblPlan[Overtime (h)],tblPlan[Department],$B$64,tblPlan[Month],$N$60))</f>
        <v>0</v>
      </c>
      <c r="O64" s="61">
        <f>IF($B$64="","",SUM($C$64:$N$64))</f>
        <v>529.204705882352</v>
      </c>
    </row>
    <row r="65" spans="2:15" ht="8" customHeight="1"/>
    <row r="66" spans="2:15">
      <c r="B66" s="21" t="s">
        <v>128</v>
      </c>
      <c r="C66" s="21"/>
      <c r="D66" s="21"/>
      <c r="E66" s="21"/>
      <c r="F66" s="21"/>
      <c r="G66" s="21"/>
      <c r="H66" s="21"/>
      <c r="I66" s="21"/>
      <c r="J66" s="21"/>
      <c r="K66" s="21"/>
      <c r="L66" s="21"/>
      <c r="M66" s="21"/>
      <c r="N66" s="21"/>
      <c r="O66" s="21"/>
    </row>
    <row r="67" spans="2:15">
      <c r="B67" s="62">
        <f>IF(OR(COUNTA(tblDepartments[Department])&gt;4,COUNT(tblMonths[Month])&gt;12),"Setup lists are longer than the Dashboard blocks: some departments or months are not shown.","")</f>
        <v/>
      </c>
      <c r="C67" s="62"/>
      <c r="D67" s="62"/>
      <c r="E67" s="62"/>
      <c r="F67" s="62"/>
      <c r="G67" s="62"/>
      <c r="H67" s="62"/>
      <c r="I67" s="62"/>
      <c r="J67" s="62"/>
      <c r="K67" s="62"/>
      <c r="L67" s="62"/>
      <c r="M67" s="62"/>
      <c r="N67" s="62"/>
      <c r="O67" s="62"/>
    </row>
  </sheetData>
  <sheetProtection sheet="1" formatColumns="0" formatRows="0"/>
  <mergeCells count="54">
    <mergeCell ref="A1:O1"/>
    <mergeCell ref="B2:M2"/>
    <mergeCell ref="N2:O2"/>
    <mergeCell ref="B4:O4"/>
    <mergeCell ref="B6:C6"/>
    <mergeCell ref="B7:C8"/>
    <mergeCell ref="B9:C9"/>
    <mergeCell ref="B10:C10"/>
    <mergeCell ref="D6:G6"/>
    <mergeCell ref="D7:G8"/>
    <mergeCell ref="D9:G9"/>
    <mergeCell ref="D10:G10"/>
    <mergeCell ref="H6:K6"/>
    <mergeCell ref="H7:K8"/>
    <mergeCell ref="H9:K9"/>
    <mergeCell ref="H10:K10"/>
    <mergeCell ref="L6:O6"/>
    <mergeCell ref="L7:O8"/>
    <mergeCell ref="L9:O9"/>
    <mergeCell ref="L10:O10"/>
    <mergeCell ref="B29:N29"/>
    <mergeCell ref="K30:L30"/>
    <mergeCell ref="M30:N30"/>
    <mergeCell ref="K31:L31"/>
    <mergeCell ref="M31:N31"/>
    <mergeCell ref="K32:L32"/>
    <mergeCell ref="K33:L33"/>
    <mergeCell ref="K34:L34"/>
    <mergeCell ref="K35:L35"/>
    <mergeCell ref="K36:L36"/>
    <mergeCell ref="K37:L37"/>
    <mergeCell ref="K38:L38"/>
    <mergeCell ref="K39:L39"/>
    <mergeCell ref="K40:L40"/>
    <mergeCell ref="K41:L41"/>
    <mergeCell ref="K42:L42"/>
    <mergeCell ref="K43:L43"/>
    <mergeCell ref="M32:N32"/>
    <mergeCell ref="M33:N33"/>
    <mergeCell ref="M34:N34"/>
    <mergeCell ref="M35:N35"/>
    <mergeCell ref="M36:N36"/>
    <mergeCell ref="M37:N37"/>
    <mergeCell ref="M38:N38"/>
    <mergeCell ref="M39:N39"/>
    <mergeCell ref="M40:N40"/>
    <mergeCell ref="M41:N41"/>
    <mergeCell ref="M42:N42"/>
    <mergeCell ref="M43:N43"/>
    <mergeCell ref="B45:N45"/>
    <mergeCell ref="B52:N52"/>
    <mergeCell ref="B59:O59"/>
    <mergeCell ref="B66:O66"/>
    <mergeCell ref="B67:O67"/>
  </mergeCells>
  <conditionalFormatting sqref="C47:N50">
    <cfRule type="expression" dxfId="2" priority="44" stopIfTrue="1">
      <formula>AND(ISNUMBER(C47),C47&lt;0)</formula>
    </cfRule>
    <cfRule type="expression" dxfId="0" priority="45">
      <formula>ISNUMBER(C47)</formula>
    </cfRule>
  </conditionalFormatting>
  <conditionalFormatting sqref="C54:N57">
    <cfRule type="expression" dxfId="2" priority="46" stopIfTrue="1">
      <formula>AND(ISNUMBER(C54),C54&gt;OTCap)</formula>
    </cfRule>
    <cfRule type="expression" dxfId="1" priority="47" stopIfTrue="1">
      <formula>AND(ISNUMBER(C54),C54&gt;0)</formula>
    </cfRule>
    <cfRule type="expression" dxfId="0" priority="48">
      <formula>ISNUMBER(C54)</formula>
    </cfRule>
  </conditionalFormatting>
  <conditionalFormatting sqref="D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J32:J43">
    <cfRule type="expression" dxfId="3" priority="21" stopIfTrue="1">
      <formula>AND(ISNUMBER(J32),J32&lt;=(OTCap))</formula>
    </cfRule>
    <cfRule type="expression" dxfId="4" priority="22" stopIfTrue="1">
      <formula>AND(ISNUMBER(J32),J32&lt;=(OTCap)*(1+0.05))</formula>
    </cfRule>
    <cfRule type="expression" dxfId="5" priority="23">
      <formula>ISNUMBER(J32)</formula>
    </cfRule>
  </conditionalFormatting>
  <conditionalFormatting sqref="M32:M43">
    <cfRule type="cellIs" dxfId="0" priority="24" operator="equal">
      <formula>"On target"</formula>
    </cfRule>
    <cfRule type="cellIs" dxfId="0" priority="25" operator="equal">
      <formula>"PASS"</formula>
    </cfRule>
    <cfRule type="cellIs" dxfId="0" priority="26" operator="equal">
      <formula>"OK"</formula>
    </cfRule>
    <cfRule type="cellIs" dxfId="0" priority="27" operator="equal">
      <formula>"Within limits"</formula>
    </cfRule>
    <cfRule type="cellIs" dxfId="0" priority="28" operator="equal">
      <formula>"Under capacity"</formula>
    </cfRule>
    <cfRule type="cellIs" dxfId="0" priority="29" operator="equal">
      <formula>"Complete"</formula>
    </cfRule>
    <cfRule type="cellIs" dxfId="0" priority="30" operator="equal">
      <formula>"Yes"</formula>
    </cfRule>
    <cfRule type="cellIs" dxfId="1" priority="31" operator="equal">
      <formula>"Near target"</formula>
    </cfRule>
    <cfRule type="cellIs" dxfId="1" priority="32" operator="equal">
      <formula>"Check"</formula>
    </cfRule>
    <cfRule type="cellIs" dxfId="1" priority="33" operator="equal">
      <formula>"Due soon"</formula>
    </cfRule>
    <cfRule type="cellIs" dxfId="1" priority="34" operator="equal">
      <formula>"Near capacity"</formula>
    </cfRule>
    <cfRule type="cellIs" dxfId="1" priority="35" operator="equal">
      <formula>"In progress"</formula>
    </cfRule>
    <cfRule type="cellIs" dxfId="1" priority="36" operator="equal">
      <formula>"Partial"</formula>
    </cfRule>
    <cfRule type="cellIs" dxfId="2" priority="37" operator="equal">
      <formula>"Below target"</formula>
    </cfRule>
    <cfRule type="cellIs" dxfId="2" priority="38" operator="equal">
      <formula>"Above target"</formula>
    </cfRule>
    <cfRule type="cellIs" dxfId="2" priority="39" operator="equal">
      <formula>"FAIL"</formula>
    </cfRule>
    <cfRule type="cellIs" dxfId="2" priority="40" operator="equal">
      <formula>"Over capacity"</formula>
    </cfRule>
    <cfRule type="cellIs" dxfId="2" priority="41" operator="equal">
      <formula>"Overdue"</formula>
    </cfRule>
    <cfRule type="cellIs" dxfId="2" priority="42" operator="equal">
      <formula>"Out of limits"</formula>
    </cfRule>
    <cfRule type="cellIs" dxfId="2" priority="43" operator="equal">
      <formula>"No"</formula>
    </cfRule>
  </conditionalFormatting>
  <hyperlinks>
    <hyperlink ref="N2" r:id="rId1" tooltip="Free manufacturing calculators and templates"/>
  </hyperlinks>
  <pageMargins left="0.4" right="0.4" top="0.7" bottom="0.65" header="0.3" footer="0.3"/>
  <pageSetup fitToHeight="0" orientation="landscape"/>
  <headerFooter>
    <oddHeader>&amp;L&amp;8MFG Calcs - Production Headcount Plan&amp;R&amp;8&amp;A</oddHeader>
    <oddFooter>&amp;L&amp;8mfgcalcs.com - free manufacturing templates&amp;R&amp;8Page &amp;P of &amp;N</oddFooter>
  </headerFooter>
  <rowBreaks count="2" manualBreakCount="2">
    <brk id="28" max="16383" man="1"/>
    <brk id="58"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129</v>
      </c>
      <c r="C4" s="8"/>
      <c r="D4" s="8"/>
    </row>
    <row r="5" spans="1:4" ht="5" customHeight="1"/>
    <row r="6" spans="1:4" ht="55.8" customHeight="1">
      <c r="B6" s="10" t="s">
        <v>130</v>
      </c>
      <c r="C6" s="10"/>
      <c r="D6" s="10"/>
    </row>
    <row r="8" spans="1:4" ht="21" customHeight="1">
      <c r="B8" s="8" t="s">
        <v>131</v>
      </c>
      <c r="C8" s="8"/>
      <c r="D8" s="8"/>
    </row>
    <row r="9" spans="1:4" ht="5" customHeight="1"/>
    <row r="10" spans="1:4" ht="20" customHeight="1">
      <c r="B10" s="54" t="s">
        <v>132</v>
      </c>
      <c r="C10" s="54" t="s">
        <v>133</v>
      </c>
      <c r="D10" s="33" t="s">
        <v>134</v>
      </c>
    </row>
    <row r="11" spans="1:4" ht="17.2" customHeight="1">
      <c r="B11" s="63" t="s">
        <v>135</v>
      </c>
      <c r="C11" s="64" t="s">
        <v>136</v>
      </c>
      <c r="D11" s="65" t="s">
        <v>137</v>
      </c>
    </row>
    <row r="12" spans="1:4" ht="17.2" customHeight="1">
      <c r="B12" s="63" t="s">
        <v>138</v>
      </c>
      <c r="C12" s="64" t="s">
        <v>139</v>
      </c>
      <c r="D12" s="65" t="s">
        <v>137</v>
      </c>
    </row>
    <row r="13" spans="1:4" ht="17.2" customHeight="1">
      <c r="B13" s="63" t="s">
        <v>140</v>
      </c>
      <c r="C13" s="64" t="s">
        <v>141</v>
      </c>
      <c r="D13" s="65" t="s">
        <v>137</v>
      </c>
    </row>
    <row r="14" spans="1:4" ht="17.2" customHeight="1">
      <c r="B14" s="63" t="s">
        <v>98</v>
      </c>
      <c r="C14" s="64" t="s">
        <v>142</v>
      </c>
      <c r="D14" s="65" t="s">
        <v>143</v>
      </c>
    </row>
    <row r="15" spans="1:4" ht="30.4" customHeight="1">
      <c r="B15" s="63" t="s">
        <v>99</v>
      </c>
      <c r="C15" s="64" t="s">
        <v>144</v>
      </c>
      <c r="D15" s="65" t="s">
        <v>145</v>
      </c>
    </row>
    <row r="16" spans="1:4" ht="17.2" customHeight="1">
      <c r="B16" s="63" t="s">
        <v>146</v>
      </c>
      <c r="C16" s="64" t="s">
        <v>147</v>
      </c>
      <c r="D16" s="65" t="s">
        <v>148</v>
      </c>
    </row>
    <row r="17" spans="2:4" ht="30.4" customHeight="1">
      <c r="B17" s="63" t="s">
        <v>149</v>
      </c>
      <c r="C17" s="64" t="s">
        <v>150</v>
      </c>
      <c r="D17" s="65" t="s">
        <v>137</v>
      </c>
    </row>
    <row r="18" spans="2:4" ht="17.2" customHeight="1">
      <c r="B18" s="63" t="s">
        <v>151</v>
      </c>
      <c r="C18" s="64" t="s">
        <v>152</v>
      </c>
      <c r="D18" s="65" t="s">
        <v>137</v>
      </c>
    </row>
    <row r="19" spans="2:4" ht="30.4" customHeight="1">
      <c r="B19" s="63" t="s">
        <v>153</v>
      </c>
      <c r="C19" s="64" t="s">
        <v>154</v>
      </c>
      <c r="D19" s="65" t="s">
        <v>137</v>
      </c>
    </row>
    <row r="20" spans="2:4" ht="17.2" customHeight="1">
      <c r="B20" s="63" t="s">
        <v>104</v>
      </c>
      <c r="C20" s="64" t="s">
        <v>155</v>
      </c>
      <c r="D20" s="65" t="s">
        <v>156</v>
      </c>
    </row>
    <row r="21" spans="2:4" ht="30.4" customHeight="1">
      <c r="B21" s="63" t="s">
        <v>105</v>
      </c>
      <c r="C21" s="64" t="s">
        <v>157</v>
      </c>
      <c r="D21" s="65" t="s">
        <v>158</v>
      </c>
    </row>
    <row r="22" spans="2:4" ht="30.4" customHeight="1">
      <c r="B22" s="63" t="s">
        <v>106</v>
      </c>
      <c r="C22" s="64" t="s">
        <v>159</v>
      </c>
      <c r="D22" s="65" t="s">
        <v>160</v>
      </c>
    </row>
    <row r="23" spans="2:4" ht="30.4" customHeight="1">
      <c r="B23" s="63" t="s">
        <v>161</v>
      </c>
      <c r="C23" s="64" t="s">
        <v>162</v>
      </c>
      <c r="D23" s="65" t="s">
        <v>158</v>
      </c>
    </row>
    <row r="25" spans="2:4" ht="21" customHeight="1">
      <c r="B25" s="8" t="s">
        <v>163</v>
      </c>
      <c r="C25" s="8"/>
      <c r="D25" s="8"/>
    </row>
    <row r="26" spans="2:4" ht="5" customHeight="1"/>
    <row r="27" spans="2:4" ht="29.4" customHeight="1">
      <c r="B27" s="26" t="s">
        <v>53</v>
      </c>
      <c r="C27" s="10" t="s">
        <v>164</v>
      </c>
      <c r="D27" s="10"/>
    </row>
    <row r="28" spans="2:4" ht="29.4" customHeight="1">
      <c r="B28" s="26" t="s">
        <v>53</v>
      </c>
      <c r="C28" s="10" t="s">
        <v>165</v>
      </c>
      <c r="D28" s="10"/>
    </row>
    <row r="29" spans="2:4" ht="29.4" customHeight="1">
      <c r="B29" s="26" t="s">
        <v>53</v>
      </c>
      <c r="C29" s="10" t="s">
        <v>166</v>
      </c>
      <c r="D29" s="10"/>
    </row>
    <row r="31" spans="2:4" ht="21" customHeight="1">
      <c r="B31" s="8" t="s">
        <v>167</v>
      </c>
      <c r="C31" s="8"/>
      <c r="D31" s="8"/>
    </row>
    <row r="32" spans="2:4" ht="5" customHeight="1"/>
    <row r="33" spans="2:4" ht="29.4" customHeight="1">
      <c r="B33" s="26" t="s">
        <v>53</v>
      </c>
      <c r="C33" s="10" t="s">
        <v>168</v>
      </c>
      <c r="D33" s="10"/>
    </row>
    <row r="34" spans="2:4" ht="29.4" customHeight="1">
      <c r="B34" s="26" t="s">
        <v>53</v>
      </c>
      <c r="C34" s="10" t="s">
        <v>169</v>
      </c>
      <c r="D34" s="10"/>
    </row>
    <row r="35" spans="2:4" ht="29.4" customHeight="1">
      <c r="B35" s="26" t="s">
        <v>53</v>
      </c>
      <c r="C35" s="10" t="s">
        <v>170</v>
      </c>
      <c r="D35" s="10"/>
    </row>
    <row r="36" spans="2:4" ht="29.4" customHeight="1">
      <c r="B36" s="26" t="s">
        <v>53</v>
      </c>
      <c r="C36" s="10" t="s">
        <v>171</v>
      </c>
      <c r="D36" s="10"/>
    </row>
    <row r="38" spans="2:4" ht="21" customHeight="1">
      <c r="B38" s="8" t="s">
        <v>172</v>
      </c>
      <c r="C38" s="8"/>
      <c r="D38" s="8"/>
    </row>
    <row r="39" spans="2:4" ht="5" customHeight="1"/>
    <row r="40" spans="2:4" ht="55.8" customHeight="1">
      <c r="B40" s="10" t="s">
        <v>173</v>
      </c>
      <c r="C40" s="10"/>
      <c r="D40" s="10"/>
    </row>
    <row r="41" spans="2:4">
      <c r="B41" s="24" t="s">
        <v>174</v>
      </c>
      <c r="C41" s="24"/>
      <c r="D41" s="24"/>
    </row>
    <row r="43" spans="2:4" ht="21" customHeight="1">
      <c r="B43" s="8" t="s">
        <v>40</v>
      </c>
      <c r="C43" s="8"/>
      <c r="D43" s="8"/>
    </row>
    <row r="44" spans="2:4" ht="5" customHeight="1"/>
    <row r="45" spans="2:4" ht="42.6" customHeight="1">
      <c r="B45" s="10" t="s">
        <v>175</v>
      </c>
      <c r="C45" s="10"/>
      <c r="D45" s="10"/>
    </row>
    <row r="47" spans="2:4" ht="21" customHeight="1">
      <c r="B47" s="8" t="s">
        <v>176</v>
      </c>
      <c r="C47" s="8"/>
      <c r="D47" s="8"/>
    </row>
    <row r="48" spans="2:4" ht="5" customHeight="1"/>
    <row r="49" spans="2:4" ht="29.4" customHeight="1">
      <c r="B49" s="26" t="s">
        <v>53</v>
      </c>
      <c r="C49" s="10" t="s">
        <v>177</v>
      </c>
      <c r="D49" s="10"/>
    </row>
    <row r="50" spans="2:4" ht="29.4" customHeight="1">
      <c r="B50" s="26" t="s">
        <v>53</v>
      </c>
      <c r="C50" s="10" t="s">
        <v>178</v>
      </c>
      <c r="D50" s="10"/>
    </row>
    <row r="51" spans="2:4">
      <c r="B51" s="21" t="s">
        <v>179</v>
      </c>
      <c r="C51" s="21"/>
      <c r="D51" s="21"/>
    </row>
    <row r="53" spans="2:4" ht="21" customHeight="1">
      <c r="B53" s="8" t="s">
        <v>180</v>
      </c>
      <c r="C53" s="8"/>
      <c r="D53" s="8"/>
    </row>
    <row r="54" spans="2:4" ht="5" customHeight="1"/>
    <row r="55" spans="2:4">
      <c r="B55" s="54" t="s">
        <v>48</v>
      </c>
      <c r="C55" s="54" t="s">
        <v>181</v>
      </c>
      <c r="D55" s="33" t="s">
        <v>182</v>
      </c>
    </row>
    <row r="56" spans="2:4" ht="16.2" customHeight="1">
      <c r="B56" s="66" t="s">
        <v>183</v>
      </c>
      <c r="C56" s="67" t="s">
        <v>184</v>
      </c>
      <c r="D56" s="68" t="s">
        <v>185</v>
      </c>
    </row>
    <row r="58" spans="2:4">
      <c r="B58" s="21" t="s">
        <v>59</v>
      </c>
      <c r="C58" s="21"/>
      <c r="D58" s="21"/>
    </row>
  </sheetData>
  <sheetProtection sheet="1" formatColumns="0" formatRows="0"/>
  <mergeCells count="25">
    <mergeCell ref="A1:D1"/>
    <mergeCell ref="B2:C2"/>
    <mergeCell ref="B4:D4"/>
    <mergeCell ref="B6:D6"/>
    <mergeCell ref="B8:D8"/>
    <mergeCell ref="B25:D25"/>
    <mergeCell ref="C27:D27"/>
    <mergeCell ref="C28:D28"/>
    <mergeCell ref="C29:D29"/>
    <mergeCell ref="B31:D31"/>
    <mergeCell ref="C33:D33"/>
    <mergeCell ref="C34:D34"/>
    <mergeCell ref="C35:D35"/>
    <mergeCell ref="C36:D36"/>
    <mergeCell ref="B38:D38"/>
    <mergeCell ref="B40:D40"/>
    <mergeCell ref="B41:D41"/>
    <mergeCell ref="B43:D43"/>
    <mergeCell ref="B45:D45"/>
    <mergeCell ref="B47:D47"/>
    <mergeCell ref="C49:D49"/>
    <mergeCell ref="C50:D50"/>
    <mergeCell ref="B51:D51"/>
    <mergeCell ref="B53:D53"/>
    <mergeCell ref="B58:D58"/>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Production Headcount Plan&amp;R&amp;8&amp;A</oddHeader>
    <oddFooter>&amp;L&amp;8mfgcalcs.com - free manufacturing templates&amp;R&amp;8Page &amp;P of &amp;N</oddFooter>
  </headerFooter>
  <rowBreaks count="1" manualBreakCount="1">
    <brk id="30"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X57"/>
  <sheetViews>
    <sheetView showGridLines="0" workbookViewId="0"/>
  </sheetViews>
  <sheetFormatPr defaultRowHeight="15"/>
  <cols>
    <col min="1" max="1" width="2.7109375" customWidth="1"/>
    <col min="2" max="19" width="12.7109375" customWidth="1"/>
    <col min="20" max="20" width="12.28515625" customWidth="1"/>
    <col min="21" max="21" width="9.7109375" customWidth="1"/>
    <col min="22" max="22" width="11.7109375" customWidth="1"/>
    <col min="23" max="23" width="22.7109375" customWidth="1"/>
    <col min="24" max="24" width="34.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26</v>
      </c>
      <c r="C2" s="2"/>
      <c r="D2" s="2"/>
      <c r="E2" s="2"/>
      <c r="F2" s="2"/>
      <c r="G2" s="2"/>
      <c r="H2" s="2"/>
      <c r="I2" s="2"/>
      <c r="J2" s="2"/>
      <c r="K2" s="2"/>
      <c r="L2" s="2"/>
      <c r="M2" s="2"/>
      <c r="N2" s="2"/>
      <c r="O2" s="2"/>
      <c r="P2" s="2"/>
      <c r="Q2" s="2"/>
      <c r="R2" s="2"/>
      <c r="S2" s="2"/>
      <c r="T2" s="2"/>
      <c r="U2" s="2"/>
      <c r="V2" s="2"/>
      <c r="W2" s="2"/>
      <c r="X2" s="3" t="s">
        <v>2</v>
      </c>
    </row>
    <row r="3" spans="1:24" ht="6" customHeight="1"/>
    <row r="4" spans="1:24" ht="30" customHeight="1">
      <c r="B4" s="69" t="s">
        <v>186</v>
      </c>
      <c r="C4" s="69"/>
      <c r="D4" s="22" t="str">
        <f>IF(COUNTIF($K$11:$K$37,"PASS")=27,"PASS","FAIL")</f>
        <v>PASS</v>
      </c>
      <c r="E4" s="22"/>
      <c r="F4" s="23" t="str">
        <f>COUNTIF($K$11:$K$37,"PASS")&amp;" of 27 checks pass"</f>
        <v>27 of 27 checks pass</v>
      </c>
      <c r="G4" s="23"/>
      <c r="H4" s="23"/>
      <c r="I4" s="23"/>
      <c r="J4" s="23"/>
    </row>
    <row r="6" spans="1:24" ht="29.4" customHeight="1">
      <c r="B6" s="10" t="s">
        <v>187</v>
      </c>
      <c r="C6" s="10"/>
      <c r="D6" s="10"/>
      <c r="E6" s="10"/>
      <c r="F6" s="10"/>
      <c r="G6" s="10"/>
      <c r="H6" s="10"/>
      <c r="I6" s="10"/>
      <c r="J6" s="10"/>
      <c r="K6" s="10"/>
      <c r="L6" s="10"/>
    </row>
    <row r="8" spans="1:24" ht="21" customHeight="1">
      <c r="B8" s="8" t="s">
        <v>188</v>
      </c>
      <c r="C8" s="8"/>
      <c r="D8" s="8"/>
      <c r="E8" s="8"/>
      <c r="F8" s="8"/>
      <c r="G8" s="8"/>
      <c r="H8" s="8"/>
      <c r="I8" s="8"/>
      <c r="J8" s="8"/>
      <c r="K8" s="8"/>
      <c r="L8" s="8"/>
    </row>
    <row r="9" spans="1:24" ht="5" customHeight="1"/>
    <row r="10" spans="1:24" ht="30" customHeight="1">
      <c r="B10" s="33" t="s">
        <v>189</v>
      </c>
      <c r="C10" s="54" t="s">
        <v>107</v>
      </c>
      <c r="D10" s="54"/>
      <c r="E10" s="54"/>
      <c r="F10" s="54"/>
      <c r="G10" s="33" t="s">
        <v>190</v>
      </c>
      <c r="H10" s="33" t="s">
        <v>191</v>
      </c>
      <c r="I10" s="33" t="s">
        <v>192</v>
      </c>
      <c r="J10" s="33" t="s">
        <v>193</v>
      </c>
      <c r="K10" s="33" t="s">
        <v>194</v>
      </c>
    </row>
    <row r="11" spans="1:24" ht="16.2" customHeight="1">
      <c r="B11" s="70">
        <v>1</v>
      </c>
      <c r="C11" s="67" t="s">
        <v>195</v>
      </c>
      <c r="D11" s="67"/>
      <c r="E11" s="67"/>
      <c r="F11" s="67"/>
      <c r="G11" s="71">
        <v>8.680555555555555</v>
      </c>
      <c r="H11" s="72">
        <f>$M$52</f>
        <v>8.68055555555556</v>
      </c>
      <c r="I11" s="73">
        <f>IF(AND(ISNUMBER($G$11),ISNUMBER($H$11)),ABS($H$11-$G$11),"")</f>
        <v>0</v>
      </c>
      <c r="J11" s="74">
        <v>1E-09</v>
      </c>
      <c r="K11" s="44" t="str">
        <f>IF(AND(ISNUMBER($G$11),ISNUMBER($H$11)),IF(ABS($H$11-$G$11)&lt;=$J$11,"PASS","FAIL"),"FAIL")</f>
        <v>PASS</v>
      </c>
    </row>
    <row r="12" spans="1:24" ht="16.2" customHeight="1">
      <c r="B12" s="70">
        <v>2</v>
      </c>
      <c r="C12" s="67" t="s">
        <v>196</v>
      </c>
      <c r="D12" s="67"/>
      <c r="E12" s="67"/>
      <c r="F12" s="67"/>
      <c r="G12" s="75">
        <v>10</v>
      </c>
      <c r="H12" s="41">
        <f>$N$52</f>
        <v>10</v>
      </c>
      <c r="I12" s="73">
        <f>IF(AND(ISNUMBER($G$12),ISNUMBER($H$12)),ABS($H$12-$G$12),"")</f>
        <v>0</v>
      </c>
      <c r="J12" s="74">
        <v>1E-09</v>
      </c>
      <c r="K12" s="44" t="str">
        <f>IF(AND(ISNUMBER($G$12),ISNUMBER($H$12)),IF(ABS($H$12-$G$12)&lt;=$J$12,"PASS","FAIL"),"FAIL")</f>
        <v>PASS</v>
      </c>
    </row>
    <row r="13" spans="1:24" ht="16.2" customHeight="1">
      <c r="B13" s="70">
        <v>3</v>
      </c>
      <c r="C13" s="67" t="s">
        <v>197</v>
      </c>
      <c r="D13" s="67"/>
      <c r="E13" s="67"/>
      <c r="F13" s="67"/>
      <c r="G13" s="71">
        <v>0</v>
      </c>
      <c r="H13" s="72">
        <f>$R$52</f>
        <v>0</v>
      </c>
      <c r="I13" s="73">
        <f>IF(AND(ISNUMBER($G$13),ISNUMBER($H$13)),ABS($H$13-$G$13),"")</f>
        <v>0</v>
      </c>
      <c r="J13" s="74">
        <v>1E-09</v>
      </c>
      <c r="K13" s="44" t="str">
        <f>IF(AND(ISNUMBER($G$13),ISNUMBER($H$13)),IF(ABS($H$13-$G$13)&lt;=$J$13,"PASS","FAIL"),"FAIL")</f>
        <v>PASS</v>
      </c>
    </row>
    <row r="14" spans="1:24" ht="16.2" customHeight="1">
      <c r="B14" s="70">
        <v>4</v>
      </c>
      <c r="C14" s="67" t="s">
        <v>198</v>
      </c>
      <c r="D14" s="67"/>
      <c r="E14" s="67"/>
      <c r="F14" s="67"/>
      <c r="G14" s="66" t="s">
        <v>199</v>
      </c>
      <c r="H14" s="76" t="str">
        <f>$T$52</f>
        <v>On target</v>
      </c>
      <c r="I14" s="76"/>
      <c r="J14" s="68" t="s">
        <v>200</v>
      </c>
      <c r="K14" s="44" t="str">
        <f>IF($H$14&amp;""=$G$14&amp;"","PASS","FAIL")</f>
        <v>PASS</v>
      </c>
    </row>
    <row r="15" spans="1:24" ht="16.2" customHeight="1">
      <c r="B15" s="70">
        <v>5</v>
      </c>
      <c r="C15" s="67" t="s">
        <v>201</v>
      </c>
      <c r="D15" s="67"/>
      <c r="E15" s="67"/>
      <c r="F15" s="67"/>
      <c r="G15" s="77">
        <v>48000</v>
      </c>
      <c r="H15" s="40">
        <f>$V$52</f>
        <v>48000</v>
      </c>
      <c r="I15" s="73">
        <f>IF(AND(ISNUMBER($G$15),ISNUMBER($H$15)),ABS($H$15-$G$15),"")</f>
        <v>0</v>
      </c>
      <c r="J15" s="74">
        <v>1E-06</v>
      </c>
      <c r="K15" s="44" t="str">
        <f>IF(AND(ISNUMBER($G$15),ISNUMBER($H$15)),IF(ABS($H$15-$G$15)&lt;=$J$15,"PASS","FAIL"),"FAIL")</f>
        <v>PASS</v>
      </c>
    </row>
    <row r="16" spans="1:24" ht="16.2" customHeight="1">
      <c r="B16" s="70">
        <v>6</v>
      </c>
      <c r="C16" s="67" t="s">
        <v>202</v>
      </c>
      <c r="D16" s="67"/>
      <c r="E16" s="67"/>
      <c r="F16" s="67"/>
      <c r="G16" s="71">
        <v>9.722222222222221</v>
      </c>
      <c r="H16" s="72">
        <f>$M$53</f>
        <v>9.72222222222222</v>
      </c>
      <c r="I16" s="73">
        <f>IF(AND(ISNUMBER($G$16),ISNUMBER($H$16)),ABS($H$16-$G$16),"")</f>
        <v>0</v>
      </c>
      <c r="J16" s="74">
        <v>1E-09</v>
      </c>
      <c r="K16" s="44" t="str">
        <f>IF(AND(ISNUMBER($G$16),ISNUMBER($H$16)),IF(ABS($H$16-$G$16)&lt;=$J$16,"PASS","FAIL"),"FAIL")</f>
        <v>PASS</v>
      </c>
    </row>
    <row r="17" spans="2:11" ht="16.2" customHeight="1">
      <c r="B17" s="70">
        <v>7</v>
      </c>
      <c r="C17" s="67" t="s">
        <v>203</v>
      </c>
      <c r="D17" s="67"/>
      <c r="E17" s="67"/>
      <c r="F17" s="67"/>
      <c r="G17" s="75">
        <v>10</v>
      </c>
      <c r="H17" s="41">
        <f>$N$53</f>
        <v>10</v>
      </c>
      <c r="I17" s="73">
        <f>IF(AND(ISNUMBER($G$17),ISNUMBER($H$17)),ABS($H$17-$G$17),"")</f>
        <v>0</v>
      </c>
      <c r="J17" s="74">
        <v>1E-09</v>
      </c>
      <c r="K17" s="44" t="str">
        <f>IF(AND(ISNUMBER($G$17),ISNUMBER($H$17)),IF(ABS($H$17-$G$17)&lt;=$J$17,"PASS","FAIL"),"FAIL")</f>
        <v>PASS</v>
      </c>
    </row>
    <row r="18" spans="2:11" ht="16.2" customHeight="1">
      <c r="B18" s="70">
        <v>8</v>
      </c>
      <c r="C18" s="67" t="s">
        <v>204</v>
      </c>
      <c r="D18" s="67"/>
      <c r="E18" s="67"/>
      <c r="F18" s="67"/>
      <c r="G18" s="71">
        <v>0</v>
      </c>
      <c r="H18" s="72">
        <f>$R$53</f>
        <v>0</v>
      </c>
      <c r="I18" s="73">
        <f>IF(AND(ISNUMBER($G$18),ISNUMBER($H$18)),ABS($H$18-$G$18),"")</f>
        <v>0</v>
      </c>
      <c r="J18" s="74">
        <v>1E-09</v>
      </c>
      <c r="K18" s="44" t="str">
        <f>IF(AND(ISNUMBER($G$18),ISNUMBER($H$18)),IF(ABS($H$18-$G$18)&lt;=$J$18,"PASS","FAIL"),"FAIL")</f>
        <v>PASS</v>
      </c>
    </row>
    <row r="19" spans="2:11" ht="16.2" customHeight="1">
      <c r="B19" s="70">
        <v>9</v>
      </c>
      <c r="C19" s="67" t="s">
        <v>205</v>
      </c>
      <c r="D19" s="67"/>
      <c r="E19" s="67"/>
      <c r="F19" s="67"/>
      <c r="G19" s="66" t="s">
        <v>199</v>
      </c>
      <c r="H19" s="76" t="str">
        <f>$T$53</f>
        <v>On target</v>
      </c>
      <c r="I19" s="76"/>
      <c r="J19" s="68" t="s">
        <v>200</v>
      </c>
      <c r="K19" s="44" t="str">
        <f>IF($H$19&amp;""=$G$19&amp;"","PASS","FAIL")</f>
        <v>PASS</v>
      </c>
    </row>
    <row r="20" spans="2:11" ht="16.2" customHeight="1">
      <c r="B20" s="70">
        <v>10</v>
      </c>
      <c r="C20" s="67" t="s">
        <v>206</v>
      </c>
      <c r="D20" s="67"/>
      <c r="E20" s="67"/>
      <c r="F20" s="67"/>
      <c r="G20" s="77">
        <v>48000</v>
      </c>
      <c r="H20" s="40">
        <f>$V$53</f>
        <v>48000</v>
      </c>
      <c r="I20" s="73">
        <f>IF(AND(ISNUMBER($G$20),ISNUMBER($H$20)),ABS($H$20-$G$20),"")</f>
        <v>0</v>
      </c>
      <c r="J20" s="74">
        <v>1E-06</v>
      </c>
      <c r="K20" s="44" t="str">
        <f>IF(AND(ISNUMBER($G$20),ISNUMBER($H$20)),IF(ABS($H$20-$G$20)&lt;=$J$20,"PASS","FAIL"),"FAIL")</f>
        <v>PASS</v>
      </c>
    </row>
    <row r="21" spans="2:11" ht="16.2" customHeight="1">
      <c r="B21" s="70">
        <v>11</v>
      </c>
      <c r="C21" s="67" t="s">
        <v>207</v>
      </c>
      <c r="D21" s="67"/>
      <c r="E21" s="67"/>
      <c r="F21" s="67"/>
      <c r="G21" s="71">
        <v>11.0479797979798</v>
      </c>
      <c r="H21" s="72">
        <f>$M$54</f>
        <v>11.0479797979798</v>
      </c>
      <c r="I21" s="73">
        <f>IF(AND(ISNUMBER($G$21),ISNUMBER($H$21)),ABS($H$21-$G$21),"")</f>
        <v>0</v>
      </c>
      <c r="J21" s="74">
        <v>1E-09</v>
      </c>
      <c r="K21" s="44" t="str">
        <f>IF(AND(ISNUMBER($G$21),ISNUMBER($H$21)),IF(ABS($H$21-$G$21)&lt;=$J$21,"PASS","FAIL"),"FAIL")</f>
        <v>PASS</v>
      </c>
    </row>
    <row r="22" spans="2:11" ht="16.2" customHeight="1">
      <c r="B22" s="70">
        <v>12</v>
      </c>
      <c r="C22" s="67" t="s">
        <v>208</v>
      </c>
      <c r="D22" s="67"/>
      <c r="E22" s="67"/>
      <c r="F22" s="67"/>
      <c r="G22" s="75">
        <v>12</v>
      </c>
      <c r="H22" s="41">
        <f>$N$54</f>
        <v>12</v>
      </c>
      <c r="I22" s="73">
        <f>IF(AND(ISNUMBER($G$22),ISNUMBER($H$22)),ABS($H$22-$G$22),"")</f>
        <v>0</v>
      </c>
      <c r="J22" s="74">
        <v>1E-09</v>
      </c>
      <c r="K22" s="44" t="str">
        <f>IF(AND(ISNUMBER($G$22),ISNUMBER($H$22)),IF(ABS($H$22-$G$22)&lt;=$J$22,"PASS","FAIL"),"FAIL")</f>
        <v>PASS</v>
      </c>
    </row>
    <row r="23" spans="2:11" ht="16.2" customHeight="1">
      <c r="B23" s="70">
        <v>13</v>
      </c>
      <c r="C23" s="67" t="s">
        <v>209</v>
      </c>
      <c r="D23" s="67"/>
      <c r="E23" s="67"/>
      <c r="F23" s="67"/>
      <c r="G23" s="71">
        <v>0</v>
      </c>
      <c r="H23" s="72">
        <f>$R$54</f>
        <v>0</v>
      </c>
      <c r="I23" s="73">
        <f>IF(AND(ISNUMBER($G$23),ISNUMBER($H$23)),ABS($H$23-$G$23),"")</f>
        <v>0</v>
      </c>
      <c r="J23" s="74">
        <v>1E-09</v>
      </c>
      <c r="K23" s="44" t="str">
        <f>IF(AND(ISNUMBER($G$23),ISNUMBER($H$23)),IF(ABS($H$23-$G$23)&lt;=$J$23,"PASS","FAIL"),"FAIL")</f>
        <v>PASS</v>
      </c>
    </row>
    <row r="24" spans="2:11" ht="16.2" customHeight="1">
      <c r="B24" s="70">
        <v>14</v>
      </c>
      <c r="C24" s="67" t="s">
        <v>210</v>
      </c>
      <c r="D24" s="67"/>
      <c r="E24" s="67"/>
      <c r="F24" s="67"/>
      <c r="G24" s="66" t="s">
        <v>199</v>
      </c>
      <c r="H24" s="76" t="str">
        <f>$T$54</f>
        <v>On target</v>
      </c>
      <c r="I24" s="76"/>
      <c r="J24" s="68" t="s">
        <v>200</v>
      </c>
      <c r="K24" s="44" t="str">
        <f>IF($H$24&amp;""=$G$24&amp;"","PASS","FAIL")</f>
        <v>PASS</v>
      </c>
    </row>
    <row r="25" spans="2:11" ht="16.2" customHeight="1">
      <c r="B25" s="70">
        <v>15</v>
      </c>
      <c r="C25" s="67" t="s">
        <v>211</v>
      </c>
      <c r="D25" s="67"/>
      <c r="E25" s="67"/>
      <c r="F25" s="67"/>
      <c r="G25" s="77">
        <v>63360</v>
      </c>
      <c r="H25" s="40">
        <f>$V$54</f>
        <v>63360</v>
      </c>
      <c r="I25" s="73">
        <f>IF(AND(ISNUMBER($G$25),ISNUMBER($H$25)),ABS($H$25-$G$25),"")</f>
        <v>0</v>
      </c>
      <c r="J25" s="74">
        <v>1E-06</v>
      </c>
      <c r="K25" s="44" t="str">
        <f>IF(AND(ISNUMBER($G$25),ISNUMBER($H$25)),IF(ABS($H$25-$G$25)&lt;=$J$25,"PASS","FAIL"),"FAIL")</f>
        <v>PASS</v>
      </c>
    </row>
    <row r="26" spans="2:11" ht="16.2" customHeight="1">
      <c r="B26" s="70">
        <v>16</v>
      </c>
      <c r="C26" s="67" t="s">
        <v>212</v>
      </c>
      <c r="D26" s="67"/>
      <c r="E26" s="67"/>
      <c r="F26" s="67"/>
      <c r="G26" s="71">
        <v>5.208333333333333</v>
      </c>
      <c r="H26" s="72">
        <f>$M$56</f>
        <v>5.20833333333333</v>
      </c>
      <c r="I26" s="73">
        <f>IF(AND(ISNUMBER($G$26),ISNUMBER($H$26)),ABS($H$26-$G$26),"")</f>
        <v>0</v>
      </c>
      <c r="J26" s="74">
        <v>1E-09</v>
      </c>
      <c r="K26" s="44" t="str">
        <f>IF(AND(ISNUMBER($G$26),ISNUMBER($H$26)),IF(ABS($H$26-$G$26)&lt;=$J$26,"PASS","FAIL"),"FAIL")</f>
        <v>PASS</v>
      </c>
    </row>
    <row r="27" spans="2:11" ht="16.2" customHeight="1">
      <c r="B27" s="70">
        <v>17</v>
      </c>
      <c r="C27" s="67" t="s">
        <v>213</v>
      </c>
      <c r="D27" s="67"/>
      <c r="E27" s="67"/>
      <c r="F27" s="67"/>
      <c r="G27" s="75">
        <v>2</v>
      </c>
      <c r="H27" s="41">
        <f>$N$56</f>
        <v>2</v>
      </c>
      <c r="I27" s="73">
        <f>IF(AND(ISNUMBER($G$27),ISNUMBER($H$27)),ABS($H$27-$G$27),"")</f>
        <v>0</v>
      </c>
      <c r="J27" s="74">
        <v>1E-09</v>
      </c>
      <c r="K27" s="44" t="str">
        <f>IF(AND(ISNUMBER($G$27),ISNUMBER($H$27)),IF(ABS($H$27-$G$27)&lt;=$J$27,"PASS","FAIL"),"FAIL")</f>
        <v>PASS</v>
      </c>
    </row>
    <row r="28" spans="2:11" ht="16.2" customHeight="1">
      <c r="B28" s="70">
        <v>18</v>
      </c>
      <c r="C28" s="67" t="s">
        <v>214</v>
      </c>
      <c r="D28" s="67"/>
      <c r="E28" s="67"/>
      <c r="F28" s="67"/>
      <c r="G28" s="71">
        <v>462</v>
      </c>
      <c r="H28" s="72">
        <f>$R$56</f>
        <v>462</v>
      </c>
      <c r="I28" s="73">
        <f>IF(AND(ISNUMBER($G$28),ISNUMBER($H$28)),ABS($H$28-$G$28),"")</f>
        <v>0</v>
      </c>
      <c r="J28" s="74">
        <v>1E-09</v>
      </c>
      <c r="K28" s="44" t="str">
        <f>IF(AND(ISNUMBER($G$28),ISNUMBER($H$28)),IF(ABS($H$28-$G$28)&lt;=$J$28,"PASS","FAIL"),"FAIL")</f>
        <v>PASS</v>
      </c>
    </row>
    <row r="29" spans="2:11" ht="16.2" customHeight="1">
      <c r="B29" s="70">
        <v>19</v>
      </c>
      <c r="C29" s="67" t="s">
        <v>215</v>
      </c>
      <c r="D29" s="67"/>
      <c r="E29" s="67"/>
      <c r="F29" s="67"/>
      <c r="G29" s="66" t="s">
        <v>216</v>
      </c>
      <c r="H29" s="76" t="str">
        <f>$T$56</f>
        <v>Below target</v>
      </c>
      <c r="I29" s="76"/>
      <c r="J29" s="68" t="s">
        <v>200</v>
      </c>
      <c r="K29" s="44" t="str">
        <f>IF($H$29&amp;""=$G$29&amp;"","PASS","FAIL")</f>
        <v>PASS</v>
      </c>
    </row>
    <row r="30" spans="2:11" ht="16.2" customHeight="1">
      <c r="B30" s="70">
        <v>20</v>
      </c>
      <c r="C30" s="67" t="s">
        <v>217</v>
      </c>
      <c r="D30" s="67"/>
      <c r="E30" s="67"/>
      <c r="F30" s="67"/>
      <c r="G30" s="77">
        <v>25325</v>
      </c>
      <c r="H30" s="40">
        <f>$V$56</f>
        <v>25325</v>
      </c>
      <c r="I30" s="73">
        <f>IF(AND(ISNUMBER($G$30),ISNUMBER($H$30)),ABS($H$30-$G$30),"")</f>
        <v>0</v>
      </c>
      <c r="J30" s="74">
        <v>1E-06</v>
      </c>
      <c r="K30" s="44" t="str">
        <f>IF(AND(ISNUMBER($G$30),ISNUMBER($H$30)),IF(ABS($H$30-$G$30)&lt;=$J$30,"PASS","FAIL"),"FAIL")</f>
        <v>PASS</v>
      </c>
    </row>
    <row r="31" spans="2:11" ht="16.2" customHeight="1">
      <c r="B31" s="70">
        <v>21</v>
      </c>
      <c r="C31" s="67" t="s">
        <v>218</v>
      </c>
      <c r="D31" s="67"/>
      <c r="E31" s="67"/>
      <c r="F31" s="67"/>
      <c r="G31" s="78">
        <v>0</v>
      </c>
      <c r="H31" s="43">
        <f>$S$54</f>
        <v>0</v>
      </c>
      <c r="I31" s="73">
        <f>IF(AND(ISNUMBER($G$31),ISNUMBER($H$31)),ABS($H$31-$G$31),"")</f>
        <v>0</v>
      </c>
      <c r="J31" s="74">
        <v>1E-09</v>
      </c>
      <c r="K31" s="44" t="str">
        <f>IF(AND(ISNUMBER($G$31),ISNUMBER($H$31)),IF(ABS($H$31-$G$31)&lt;=$J$31,"PASS","FAIL"),"FAIL")</f>
        <v>PASS</v>
      </c>
    </row>
    <row r="32" spans="2:11" ht="16.2" customHeight="1">
      <c r="B32" s="70">
        <v>22</v>
      </c>
      <c r="C32" s="67" t="s">
        <v>219</v>
      </c>
      <c r="D32" s="67"/>
      <c r="E32" s="67"/>
      <c r="F32" s="67"/>
      <c r="G32" s="77">
        <v>4</v>
      </c>
      <c r="H32" s="40">
        <f>$O$55</f>
        <v>4</v>
      </c>
      <c r="I32" s="73">
        <f>IF(AND(ISNUMBER($G$32),ISNUMBER($H$32)),ABS($H$32-$G$32),"")</f>
        <v>0</v>
      </c>
      <c r="J32" s="74">
        <v>1E-09</v>
      </c>
      <c r="K32" s="44" t="str">
        <f>IF(AND(ISNUMBER($G$32),ISNUMBER($H$32)),IF(ABS($H$32-$G$32)&lt;=$J$32,"PASS","FAIL"),"FAIL")</f>
        <v>PASS</v>
      </c>
    </row>
    <row r="33" spans="2:12" ht="16.2" customHeight="1">
      <c r="B33" s="70">
        <v>23</v>
      </c>
      <c r="C33" s="67" t="s">
        <v>220</v>
      </c>
      <c r="D33" s="67"/>
      <c r="E33" s="67"/>
      <c r="F33" s="67"/>
      <c r="G33" s="66" t="s">
        <v>221</v>
      </c>
      <c r="H33" s="76" t="str">
        <f>$W$57</f>
        <v>Duplicate department and month</v>
      </c>
      <c r="I33" s="76"/>
      <c r="J33" s="68" t="s">
        <v>200</v>
      </c>
      <c r="K33" s="44" t="str">
        <f>IF($H$33&amp;""=$G$33&amp;"","PASS","FAIL")</f>
        <v>PASS</v>
      </c>
    </row>
    <row r="34" spans="2:12" ht="16.2" customHeight="1">
      <c r="B34" s="70">
        <v>24</v>
      </c>
      <c r="C34" s="67" t="s">
        <v>222</v>
      </c>
      <c r="D34" s="67"/>
      <c r="E34" s="67"/>
      <c r="F34" s="67"/>
      <c r="G34" s="71">
        <v>3.208333333333333</v>
      </c>
      <c r="H34" s="72">
        <f>IF(COUNT(tblVerifyPlan[Gap (heads)])=0,"",MAX(0,-MIN(tblVerifyPlan[Gap (heads)])))</f>
        <v>3.20833333333333</v>
      </c>
      <c r="I34" s="73">
        <f>IF(AND(ISNUMBER($G$34),ISNUMBER($H$34)),ABS($H$34-$G$34),"")</f>
        <v>0</v>
      </c>
      <c r="J34" s="74">
        <v>1E-09</v>
      </c>
      <c r="K34" s="44" t="str">
        <f>IF(AND(ISNUMBER($G$34),ISNUMBER($H$34)),IF(ABS($H$34-$G$34)&lt;=$J$34,"PASS","FAIL"),"FAIL")</f>
        <v>PASS</v>
      </c>
    </row>
    <row r="35" spans="2:12" ht="16.2" customHeight="1">
      <c r="B35" s="70">
        <v>25</v>
      </c>
      <c r="C35" s="67" t="s">
        <v>223</v>
      </c>
      <c r="D35" s="67"/>
      <c r="E35" s="67"/>
      <c r="F35" s="67"/>
      <c r="G35" s="75">
        <v>1</v>
      </c>
      <c r="H35" s="41">
        <f>COUNTIF(tblVerifyPlan[Status],"Below target")</f>
        <v>1</v>
      </c>
      <c r="I35" s="73">
        <f>IF(AND(ISNUMBER($G$35),ISNUMBER($H$35)),ABS($H$35-$G$35),"")</f>
        <v>0</v>
      </c>
      <c r="J35" s="74">
        <v>1E-09</v>
      </c>
      <c r="K35" s="44" t="str">
        <f>IF(AND(ISNUMBER($G$35),ISNUMBER($H$35)),IF(ABS($H$35-$G$35)&lt;=$J$35,"PASS","FAIL"),"FAIL")</f>
        <v>PASS</v>
      </c>
    </row>
    <row r="36" spans="2:12" ht="16.2" customHeight="1">
      <c r="B36" s="70">
        <v>26</v>
      </c>
      <c r="C36" s="67" t="s">
        <v>224</v>
      </c>
      <c r="D36" s="67"/>
      <c r="E36" s="67"/>
      <c r="F36" s="67"/>
      <c r="G36" s="71">
        <v>462</v>
      </c>
      <c r="H36" s="72">
        <f>SUM(tblVerifyPlan[Overtime (h)])</f>
        <v>462</v>
      </c>
      <c r="I36" s="73">
        <f>IF(AND(ISNUMBER($G$36),ISNUMBER($H$36)),ABS($H$36-$G$36),"")</f>
        <v>0</v>
      </c>
      <c r="J36" s="74">
        <v>1E-09</v>
      </c>
      <c r="K36" s="44" t="str">
        <f>IF(AND(ISNUMBER($G$36),ISNUMBER($H$36)),IF(ABS($H$36-$G$36)&lt;=$J$36,"PASS","FAIL"),"FAIL")</f>
        <v>PASS</v>
      </c>
    </row>
    <row r="37" spans="2:12" ht="16.2" customHeight="1">
      <c r="B37" s="70">
        <v>27</v>
      </c>
      <c r="C37" s="67" t="s">
        <v>225</v>
      </c>
      <c r="D37" s="67"/>
      <c r="E37" s="67"/>
      <c r="F37" s="67"/>
      <c r="G37" s="77">
        <v>208685</v>
      </c>
      <c r="H37" s="40">
        <f>SUM(tblVerifyPlan[Labour cost])</f>
        <v>208685</v>
      </c>
      <c r="I37" s="73">
        <f>IF(AND(ISNUMBER($G$37),ISNUMBER($H$37)),ABS($H$37-$G$37),"")</f>
        <v>0</v>
      </c>
      <c r="J37" s="74">
        <v>1E-06</v>
      </c>
      <c r="K37" s="44" t="str">
        <f>IF(AND(ISNUMBER($G$37),ISNUMBER($H$37)),IF(ABS($H$37-$G$37)&lt;=$J$37,"PASS","FAIL"),"FAIL")</f>
        <v>PASS</v>
      </c>
    </row>
    <row r="39" spans="2:12" ht="21" customHeight="1">
      <c r="B39" s="8" t="s">
        <v>226</v>
      </c>
      <c r="C39" s="8"/>
      <c r="D39" s="8"/>
      <c r="E39" s="8"/>
      <c r="F39" s="8"/>
      <c r="G39" s="8"/>
      <c r="H39" s="8"/>
      <c r="I39" s="8"/>
      <c r="J39" s="8"/>
      <c r="K39" s="8"/>
      <c r="L39" s="8"/>
    </row>
    <row r="40" spans="2:12" ht="5" customHeight="1"/>
    <row r="41" spans="2:12">
      <c r="B41" s="21" t="s">
        <v>227</v>
      </c>
      <c r="C41" s="21"/>
      <c r="D41" s="21"/>
      <c r="E41" s="21"/>
      <c r="F41" s="21"/>
      <c r="G41" s="21"/>
      <c r="H41" s="21"/>
      <c r="I41" s="21"/>
      <c r="J41" s="21"/>
      <c r="K41" s="21"/>
      <c r="L41" s="21"/>
    </row>
    <row r="42" spans="2:12">
      <c r="B42" s="32" t="s">
        <v>228</v>
      </c>
      <c r="C42" s="32"/>
      <c r="D42" s="32"/>
      <c r="E42" s="32"/>
      <c r="F42" s="32"/>
    </row>
    <row r="43" spans="2:12">
      <c r="B43" s="27" t="s">
        <v>229</v>
      </c>
      <c r="C43" s="27"/>
      <c r="D43" s="27"/>
      <c r="E43" s="77">
        <v>8</v>
      </c>
      <c r="F43" s="7"/>
    </row>
    <row r="44" spans="2:12">
      <c r="B44" s="27" t="s">
        <v>74</v>
      </c>
      <c r="C44" s="27"/>
      <c r="D44" s="27"/>
      <c r="E44" s="78">
        <v>0.1</v>
      </c>
      <c r="F44" s="7"/>
    </row>
    <row r="45" spans="2:12">
      <c r="B45" s="27" t="s">
        <v>230</v>
      </c>
      <c r="C45" s="27"/>
      <c r="D45" s="27"/>
      <c r="E45" s="78">
        <v>0.8</v>
      </c>
      <c r="F45" s="7"/>
    </row>
    <row r="46" spans="2:12">
      <c r="B46" s="27" t="s">
        <v>76</v>
      </c>
      <c r="C46" s="27"/>
      <c r="D46" s="27"/>
      <c r="E46" s="79">
        <v>0.1</v>
      </c>
      <c r="F46" s="7"/>
    </row>
    <row r="47" spans="2:12">
      <c r="B47" s="27" t="s">
        <v>77</v>
      </c>
      <c r="C47" s="27"/>
      <c r="D47" s="27"/>
      <c r="E47" s="77">
        <v>1.5</v>
      </c>
      <c r="F47" s="7"/>
    </row>
    <row r="49" spans="2:24">
      <c r="B49" s="32" t="s">
        <v>231</v>
      </c>
      <c r="C49" s="32"/>
      <c r="D49" s="32"/>
      <c r="E49" s="32"/>
      <c r="F49" s="32"/>
      <c r="G49" s="32"/>
      <c r="H49" s="32"/>
      <c r="I49" s="32"/>
      <c r="J49" s="32"/>
      <c r="K49" s="32"/>
      <c r="L49" s="32"/>
    </row>
    <row r="50" spans="2:24" ht="14" customHeight="1">
      <c r="B50" s="36"/>
      <c r="C50" s="36"/>
      <c r="D50" s="36"/>
      <c r="E50" s="36"/>
      <c r="F50" s="36"/>
      <c r="G50" s="36"/>
      <c r="H50" s="36"/>
      <c r="I50" s="36"/>
      <c r="J50" s="36"/>
      <c r="K50" s="36"/>
      <c r="L50" s="36"/>
      <c r="M50" s="36"/>
      <c r="N50" s="36"/>
      <c r="O50" s="36"/>
      <c r="P50" s="36"/>
      <c r="Q50" s="36"/>
      <c r="R50" s="36"/>
      <c r="S50" s="36"/>
      <c r="T50" s="36"/>
      <c r="U50" s="36" t="str">
        <f>Currency&amp;"/h"</f>
        <v>USD/h</v>
      </c>
      <c r="V50" s="36" t="str">
        <f>Currency</f>
        <v>USD</v>
      </c>
      <c r="W50" s="36"/>
      <c r="X50" s="36"/>
    </row>
    <row r="51" spans="2:24" ht="45.5" customHeight="1">
      <c r="B51" s="33" t="s">
        <v>60</v>
      </c>
      <c r="C51" s="33" t="s">
        <v>62</v>
      </c>
      <c r="D51" s="33" t="s">
        <v>92</v>
      </c>
      <c r="E51" s="33" t="s">
        <v>93</v>
      </c>
      <c r="F51" s="33" t="s">
        <v>94</v>
      </c>
      <c r="G51" s="33" t="s">
        <v>61</v>
      </c>
      <c r="H51" s="33" t="s">
        <v>63</v>
      </c>
      <c r="I51" s="33" t="s">
        <v>64</v>
      </c>
      <c r="J51" s="33" t="s">
        <v>95</v>
      </c>
      <c r="K51" s="33" t="s">
        <v>96</v>
      </c>
      <c r="L51" s="33" t="s">
        <v>97</v>
      </c>
      <c r="M51" s="33" t="s">
        <v>98</v>
      </c>
      <c r="N51" s="33" t="s">
        <v>99</v>
      </c>
      <c r="O51" s="33" t="s">
        <v>100</v>
      </c>
      <c r="P51" s="33" t="s">
        <v>101</v>
      </c>
      <c r="Q51" s="33" t="s">
        <v>102</v>
      </c>
      <c r="R51" s="33" t="s">
        <v>103</v>
      </c>
      <c r="S51" s="33" t="s">
        <v>104</v>
      </c>
      <c r="T51" s="33" t="s">
        <v>105</v>
      </c>
      <c r="U51" s="33" t="s">
        <v>65</v>
      </c>
      <c r="V51" s="33" t="s">
        <v>106</v>
      </c>
      <c r="W51" s="33" t="s">
        <v>107</v>
      </c>
      <c r="X51" s="33" t="s">
        <v>66</v>
      </c>
    </row>
    <row r="52" spans="2:24">
      <c r="B52" s="80">
        <v>46388</v>
      </c>
      <c r="C52" s="66" t="s">
        <v>232</v>
      </c>
      <c r="D52" s="75">
        <v>500</v>
      </c>
      <c r="E52" s="75">
        <v>0</v>
      </c>
      <c r="F52" s="75">
        <v>0</v>
      </c>
      <c r="G52" s="81">
        <v>20</v>
      </c>
      <c r="H52" s="77">
        <v>2</v>
      </c>
      <c r="I52" s="75">
        <v>10</v>
      </c>
      <c r="J52" s="41">
        <f>IF(tblVerifyPlan[[#This Row],[Month]]="","",tblVerifyPlan[[#This Row],[Demand (units)]]*tblVerifyPlan[[#This Row],[Std hours (h/unit)]])</f>
        <v>1000</v>
      </c>
      <c r="K52" s="39">
        <f>IF(tblVerifyPlan[[#This Row],[Month]]="","",tblVerifyPlan[[#This Row],[Working days]]*$E$43)</f>
        <v>160</v>
      </c>
      <c r="L52" s="39">
        <f>IF(tblVerifyPlan[[#This Row],[Month]]="","",tblVerifyPlan[[#This Row],[Paid per FTE (h)]]*(1-$E$44)*$E$45)</f>
        <v>115.2</v>
      </c>
      <c r="M52" s="39">
        <f>IF(tblVerifyPlan[[#This Row],[Month]]="","",IF(tblVerifyPlan[[#This Row],[Productive per FTE (h)]]&gt;0,tblVerifyPlan[[#This Row],[Required (h)]]/tblVerifyPlan[[#This Row],[Productive per FTE (h)]],""))</f>
        <v>8.68055555555556</v>
      </c>
      <c r="N52" s="41">
        <f>IF(tblVerifyPlan[[#This Row],[Month]]="","",tblVerifyPlan[[#This Row],[Heads at start (people)]]+SUMIFS(tblVerifyPlan[Hires (people)],tblVerifyPlan[Department],tblVerifyPlan[[#This Row],[Department]],tblVerifyPlan[Month],"&lt;="&amp;tblVerifyPlan[[#This Row],[Month]])-SUMIFS(tblVerifyPlan[Leavers (people)],tblVerifyPlan[Department],tblVerifyPlan[[#This Row],[Department]],tblVerifyPlan[Month],"&lt;="&amp;tblVerifyPlan[[#This Row],[Month]]))</f>
        <v>10</v>
      </c>
      <c r="O52" s="42">
        <f>IF(tblVerifyPlan[[#This Row],[Month]]="","",IF(tblVerifyPlan[[#This Row],[Required FTE]]="","",tblVerifyPlan[[#This Row],[Planned heads]]-tblVerifyPlan[[#This Row],[Required FTE]]))</f>
        <v>1.31944444444444</v>
      </c>
      <c r="P52" s="41">
        <f>IF(tblVerifyPlan[[#This Row],[Month]]="","",tblVerifyPlan[[#This Row],[Planned heads]]*tblVerifyPlan[[#This Row],[Productive per FTE (h)]])</f>
        <v>1152</v>
      </c>
      <c r="Q52" s="41">
        <f>IF(tblVerifyPlan[[#This Row],[Month]]="","",tblVerifyPlan[[#This Row],[Planned heads]]*tblVerifyPlan[[#This Row],[Paid per FTE (h)]]*(1-$E$44))</f>
        <v>1440</v>
      </c>
      <c r="R52" s="41">
        <f>IF(tblVerifyPlan[[#This Row],[Month]]="","",MAX(0,tblVerifyPlan[[#This Row],[Required (h)]]-tblVerifyPlan[[#This Row],[Capacity (h)]])/$E$45)</f>
        <v>0</v>
      </c>
      <c r="S52" s="43">
        <f>IF(tblVerifyPlan[[#This Row],[Month]]="","",IF(tblVerifyPlan[[#This Row],[Attended (h)]]&gt;0,tblVerifyPlan[[#This Row],[Overtime (h)]]/tblVerifyPlan[[#This Row],[Attended (h)]],""))</f>
        <v>0</v>
      </c>
      <c r="T52" s="44" t="str">
        <f>IF(tblVerifyPlan[[#This Row],[Month]]="","",IF(tblVerifyPlan[[#This Row],[Gap (heads)]]="","",IF(tblVerifyPlan[[#This Row],[Gap (heads)]]&gt;=0,"On target",IF(AND(ISNUMBER(tblVerifyPlan[[#This Row],[Overtime share]]),tblVerifyPlan[[#This Row],[Overtime share]]&lt;=$E$46),"Near target","Below target"))))</f>
        <v>On target</v>
      </c>
      <c r="U52" s="77">
        <v>30</v>
      </c>
      <c r="V52" s="41">
        <f>IF(tblVerifyPlan[[#This Row],[Month]]="","",(tblVerifyPlan[[#This Row],[Planned heads]]*tblVerifyPlan[[#This Row],[Paid per FTE (h)]]+tblVerifyPlan[[#This Row],[Overtime (h)]]*$E$47)*tblVerifyPlan[[#This Row],[Loaded rate (per h)]])</f>
        <v>48000</v>
      </c>
      <c r="W52" s="45" t="str">
        <f>IF(tblVerifyPlan[[#This Row],[Month]]="","",IF(tblVerifyPlan[[#This Row],[Department]]="","Missing department",IF(tblVerifyPlan[[#This Row],[Demand (units)]]="","Missing demand",IF(tblVerifyPlan[[#This Row],[Std hours (h/unit)]]="","Department not on Setup",IF(tblVerifyPlan[[#This Row],[Working days]]="","Month not on the Setup calendar",IF(COUNTIFS(tblVerifyPlan[Department],tblVerifyPlan[[#This Row],[Department]],tblVerifyPlan[Month],tblVerifyPlan[[#This Row],[Month]])&gt;1,"Duplicate department and month",IF(tblVerifyPlan[[#This Row],[Planned heads]]&lt;0,"More leavers than heads","OK")))))))</f>
        <v>OK</v>
      </c>
      <c r="X52" s="66" t="s">
        <v>109</v>
      </c>
    </row>
    <row r="53" spans="2:24">
      <c r="B53" s="80">
        <v>46419</v>
      </c>
      <c r="C53" s="66" t="s">
        <v>232</v>
      </c>
      <c r="D53" s="75">
        <v>560</v>
      </c>
      <c r="E53" s="75">
        <v>1</v>
      </c>
      <c r="F53" s="75">
        <v>1</v>
      </c>
      <c r="G53" s="81">
        <v>20</v>
      </c>
      <c r="H53" s="77">
        <v>2</v>
      </c>
      <c r="I53" s="75">
        <v>10</v>
      </c>
      <c r="J53" s="41">
        <f>IF(tblVerifyPlan[[#This Row],[Month]]="","",tblVerifyPlan[[#This Row],[Demand (units)]]*tblVerifyPlan[[#This Row],[Std hours (h/unit)]])</f>
        <v>1120</v>
      </c>
      <c r="K53" s="39">
        <f>IF(tblVerifyPlan[[#This Row],[Month]]="","",tblVerifyPlan[[#This Row],[Working days]]*$E$43)</f>
        <v>160</v>
      </c>
      <c r="L53" s="39">
        <f>IF(tblVerifyPlan[[#This Row],[Month]]="","",tblVerifyPlan[[#This Row],[Paid per FTE (h)]]*(1-$E$44)*$E$45)</f>
        <v>115.2</v>
      </c>
      <c r="M53" s="39">
        <f>IF(tblVerifyPlan[[#This Row],[Month]]="","",IF(tblVerifyPlan[[#This Row],[Productive per FTE (h)]]&gt;0,tblVerifyPlan[[#This Row],[Required (h)]]/tblVerifyPlan[[#This Row],[Productive per FTE (h)]],""))</f>
        <v>9.72222222222222</v>
      </c>
      <c r="N53" s="41">
        <f>IF(tblVerifyPlan[[#This Row],[Month]]="","",tblVerifyPlan[[#This Row],[Heads at start (people)]]+SUMIFS(tblVerifyPlan[Hires (people)],tblVerifyPlan[Department],tblVerifyPlan[[#This Row],[Department]],tblVerifyPlan[Month],"&lt;="&amp;tblVerifyPlan[[#This Row],[Month]])-SUMIFS(tblVerifyPlan[Leavers (people)],tblVerifyPlan[Department],tblVerifyPlan[[#This Row],[Department]],tblVerifyPlan[Month],"&lt;="&amp;tblVerifyPlan[[#This Row],[Month]]))</f>
        <v>10</v>
      </c>
      <c r="O53" s="42">
        <f>IF(tblVerifyPlan[[#This Row],[Month]]="","",IF(tblVerifyPlan[[#This Row],[Required FTE]]="","",tblVerifyPlan[[#This Row],[Planned heads]]-tblVerifyPlan[[#This Row],[Required FTE]]))</f>
        <v>0.277777777777779</v>
      </c>
      <c r="P53" s="41">
        <f>IF(tblVerifyPlan[[#This Row],[Month]]="","",tblVerifyPlan[[#This Row],[Planned heads]]*tblVerifyPlan[[#This Row],[Productive per FTE (h)]])</f>
        <v>1152</v>
      </c>
      <c r="Q53" s="41">
        <f>IF(tblVerifyPlan[[#This Row],[Month]]="","",tblVerifyPlan[[#This Row],[Planned heads]]*tblVerifyPlan[[#This Row],[Paid per FTE (h)]]*(1-$E$44))</f>
        <v>1440</v>
      </c>
      <c r="R53" s="41">
        <f>IF(tblVerifyPlan[[#This Row],[Month]]="","",MAX(0,tblVerifyPlan[[#This Row],[Required (h)]]-tblVerifyPlan[[#This Row],[Capacity (h)]])/$E$45)</f>
        <v>0</v>
      </c>
      <c r="S53" s="43">
        <f>IF(tblVerifyPlan[[#This Row],[Month]]="","",IF(tblVerifyPlan[[#This Row],[Attended (h)]]&gt;0,tblVerifyPlan[[#This Row],[Overtime (h)]]/tblVerifyPlan[[#This Row],[Attended (h)]],""))</f>
        <v>0</v>
      </c>
      <c r="T53" s="44" t="str">
        <f>IF(tblVerifyPlan[[#This Row],[Month]]="","",IF(tblVerifyPlan[[#This Row],[Gap (heads)]]="","",IF(tblVerifyPlan[[#This Row],[Gap (heads)]]&gt;=0,"On target",IF(AND(ISNUMBER(tblVerifyPlan[[#This Row],[Overtime share]]),tblVerifyPlan[[#This Row],[Overtime share]]&lt;=$E$46),"Near target","Below target"))))</f>
        <v>On target</v>
      </c>
      <c r="U53" s="77">
        <v>30</v>
      </c>
      <c r="V53" s="41">
        <f>IF(tblVerifyPlan[[#This Row],[Month]]="","",(tblVerifyPlan[[#This Row],[Planned heads]]*tblVerifyPlan[[#This Row],[Paid per FTE (h)]]+tblVerifyPlan[[#This Row],[Overtime (h)]]*$E$47)*tblVerifyPlan[[#This Row],[Loaded rate (per h)]])</f>
        <v>48000</v>
      </c>
      <c r="W53" s="45" t="str">
        <f>IF(tblVerifyPlan[[#This Row],[Month]]="","",IF(tblVerifyPlan[[#This Row],[Department]]="","Missing department",IF(tblVerifyPlan[[#This Row],[Demand (units)]]="","Missing demand",IF(tblVerifyPlan[[#This Row],[Std hours (h/unit)]]="","Department not on Setup",IF(tblVerifyPlan[[#This Row],[Working days]]="","Month not on the Setup calendar",IF(COUNTIFS(tblVerifyPlan[Department],tblVerifyPlan[[#This Row],[Department]],tblVerifyPlan[Month],tblVerifyPlan[[#This Row],[Month]])&gt;1,"Duplicate department and month",IF(tblVerifyPlan[[#This Row],[Planned heads]]&lt;0,"More leavers than heads","OK")))))))</f>
        <v>OK</v>
      </c>
      <c r="X53" s="66" t="s">
        <v>109</v>
      </c>
    </row>
    <row r="54" spans="2:24">
      <c r="B54" s="80">
        <v>46447</v>
      </c>
      <c r="C54" s="66" t="s">
        <v>232</v>
      </c>
      <c r="D54" s="75">
        <v>700</v>
      </c>
      <c r="E54" s="75">
        <v>2</v>
      </c>
      <c r="F54" s="75">
        <v>0</v>
      </c>
      <c r="G54" s="81">
        <v>22</v>
      </c>
      <c r="H54" s="77">
        <v>2</v>
      </c>
      <c r="I54" s="75">
        <v>10</v>
      </c>
      <c r="J54" s="41">
        <f>IF(tblVerifyPlan[[#This Row],[Month]]="","",tblVerifyPlan[[#This Row],[Demand (units)]]*tblVerifyPlan[[#This Row],[Std hours (h/unit)]])</f>
        <v>1400</v>
      </c>
      <c r="K54" s="39">
        <f>IF(tblVerifyPlan[[#This Row],[Month]]="","",tblVerifyPlan[[#This Row],[Working days]]*$E$43)</f>
        <v>176</v>
      </c>
      <c r="L54" s="39">
        <f>IF(tblVerifyPlan[[#This Row],[Month]]="","",tblVerifyPlan[[#This Row],[Paid per FTE (h)]]*(1-$E$44)*$E$45)</f>
        <v>126.72</v>
      </c>
      <c r="M54" s="39">
        <f>IF(tblVerifyPlan[[#This Row],[Month]]="","",IF(tblVerifyPlan[[#This Row],[Productive per FTE (h)]]&gt;0,tblVerifyPlan[[#This Row],[Required (h)]]/tblVerifyPlan[[#This Row],[Productive per FTE (h)]],""))</f>
        <v>11.0479797979798</v>
      </c>
      <c r="N54" s="41">
        <f>IF(tblVerifyPlan[[#This Row],[Month]]="","",tblVerifyPlan[[#This Row],[Heads at start (people)]]+SUMIFS(tblVerifyPlan[Hires (people)],tblVerifyPlan[Department],tblVerifyPlan[[#This Row],[Department]],tblVerifyPlan[Month],"&lt;="&amp;tblVerifyPlan[[#This Row],[Month]])-SUMIFS(tblVerifyPlan[Leavers (people)],tblVerifyPlan[Department],tblVerifyPlan[[#This Row],[Department]],tblVerifyPlan[Month],"&lt;="&amp;tblVerifyPlan[[#This Row],[Month]]))</f>
        <v>12</v>
      </c>
      <c r="O54" s="42">
        <f>IF(tblVerifyPlan[[#This Row],[Month]]="","",IF(tblVerifyPlan[[#This Row],[Required FTE]]="","",tblVerifyPlan[[#This Row],[Planned heads]]-tblVerifyPlan[[#This Row],[Required FTE]]))</f>
        <v>0.952020202020202</v>
      </c>
      <c r="P54" s="41">
        <f>IF(tblVerifyPlan[[#This Row],[Month]]="","",tblVerifyPlan[[#This Row],[Planned heads]]*tblVerifyPlan[[#This Row],[Productive per FTE (h)]])</f>
        <v>1520.64</v>
      </c>
      <c r="Q54" s="41">
        <f>IF(tblVerifyPlan[[#This Row],[Month]]="","",tblVerifyPlan[[#This Row],[Planned heads]]*tblVerifyPlan[[#This Row],[Paid per FTE (h)]]*(1-$E$44))</f>
        <v>1900.8</v>
      </c>
      <c r="R54" s="41">
        <f>IF(tblVerifyPlan[[#This Row],[Month]]="","",MAX(0,tblVerifyPlan[[#This Row],[Required (h)]]-tblVerifyPlan[[#This Row],[Capacity (h)]])/$E$45)</f>
        <v>0</v>
      </c>
      <c r="S54" s="43">
        <f>IF(tblVerifyPlan[[#This Row],[Month]]="","",IF(tblVerifyPlan[[#This Row],[Attended (h)]]&gt;0,tblVerifyPlan[[#This Row],[Overtime (h)]]/tblVerifyPlan[[#This Row],[Attended (h)]],""))</f>
        <v>0</v>
      </c>
      <c r="T54" s="44" t="str">
        <f>IF(tblVerifyPlan[[#This Row],[Month]]="","",IF(tblVerifyPlan[[#This Row],[Gap (heads)]]="","",IF(tblVerifyPlan[[#This Row],[Gap (heads)]]&gt;=0,"On target",IF(AND(ISNUMBER(tblVerifyPlan[[#This Row],[Overtime share]]),tblVerifyPlan[[#This Row],[Overtime share]]&lt;=$E$46),"Near target","Below target"))))</f>
        <v>On target</v>
      </c>
      <c r="U54" s="77">
        <v>30</v>
      </c>
      <c r="V54" s="41">
        <f>IF(tblVerifyPlan[[#This Row],[Month]]="","",(tblVerifyPlan[[#This Row],[Planned heads]]*tblVerifyPlan[[#This Row],[Paid per FTE (h)]]+tblVerifyPlan[[#This Row],[Overtime (h)]]*$E$47)*tblVerifyPlan[[#This Row],[Loaded rate (per h)]])</f>
        <v>63360</v>
      </c>
      <c r="W54" s="45" t="str">
        <f>IF(tblVerifyPlan[[#This Row],[Month]]="","",IF(tblVerifyPlan[[#This Row],[Department]]="","Missing department",IF(tblVerifyPlan[[#This Row],[Demand (units)]]="","Missing demand",IF(tblVerifyPlan[[#This Row],[Std hours (h/unit)]]="","Department not on Setup",IF(tblVerifyPlan[[#This Row],[Working days]]="","Month not on the Setup calendar",IF(COUNTIFS(tblVerifyPlan[Department],tblVerifyPlan[[#This Row],[Department]],tblVerifyPlan[Month],tblVerifyPlan[[#This Row],[Month]])&gt;1,"Duplicate department and month",IF(tblVerifyPlan[[#This Row],[Planned heads]]&lt;0,"More leavers than heads","OK")))))))</f>
        <v>OK</v>
      </c>
      <c r="X54" s="66" t="s">
        <v>109</v>
      </c>
    </row>
    <row r="55" spans="2:24">
      <c r="B55" s="80">
        <v>46388</v>
      </c>
      <c r="C55" s="66" t="s">
        <v>233</v>
      </c>
      <c r="D55" s="75">
        <v>0</v>
      </c>
      <c r="E55" s="75">
        <v>0</v>
      </c>
      <c r="F55" s="75">
        <v>0</v>
      </c>
      <c r="G55" s="81">
        <v>20</v>
      </c>
      <c r="H55" s="77">
        <v>0.5</v>
      </c>
      <c r="I55" s="75">
        <v>4</v>
      </c>
      <c r="J55" s="41">
        <f>IF(tblVerifyPlan[[#This Row],[Month]]="","",tblVerifyPlan[[#This Row],[Demand (units)]]*tblVerifyPlan[[#This Row],[Std hours (h/unit)]])</f>
        <v>0</v>
      </c>
      <c r="K55" s="39">
        <f>IF(tblVerifyPlan[[#This Row],[Month]]="","",tblVerifyPlan[[#This Row],[Working days]]*$E$43)</f>
        <v>160</v>
      </c>
      <c r="L55" s="39">
        <f>IF(tblVerifyPlan[[#This Row],[Month]]="","",tblVerifyPlan[[#This Row],[Paid per FTE (h)]]*(1-$E$44)*$E$45)</f>
        <v>115.2</v>
      </c>
      <c r="M55" s="39">
        <f>IF(tblVerifyPlan[[#This Row],[Month]]="","",IF(tblVerifyPlan[[#This Row],[Productive per FTE (h)]]&gt;0,tblVerifyPlan[[#This Row],[Required (h)]]/tblVerifyPlan[[#This Row],[Productive per FTE (h)]],""))</f>
        <v>0</v>
      </c>
      <c r="N55" s="41">
        <f>IF(tblVerifyPlan[[#This Row],[Month]]="","",tblVerifyPlan[[#This Row],[Heads at start (people)]]+SUMIFS(tblVerifyPlan[Hires (people)],tblVerifyPlan[Department],tblVerifyPlan[[#This Row],[Department]],tblVerifyPlan[Month],"&lt;="&amp;tblVerifyPlan[[#This Row],[Month]])-SUMIFS(tblVerifyPlan[Leavers (people)],tblVerifyPlan[Department],tblVerifyPlan[[#This Row],[Department]],tblVerifyPlan[Month],"&lt;="&amp;tblVerifyPlan[[#This Row],[Month]]))</f>
        <v>4</v>
      </c>
      <c r="O55" s="42">
        <f>IF(tblVerifyPlan[[#This Row],[Month]]="","",IF(tblVerifyPlan[[#This Row],[Required FTE]]="","",tblVerifyPlan[[#This Row],[Planned heads]]-tblVerifyPlan[[#This Row],[Required FTE]]))</f>
        <v>4</v>
      </c>
      <c r="P55" s="41">
        <f>IF(tblVerifyPlan[[#This Row],[Month]]="","",tblVerifyPlan[[#This Row],[Planned heads]]*tblVerifyPlan[[#This Row],[Productive per FTE (h)]])</f>
        <v>460.8</v>
      </c>
      <c r="Q55" s="41">
        <f>IF(tblVerifyPlan[[#This Row],[Month]]="","",tblVerifyPlan[[#This Row],[Planned heads]]*tblVerifyPlan[[#This Row],[Paid per FTE (h)]]*(1-$E$44))</f>
        <v>576</v>
      </c>
      <c r="R55" s="41">
        <f>IF(tblVerifyPlan[[#This Row],[Month]]="","",MAX(0,tblVerifyPlan[[#This Row],[Required (h)]]-tblVerifyPlan[[#This Row],[Capacity (h)]])/$E$45)</f>
        <v>0</v>
      </c>
      <c r="S55" s="43">
        <f>IF(tblVerifyPlan[[#This Row],[Month]]="","",IF(tblVerifyPlan[[#This Row],[Attended (h)]]&gt;0,tblVerifyPlan[[#This Row],[Overtime (h)]]/tblVerifyPlan[[#This Row],[Attended (h)]],""))</f>
        <v>0</v>
      </c>
      <c r="T55" s="44" t="str">
        <f>IF(tblVerifyPlan[[#This Row],[Month]]="","",IF(tblVerifyPlan[[#This Row],[Gap (heads)]]="","",IF(tblVerifyPlan[[#This Row],[Gap (heads)]]&gt;=0,"On target",IF(AND(ISNUMBER(tblVerifyPlan[[#This Row],[Overtime share]]),tblVerifyPlan[[#This Row],[Overtime share]]&lt;=$E$46),"Near target","Below target"))))</f>
        <v>On target</v>
      </c>
      <c r="U55" s="77">
        <v>25</v>
      </c>
      <c r="V55" s="41">
        <f>IF(tblVerifyPlan[[#This Row],[Month]]="","",(tblVerifyPlan[[#This Row],[Planned heads]]*tblVerifyPlan[[#This Row],[Paid per FTE (h)]]+tblVerifyPlan[[#This Row],[Overtime (h)]]*$E$47)*tblVerifyPlan[[#This Row],[Loaded rate (per h)]])</f>
        <v>16000</v>
      </c>
      <c r="W55" s="45" t="str">
        <f>IF(tblVerifyPlan[[#This Row],[Month]]="","",IF(tblVerifyPlan[[#This Row],[Department]]="","Missing department",IF(tblVerifyPlan[[#This Row],[Demand (units)]]="","Missing demand",IF(tblVerifyPlan[[#This Row],[Std hours (h/unit)]]="","Department not on Setup",IF(tblVerifyPlan[[#This Row],[Working days]]="","Month not on the Setup calendar",IF(COUNTIFS(tblVerifyPlan[Department],tblVerifyPlan[[#This Row],[Department]],tblVerifyPlan[Month],tblVerifyPlan[[#This Row],[Month]])&gt;1,"Duplicate department and month",IF(tblVerifyPlan[[#This Row],[Planned heads]]&lt;0,"More leavers than heads","OK")))))))</f>
        <v>OK</v>
      </c>
      <c r="X55" s="66" t="s">
        <v>109</v>
      </c>
    </row>
    <row r="56" spans="2:24">
      <c r="B56" s="80">
        <v>46419</v>
      </c>
      <c r="C56" s="66" t="s">
        <v>233</v>
      </c>
      <c r="D56" s="75">
        <v>1200</v>
      </c>
      <c r="E56" s="75">
        <v>0</v>
      </c>
      <c r="F56" s="75">
        <v>2</v>
      </c>
      <c r="G56" s="81">
        <v>20</v>
      </c>
      <c r="H56" s="77">
        <v>0.5</v>
      </c>
      <c r="I56" s="75">
        <v>4</v>
      </c>
      <c r="J56" s="41">
        <f>IF(tblVerifyPlan[[#This Row],[Month]]="","",tblVerifyPlan[[#This Row],[Demand (units)]]*tblVerifyPlan[[#This Row],[Std hours (h/unit)]])</f>
        <v>600</v>
      </c>
      <c r="K56" s="39">
        <f>IF(tblVerifyPlan[[#This Row],[Month]]="","",tblVerifyPlan[[#This Row],[Working days]]*$E$43)</f>
        <v>160</v>
      </c>
      <c r="L56" s="39">
        <f>IF(tblVerifyPlan[[#This Row],[Month]]="","",tblVerifyPlan[[#This Row],[Paid per FTE (h)]]*(1-$E$44)*$E$45)</f>
        <v>115.2</v>
      </c>
      <c r="M56" s="39">
        <f>IF(tblVerifyPlan[[#This Row],[Month]]="","",IF(tblVerifyPlan[[#This Row],[Productive per FTE (h)]]&gt;0,tblVerifyPlan[[#This Row],[Required (h)]]/tblVerifyPlan[[#This Row],[Productive per FTE (h)]],""))</f>
        <v>5.20833333333333</v>
      </c>
      <c r="N56" s="41">
        <f>IF(tblVerifyPlan[[#This Row],[Month]]="","",tblVerifyPlan[[#This Row],[Heads at start (people)]]+SUMIFS(tblVerifyPlan[Hires (people)],tblVerifyPlan[Department],tblVerifyPlan[[#This Row],[Department]],tblVerifyPlan[Month],"&lt;="&amp;tblVerifyPlan[[#This Row],[Month]])-SUMIFS(tblVerifyPlan[Leavers (people)],tblVerifyPlan[Department],tblVerifyPlan[[#This Row],[Department]],tblVerifyPlan[Month],"&lt;="&amp;tblVerifyPlan[[#This Row],[Month]]))</f>
        <v>2</v>
      </c>
      <c r="O56" s="42">
        <f>IF(tblVerifyPlan[[#This Row],[Month]]="","",IF(tblVerifyPlan[[#This Row],[Required FTE]]="","",tblVerifyPlan[[#This Row],[Planned heads]]-tblVerifyPlan[[#This Row],[Required FTE]]))</f>
        <v>-3.20833333333333</v>
      </c>
      <c r="P56" s="41">
        <f>IF(tblVerifyPlan[[#This Row],[Month]]="","",tblVerifyPlan[[#This Row],[Planned heads]]*tblVerifyPlan[[#This Row],[Productive per FTE (h)]])</f>
        <v>230.4</v>
      </c>
      <c r="Q56" s="41">
        <f>IF(tblVerifyPlan[[#This Row],[Month]]="","",tblVerifyPlan[[#This Row],[Planned heads]]*tblVerifyPlan[[#This Row],[Paid per FTE (h)]]*(1-$E$44))</f>
        <v>288</v>
      </c>
      <c r="R56" s="41">
        <f>IF(tblVerifyPlan[[#This Row],[Month]]="","",MAX(0,tblVerifyPlan[[#This Row],[Required (h)]]-tblVerifyPlan[[#This Row],[Capacity (h)]])/$E$45)</f>
        <v>462</v>
      </c>
      <c r="S56" s="43">
        <f>IF(tblVerifyPlan[[#This Row],[Month]]="","",IF(tblVerifyPlan[[#This Row],[Attended (h)]]&gt;0,tblVerifyPlan[[#This Row],[Overtime (h)]]/tblVerifyPlan[[#This Row],[Attended (h)]],""))</f>
        <v>1.60416666666667</v>
      </c>
      <c r="T56" s="44" t="str">
        <f>IF(tblVerifyPlan[[#This Row],[Month]]="","",IF(tblVerifyPlan[[#This Row],[Gap (heads)]]="","",IF(tblVerifyPlan[[#This Row],[Gap (heads)]]&gt;=0,"On target",IF(AND(ISNUMBER(tblVerifyPlan[[#This Row],[Overtime share]]),tblVerifyPlan[[#This Row],[Overtime share]]&lt;=$E$46),"Near target","Below target"))))</f>
        <v>Below target</v>
      </c>
      <c r="U56" s="77">
        <v>25</v>
      </c>
      <c r="V56" s="41">
        <f>IF(tblVerifyPlan[[#This Row],[Month]]="","",(tblVerifyPlan[[#This Row],[Planned heads]]*tblVerifyPlan[[#This Row],[Paid per FTE (h)]]+tblVerifyPlan[[#This Row],[Overtime (h)]]*$E$47)*tblVerifyPlan[[#This Row],[Loaded rate (per h)]])</f>
        <v>25325</v>
      </c>
      <c r="W56" s="45" t="str">
        <f>IF(tblVerifyPlan[[#This Row],[Month]]="","",IF(tblVerifyPlan[[#This Row],[Department]]="","Missing department",IF(tblVerifyPlan[[#This Row],[Demand (units)]]="","Missing demand",IF(tblVerifyPlan[[#This Row],[Std hours (h/unit)]]="","Department not on Setup",IF(tblVerifyPlan[[#This Row],[Working days]]="","Month not on the Setup calendar",IF(COUNTIFS(tblVerifyPlan[Department],tblVerifyPlan[[#This Row],[Department]],tblVerifyPlan[Month],tblVerifyPlan[[#This Row],[Month]])&gt;1,"Duplicate department and month",IF(tblVerifyPlan[[#This Row],[Planned heads]]&lt;0,"More leavers than heads","OK")))))))</f>
        <v>Duplicate department and month</v>
      </c>
      <c r="X56" s="66" t="s">
        <v>109</v>
      </c>
    </row>
    <row r="57" spans="2:24">
      <c r="B57" s="80">
        <v>46419</v>
      </c>
      <c r="C57" s="66" t="s">
        <v>233</v>
      </c>
      <c r="D57" s="75">
        <v>100</v>
      </c>
      <c r="E57" s="75">
        <v>0</v>
      </c>
      <c r="F57" s="75">
        <v>0</v>
      </c>
      <c r="G57" s="81">
        <v>20</v>
      </c>
      <c r="H57" s="77">
        <v>0.5</v>
      </c>
      <c r="I57" s="75">
        <v>4</v>
      </c>
      <c r="J57" s="41">
        <f>IF(tblVerifyPlan[[#This Row],[Month]]="","",tblVerifyPlan[[#This Row],[Demand (units)]]*tblVerifyPlan[[#This Row],[Std hours (h/unit)]])</f>
        <v>50</v>
      </c>
      <c r="K57" s="39">
        <f>IF(tblVerifyPlan[[#This Row],[Month]]="","",tblVerifyPlan[[#This Row],[Working days]]*$E$43)</f>
        <v>160</v>
      </c>
      <c r="L57" s="39">
        <f>IF(tblVerifyPlan[[#This Row],[Month]]="","",tblVerifyPlan[[#This Row],[Paid per FTE (h)]]*(1-$E$44)*$E$45)</f>
        <v>115.2</v>
      </c>
      <c r="M57" s="39">
        <f>IF(tblVerifyPlan[[#This Row],[Month]]="","",IF(tblVerifyPlan[[#This Row],[Productive per FTE (h)]]&gt;0,tblVerifyPlan[[#This Row],[Required (h)]]/tblVerifyPlan[[#This Row],[Productive per FTE (h)]],""))</f>
        <v>0.434027777777778</v>
      </c>
      <c r="N57" s="41">
        <f>IF(tblVerifyPlan[[#This Row],[Month]]="","",tblVerifyPlan[[#This Row],[Heads at start (people)]]+SUMIFS(tblVerifyPlan[Hires (people)],tblVerifyPlan[Department],tblVerifyPlan[[#This Row],[Department]],tblVerifyPlan[Month],"&lt;="&amp;tblVerifyPlan[[#This Row],[Month]])-SUMIFS(tblVerifyPlan[Leavers (people)],tblVerifyPlan[Department],tblVerifyPlan[[#This Row],[Department]],tblVerifyPlan[Month],"&lt;="&amp;tblVerifyPlan[[#This Row],[Month]]))</f>
        <v>2</v>
      </c>
      <c r="O57" s="42">
        <f>IF(tblVerifyPlan[[#This Row],[Month]]="","",IF(tblVerifyPlan[[#This Row],[Required FTE]]="","",tblVerifyPlan[[#This Row],[Planned heads]]-tblVerifyPlan[[#This Row],[Required FTE]]))</f>
        <v>1.56597222222222</v>
      </c>
      <c r="P57" s="41">
        <f>IF(tblVerifyPlan[[#This Row],[Month]]="","",tblVerifyPlan[[#This Row],[Planned heads]]*tblVerifyPlan[[#This Row],[Productive per FTE (h)]])</f>
        <v>230.4</v>
      </c>
      <c r="Q57" s="41">
        <f>IF(tblVerifyPlan[[#This Row],[Month]]="","",tblVerifyPlan[[#This Row],[Planned heads]]*tblVerifyPlan[[#This Row],[Paid per FTE (h)]]*(1-$E$44))</f>
        <v>288</v>
      </c>
      <c r="R57" s="41">
        <f>IF(tblVerifyPlan[[#This Row],[Month]]="","",MAX(0,tblVerifyPlan[[#This Row],[Required (h)]]-tblVerifyPlan[[#This Row],[Capacity (h)]])/$E$45)</f>
        <v>0</v>
      </c>
      <c r="S57" s="43">
        <f>IF(tblVerifyPlan[[#This Row],[Month]]="","",IF(tblVerifyPlan[[#This Row],[Attended (h)]]&gt;0,tblVerifyPlan[[#This Row],[Overtime (h)]]/tblVerifyPlan[[#This Row],[Attended (h)]],""))</f>
        <v>0</v>
      </c>
      <c r="T57" s="44" t="str">
        <f>IF(tblVerifyPlan[[#This Row],[Month]]="","",IF(tblVerifyPlan[[#This Row],[Gap (heads)]]="","",IF(tblVerifyPlan[[#This Row],[Gap (heads)]]&gt;=0,"On target",IF(AND(ISNUMBER(tblVerifyPlan[[#This Row],[Overtime share]]),tblVerifyPlan[[#This Row],[Overtime share]]&lt;=$E$46),"Near target","Below target"))))</f>
        <v>On target</v>
      </c>
      <c r="U57" s="77">
        <v>25</v>
      </c>
      <c r="V57" s="41">
        <f>IF(tblVerifyPlan[[#This Row],[Month]]="","",(tblVerifyPlan[[#This Row],[Planned heads]]*tblVerifyPlan[[#This Row],[Paid per FTE (h)]]+tblVerifyPlan[[#This Row],[Overtime (h)]]*$E$47)*tblVerifyPlan[[#This Row],[Loaded rate (per h)]])</f>
        <v>8000</v>
      </c>
      <c r="W57" s="45" t="str">
        <f>IF(tblVerifyPlan[[#This Row],[Month]]="","",IF(tblVerifyPlan[[#This Row],[Department]]="","Missing department",IF(tblVerifyPlan[[#This Row],[Demand (units)]]="","Missing demand",IF(tblVerifyPlan[[#This Row],[Std hours (h/unit)]]="","Department not on Setup",IF(tblVerifyPlan[[#This Row],[Working days]]="","Month not on the Setup calendar",IF(COUNTIFS(tblVerifyPlan[Department],tblVerifyPlan[[#This Row],[Department]],tblVerifyPlan[Month],tblVerifyPlan[[#This Row],[Month]])&gt;1,"Duplicate department and month",IF(tblVerifyPlan[[#This Row],[Planned heads]]&lt;0,"More leavers than heads","OK")))))))</f>
        <v>Duplicate department and month</v>
      </c>
      <c r="X57" s="66" t="s">
        <v>109</v>
      </c>
    </row>
  </sheetData>
  <sheetProtection sheet="1" formatColumns="0" formatRows="0"/>
  <mergeCells count="44">
    <mergeCell ref="A1:X1"/>
    <mergeCell ref="B2:W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B39:L39"/>
    <mergeCell ref="B41:L41"/>
    <mergeCell ref="B42:F42"/>
    <mergeCell ref="B43:D43"/>
    <mergeCell ref="B44:D44"/>
    <mergeCell ref="B45:D45"/>
    <mergeCell ref="B46:D46"/>
    <mergeCell ref="B47:D47"/>
    <mergeCell ref="B49:L4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W52:W57">
    <cfRule type="expression" dxfId="3" priority="41">
      <formula>$W52="OK"</formula>
    </cfRule>
    <cfRule type="expression" dxfId="1" priority="42">
      <formula>AND($W52&lt;&gt;"",$W52&lt;&gt;"OK")</formula>
    </cfRule>
  </conditionalFormatting>
  <hyperlinks>
    <hyperlink ref="X2" r:id="rId1" tooltip="Free manufacturing calculators and templates"/>
  </hyperlinks>
  <printOptions horizontalCentered="1"/>
  <pageMargins left="0.4" right="0.4" top="0.7" bottom="0.65" header="0.3" footer="0.3"/>
  <pageSetup fitToHeight="0" orientation="landscape"/>
  <headerFooter>
    <oddHeader>&amp;L&amp;8MFG Calcs - Production Headcount Plan&amp;R&amp;8&amp;A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21</vt:i4>
      </vt:variant>
    </vt:vector>
  </HeadingPairs>
  <TitlesOfParts>
    <vt:vector size="27" baseType="lpstr">
      <vt:lpstr>Start Here</vt:lpstr>
      <vt:lpstr>Setup</vt:lpstr>
      <vt:lpstr>Headcount Plan</vt:lpstr>
      <vt:lpstr>Dashboard</vt:lpstr>
      <vt:lpstr>Method</vt:lpstr>
      <vt:lpstr>Verify</vt:lpstr>
      <vt:lpstr>AbsenceRate</vt:lpstr>
      <vt:lpstr>Currency</vt:lpstr>
      <vt:lpstr>KpiBeyond</vt:lpstr>
      <vt:lpstr>KpiCost</vt:lpstr>
      <vt:lpstr>KpiOT</vt:lpstr>
      <vt:lpstr>KpiShortfall</vt:lpstr>
      <vt:lpstr>OTCap</vt:lpstr>
      <vt:lpstr>OTPremium</vt:lpstr>
      <vt:lpstr>PaidHoursDay</vt:lpstr>
      <vt:lpstr>PlantName</vt:lpstr>
      <vt:lpstr>Dashboard!Print_Area</vt:lpstr>
      <vt:lpstr>'Headcount Plan'!Print_Area</vt:lpstr>
      <vt:lpstr>Method!Print_Area</vt:lpstr>
      <vt:lpstr>Setup!Print_Area</vt:lpstr>
      <vt:lpstr>'Start Here'!Print_Area</vt:lpstr>
      <vt:lpstr>Verify!Print_Area</vt:lpstr>
      <vt:lpstr>'Headcount Plan'!Print_Titles</vt:lpstr>
      <vt:lpstr>Method!Print_Titles</vt:lpstr>
      <vt:lpstr>ProdShare</vt:lpstr>
      <vt:lpstr>SelfCheck</vt:lpstr>
      <vt:lpstr>SelfCheckSummary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Production Headcount Plan - free Excel template from MFG Calcs</dc:title>
  <dc:subject>Turn monthly demand into required people by department, plan hires against leavers, and see the gap, the overtime to cover it and the labour cost for the year.</dc:subject>
  <dc:creator>MFG Calcs</dc:creator>
  <cp:keywords>headcount plan, manpower planning, workforce planning, FTE, labour budget, hiring plan, attrition, overtime</cp:keywords>
  <dc:description>https://www.mfgcalcs.com/templates/headcount-plan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headcount-plan</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planner</vt:lpwstr>
  </property>
  <property fmtid="{D5CDD505-2E9C-101B-9397-08002B2CF9AE}" pid="6" name="Template URL">
    <vt:lpwstr>https://www.mfgcalcs.com/templates/headcount-plan</vt:lpwstr>
  </property>
  <property fmtid="{D5CDD505-2E9C-101B-9397-08002B2CF9AE}" pid="7" name="Template sheet roles">
    <vt:lpwstr>Start Here=start;Setup=setup;Headcount Plan=work;Dashboard=dashboard;Method=method;Verify=verify</vt:lpwstr>
  </property>
</Properties>
</file>