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Estimate" sheetId="3" r:id="rId3"/>
    <sheet name="Dashboard" sheetId="4" r:id="rId4"/>
    <sheet name="Method" sheetId="5" r:id="rId5"/>
    <sheet name="Verify" sheetId="6" r:id="rId6"/>
  </sheets>
  <definedNames>
    <definedName name="BreakList">Estimate!$D$64:$H$64</definedName>
    <definedName name="CompCost">Estimate!$C$41</definedName>
    <definedName name="CoName">Setup!$C$6</definedName>
    <definedName name="Currency">Setup!$C$7</definedName>
    <definedName name="Customer">Estimate!$C$8</definedName>
    <definedName name="CutLen">Estimate!$C$24</definedName>
    <definedName name="CutoffA">Estimate!$C$22</definedName>
    <definedName name="CutoffB">Estimate!$C$23</definedName>
    <definedName name="CutPriced">Estimate!$C$27</definedName>
    <definedName name="CutWaste">Estimate!$C$21</definedName>
    <definedName name="DashBreak">Dashboard!$C$4</definedName>
    <definedName name="DimUnit">Estimate!$C$17</definedName>
    <definedName name="FitA">Estimate!$C$19</definedName>
    <definedName name="FitB">Estimate!$C$20</definedName>
    <definedName name="FitCost">Estimate!$C$29</definedName>
    <definedName name="Fittings">tblFittings[Fitting]</definedName>
    <definedName name="FixedJob">Estimate!$C$59</definedName>
    <definedName name="FixedJobCost">Estimate!$C$60</definedName>
    <definedName name="Hose">Estimate!$C$16</definedName>
    <definedName name="HoseCost">Estimate!$C$28</definedName>
    <definedName name="HosePer">Estimate!$C$25</definedName>
    <definedName name="HosePrice">Estimate!$C$26</definedName>
    <definedName name="Hoses">tblHoses[Hose]</definedName>
    <definedName name="KpiCost">Dashboard!$D$8</definedName>
    <definedName name="KpiCut">Dashboard!$J$8</definedName>
    <definedName name="KpiMargin">Dashboard!$G$8</definedName>
    <definedName name="KpiPrice">Dashboard!$B$8</definedName>
    <definedName name="LabourPer">Estimate!$C$56</definedName>
    <definedName name="LabourRate">Setup!$C$8</definedName>
    <definedName name="LenCheck">Estimate!$C$30</definedName>
    <definedName name="Markup">Setup!$C$10</definedName>
    <definedName name="OAL">Estimate!$C$18</definedName>
    <definedName name="Overhead">Setup!$C$9</definedName>
    <definedName name="PartDesc">Estimate!$C$10</definedName>
    <definedName name="PartNo">Estimate!$C$9</definedName>
    <definedName name="PreparedBy">Estimate!$C$12</definedName>
    <definedName name="_xlnm.Print_Area" localSheetId="3">Dashboard!$A$1:$L$45</definedName>
    <definedName name="_xlnm.Print_Area" localSheetId="2">Estimate!$A$1:$K$75</definedName>
    <definedName name="_xlnm.Print_Area" localSheetId="4">Method!$A$1:$D$57</definedName>
    <definedName name="_xlnm.Print_Area" localSheetId="1">Setup!$A$1:$F$31</definedName>
    <definedName name="_xlnm.Print_Area" localSheetId="0">'Start Here'!$A$1:$F$56</definedName>
    <definedName name="_xlnm.Print_Area" localSheetId="5">Verify!$A$1:$L$111</definedName>
    <definedName name="_xlnm.Print_Titles" localSheetId="4">Method!$1:$2</definedName>
    <definedName name="QuoteDate">Estimate!$C$11</definedName>
    <definedName name="RoundStep">Setup!$C$11</definedName>
    <definedName name="SecsPer">Estimate!$C$57</definedName>
    <definedName name="SelfCheck">Verify!$D$4</definedName>
    <definedName name="SelfCheckSummary">Verify!$F$4</definedName>
    <definedName name="SelIdx">IFERROR(MATCH(DashBreak,Estimate!$D$64:$H$64,0),1)</definedName>
    <definedName name="SetupMin">Estimate!$C$58</definedName>
    <definedName name="ToolingCharge">Setup!$C$12</definedName>
  </definedNames>
  <calcPr calcId="124519" fullCalcOnLoad="1"/>
</workbook>
</file>

<file path=xl/sharedStrings.xml><?xml version="1.0" encoding="utf-8"?>
<sst xmlns="http://schemas.openxmlformats.org/spreadsheetml/2006/main" count="478" uniqueCount="268">
  <si>
    <t>Hose Assembly Cost Estimator</t>
  </si>
  <si>
    <t>Read this first: what the workbook does and how to use it.</t>
  </si>
  <si>
    <t>mfgcalcs.com</t>
  </si>
  <si>
    <t>Cost a hydraulic or industrial hose assembly from its overall length and fittings: hose, fittings, extras, labour and fixed job cost, priced cost-plus for five quantities.</t>
  </si>
  <si>
    <t>For: Estimators, counter staff and owners of hose and fluid power shops, and buyers checking a hose assembly quote.</t>
  </si>
  <si>
    <t>Version 1.0.0  ·  updated 24 October 2026</t>
  </si>
  <si>
    <t>Quick start</t>
  </si>
  <si>
    <t>1.</t>
  </si>
  <si>
    <t>On Setup, type your company name, currency, labour rate, overhead, markup and price step, then your hose and fitting catalogue with prices and cut-off allowances.</t>
  </si>
  <si>
    <t>2.</t>
  </si>
  <si>
    <t>On Estimate, pick the hose, the length unit and the two end fittings, and type the overall length and cut waste.</t>
  </si>
  <si>
    <t>3.</t>
  </si>
  <si>
    <t>Add the extras (sleeve, caps, tags, adapters) and check the labour operations and their times.</t>
  </si>
  <si>
    <t>4.</t>
  </si>
  <si>
    <t>Type five quantities and read the cost per assembly, unit price and margin for each.</t>
  </si>
  <si>
    <t>5.</t>
  </si>
  <si>
    <t>On the Dashboard, pick a quantity to see the tiles, the two charts and where the cost goes.</t>
  </si>
  <si>
    <t>What is in this workbook</t>
  </si>
  <si>
    <t>Start Here</t>
  </si>
  <si>
    <t>Setup</t>
  </si>
  <si>
    <t>Your company, currency, labour rate, overhead, markup, price step, and the hose and fitting catalogue.</t>
  </si>
  <si>
    <t>Estimate</t>
  </si>
  <si>
    <t>The assembly, hose and cut length, fittings and extras, labour, and five quantities.</t>
  </si>
  <si>
    <t>Dashboard</t>
  </si>
  <si>
    <t>Unit price, cost and margin at the quantity you pick, the cut length, and where the cost of a hose assembly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</si>
  <si>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</si>
  <si>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</si>
  <si>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</si>
  <si>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</si>
  <si>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</si>
  <si>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</si>
  <si>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</si>
  <si>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</si>
  <si>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</si>
  <si>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</si>
  <si>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</si>
  <si>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</si>
  <si>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</si>
  <si>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</si>
  <si>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</si>
  <si>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</si>
  <si>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</si>
  <si>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</si>
  <si>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</si>
  <si>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</si>
  <si>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Cost per Hose Assembly Calculator on mfgcalcs.com</t>
  </si>
  <si>
    <t>Latest version</t>
  </si>
  <si>
    <t>mfgcalcs.com/templates/hose-assembly-cost</t>
  </si>
  <si>
    <t>More free templates</t>
  </si>
  <si>
    <t>mfgcalcs.com/templates</t>
  </si>
  <si>
    <t>Version</t>
  </si>
  <si>
    <t>1.0.0 (updated 24 October 2026)</t>
  </si>
  <si>
    <t>About the example data</t>
  </si>
  <si>
    <t>Every number already in this workbook is example data for Northgate Hydraulics, a fictional business invented for this template, so the dashboard and charts show something meaningful on day one. The example costs a 36 in SAE 100R2AT -08 assembly with a straight and a 90 degree JIC female swivel end for a fictional customer; all prices, allowances and times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</si>
  <si>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</si>
  <si>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</si>
  <si>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</si>
  <si>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</si>
  <si>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</si>
  <si>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</si>
  <si>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</si>
  <si>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</si>
  <si>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Hose</t>
  </si>
  <si>
    <t>Price</t>
  </si>
  <si>
    <t>Per</t>
  </si>
  <si>
    <t>Notes</t>
  </si>
  <si>
    <t>Fitting</t>
  </si>
  <si>
    <t>Cut-off</t>
  </si>
  <si>
    <t>Unit price</t>
  </si>
  <si>
    <t>Company and pricing</t>
  </si>
  <si>
    <t>Company name</t>
  </si>
  <si>
    <t>Northgate Hydraulics (example)</t>
  </si>
  <si>
    <t>Currency label</t>
  </si>
  <si>
    <t>USD</t>
  </si>
  <si>
    <t>Labour rate</t>
  </si>
  <si>
    <t>Overhead on labour</t>
  </si>
  <si>
    <t>Markup on cost</t>
  </si>
  <si>
    <t>Round unit prices up to the nearest</t>
  </si>
  <si>
    <t>Tooling charge per order</t>
  </si>
  <si>
    <t>Hose and fitting catalogue</t>
  </si>
  <si>
    <t>Prices and cut-off allowances are examples: use your supplier's price list and your fitting catalogue's cut-off (or cut-back) values. Cut-off is in the same length unit you choose on the Estimate.</t>
  </si>
  <si>
    <t>Hoses (example prices)</t>
  </si>
  <si>
    <t>SAE 100R2AT 2-wire, -08 (1/2 in)</t>
  </si>
  <si>
    <t>ft</t>
  </si>
  <si>
    <t>Example price; use your supplier's</t>
  </si>
  <si>
    <t>SAE 100R1AT 1-wire, -08 (1/2 in)</t>
  </si>
  <si>
    <t>Example price</t>
  </si>
  <si>
    <t>EN 853 2SN, DN12</t>
  </si>
  <si>
    <t>m</t>
  </si>
  <si>
    <t>Example price per metre</t>
  </si>
  <si>
    <t>SAE 100R7 thermoplastic, -06 (3/8 in)</t>
  </si>
  <si>
    <t>Fittings with ferrules (example prices)</t>
  </si>
  <si>
    <t>JIC 37 female swivel, straight, -08</t>
  </si>
  <si>
    <t>Fitting and ferrule; cut-off in the Estimate's length unit</t>
  </si>
  <si>
    <t>JIC 37 female swivel, 90 elbow, -08</t>
  </si>
  <si>
    <t>Fitting and ferrule</t>
  </si>
  <si>
    <t>ORFS female swivel, straight, -08</t>
  </si>
  <si>
    <t>NPTF male, straight, -08</t>
  </si>
  <si>
    <t>Component</t>
  </si>
  <si>
    <t>Qty per assembly</t>
  </si>
  <si>
    <t>Cost per assembly</t>
  </si>
  <si>
    <t>Operation</t>
  </si>
  <si>
    <t>Seconds per assembly</t>
  </si>
  <si>
    <t>Setup (min)</t>
  </si>
  <si>
    <t>Setup cost</t>
  </si>
  <si>
    <t>Check</t>
  </si>
  <si>
    <t>Example for Northgate Hydraulics (fictional). Overwrite the yellow cells with your assembly; edit or delete the example table rows. Blue cells calculate. The Dashboard fills from here.</t>
  </si>
  <si>
    <t>Assembly and quote</t>
  </si>
  <si>
    <t>Customer</t>
  </si>
  <si>
    <t>Brightwell Equipment (example)</t>
  </si>
  <si>
    <t>Assembly number</t>
  </si>
  <si>
    <t>HA-08-0036-JJ90</t>
  </si>
  <si>
    <t>Description</t>
  </si>
  <si>
    <t>36 in -08 2-wire hose, JIC female swivel straight x 90 elbow, sleeved</t>
  </si>
  <si>
    <t>Date</t>
  </si>
  <si>
    <t>Prepared by</t>
  </si>
  <si>
    <t>Counter sales</t>
  </si>
  <si>
    <t>Hose, length and fittings</t>
  </si>
  <si>
    <t>Length unit</t>
  </si>
  <si>
    <t>in</t>
  </si>
  <si>
    <t>Overall length</t>
  </si>
  <si>
    <t>Fitting, end A</t>
  </si>
  <si>
    <t>Fitting, end B</t>
  </si>
  <si>
    <t>Hose cut waste</t>
  </si>
  <si>
    <t>Cut-off allowance, end A</t>
  </si>
  <si>
    <t>Cut-off allowance, end B</t>
  </si>
  <si>
    <t>Hose cut length</t>
  </si>
  <si>
    <t>Hose priced per</t>
  </si>
  <si>
    <t>Hose price</t>
  </si>
  <si>
    <t>Cut length in the price unit</t>
  </si>
  <si>
    <t>ft or m</t>
  </si>
  <si>
    <t>Hose cost per assembly</t>
  </si>
  <si>
    <t>Fittings per assembly</t>
  </si>
  <si>
    <t>Extras per assembly (sleeve, caps, tags, adapters)</t>
  </si>
  <si>
    <t>Abrasion sleeve, cut to length</t>
  </si>
  <si>
    <t>Dust caps and plugs</t>
  </si>
  <si>
    <t>Identification tag</t>
  </si>
  <si>
    <t>Fittings and extras total</t>
  </si>
  <si>
    <t>Fittings and extras per assembly</t>
  </si>
  <si>
    <t>Labour (one row per operation)</t>
  </si>
  <si>
    <t>Cut hose to length</t>
  </si>
  <si>
    <t>Clean bore (projectile)</t>
  </si>
  <si>
    <t>Mark insertion depth</t>
  </si>
  <si>
    <t>Crimp end A</t>
  </si>
  <si>
    <t>Crimp end B</t>
  </si>
  <si>
    <t>Proof pressure test</t>
  </si>
  <si>
    <t>Cap, tag and bag</t>
  </si>
  <si>
    <t>Labour and fixed job totals</t>
  </si>
  <si>
    <t>Labour per assembly, incl. overhead</t>
  </si>
  <si>
    <t>Labour time per assembly</t>
  </si>
  <si>
    <t>s</t>
  </si>
  <si>
    <t>Setup time per batch</t>
  </si>
  <si>
    <t>min</t>
  </si>
  <si>
    <t>Other fixed job cost</t>
  </si>
  <si>
    <t>Setup and fixed job cost per order</t>
  </si>
  <si>
    <t>Cost and price by quantity</t>
  </si>
  <si>
    <t>Quantity (assemblies)</t>
  </si>
  <si>
    <t>Unit</t>
  </si>
  <si>
    <t>Fittings and extras</t>
  </si>
  <si>
    <t>Labour incl. overhead</t>
  </si>
  <si>
    <t>Setup and fixed job cost, spread</t>
  </si>
  <si>
    <t>Markup</t>
  </si>
  <si>
    <t>Tooling charge, spread</t>
  </si>
  <si>
    <t>Extended price</t>
  </si>
  <si>
    <t>Margin before tooling</t>
  </si>
  <si>
    <t>% of price</t>
  </si>
  <si>
    <t>Labour hours</t>
  </si>
  <si>
    <t>h</t>
  </si>
  <si>
    <t>Quantity shown</t>
  </si>
  <si>
    <t>MARGIN BEFORE TOOLING</t>
  </si>
  <si>
    <t>HOSE CUT LENGTH</t>
  </si>
  <si>
    <t>Rounded up to your price step</t>
  </si>
  <si>
    <t>Hose, fittings, labour and fixed cost</t>
  </si>
  <si>
    <t>Price build-up at the quantity shown (before rounding)</t>
  </si>
  <si>
    <t>Price line</t>
  </si>
  <si>
    <t>Per assembly</t>
  </si>
  <si>
    <t>Share of price</t>
  </si>
  <si>
    <t>For the order</t>
  </si>
  <si>
    <t>%</t>
  </si>
  <si>
    <t>Setup and fixed job cost</t>
  </si>
  <si>
    <t>Tooling charge</t>
  </si>
  <si>
    <t>Chart data: cost per assembly by group</t>
  </si>
  <si>
    <t>Quantity</t>
  </si>
  <si>
    <t>assemblies</t>
  </si>
  <si>
    <t>Labour</t>
  </si>
  <si>
    <t>Setup and fixed</t>
  </si>
  <si>
    <t>What this workbook calculates</t>
  </si>
  <si>
    <t>The assembly is costed from its overall length and end fittings. The fittings' cut-off allowances give the hose cut length, priced per foot or metre with an allowance for cut waste; the fittings, with their ferrules, and any extras are priced per assembly; labour is timed per operation at the labour rate plus overhead, with setup and fixed job cost spread over the order. The price is cost plus your markup, plus any tooling charge spread over the quantity, rounded up to your price step.</t>
  </si>
  <si>
    <t>Calculations</t>
  </si>
  <si>
    <t>How it is calculated</t>
  </si>
  <si>
    <t>Units</t>
  </si>
  <si>
    <t>Cut length</t>
  </si>
  <si>
    <t>Overall length - cut-off allowance A - cut-off allowance B, in the chosen length unit.</t>
  </si>
  <si>
    <t>in or mm</t>
  </si>
  <si>
    <t>To feet: inches / 12 or mm / 304.8. To metres: inches x 0.0254 or mm / 1000.</t>
  </si>
  <si>
    <t>Hose cost</t>
  </si>
  <si>
    <t>Cut length in the price unit x hose price x (1 + cut waste).</t>
  </si>
  <si>
    <t>currency/assembly</t>
  </si>
  <si>
    <t>Fitting A + fitting B (with ferrules) + the sum of extras x quantity per assembly.</t>
  </si>
  <si>
    <t>Seconds per assembly / 3600 x labour rate x (1 + overhead), summed over the operations.</t>
  </si>
  <si>
    <t>Setup minutes / 60 x labour rate x (1 + overhead), summed, + other fixed job cost; per assembly / quantity.</t>
  </si>
  <si>
    <t>currency</t>
  </si>
  <si>
    <t>Hose + fittings and extras + labour + setup and fixed job cost / quantity (the Cost per Hose Assembly calculator's model).</t>
  </si>
  <si>
    <t>CEILING(cost x (1 + markup) + tooling charge / quantity, price step), the Hose Assembly Quote Price calculator's cost-plus quote, rounded up.</t>
  </si>
  <si>
    <t>(Price - tooling per assembly - cost) / (price - tooling per assembly).</t>
  </si>
  <si>
    <t>Setup minutes / 60 + quantity x seconds per assembly / 3600.</t>
  </si>
  <si>
    <t>Assumptions</t>
  </si>
  <si>
    <t>Cut-off allowances come from the fitting manufacturer's catalogue for the hose and fitting series used; elbows are measured to the centreline.</t>
  </si>
  <si>
    <t>Fitting prices include the ferrule (two-piece crimp fittings) or are one-piece fittings.</t>
  </si>
  <si>
    <t>Every assembly passes test; a failed assembly is remade at the same cost and is not built into the quote.</t>
  </si>
  <si>
    <t>Labour times are your shop's own; the example times are illustrative.</t>
  </si>
  <si>
    <t>Limitations</t>
  </si>
  <si>
    <t>Hose prices by reel length, price breaks on fittings and minimum order charges are not modelled; enter the price you will actually pay.</t>
  </si>
  <si>
    <t>Assemblies with more than two ends, adapters on both ends or sleeving priced per foot need the extras table adjusted by hand.</t>
  </si>
  <si>
    <t>Pressure ratings, bend radius and compatibility are not checked: use the Hose Assembly Pressure Margin and Hose Bend Radius Check calculators.</t>
  </si>
  <si>
    <t>No taxes, freight, currency conversion or payment discounts are calculated.</t>
  </si>
  <si>
    <t>Agreement with the live calculator</t>
  </si>
  <si>
    <t>Cost per assembly is the live Cost per Hose Assembly calculator's model, hose + fitting set + labour per assembly + fixed job cost / count, and the price before rounding is the Hose Assembly Quote Price calculator's cost x (1 + markup) + tooling / count. Both are checked against their engines on every build, on each calculator's own example and on this workbook's example at 150 assemblies. The calculators take the per-assembly figures as inputs; this workbook builds them from the length, fittings, extras and timed labour.</t>
  </si>
  <si>
    <t>Open the Cost per Hose Assembly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</si>
  <si>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</si>
  <si>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</si>
  <si>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Hose assembly costing practice: hose by the foot, fittings and ferrules per end, timed labour, setup per batch, cost-plus price.</t>
  </si>
  <si>
    <t>SAE J517 and EN 853 hose designations; cut-off allowances from the fitting manufacturer's catalogue.</t>
  </si>
  <si>
    <t>MFG Calcs Cost per Hose Assembly and Hose Assembly Quote Price calculators: the cost and cost-plus price models.</t>
  </si>
  <si>
    <t>Standards are cited by name so you can look them up; no copyrighted standard text or tables are reproduced. Statistical constants used are public.</t>
  </si>
  <si>
    <t>Version history</t>
  </si>
  <si>
    <t>Change</t>
  </si>
  <si>
    <t>1.0.0</t>
  </si>
  <si>
    <t>First release.</t>
  </si>
  <si>
    <t>24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</si>
  <si>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</si>
  <si>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</si>
  <si>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</si>
  <si>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</si>
  <si>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</si>
  <si>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</si>
  <si>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</si>
  <si>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</si>
  <si>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</si>
  <si>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Hose cut length (in)</t>
  </si>
  <si>
    <t>Check on the example</t>
  </si>
  <si>
    <t>OK</t>
  </si>
  <si>
    <t>exact</t>
  </si>
  <si>
    <t>Labour per assembly</t>
  </si>
  <si>
    <t>Test row: Check asks for a time</t>
  </si>
  <si>
    <t>Enter a time</t>
  </si>
  <si>
    <t>Qty 10: cost per assembly</t>
  </si>
  <si>
    <t>Qty 10: unit price</t>
  </si>
  <si>
    <t>Qty 10: margin before tooling</t>
  </si>
  <si>
    <t>Qty 150: cost per assembly</t>
  </si>
  <si>
    <t>Qty 150: unit price</t>
  </si>
  <si>
    <t>Qty 150: margin before tooling</t>
  </si>
  <si>
    <t>Qty 500: cost per assembly</t>
  </si>
  <si>
    <t>Qty 500: unit price</t>
  </si>
  <si>
    <t>Qty 500: margin before tooling</t>
  </si>
  <si>
    <t>Fixed test inputs</t>
  </si>
  <si>
    <t>White cells are fixed test inputs; blue cells are the workbook's formulas evaluated on them.</t>
  </si>
  <si>
    <t>Parameters</t>
  </si>
  <si>
    <t>Price rounding step</t>
  </si>
  <si>
    <t>Test table: Hoses</t>
  </si>
  <si>
    <t>Test table: Fittings</t>
  </si>
  <si>
    <t>Test table: Ops</t>
  </si>
  <si>
    <t>Test: no time entered</t>
  </si>
  <si>
    <t>Test table: Extras</t>
  </si>
  <si>
    <t>Test hose, length and fittings (the example assembly)</t>
  </si>
  <si>
    <t>Test fittings and extras total</t>
  </si>
  <si>
    <t>Test labour and fixed job totals</t>
  </si>
  <si>
    <t>Test cost and price by quantity (same formulas as the Estimate sheet)</t>
  </si>
</sst>
</file>

<file path=xl/styles.xml><?xml version="1.0" encoding="utf-8"?>
<styleSheet xmlns="http://schemas.openxmlformats.org/spreadsheetml/2006/main">
  <numFmts count="9">
    <numFmt numFmtId="164" formatCode="#,##0.00"/>
    <numFmt numFmtId="165" formatCode="0.0%"/>
    <numFmt numFmtId="166" formatCode="d mmm yyyy"/>
    <numFmt numFmtId="167" formatCode="#,##0.000"/>
    <numFmt numFmtId="168" formatCode="#,##0.0000"/>
    <numFmt numFmtId="169" formatCode="#,##0.0"/>
    <numFmt numFmtId="170" formatCode="#,##0"/>
    <numFmt numFmtId="171" formatCode="0.0E+00"/>
    <numFmt numFmtId="172"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6" fontId="10" fillId="3" borderId="2" xfId="0" applyNumberFormat="1" applyFont="1" applyFill="1" applyBorder="1" applyAlignment="1" applyProtection="1">
      <alignment horizontal="left" vertical="center"/>
      <protection locked="0"/>
    </xf>
    <xf numFmtId="164"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0" fontId="10" fillId="4" borderId="3" xfId="0" applyFont="1" applyFill="1" applyBorder="1" applyAlignment="1">
      <alignment vertical="center"/>
    </xf>
    <xf numFmtId="167" fontId="10" fillId="4" borderId="3" xfId="0" applyNumberFormat="1" applyFont="1" applyFill="1" applyBorder="1" applyAlignment="1">
      <alignment vertical="center"/>
    </xf>
    <xf numFmtId="168" fontId="9"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0" fontId="21" fillId="4" borderId="3" xfId="0" applyFont="1" applyFill="1" applyBorder="1" applyAlignment="1">
      <alignment vertical="center"/>
    </xf>
    <xf numFmtId="169" fontId="10" fillId="4" borderId="3" xfId="0" applyNumberFormat="1" applyFont="1" applyFill="1" applyBorder="1" applyAlignment="1">
      <alignment vertical="center"/>
    </xf>
    <xf numFmtId="0" fontId="19" fillId="2" borderId="5" xfId="0" applyFont="1" applyFill="1" applyBorder="1" applyAlignment="1">
      <alignment horizontal="left" vertical="center" wrapText="1"/>
    </xf>
    <xf numFmtId="170" fontId="10" fillId="3" borderId="2" xfId="0" applyNumberFormat="1" applyFont="1" applyFill="1" applyBorder="1" applyAlignment="1" applyProtection="1">
      <alignment horizontal="center" vertical="center"/>
      <protection locked="0"/>
    </xf>
    <xf numFmtId="164" fontId="9" fillId="4" borderId="6" xfId="0" applyNumberFormat="1" applyFont="1" applyFill="1" applyBorder="1" applyAlignment="1">
      <alignment vertical="center"/>
    </xf>
    <xf numFmtId="164" fontId="15" fillId="4" borderId="3" xfId="0" applyNumberFormat="1" applyFont="1" applyFill="1" applyBorder="1" applyAlignment="1">
      <alignment horizontal="center" vertical="center"/>
    </xf>
    <xf numFmtId="165" fontId="10" fillId="4" borderId="3" xfId="0" applyNumberFormat="1" applyFont="1" applyFill="1" applyBorder="1" applyAlignment="1">
      <alignment vertical="center"/>
    </xf>
    <xf numFmtId="169" fontId="9" fillId="4" borderId="3" xfId="0" applyNumberFormat="1" applyFont="1" applyFill="1" applyBorder="1" applyAlignment="1">
      <alignment vertical="center"/>
    </xf>
    <xf numFmtId="170" fontId="10" fillId="3" borderId="2" xfId="0" applyNumberFormat="1" applyFont="1" applyFill="1" applyBorder="1" applyAlignment="1" applyProtection="1">
      <alignment vertical="center"/>
      <protection locked="0"/>
    </xf>
    <xf numFmtId="0" fontId="18" fillId="0" borderId="0" xfId="0" applyFont="1" applyAlignment="1">
      <alignment vertical="center"/>
    </xf>
    <xf numFmtId="0" fontId="22" fillId="9" borderId="7" xfId="0" applyFont="1" applyFill="1" applyBorder="1" applyAlignment="1">
      <alignment vertical="center" wrapText="1"/>
    </xf>
    <xf numFmtId="164" fontId="4" fillId="9" borderId="8" xfId="0" applyNumberFormat="1" applyFont="1" applyFill="1" applyBorder="1" applyAlignment="1">
      <alignment horizontal="left" vertical="center"/>
    </xf>
    <xf numFmtId="165"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0" fontId="22" fillId="9" borderId="9" xfId="0" applyFont="1" applyFill="1" applyBorder="1" applyAlignment="1">
      <alignment vertical="center"/>
    </xf>
    <xf numFmtId="0" fontId="9" fillId="0" borderId="10" xfId="0" applyFont="1" applyBorder="1" applyAlignment="1">
      <alignment vertical="center"/>
    </xf>
    <xf numFmtId="170" fontId="10" fillId="4" borderId="3" xfId="0" applyNumberFormat="1" applyFont="1" applyFill="1" applyBorder="1" applyAlignment="1">
      <alignment vertical="center"/>
    </xf>
    <xf numFmtId="170" fontId="9" fillId="0" borderId="10" xfId="0" applyNumberFormat="1" applyFont="1" applyBorder="1" applyAlignment="1">
      <alignment horizontal="center"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64" fontId="10" fillId="0" borderId="10"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10" xfId="0" applyNumberFormat="1" applyFont="1" applyBorder="1" applyAlignment="1">
      <alignment vertical="center"/>
    </xf>
    <xf numFmtId="0" fontId="10" fillId="4" borderId="3" xfId="0" applyFont="1" applyFill="1" applyBorder="1" applyAlignment="1">
      <alignment horizontal="center" vertical="center"/>
    </xf>
    <xf numFmtId="168" fontId="10" fillId="0" borderId="10" xfId="0" applyNumberFormat="1" applyFont="1" applyBorder="1" applyAlignment="1">
      <alignment vertical="center"/>
    </xf>
    <xf numFmtId="172" fontId="10" fillId="0" borderId="10" xfId="0" applyNumberFormat="1" applyFont="1" applyBorder="1" applyAlignment="1">
      <alignment vertical="center"/>
    </xf>
    <xf numFmtId="172" fontId="10" fillId="4" borderId="3" xfId="0" applyNumberFormat="1" applyFont="1" applyFill="1" applyBorder="1" applyAlignment="1">
      <alignment vertical="center"/>
    </xf>
    <xf numFmtId="165" fontId="10" fillId="0" borderId="10" xfId="0" applyNumberFormat="1" applyFont="1" applyBorder="1" applyAlignment="1">
      <alignment vertical="center"/>
    </xf>
    <xf numFmtId="169" fontId="10" fillId="0" borderId="10" xfId="0" applyNumberFormat="1" applyFont="1" applyBorder="1" applyAlignment="1">
      <alignment vertical="center"/>
    </xf>
    <xf numFmtId="170"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Unit price and cost by quantity</a:t>
            </a:r>
          </a:p>
        </c:rich>
      </c:tx>
      <c:layout/>
    </c:title>
    <c:plotArea>
      <c:layout/>
      <c:barChart>
        <c:barDir val="col"/>
        <c:grouping val="clustered"/>
        <c:ser>
          <c:idx val="0"/>
          <c:order val="0"/>
          <c:tx>
            <c:v>Unit price</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numRef>
              <c:f>Dashboard!$E$41:$I$41</c:f>
              <c:numCache>
                <c:formatCode>General</c:formatCode>
                <c:ptCount val="5"/>
                <c:pt idx="0">
                  <c:v>10</c:v>
                </c:pt>
                <c:pt idx="1">
                  <c:v>25</c:v>
                </c:pt>
                <c:pt idx="2">
                  <c:v>50</c:v>
                </c:pt>
                <c:pt idx="3">
                  <c:v>150</c:v>
                </c:pt>
                <c:pt idx="4">
                  <c:v>500</c:v>
                </c:pt>
              </c:numCache>
            </c:numRef>
          </c:cat>
          <c:val>
            <c:numRef>
              <c:f>Estimate!$D$72:$H$72</c:f>
              <c:numCache>
                <c:formatCode>General</c:formatCode>
                <c:ptCount val="5"/>
                <c:pt idx="0">
                  <c:v>35.4</c:v>
                </c:pt>
                <c:pt idx="1">
                  <c:v>30.4</c:v>
                </c:pt>
                <c:pt idx="2">
                  <c:v>28.75</c:v>
                </c:pt>
                <c:pt idx="3">
                  <c:v>27.65</c:v>
                </c:pt>
                <c:pt idx="4">
                  <c:v>27.3</c:v>
                </c:pt>
              </c:numCache>
            </c:numRef>
          </c:val>
        </c:ser>
        <c:gapWidth val="60"/>
        <c:overlap val="-10"/>
        <c:axId val="50010001"/>
        <c:axId val="50010002"/>
      </c:barChart>
      <c:lineChart>
        <c:grouping val="standard"/>
        <c:ser>
          <c:idx val="1"/>
          <c:order val="1"/>
          <c:tx>
            <c:v>Cost per assembly</c:v>
          </c:tx>
          <c:spPr>
            <a:ln w="28575">
              <a:solidFill>
                <a:srgbClr val="E8702A"/>
              </a:solidFill>
            </a:ln>
          </c:spPr>
          <c:marker>
            <c:symbol val="circle"/>
            <c:size val="5"/>
            <c:spPr>
              <a:solidFill>
                <a:srgbClr val="E8702A"/>
              </a:solidFill>
              <a:ln>
                <a:solidFill>
                  <a:srgbClr val="E8702A"/>
                </a:solidFill>
              </a:ln>
            </c:spPr>
          </c:marker>
          <c:cat>
            <c:numRef>
              <c:f>Dashboard!$E$41:$I$41</c:f>
              <c:numCache>
                <c:formatCode>General</c:formatCode>
                <c:ptCount val="5"/>
                <c:pt idx="0">
                  <c:v>10</c:v>
                </c:pt>
                <c:pt idx="1">
                  <c:v>25</c:v>
                </c:pt>
                <c:pt idx="2">
                  <c:v>50</c:v>
                </c:pt>
                <c:pt idx="3">
                  <c:v>150</c:v>
                </c:pt>
                <c:pt idx="4">
                  <c:v>500</c:v>
                </c:pt>
              </c:numCache>
            </c:numRef>
          </c:cat>
          <c:val>
            <c:numRef>
              <c:f>Estimate!$D$69:$H$69</c:f>
              <c:numCache>
                <c:formatCode>General</c:formatCode>
                <c:ptCount val="5"/>
                <c:pt idx="0">
                  <c:v>27.2012125</c:v>
                </c:pt>
                <c:pt idx="1">
                  <c:v>23.3837125</c:v>
                </c:pt>
                <c:pt idx="2">
                  <c:v>22.1112125</c:v>
                </c:pt>
                <c:pt idx="3">
                  <c:v>21.2628791666667</c:v>
                </c:pt>
                <c:pt idx="4">
                  <c:v>20.9659625</c:v>
                </c:pt>
              </c:numCache>
            </c:numRef>
          </c:val>
        </c:ser>
        <c:marker val="1"/>
        <c:axId val="50010001"/>
        <c:axId val="50010002"/>
      </c:lineChart>
      <c:catAx>
        <c:axId val="5001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assembly goes</a:t>
            </a:r>
          </a:p>
        </c:rich>
      </c:tx>
      <c:layout/>
    </c:title>
    <c:plotArea>
      <c:layout/>
      <c:barChart>
        <c:barDir val="col"/>
        <c:grouping val="stacked"/>
        <c:ser>
          <c:idx val="0"/>
          <c:order val="0"/>
          <c:tx>
            <c:v>Hose</c:v>
          </c:tx>
          <c:spPr>
            <a:solidFill>
              <a:srgbClr val="3B64D8"/>
            </a:solidFill>
            <a:ln w="9525">
              <a:solidFill>
                <a:srgbClr val="FFFFFF"/>
              </a:solidFill>
            </a:ln>
          </c:spPr>
          <c:cat>
            <c:numRef>
              <c:f>Dashboard!$E$41:$I$41</c:f>
              <c:numCache>
                <c:formatCode>General</c:formatCode>
                <c:ptCount val="5"/>
                <c:pt idx="0">
                  <c:v>10</c:v>
                </c:pt>
                <c:pt idx="1">
                  <c:v>25</c:v>
                </c:pt>
                <c:pt idx="2">
                  <c:v>50</c:v>
                </c:pt>
                <c:pt idx="3">
                  <c:v>150</c:v>
                </c:pt>
                <c:pt idx="4">
                  <c:v>500</c:v>
                </c:pt>
              </c:numCache>
            </c:numRef>
          </c:cat>
          <c:val>
            <c:numRef>
              <c:f>Dashboard!$E$42:$I$42</c:f>
              <c:numCache>
                <c:formatCode>General</c:formatCode>
                <c:ptCount val="5"/>
                <c:pt idx="0">
                  <c:v>7.8524625</c:v>
                </c:pt>
                <c:pt idx="1">
                  <c:v>7.8524625</c:v>
                </c:pt>
                <c:pt idx="2">
                  <c:v>7.8524625</c:v>
                </c:pt>
                <c:pt idx="3">
                  <c:v>7.8524625</c:v>
                </c:pt>
                <c:pt idx="4">
                  <c:v>7.8524625</c:v>
                </c:pt>
              </c:numCache>
            </c:numRef>
          </c:val>
        </c:ser>
        <c:ser>
          <c:idx val="1"/>
          <c:order val="1"/>
          <c:tx>
            <c:v>Fittings and extras</c:v>
          </c:tx>
          <c:spPr>
            <a:solidFill>
              <a:srgbClr val="E8702A"/>
            </a:solidFill>
            <a:ln w="9525">
              <a:solidFill>
                <a:srgbClr val="FFFFFF"/>
              </a:solidFill>
            </a:ln>
          </c:spPr>
          <c:cat>
            <c:numRef>
              <c:f>Dashboard!$E$41:$I$41</c:f>
              <c:numCache>
                <c:formatCode>General</c:formatCode>
                <c:ptCount val="5"/>
                <c:pt idx="0">
                  <c:v>10</c:v>
                </c:pt>
                <c:pt idx="1">
                  <c:v>25</c:v>
                </c:pt>
                <c:pt idx="2">
                  <c:v>50</c:v>
                </c:pt>
                <c:pt idx="3">
                  <c:v>150</c:v>
                </c:pt>
                <c:pt idx="4">
                  <c:v>500</c:v>
                </c:pt>
              </c:numCache>
            </c:numRef>
          </c:cat>
          <c:val>
            <c:numRef>
              <c:f>Dashboard!$E$43:$I$43</c:f>
              <c:numCache>
                <c:formatCode>General</c:formatCode>
                <c:ptCount val="5"/>
                <c:pt idx="0">
                  <c:v>10.23</c:v>
                </c:pt>
                <c:pt idx="1">
                  <c:v>10.23</c:v>
                </c:pt>
                <c:pt idx="2">
                  <c:v>10.23</c:v>
                </c:pt>
                <c:pt idx="3">
                  <c:v>10.23</c:v>
                </c:pt>
                <c:pt idx="4">
                  <c:v>10.23</c:v>
                </c:pt>
              </c:numCache>
            </c:numRef>
          </c:val>
        </c:ser>
        <c:ser>
          <c:idx val="2"/>
          <c:order val="2"/>
          <c:tx>
            <c:v>Labour</c:v>
          </c:tx>
          <c:spPr>
            <a:solidFill>
              <a:srgbClr val="1BA37A"/>
            </a:solidFill>
            <a:ln w="9525">
              <a:solidFill>
                <a:srgbClr val="FFFFFF"/>
              </a:solidFill>
            </a:ln>
          </c:spPr>
          <c:cat>
            <c:numRef>
              <c:f>Dashboard!$E$41:$I$41</c:f>
              <c:numCache>
                <c:formatCode>General</c:formatCode>
                <c:ptCount val="5"/>
                <c:pt idx="0">
                  <c:v>10</c:v>
                </c:pt>
                <c:pt idx="1">
                  <c:v>25</c:v>
                </c:pt>
                <c:pt idx="2">
                  <c:v>50</c:v>
                </c:pt>
                <c:pt idx="3">
                  <c:v>150</c:v>
                </c:pt>
                <c:pt idx="4">
                  <c:v>500</c:v>
                </c:pt>
              </c:numCache>
            </c:numRef>
          </c:cat>
          <c:val>
            <c:numRef>
              <c:f>Dashboard!$E$44:$I$44</c:f>
              <c:numCache>
                <c:formatCode>General</c:formatCode>
                <c:ptCount val="5"/>
                <c:pt idx="0">
                  <c:v>2.75625</c:v>
                </c:pt>
                <c:pt idx="1">
                  <c:v>2.75625</c:v>
                </c:pt>
                <c:pt idx="2">
                  <c:v>2.75625</c:v>
                </c:pt>
                <c:pt idx="3">
                  <c:v>2.75625</c:v>
                </c:pt>
                <c:pt idx="4">
                  <c:v>2.75625</c:v>
                </c:pt>
              </c:numCache>
            </c:numRef>
          </c:val>
        </c:ser>
        <c:ser>
          <c:idx val="3"/>
          <c:order val="3"/>
          <c:tx>
            <c:v>Setup and fixed</c:v>
          </c:tx>
          <c:spPr>
            <a:solidFill>
              <a:srgbClr val="E0A100"/>
            </a:solidFill>
            <a:ln w="9525">
              <a:solidFill>
                <a:srgbClr val="FFFFFF"/>
              </a:solidFill>
            </a:ln>
          </c:spPr>
          <c:cat>
            <c:numRef>
              <c:f>Dashboard!$E$41:$I$41</c:f>
              <c:numCache>
                <c:formatCode>General</c:formatCode>
                <c:ptCount val="5"/>
                <c:pt idx="0">
                  <c:v>10</c:v>
                </c:pt>
                <c:pt idx="1">
                  <c:v>25</c:v>
                </c:pt>
                <c:pt idx="2">
                  <c:v>50</c:v>
                </c:pt>
                <c:pt idx="3">
                  <c:v>150</c:v>
                </c:pt>
                <c:pt idx="4">
                  <c:v>500</c:v>
                </c:pt>
              </c:numCache>
            </c:numRef>
          </c:cat>
          <c:val>
            <c:numRef>
              <c:f>Dashboard!$E$45:$I$45</c:f>
              <c:numCache>
                <c:formatCode>General</c:formatCode>
                <c:ptCount val="5"/>
                <c:pt idx="0">
                  <c:v>6.3625</c:v>
                </c:pt>
                <c:pt idx="1">
                  <c:v>2.545</c:v>
                </c:pt>
                <c:pt idx="2">
                  <c:v>1.2725</c:v>
                </c:pt>
                <c:pt idx="3">
                  <c:v>0.424166666666667</c:v>
                </c:pt>
                <c:pt idx="4">
                  <c:v>0.12725</c:v>
                </c:pt>
              </c:numCache>
            </c:numRef>
          </c:val>
        </c:ser>
        <c:gapWidth val="60"/>
        <c:overlap val="100"/>
        <c:axId val="50020001"/>
        <c:axId val="50020002"/>
      </c:barChart>
      <c:catAx>
        <c:axId val="5002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unit price at each quantity with the cost per assembly as a line; setup and the fixed job cost spread over larger quantities so both fal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column chart of cost per assembly at each quantity, split into hose, fittings and extras, labour, and setup and fixed job cos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Hoses" displayName="tblHoses" ref="B19:E23" totalsRowShown="0">
  <autoFilter ref="B19:E23"/>
  <tableColumns count="4">
    <tableColumn id="1" name="Hose"/>
    <tableColumn id="2" name="Price"/>
    <tableColumn id="3" name="Per"/>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Fittings" displayName="tblFittings" ref="B27:E31" totalsRowShown="0">
  <autoFilter ref="B27:E31"/>
  <tableColumns count="4">
    <tableColumn id="1" name="Fitting"/>
    <tableColumn id="2" name="Cut-off"/>
    <tableColumn id="3" name="Unit price"/>
    <tableColumn id="4" name="Notes"/>
  </tableColumns>
  <tableStyleInfo name="TableStyleLight1" showFirstColumn="0" showLastColumn="0" showRowStripes="0" showColumnStripes="0"/>
</table>
</file>

<file path=xl/tables/table3.xml><?xml version="1.0" encoding="utf-8"?>
<table xmlns="http://schemas.openxmlformats.org/spreadsheetml/2006/main" id="3" name="tblExtras" displayName="tblExtras" ref="B35:E38" totalsRowShown="0">
  <autoFilter ref="B35:E38"/>
  <tableColumns count="4">
    <tableColumn id="1" name="Component"/>
    <tableColumn id="2" name="Qty per assembly"/>
    <tableColumn id="3" name="Unit price"/>
    <tableColumn id="4" name="Cost per assembly">
      <calculatedColumnFormula>IF(tblExtras[[#This Row],[Component]]="","",tblExtras[[#This Row],[Qty per assembly]]*tblExtras[[#This Row],[Unit price]])</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Ops" displayName="tblOps" ref="B46:G53" totalsRowShown="0">
  <autoFilter ref="B46:G53"/>
  <tableColumns count="6">
    <tableColumn id="1" name="Operation"/>
    <tableColumn id="2" name="Seconds per assembly"/>
    <tableColumn id="3" name="Setup (min)"/>
    <tableColumn id="4" name="Cost per assembly">
      <calculatedColumnFormula>IF(tblOps[[#This Row],[Operation]]="","",tblOps[[#This Row],[Seconds per assembly]]/3600*LabourRate*(1+Overhead))</calculatedColumnFormula>
    </tableColumn>
    <tableColumn id="5" name="Setup cost">
      <calculatedColumnFormula>IF(tblOps[[#This Row],[Operation]]="","",tblOps[[#This Row],[Setup (min)]]/60*LabourRate*(1+Overhead))</calculatedColumnFormula>
    </tableColumn>
    <tableColumn id="6" name="Check">
      <calculatedColumnFormula>IF(tblOps[[#This Row],[Operation]]="","",IF(tblOps[[#This Row],[Operation]]="","Missing operation",IF(AND(tblOps[[#This Row],[Seconds per assembly]]=0,tblOps[[#This Row],[Setup (min)]]=0),"Enter a time","OK")))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VerifyHoses" displayName="tblVerifyHoses" ref="B39:E43" totalsRowShown="0">
  <tableColumns count="4">
    <tableColumn id="1" name="Hose"/>
    <tableColumn id="2" name="Price"/>
    <tableColumn id="3" name="Per"/>
    <tableColumn id="4" name="Notes"/>
  </tableColumns>
  <tableStyleInfo name="TableStyleLight1" showFirstColumn="0" showLastColumn="0" showRowStripes="0" showColumnStripes="0"/>
</table>
</file>

<file path=xl/tables/table6.xml><?xml version="1.0" encoding="utf-8"?>
<table xmlns="http://schemas.openxmlformats.org/spreadsheetml/2006/main" id="6" name="tblVerifyFittings" displayName="tblVerifyFittings" ref="B47:E51" totalsRowShown="0">
  <tableColumns count="4">
    <tableColumn id="1" name="Fitting"/>
    <tableColumn id="2" name="Cut-off"/>
    <tableColumn id="3" name="Unit price"/>
    <tableColumn id="4" name="Notes"/>
  </tableColumns>
  <tableStyleInfo name="TableStyleLight1" showFirstColumn="0" showLastColumn="0" showRowStripes="0" showColumnStripes="0"/>
</table>
</file>

<file path=xl/tables/table7.xml><?xml version="1.0" encoding="utf-8"?>
<table xmlns="http://schemas.openxmlformats.org/spreadsheetml/2006/main" id="7" name="tblVerifyOps" displayName="tblVerifyOps" ref="B55:G63" totalsRowShown="0">
  <tableColumns count="6">
    <tableColumn id="1" name="Operation"/>
    <tableColumn id="2" name="Seconds per assembly"/>
    <tableColumn id="3" name="Setup (min)"/>
    <tableColumn id="4" name="Cost per assembly">
      <calculatedColumnFormula>IF(tblVerifyOps[[#This Row],[Operation]]="","",tblVerifyOps[[#This Row],[Seconds per assembly]]/3600*$E$31*(1+$E$32))</calculatedColumnFormula>
    </tableColumn>
    <tableColumn id="5" name="Setup cost">
      <calculatedColumnFormula>IF(tblVerifyOps[[#This Row],[Operation]]="","",tblVerifyOps[[#This Row],[Setup (min)]]/60*$E$31*(1+$E$32))</calculatedColumnFormula>
    </tableColumn>
    <tableColumn id="6" name="Check">
      <calculatedColumnFormula>IF(tblVerifyOps[[#This Row],[Operation]]="","",IF(tblVerifyOps[[#This Row],[Operation]]="","Missing operation",IF(AND(tblVerifyOps[[#This Row],[Seconds per assembly]]=0,tblVerifyOps[[#This Row],[Setup (min)]]=0),"Enter a time","OK")))</calculatedColumnFormula>
    </tableColumn>
  </tableColumns>
  <tableStyleInfo name="TableStyleLight1" showFirstColumn="0" showLastColumn="0" showRowStripes="0" showColumnStripes="0"/>
</table>
</file>

<file path=xl/tables/table8.xml><?xml version="1.0" encoding="utf-8"?>
<table xmlns="http://schemas.openxmlformats.org/spreadsheetml/2006/main" id="8" name="tblVerifyExtras" displayName="tblVerifyExtras" ref="B67:E70" totalsRowShown="0">
  <tableColumns count="4">
    <tableColumn id="1" name="Component"/>
    <tableColumn id="2" name="Qty per assembly"/>
    <tableColumn id="3" name="Unit price"/>
    <tableColumn id="4" name="Cost per assembly">
      <calculatedColumnFormula>IF(tblVerifyExtras[[#This Row],[Component]]="","",tblVerifyExtras[[#This Row],[Qty per assembly]]*tblVerifyExtras[[#This Row],[Unit price]])</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se-assembly-cost" TargetMode="External"/><Relationship Id="rId2" Type="http://schemas.openxmlformats.org/officeDocument/2006/relationships/hyperlink" Target="https://www.mfgcalcs.com/calculators/hose-tubing-fluid-conveyance-products/cost-per-hose-assembly?utm_source=mfgcalcs-template&amp;utm_medium=xlsx&amp;utm_campaign=hose-assembly-cost" TargetMode="External"/><Relationship Id="rId3" Type="http://schemas.openxmlformats.org/officeDocument/2006/relationships/hyperlink" Target="https://www.mfgcalcs.com/templates/hose-assembly-cost?utm_source=mfgcalcs-template&amp;utm_medium=xlsx&amp;utm_campaign=hose-assembly-cost" TargetMode="External"/><Relationship Id="rId4" Type="http://schemas.openxmlformats.org/officeDocument/2006/relationships/hyperlink" Target="https://www.mfgcalcs.com/templates?utm_source=mfgcalcs-template&amp;utm_medium=xlsx&amp;utm_campaign=hose-assembly-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se-assembly-cos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se-assembly-cost" TargetMode="External"/><Relationship Id="rId2" Type="http://schemas.openxmlformats.org/officeDocument/2006/relationships/table" Target="../tables/table3.xml"/><Relationship Id="rId3"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se-assembly-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se-assembly-cost" TargetMode="External"/><Relationship Id="rId2" Type="http://schemas.openxmlformats.org/officeDocument/2006/relationships/hyperlink" Target="https://www.mfgcalcs.com/calculators/hose-tubing-fluid-conveyance-products/cost-per-hose-assembly?utm_source=mfgcalcs-template&amp;utm_medium=xlsx&amp;utm_campaign=hose-assembly-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hose-assembly-cost"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 Id="rId5"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16.2"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15 of 15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Estimate!A1" tooltip="Go to Estimate" display="Estimate"/>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Hose Assembly Cost Estimator&amp;R&amp;8&amp;A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31"/>
  <sheetViews>
    <sheetView showGridLines="0" workbookViewId="0"/>
  </sheetViews>
  <sheetFormatPr defaultRowHeight="15"/>
  <cols>
    <col min="1" max="1" width="2.7109375" customWidth="1"/>
    <col min="2" max="2" width="36.7109375" customWidth="1"/>
    <col min="3" max="3" width="14.7109375" customWidth="1"/>
    <col min="4" max="4" width="22.7109375" customWidth="1"/>
    <col min="5" max="5" width="10.7109375" customWidth="1"/>
    <col min="6" max="6" width="30.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69</v>
      </c>
      <c r="C4" s="8"/>
      <c r="D4" s="8"/>
      <c r="E4" s="8"/>
      <c r="F4" s="8"/>
    </row>
    <row r="5" spans="1:6" ht="5" customHeight="1"/>
    <row r="6" spans="1:6">
      <c r="B6" s="27" t="s">
        <v>70</v>
      </c>
      <c r="C6" s="28" t="s">
        <v>71</v>
      </c>
      <c r="D6" s="28"/>
    </row>
    <row r="7" spans="1:6">
      <c r="B7" s="27" t="s">
        <v>72</v>
      </c>
      <c r="C7" s="28" t="s">
        <v>73</v>
      </c>
      <c r="D7" s="28"/>
    </row>
    <row r="8" spans="1:6">
      <c r="B8" s="27" t="s">
        <v>74</v>
      </c>
      <c r="C8" s="29">
        <v>42</v>
      </c>
      <c r="D8" s="7" t="str">
        <f>Currency&amp;"/h"</f>
        <v>USD/h</v>
      </c>
    </row>
    <row r="9" spans="1:6">
      <c r="B9" s="27" t="s">
        <v>75</v>
      </c>
      <c r="C9" s="30">
        <v>0.35</v>
      </c>
      <c r="D9" s="7"/>
    </row>
    <row r="10" spans="1:6">
      <c r="B10" s="27" t="s">
        <v>76</v>
      </c>
      <c r="C10" s="30">
        <v>0.3</v>
      </c>
      <c r="D10" s="7"/>
    </row>
    <row r="11" spans="1:6">
      <c r="B11" s="27" t="s">
        <v>77</v>
      </c>
      <c r="C11" s="29">
        <v>0.05</v>
      </c>
      <c r="D11" s="7" t="str">
        <f>Currency</f>
        <v>USD</v>
      </c>
    </row>
    <row r="12" spans="1:6">
      <c r="B12" s="27" t="s">
        <v>78</v>
      </c>
      <c r="C12" s="29">
        <v>0</v>
      </c>
      <c r="D12" s="7" t="str">
        <f>Currency</f>
        <v>USD</v>
      </c>
    </row>
    <row r="14" spans="1:6" ht="21" customHeight="1">
      <c r="B14" s="8" t="s">
        <v>79</v>
      </c>
      <c r="C14" s="8"/>
      <c r="D14" s="8"/>
      <c r="E14" s="8"/>
      <c r="F14" s="8"/>
    </row>
    <row r="15" spans="1:6" ht="5" customHeight="1"/>
    <row r="16" spans="1:6" ht="26.76" customHeight="1">
      <c r="B16" s="21" t="s">
        <v>80</v>
      </c>
      <c r="C16" s="21"/>
      <c r="D16" s="21"/>
      <c r="E16" s="21"/>
      <c r="F16" s="21"/>
    </row>
    <row r="17" spans="2:5">
      <c r="B17" s="31" t="s">
        <v>81</v>
      </c>
      <c r="C17" s="31"/>
      <c r="D17" s="31"/>
      <c r="E17" s="31"/>
    </row>
    <row r="18" spans="2:5" ht="14" customHeight="1">
      <c r="B18" s="32"/>
      <c r="C18" s="32" t="str">
        <f>Currency</f>
        <v>USD</v>
      </c>
      <c r="D18" s="32"/>
      <c r="E18" s="32"/>
    </row>
    <row r="19" spans="2:5" ht="20" customHeight="1">
      <c r="B19" s="33" t="s">
        <v>62</v>
      </c>
      <c r="C19" s="33" t="s">
        <v>63</v>
      </c>
      <c r="D19" s="33" t="s">
        <v>64</v>
      </c>
      <c r="E19" s="33" t="s">
        <v>65</v>
      </c>
    </row>
    <row r="20" spans="2:5">
      <c r="B20" s="28" t="s">
        <v>82</v>
      </c>
      <c r="C20" s="29">
        <v>2.85</v>
      </c>
      <c r="D20" s="28" t="s">
        <v>83</v>
      </c>
      <c r="E20" s="28" t="s">
        <v>84</v>
      </c>
    </row>
    <row r="21" spans="2:5">
      <c r="B21" s="28" t="s">
        <v>85</v>
      </c>
      <c r="C21" s="29">
        <v>1.95</v>
      </c>
      <c r="D21" s="28" t="s">
        <v>83</v>
      </c>
      <c r="E21" s="28" t="s">
        <v>86</v>
      </c>
    </row>
    <row r="22" spans="2:5">
      <c r="B22" s="28" t="s">
        <v>87</v>
      </c>
      <c r="C22" s="29">
        <v>9.4</v>
      </c>
      <c r="D22" s="28" t="s">
        <v>88</v>
      </c>
      <c r="E22" s="28" t="s">
        <v>89</v>
      </c>
    </row>
    <row r="23" spans="2:5">
      <c r="B23" s="28" t="s">
        <v>90</v>
      </c>
      <c r="C23" s="29">
        <v>2.1</v>
      </c>
      <c r="D23" s="28" t="s">
        <v>83</v>
      </c>
      <c r="E23" s="28" t="s">
        <v>86</v>
      </c>
    </row>
    <row r="25" spans="2:5">
      <c r="B25" s="31" t="s">
        <v>91</v>
      </c>
      <c r="C25" s="31"/>
      <c r="D25" s="31"/>
      <c r="E25" s="31"/>
    </row>
    <row r="26" spans="2:5" ht="14" customHeight="1">
      <c r="B26" s="32"/>
      <c r="C26" s="32"/>
      <c r="D26" s="32" t="str">
        <f>Currency</f>
        <v>USD</v>
      </c>
      <c r="E26" s="32"/>
    </row>
    <row r="27" spans="2:5" ht="20" customHeight="1">
      <c r="B27" s="33" t="s">
        <v>66</v>
      </c>
      <c r="C27" s="33" t="s">
        <v>67</v>
      </c>
      <c r="D27" s="33" t="s">
        <v>68</v>
      </c>
      <c r="E27" s="33" t="s">
        <v>65</v>
      </c>
    </row>
    <row r="28" spans="2:5">
      <c r="B28" s="28" t="s">
        <v>92</v>
      </c>
      <c r="C28" s="29">
        <v>1.55</v>
      </c>
      <c r="D28" s="29">
        <v>3.2</v>
      </c>
      <c r="E28" s="28" t="s">
        <v>93</v>
      </c>
    </row>
    <row r="29" spans="2:5">
      <c r="B29" s="28" t="s">
        <v>94</v>
      </c>
      <c r="C29" s="29">
        <v>2.35</v>
      </c>
      <c r="D29" s="29">
        <v>5.6</v>
      </c>
      <c r="E29" s="28" t="s">
        <v>95</v>
      </c>
    </row>
    <row r="30" spans="2:5">
      <c r="B30" s="28" t="s">
        <v>96</v>
      </c>
      <c r="C30" s="29">
        <v>1.7</v>
      </c>
      <c r="D30" s="29">
        <v>4.1</v>
      </c>
      <c r="E30" s="28" t="s">
        <v>95</v>
      </c>
    </row>
    <row r="31" spans="2:5">
      <c r="B31" s="28" t="s">
        <v>97</v>
      </c>
      <c r="C31" s="29">
        <v>1.45</v>
      </c>
      <c r="D31" s="29">
        <v>2.6</v>
      </c>
      <c r="E31" s="28" t="s">
        <v>95</v>
      </c>
    </row>
  </sheetData>
  <mergeCells count="9">
    <mergeCell ref="A1:F1"/>
    <mergeCell ref="B2:E2"/>
    <mergeCell ref="B4:F4"/>
    <mergeCell ref="C6:D6"/>
    <mergeCell ref="C7:D7"/>
    <mergeCell ref="B14:F14"/>
    <mergeCell ref="B16:F16"/>
    <mergeCell ref="B17:E17"/>
    <mergeCell ref="B25:E25"/>
  </mergeCells>
  <dataValidations count="15">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price, e.g. USD, GBP, EUR, INR. No exchange rate is applied. Text up to 12 characters." sqref="C7">
      <formula1>0</formula1>
      <formula2>12</formula2>
    </dataValidation>
    <dataValidation type="decimal" allowBlank="1" showInputMessage="1" showErrorMessage="1" errorTitle="Check this entry" error="Enter a number from 0 to 10,000." promptTitle="Labour rate" prompt="Wage plus payroll costs per paid hour of the assembler. Enter a number from 0 to 10,000." sqref="C8">
      <formula1>0</formula1>
      <formula2>10000</formula2>
    </dataValidation>
    <dataValidation type="decimal" allowBlank="1" showInputMessage="1" showErrorMessage="1" errorTitle="Check this entry" error="Enter a percentage from 0% to 500% (type 85% or 0.85)." promptTitle="Overhead on labour" prompt="Shop overhead recovered on labour time: crimpers, test rig, space, supervision. Enter a percentage from 0% to 500% (type 85% or 0.85)." sqref="C9">
      <formula1>0</formula1>
      <formula2>5</formula2>
    </dataValidation>
    <dataValidation type="decimal" allowBlank="1" showInputMessage="1" showErrorMessage="1" errorTitle="Check this entry" error="Enter a percentage from 0% to 1000% (type 85% or 0.85)." promptTitle="Markup on cost" prompt="Cost-plus markup: price = cost x (1 + markup). A 30% markup is a 23.1% margin on price. Enter a percentage from 0% to 1000% (type 85% or 0.85)." sqref="C10">
      <formula1>0</formula1>
      <formula2>10</formula2>
    </dataValidation>
    <dataValidation type="decimal" allowBlank="1" showInputMessage="1" showErrorMessage="1" errorTitle="Check this entry" error="Enter a number from 0.0001 to 1,000." promptTitle="Round unit prices up to the n..." prompt="Enter a number from 0.0001 to 1,000." sqref="C11">
      <formula1>0.0001</formula1>
      <formula2>1000</formula2>
    </dataValidation>
    <dataValidation type="decimal" allowBlank="1" showInputMessage="1" showErrorMessage="1" errorTitle="Check this entry" error="Enter a number from 0 to 1,000,000." promptTitle="Tooling charge per order" prompt="A one-off charge billed with the order, such as a special crimp die. Leave at 0 if none. Enter a number from 0 to 1,000,000." sqref="C12">
      <formula1>0</formula1>
      <formula2>1000000.0</formula2>
    </dataValidation>
    <dataValidation type="textLength" allowBlank="1" showInputMessage="1" showErrorMessage="1" errorTitle="Check this entry" error="Text up to 60 characters." promptTitle="Hose" prompt="Text up to 60 characters." sqref="B20:B123">
      <formula1>0</formula1>
      <formula2>60</formula2>
    </dataValidation>
    <dataValidation type="decimal" allowBlank="1" showInputMessage="1" showErrorMessage="1" errorTitle="Check this entry" error="Enter a number from 0 to 1,000,000." promptTitle="Price" prompt="Bulk hose price per foot or per metre, as set in the Per column. Enter a number from 0 to 1,000,000." sqref="C20:C123">
      <formula1>0</formula1>
      <formula2>1000000.0</formula2>
    </dataValidation>
    <dataValidation type="list" allowBlank="1" showInputMessage="1" showErrorMessage="1" errorTitle="Check this entry" error="Pick one of: ft, m." promptTitle="Per" prompt="Pick one of: ft, m." sqref="D20:D123">
      <formula1>"ft,m"</formula1>
    </dataValidation>
    <dataValidation type="textLength" allowBlank="1" showInputMessage="1" showErrorMessage="1" errorTitle="Check this entry" error="Text up to 120 characters." promptTitle="Notes" prompt="Text up to 120 characters." sqref="E20:E123">
      <formula1>0</formula1>
      <formula2>120</formula2>
    </dataValidation>
    <dataValidation type="textLength" allowBlank="1" showInputMessage="1" showErrorMessage="1" errorTitle="Check this entry" error="Text up to 60 characters." promptTitle="Fitting" prompt="Text up to 60 characters." sqref="B28:B131">
      <formula1>0</formula1>
      <formula2>60</formula2>
    </dataValidation>
    <dataValidation type="decimal" allowBlank="1" showInputMessage="1" showErrorMessage="1" errorTitle="Check this entry" error="Enter a number from 0 to 1,000." promptTitle="Cut-off" prompt="Length the fitting adds beyond the hose end, from the fitting catalogue, in the Estimate's length unit. Enter a number from 0 to 1,000." sqref="C28:C131">
      <formula1>0</formula1>
      <formula2>1000</formula2>
    </dataValidation>
    <dataValidation type="decimal" allowBlank="1" showInputMessage="1" showErrorMessage="1" errorTitle="Check this entry" error="Enter a number from 0 to 1,000,000." promptTitle="Unit price" prompt="Fitting with its ferrule. Enter a number from 0 to 1,000,000." sqref="D28:D131">
      <formula1>0</formula1>
      <formula2>1000000.0</formula2>
    </dataValidation>
    <dataValidation type="textLength" allowBlank="1" showInputMessage="1" showErrorMessage="1" errorTitle="Check this entry" error="Text up to 120 characters." promptTitle="Notes" prompt="Text up to 120 characters." sqref="E28:E131">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Hose Assembly Cost Estimator&amp;R&amp;8&amp;A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K75"/>
  <sheetViews>
    <sheetView showGridLines="0" workbookViewId="0"/>
  </sheetViews>
  <sheetFormatPr defaultRowHeight="15"/>
  <cols>
    <col min="1" max="1" width="2.7109375" customWidth="1"/>
    <col min="2" max="2" width="34.7109375" customWidth="1"/>
    <col min="3" max="3" width="22.7109375" customWidth="1"/>
    <col min="4" max="10" width="12.7109375" customWidth="1"/>
    <col min="11" max="11" width="20.7109375" customWidth="1"/>
  </cols>
  <sheetData>
    <row r="1" spans="1:11" ht="30" customHeight="1">
      <c r="A1" s="1" t="s">
        <v>0</v>
      </c>
      <c r="B1" s="1"/>
      <c r="C1" s="1"/>
      <c r="D1" s="1"/>
      <c r="E1" s="1"/>
      <c r="F1" s="1"/>
      <c r="G1" s="1"/>
      <c r="H1" s="1"/>
      <c r="I1" s="1"/>
      <c r="J1" s="1"/>
      <c r="K1" s="1"/>
    </row>
    <row r="2" spans="1:11" ht="21" customHeight="1">
      <c r="B2" s="2" t="s">
        <v>22</v>
      </c>
      <c r="C2" s="2"/>
      <c r="D2" s="2"/>
      <c r="E2" s="2"/>
      <c r="F2" s="2"/>
      <c r="G2" s="2"/>
      <c r="H2" s="2"/>
      <c r="I2" s="2"/>
      <c r="J2" s="2"/>
      <c r="K2" s="3" t="s">
        <v>2</v>
      </c>
    </row>
    <row r="3" spans="1:11" ht="6" customHeight="1"/>
    <row r="4" spans="1:11" ht="21" customHeight="1">
      <c r="B4" s="34" t="s">
        <v>106</v>
      </c>
      <c r="C4" s="34"/>
      <c r="D4" s="34"/>
      <c r="E4" s="34"/>
      <c r="F4" s="34"/>
      <c r="G4" s="34"/>
      <c r="H4" s="34"/>
      <c r="I4" s="34"/>
      <c r="J4" s="34"/>
      <c r="K4" s="34"/>
    </row>
    <row r="6" spans="1:11" ht="21" customHeight="1">
      <c r="B6" s="8" t="s">
        <v>107</v>
      </c>
      <c r="C6" s="8"/>
      <c r="D6" s="8"/>
      <c r="E6" s="8"/>
      <c r="F6" s="8"/>
      <c r="G6" s="8"/>
      <c r="H6" s="8"/>
      <c r="I6" s="8"/>
      <c r="J6" s="8"/>
      <c r="K6" s="8"/>
    </row>
    <row r="7" spans="1:11" ht="5" customHeight="1"/>
    <row r="8" spans="1:11">
      <c r="B8" s="27" t="s">
        <v>108</v>
      </c>
      <c r="C8" s="35" t="s">
        <v>109</v>
      </c>
      <c r="D8" s="35"/>
      <c r="E8" s="35"/>
    </row>
    <row r="9" spans="1:11">
      <c r="B9" s="27" t="s">
        <v>110</v>
      </c>
      <c r="C9" s="35" t="s">
        <v>111</v>
      </c>
      <c r="D9" s="35"/>
      <c r="E9" s="35"/>
    </row>
    <row r="10" spans="1:11">
      <c r="B10" s="27" t="s">
        <v>112</v>
      </c>
      <c r="C10" s="35" t="s">
        <v>113</v>
      </c>
      <c r="D10" s="35"/>
      <c r="E10" s="35"/>
    </row>
    <row r="11" spans="1:11">
      <c r="B11" s="27" t="s">
        <v>114</v>
      </c>
      <c r="C11" s="36">
        <v>46319</v>
      </c>
      <c r="D11" s="36"/>
      <c r="E11" s="36"/>
    </row>
    <row r="12" spans="1:11">
      <c r="B12" s="27" t="s">
        <v>115</v>
      </c>
      <c r="C12" s="35" t="s">
        <v>116</v>
      </c>
      <c r="D12" s="35"/>
      <c r="E12" s="35"/>
    </row>
    <row r="14" spans="1:11" ht="21" customHeight="1">
      <c r="B14" s="8" t="s">
        <v>117</v>
      </c>
      <c r="C14" s="8"/>
      <c r="D14" s="8"/>
      <c r="E14" s="8"/>
      <c r="F14" s="8"/>
      <c r="G14" s="8"/>
      <c r="H14" s="8"/>
      <c r="I14" s="8"/>
      <c r="J14" s="8"/>
      <c r="K14" s="8"/>
    </row>
    <row r="15" spans="1:11" ht="5" customHeight="1"/>
    <row r="16" spans="1:11">
      <c r="B16" s="27" t="s">
        <v>62</v>
      </c>
      <c r="C16" s="28" t="s">
        <v>82</v>
      </c>
      <c r="D16" s="28"/>
    </row>
    <row r="17" spans="2:11">
      <c r="B17" s="27" t="s">
        <v>118</v>
      </c>
      <c r="C17" s="28" t="s">
        <v>119</v>
      </c>
      <c r="D17" s="28"/>
    </row>
    <row r="18" spans="2:11">
      <c r="B18" s="27" t="s">
        <v>120</v>
      </c>
      <c r="C18" s="29">
        <v>36</v>
      </c>
      <c r="D18" s="7" t="str">
        <f>DimUnit</f>
        <v>in</v>
      </c>
    </row>
    <row r="19" spans="2:11">
      <c r="B19" s="27" t="s">
        <v>121</v>
      </c>
      <c r="C19" s="28" t="s">
        <v>92</v>
      </c>
      <c r="D19" s="28"/>
    </row>
    <row r="20" spans="2:11">
      <c r="B20" s="27" t="s">
        <v>122</v>
      </c>
      <c r="C20" s="28" t="s">
        <v>94</v>
      </c>
      <c r="D20" s="28"/>
    </row>
    <row r="21" spans="2:11">
      <c r="B21" s="27" t="s">
        <v>123</v>
      </c>
      <c r="C21" s="30">
        <v>0.03</v>
      </c>
      <c r="D21" s="7"/>
    </row>
    <row r="22" spans="2:11">
      <c r="B22" s="27" t="s">
        <v>124</v>
      </c>
      <c r="C22" s="37">
        <f>IFERROR(INDEX(tblFittings[Cut-off],MATCH(FitA,tblFittings[Fitting],0)),"")</f>
        <v>1.55</v>
      </c>
      <c r="D22" s="7" t="str">
        <f>DimUnit</f>
        <v>in</v>
      </c>
    </row>
    <row r="23" spans="2:11">
      <c r="B23" s="27" t="s">
        <v>125</v>
      </c>
      <c r="C23" s="37">
        <f>IFERROR(INDEX(tblFittings[Cut-off],MATCH(FitB,tblFittings[Fitting],0)),"")</f>
        <v>2.35</v>
      </c>
      <c r="D23" s="7" t="str">
        <f>DimUnit</f>
        <v>in</v>
      </c>
    </row>
    <row r="24" spans="2:11">
      <c r="B24" s="17" t="s">
        <v>126</v>
      </c>
      <c r="C24" s="38">
        <f>IF(OR(CutoffA="",CutoffB=""),"",OAL-CutoffA-CutoffB)</f>
        <v>32.1</v>
      </c>
      <c r="D24" s="7" t="str">
        <f>DimUnit</f>
        <v>in</v>
      </c>
    </row>
    <row r="25" spans="2:11">
      <c r="B25" s="27" t="s">
        <v>127</v>
      </c>
      <c r="C25" s="39" t="str">
        <f>IFERROR(INDEX(tblHoses[Per],MATCH(Hose,tblHoses[Hose],0)),"")</f>
        <v>ft</v>
      </c>
      <c r="D25" s="39"/>
    </row>
    <row r="26" spans="2:11">
      <c r="B26" s="27" t="s">
        <v>128</v>
      </c>
      <c r="C26" s="37">
        <f>IFERROR(INDEX(tblHoses[Price],MATCH(Hose,tblHoses[Hose],0)),"")</f>
        <v>2.85</v>
      </c>
      <c r="D26" s="7" t="str">
        <f>Currency</f>
        <v>USD</v>
      </c>
    </row>
    <row r="27" spans="2:11">
      <c r="B27" s="27" t="s">
        <v>129</v>
      </c>
      <c r="C27" s="40">
        <f>IF(OR(CutLen="",HosePer=""),"",IF(HosePer="ft",IF(DimUnit="in",CutLen/12,CutLen/304.8),IF(DimUnit="in",CutLen*0.0254,CutLen/1000)))</f>
        <v>2.675</v>
      </c>
      <c r="D27" s="7" t="s">
        <v>130</v>
      </c>
    </row>
    <row r="28" spans="2:11">
      <c r="B28" s="17" t="s">
        <v>131</v>
      </c>
      <c r="C28" s="41">
        <f>IF(OR(CutPriced="",HosePrice=""),"",CutPriced*HosePrice*(1+CutWaste))</f>
        <v>7.8524625</v>
      </c>
      <c r="D28" s="7" t="str">
        <f>Currency&amp;"/assembly"</f>
        <v>USD/assembly</v>
      </c>
    </row>
    <row r="29" spans="2:11">
      <c r="B29" s="27" t="s">
        <v>132</v>
      </c>
      <c r="C29" s="42">
        <f>IFERROR(INDEX(tblFittings[Unit price],MATCH(FitA,tblFittings[Fitting],0))+INDEX(tblFittings[Unit price],MATCH(FitB,tblFittings[Fitting],0)),"")</f>
        <v>8.8</v>
      </c>
      <c r="D29" s="7" t="str">
        <f>Currency&amp;"/assembly"</f>
        <v>USD/assembly</v>
      </c>
    </row>
    <row r="30" spans="2:11">
      <c r="B30" s="27" t="s">
        <v>105</v>
      </c>
      <c r="C30" s="39" t="str">
        <f>IF(HosePrice="","Hose not on Setup list",IF(OR(CutoffA="",CutoffB=""),"Fitting not on Setup list",IF(CutLen&lt;=0,"Fittings longer than the assembly","OK")))</f>
        <v>OK</v>
      </c>
      <c r="D30" s="39"/>
    </row>
    <row r="32" spans="2:11" ht="21" customHeight="1">
      <c r="B32" s="8" t="s">
        <v>133</v>
      </c>
      <c r="C32" s="8"/>
      <c r="D32" s="8"/>
      <c r="E32" s="8"/>
      <c r="F32" s="8"/>
      <c r="G32" s="8"/>
      <c r="H32" s="8"/>
      <c r="I32" s="8"/>
      <c r="J32" s="8"/>
      <c r="K32" s="8"/>
    </row>
    <row r="33" spans="2:11" ht="5" customHeight="1"/>
    <row r="34" spans="2:11" ht="14" customHeight="1">
      <c r="B34" s="32"/>
      <c r="C34" s="32"/>
      <c r="D34" s="32" t="str">
        <f>Currency&amp;"/each"</f>
        <v>USD/each</v>
      </c>
      <c r="E34" s="32" t="str">
        <f>Currency&amp;"/assembly"</f>
        <v>USD/assembly</v>
      </c>
    </row>
    <row r="35" spans="2:11" ht="32" customHeight="1">
      <c r="B35" s="33" t="s">
        <v>98</v>
      </c>
      <c r="C35" s="33" t="s">
        <v>99</v>
      </c>
      <c r="D35" s="33" t="s">
        <v>68</v>
      </c>
      <c r="E35" s="33" t="s">
        <v>100</v>
      </c>
    </row>
    <row r="36" spans="2:11">
      <c r="B36" s="28" t="s">
        <v>134</v>
      </c>
      <c r="C36" s="43">
        <v>1</v>
      </c>
      <c r="D36" s="44">
        <v>1.15</v>
      </c>
      <c r="E36" s="42">
        <f>IF(tblExtras[[#This Row],[Component]]="","",tblExtras[[#This Row],[Qty per assembly]]*tblExtras[[#This Row],[Unit price]])</f>
        <v>1.15</v>
      </c>
    </row>
    <row r="37" spans="2:11">
      <c r="B37" s="28" t="s">
        <v>135</v>
      </c>
      <c r="C37" s="43">
        <v>2</v>
      </c>
      <c r="D37" s="44">
        <v>0.08</v>
      </c>
      <c r="E37" s="42">
        <f>IF(tblExtras[[#This Row],[Component]]="","",tblExtras[[#This Row],[Qty per assembly]]*tblExtras[[#This Row],[Unit price]])</f>
        <v>0.16</v>
      </c>
    </row>
    <row r="38" spans="2:11">
      <c r="B38" s="28" t="s">
        <v>136</v>
      </c>
      <c r="C38" s="43">
        <v>1</v>
      </c>
      <c r="D38" s="44">
        <v>0.12</v>
      </c>
      <c r="E38" s="42">
        <f>IF(tblExtras[[#This Row],[Component]]="","",tblExtras[[#This Row],[Qty per assembly]]*tblExtras[[#This Row],[Unit price]])</f>
        <v>0.12</v>
      </c>
    </row>
    <row r="40" spans="2:11">
      <c r="B40" s="31" t="s">
        <v>137</v>
      </c>
      <c r="C40" s="31"/>
      <c r="D40" s="31"/>
    </row>
    <row r="41" spans="2:11">
      <c r="B41" s="17" t="s">
        <v>138</v>
      </c>
      <c r="C41" s="41">
        <f>N(FitCost)+SUM(tblExtras[Cost per assembly])</f>
        <v>10.23</v>
      </c>
      <c r="D41" s="7" t="str">
        <f>Currency&amp;"/assembly"</f>
        <v>USD/assembly</v>
      </c>
    </row>
    <row r="43" spans="2:11" ht="21" customHeight="1">
      <c r="B43" s="8" t="s">
        <v>139</v>
      </c>
      <c r="C43" s="8"/>
      <c r="D43" s="8"/>
      <c r="E43" s="8"/>
      <c r="F43" s="8"/>
      <c r="G43" s="8"/>
      <c r="H43" s="8"/>
      <c r="I43" s="8"/>
      <c r="J43" s="8"/>
      <c r="K43" s="8"/>
    </row>
    <row r="44" spans="2:11" ht="5" customHeight="1"/>
    <row r="45" spans="2:11" ht="14" customHeight="1">
      <c r="B45" s="32"/>
      <c r="C45" s="32"/>
      <c r="D45" s="32"/>
      <c r="E45" s="32" t="str">
        <f>Currency&amp;"/assembly"</f>
        <v>USD/assembly</v>
      </c>
      <c r="F45" s="32" t="str">
        <f>Currency&amp;"/batch"</f>
        <v>USD/batch</v>
      </c>
      <c r="G45" s="32"/>
    </row>
    <row r="46" spans="2:11" ht="32" customHeight="1">
      <c r="B46" s="33" t="s">
        <v>101</v>
      </c>
      <c r="C46" s="33" t="s">
        <v>102</v>
      </c>
      <c r="D46" s="33" t="s">
        <v>103</v>
      </c>
      <c r="E46" s="33" t="s">
        <v>100</v>
      </c>
      <c r="F46" s="33" t="s">
        <v>104</v>
      </c>
      <c r="G46" s="33" t="s">
        <v>105</v>
      </c>
    </row>
    <row r="47" spans="2:11">
      <c r="B47" s="28" t="s">
        <v>140</v>
      </c>
      <c r="C47" s="43">
        <v>20</v>
      </c>
      <c r="D47" s="43">
        <v>0</v>
      </c>
      <c r="E47" s="42">
        <f>IF(tblOps[[#This Row],[Operation]]="","",tblOps[[#This Row],[Seconds per assembly]]/3600*LabourRate*(1+Overhead))</f>
        <v>0.315</v>
      </c>
      <c r="F47" s="37">
        <f>IF(tblOps[[#This Row],[Operation]]="","",tblOps[[#This Row],[Setup (min)]]/60*LabourRate*(1+Overhead))</f>
        <v>0</v>
      </c>
      <c r="G47" s="45" t="str">
        <f>IF(tblOps[[#This Row],[Operation]]="","",IF(tblOps[[#This Row],[Operation]]="","Missing operation",IF(AND(tblOps[[#This Row],[Seconds per assembly]]=0,tblOps[[#This Row],[Setup (min)]]=0),"Enter a time","OK")))</f>
        <v>OK</v>
      </c>
    </row>
    <row r="48" spans="2:11">
      <c r="B48" s="28" t="s">
        <v>141</v>
      </c>
      <c r="C48" s="43">
        <v>15</v>
      </c>
      <c r="D48" s="43">
        <v>0</v>
      </c>
      <c r="E48" s="42">
        <f>IF(tblOps[[#This Row],[Operation]]="","",tblOps[[#This Row],[Seconds per assembly]]/3600*LabourRate*(1+Overhead))</f>
        <v>0.23625</v>
      </c>
      <c r="F48" s="37">
        <f>IF(tblOps[[#This Row],[Operation]]="","",tblOps[[#This Row],[Setup (min)]]/60*LabourRate*(1+Overhead))</f>
        <v>0</v>
      </c>
      <c r="G48" s="45" t="str">
        <f>IF(tblOps[[#This Row],[Operation]]="","",IF(tblOps[[#This Row],[Operation]]="","Missing operation",IF(AND(tblOps[[#This Row],[Seconds per assembly]]=0,tblOps[[#This Row],[Setup (min)]]=0),"Enter a time","OK")))</f>
        <v>OK</v>
      </c>
    </row>
    <row r="49" spans="2:11">
      <c r="B49" s="28" t="s">
        <v>142</v>
      </c>
      <c r="C49" s="43">
        <v>10</v>
      </c>
      <c r="D49" s="43">
        <v>0</v>
      </c>
      <c r="E49" s="42">
        <f>IF(tblOps[[#This Row],[Operation]]="","",tblOps[[#This Row],[Seconds per assembly]]/3600*LabourRate*(1+Overhead))</f>
        <v>0.1575</v>
      </c>
      <c r="F49" s="37">
        <f>IF(tblOps[[#This Row],[Operation]]="","",tblOps[[#This Row],[Setup (min)]]/60*LabourRate*(1+Overhead))</f>
        <v>0</v>
      </c>
      <c r="G49" s="45" t="str">
        <f>IF(tblOps[[#This Row],[Operation]]="","",IF(tblOps[[#This Row],[Operation]]="","Missing operation",IF(AND(tblOps[[#This Row],[Seconds per assembly]]=0,tblOps[[#This Row],[Setup (min)]]=0),"Enter a time","OK")))</f>
        <v>OK</v>
      </c>
    </row>
    <row r="50" spans="2:11">
      <c r="B50" s="28" t="s">
        <v>143</v>
      </c>
      <c r="C50" s="43">
        <v>25</v>
      </c>
      <c r="D50" s="43">
        <v>10</v>
      </c>
      <c r="E50" s="42">
        <f>IF(tblOps[[#This Row],[Operation]]="","",tblOps[[#This Row],[Seconds per assembly]]/3600*LabourRate*(1+Overhead))</f>
        <v>0.39375</v>
      </c>
      <c r="F50" s="37">
        <f>IF(tblOps[[#This Row],[Operation]]="","",tblOps[[#This Row],[Setup (min)]]/60*LabourRate*(1+Overhead))</f>
        <v>9.45</v>
      </c>
      <c r="G50" s="45" t="str">
        <f>IF(tblOps[[#This Row],[Operation]]="","",IF(tblOps[[#This Row],[Operation]]="","Missing operation",IF(AND(tblOps[[#This Row],[Seconds per assembly]]=0,tblOps[[#This Row],[Setup (min)]]=0),"Enter a time","OK")))</f>
        <v>OK</v>
      </c>
    </row>
    <row r="51" spans="2:11">
      <c r="B51" s="28" t="s">
        <v>144</v>
      </c>
      <c r="C51" s="43">
        <v>25</v>
      </c>
      <c r="D51" s="43">
        <v>0</v>
      </c>
      <c r="E51" s="42">
        <f>IF(tblOps[[#This Row],[Operation]]="","",tblOps[[#This Row],[Seconds per assembly]]/3600*LabourRate*(1+Overhead))</f>
        <v>0.39375</v>
      </c>
      <c r="F51" s="37">
        <f>IF(tblOps[[#This Row],[Operation]]="","",tblOps[[#This Row],[Setup (min)]]/60*LabourRate*(1+Overhead))</f>
        <v>0</v>
      </c>
      <c r="G51" s="45" t="str">
        <f>IF(tblOps[[#This Row],[Operation]]="","",IF(tblOps[[#This Row],[Operation]]="","Missing operation",IF(AND(tblOps[[#This Row],[Seconds per assembly]]=0,tblOps[[#This Row],[Setup (min)]]=0),"Enter a time","OK")))</f>
        <v>OK</v>
      </c>
    </row>
    <row r="52" spans="2:11">
      <c r="B52" s="28" t="s">
        <v>145</v>
      </c>
      <c r="C52" s="43">
        <v>60</v>
      </c>
      <c r="D52" s="43">
        <v>15</v>
      </c>
      <c r="E52" s="42">
        <f>IF(tblOps[[#This Row],[Operation]]="","",tblOps[[#This Row],[Seconds per assembly]]/3600*LabourRate*(1+Overhead))</f>
        <v>0.945</v>
      </c>
      <c r="F52" s="37">
        <f>IF(tblOps[[#This Row],[Operation]]="","",tblOps[[#This Row],[Setup (min)]]/60*LabourRate*(1+Overhead))</f>
        <v>14.175</v>
      </c>
      <c r="G52" s="45" t="str">
        <f>IF(tblOps[[#This Row],[Operation]]="","",IF(tblOps[[#This Row],[Operation]]="","Missing operation",IF(AND(tblOps[[#This Row],[Seconds per assembly]]=0,tblOps[[#This Row],[Setup (min)]]=0),"Enter a time","OK")))</f>
        <v>OK</v>
      </c>
    </row>
    <row r="53" spans="2:11">
      <c r="B53" s="28" t="s">
        <v>146</v>
      </c>
      <c r="C53" s="43">
        <v>20</v>
      </c>
      <c r="D53" s="43">
        <v>0</v>
      </c>
      <c r="E53" s="42">
        <f>IF(tblOps[[#This Row],[Operation]]="","",tblOps[[#This Row],[Seconds per assembly]]/3600*LabourRate*(1+Overhead))</f>
        <v>0.315</v>
      </c>
      <c r="F53" s="37">
        <f>IF(tblOps[[#This Row],[Operation]]="","",tblOps[[#This Row],[Setup (min)]]/60*LabourRate*(1+Overhead))</f>
        <v>0</v>
      </c>
      <c r="G53" s="45" t="str">
        <f>IF(tblOps[[#This Row],[Operation]]="","",IF(tblOps[[#This Row],[Operation]]="","Missing operation",IF(AND(tblOps[[#This Row],[Seconds per assembly]]=0,tblOps[[#This Row],[Setup (min)]]=0),"Enter a time","OK")))</f>
        <v>OK</v>
      </c>
    </row>
    <row r="55" spans="2:11">
      <c r="B55" s="31" t="s">
        <v>147</v>
      </c>
      <c r="C55" s="31"/>
      <c r="D55" s="31"/>
    </row>
    <row r="56" spans="2:11">
      <c r="B56" s="27" t="s">
        <v>148</v>
      </c>
      <c r="C56" s="42">
        <f>SUM(tblOps[Cost per assembly])</f>
        <v>2.75625</v>
      </c>
      <c r="D56" s="7" t="str">
        <f>Currency&amp;"/assembly"</f>
        <v>USD/assembly</v>
      </c>
    </row>
    <row r="57" spans="2:11">
      <c r="B57" s="27" t="s">
        <v>149</v>
      </c>
      <c r="C57" s="46">
        <f>SUM(tblOps[Seconds per assembly])</f>
        <v>175</v>
      </c>
      <c r="D57" s="7" t="s">
        <v>150</v>
      </c>
    </row>
    <row r="58" spans="2:11">
      <c r="B58" s="27" t="s">
        <v>151</v>
      </c>
      <c r="C58" s="46">
        <f>SUM(tblOps[Setup (min)])</f>
        <v>25</v>
      </c>
      <c r="D58" s="7" t="s">
        <v>152</v>
      </c>
    </row>
    <row r="59" spans="2:11">
      <c r="B59" s="27" t="s">
        <v>153</v>
      </c>
      <c r="C59" s="29">
        <v>40</v>
      </c>
      <c r="D59" s="7" t="str">
        <f>Currency&amp;"/order"</f>
        <v>USD/order</v>
      </c>
    </row>
    <row r="60" spans="2:11">
      <c r="B60" s="17" t="s">
        <v>154</v>
      </c>
      <c r="C60" s="38">
        <f>SUM(tblOps[Setup cost])+FixedJob</f>
        <v>63.625</v>
      </c>
      <c r="D60" s="7" t="str">
        <f>Currency&amp;"/order"</f>
        <v>USD/order</v>
      </c>
    </row>
    <row r="62" spans="2:11" ht="21" customHeight="1">
      <c r="B62" s="8" t="s">
        <v>155</v>
      </c>
      <c r="C62" s="8"/>
      <c r="D62" s="8"/>
      <c r="E62" s="8"/>
      <c r="F62" s="8"/>
      <c r="G62" s="8"/>
      <c r="H62" s="8"/>
      <c r="I62" s="8"/>
      <c r="J62" s="8"/>
      <c r="K62" s="8"/>
    </row>
    <row r="63" spans="2:11" ht="5" customHeight="1"/>
    <row r="64" spans="2:11">
      <c r="B64" s="47" t="s">
        <v>156</v>
      </c>
      <c r="C64" s="33" t="s">
        <v>157</v>
      </c>
      <c r="D64" s="48">
        <v>10</v>
      </c>
      <c r="E64" s="48">
        <v>25</v>
      </c>
      <c r="F64" s="48">
        <v>50</v>
      </c>
      <c r="G64" s="48">
        <v>150</v>
      </c>
      <c r="H64" s="48">
        <v>500</v>
      </c>
    </row>
    <row r="65" spans="2:8">
      <c r="B65" s="27" t="s">
        <v>62</v>
      </c>
      <c r="C65" s="7" t="str">
        <f>Currency&amp;"/assembly"</f>
        <v>USD/assembly</v>
      </c>
      <c r="D65" s="37">
        <f>HoseCost</f>
        <v>7.8524625</v>
      </c>
      <c r="E65" s="37">
        <f>HoseCost</f>
        <v>7.8524625</v>
      </c>
      <c r="F65" s="37">
        <f>HoseCost</f>
        <v>7.8524625</v>
      </c>
      <c r="G65" s="37">
        <f>HoseCost</f>
        <v>7.8524625</v>
      </c>
      <c r="H65" s="37">
        <f>HoseCost</f>
        <v>7.8524625</v>
      </c>
    </row>
    <row r="66" spans="2:8">
      <c r="B66" s="27" t="s">
        <v>158</v>
      </c>
      <c r="C66" s="7" t="str">
        <f>Currency&amp;"/assembly"</f>
        <v>USD/assembly</v>
      </c>
      <c r="D66" s="37">
        <f>CompCost</f>
        <v>10.23</v>
      </c>
      <c r="E66" s="37">
        <f>CompCost</f>
        <v>10.23</v>
      </c>
      <c r="F66" s="37">
        <f>CompCost</f>
        <v>10.23</v>
      </c>
      <c r="G66" s="37">
        <f>CompCost</f>
        <v>10.23</v>
      </c>
      <c r="H66" s="37">
        <f>CompCost</f>
        <v>10.23</v>
      </c>
    </row>
    <row r="67" spans="2:8">
      <c r="B67" s="27" t="s">
        <v>159</v>
      </c>
      <c r="C67" s="7" t="str">
        <f>Currency&amp;"/assembly"</f>
        <v>USD/assembly</v>
      </c>
      <c r="D67" s="37">
        <f>LabourPer</f>
        <v>2.75625</v>
      </c>
      <c r="E67" s="37">
        <f>LabourPer</f>
        <v>2.75625</v>
      </c>
      <c r="F67" s="37">
        <f>LabourPer</f>
        <v>2.75625</v>
      </c>
      <c r="G67" s="37">
        <f>LabourPer</f>
        <v>2.75625</v>
      </c>
      <c r="H67" s="37">
        <f>LabourPer</f>
        <v>2.75625</v>
      </c>
    </row>
    <row r="68" spans="2:8">
      <c r="B68" s="27" t="s">
        <v>160</v>
      </c>
      <c r="C68" s="7" t="str">
        <f>Currency&amp;"/assembly"</f>
        <v>USD/assembly</v>
      </c>
      <c r="D68" s="37">
        <f>FixedJobCost/$D$64</f>
        <v>6.3625</v>
      </c>
      <c r="E68" s="37">
        <f>FixedJobCost/$E$64</f>
        <v>2.545</v>
      </c>
      <c r="F68" s="37">
        <f>FixedJobCost/$F$64</f>
        <v>1.2725</v>
      </c>
      <c r="G68" s="37">
        <f>FixedJobCost/$G$64</f>
        <v>0.424166666666667</v>
      </c>
      <c r="H68" s="37">
        <f>FixedJobCost/$H$64</f>
        <v>0.12725</v>
      </c>
    </row>
    <row r="69" spans="2:8">
      <c r="B69" s="17" t="s">
        <v>100</v>
      </c>
      <c r="C69" s="7" t="str">
        <f>Currency&amp;"/assembly"</f>
        <v>USD/assembly</v>
      </c>
      <c r="D69" s="49">
        <f>$D$65+$D$66+$D$67+$D$68</f>
        <v>27.2012125</v>
      </c>
      <c r="E69" s="49">
        <f>$E$65+$E$66+$E$67+$E$68</f>
        <v>23.3837125</v>
      </c>
      <c r="F69" s="49">
        <f>$F$65+$F$66+$F$67+$F$68</f>
        <v>22.1112125</v>
      </c>
      <c r="G69" s="49">
        <f>$G$65+$G$66+$G$67+$G$68</f>
        <v>21.2628791666667</v>
      </c>
      <c r="H69" s="49">
        <f>$H$65+$H$66+$H$67+$H$68</f>
        <v>20.9659625</v>
      </c>
    </row>
    <row r="70" spans="2:8">
      <c r="B70" s="27" t="s">
        <v>161</v>
      </c>
      <c r="C70" s="7" t="str">
        <f>Currency&amp;"/assembly"</f>
        <v>USD/assembly</v>
      </c>
      <c r="D70" s="37">
        <f>$D$69*Markup</f>
        <v>8.16036375</v>
      </c>
      <c r="E70" s="37">
        <f>$E$69*Markup</f>
        <v>7.01511375</v>
      </c>
      <c r="F70" s="37">
        <f>$F$69*Markup</f>
        <v>6.63336375</v>
      </c>
      <c r="G70" s="37">
        <f>$G$69*Markup</f>
        <v>6.37886375</v>
      </c>
      <c r="H70" s="37">
        <f>$H$69*Markup</f>
        <v>6.28978875</v>
      </c>
    </row>
    <row r="71" spans="2:8">
      <c r="B71" s="27" t="s">
        <v>162</v>
      </c>
      <c r="C71" s="7" t="str">
        <f>Currency&amp;"/assembly"</f>
        <v>USD/assembly</v>
      </c>
      <c r="D71" s="37">
        <f>ToolingCharge/$D$64</f>
        <v>0</v>
      </c>
      <c r="E71" s="37">
        <f>ToolingCharge/$E$64</f>
        <v>0</v>
      </c>
      <c r="F71" s="37">
        <f>ToolingCharge/$F$64</f>
        <v>0</v>
      </c>
      <c r="G71" s="37">
        <f>ToolingCharge/$G$64</f>
        <v>0</v>
      </c>
      <c r="H71" s="37">
        <f>ToolingCharge/$H$64</f>
        <v>0</v>
      </c>
    </row>
    <row r="72" spans="2:8">
      <c r="B72" s="27" t="s">
        <v>68</v>
      </c>
      <c r="C72" s="7" t="str">
        <f>Currency&amp;"/assembly"</f>
        <v>USD/assembly</v>
      </c>
      <c r="D72" s="50">
        <f>CEILING($D$69+$D$70+$D$71,RoundStep)</f>
        <v>35.4</v>
      </c>
      <c r="E72" s="50">
        <f>CEILING($E$69+$E$70+$E$71,RoundStep)</f>
        <v>30.4</v>
      </c>
      <c r="F72" s="50">
        <f>CEILING($F$69+$F$70+$F$71,RoundStep)</f>
        <v>28.75</v>
      </c>
      <c r="G72" s="50">
        <f>CEILING($G$69+$G$70+$G$71,RoundStep)</f>
        <v>27.65</v>
      </c>
      <c r="H72" s="50">
        <f>CEILING($H$69+$H$70+$H$71,RoundStep)</f>
        <v>27.3</v>
      </c>
    </row>
    <row r="73" spans="2:8">
      <c r="B73" s="27" t="s">
        <v>163</v>
      </c>
      <c r="C73" s="7" t="str">
        <f>Currency</f>
        <v>USD</v>
      </c>
      <c r="D73" s="37">
        <f>$D$72*$D$64</f>
        <v>354</v>
      </c>
      <c r="E73" s="37">
        <f>$E$72*$E$64</f>
        <v>760</v>
      </c>
      <c r="F73" s="37">
        <f>$F$72*$F$64</f>
        <v>1437.5</v>
      </c>
      <c r="G73" s="37">
        <f>$G$72*$G$64</f>
        <v>4147.5</v>
      </c>
      <c r="H73" s="37">
        <f>$H$72*$H$64</f>
        <v>13650</v>
      </c>
    </row>
    <row r="74" spans="2:8">
      <c r="B74" s="27" t="s">
        <v>164</v>
      </c>
      <c r="C74" s="7" t="s">
        <v>165</v>
      </c>
      <c r="D74" s="51">
        <f>($D$72-$D$71-$D$69)/($D$72-$D$71)</f>
        <v>0.231604166666667</v>
      </c>
      <c r="E74" s="51">
        <f>($E$72-$E$71-$E$69)/($E$72-$E$71)</f>
        <v>0.230798930921053</v>
      </c>
      <c r="F74" s="51">
        <f>($F$72-$F$71-$F$69)/($F$72-$F$71)</f>
        <v>0.230914347826087</v>
      </c>
      <c r="G74" s="51">
        <f>($G$72-$G$71-$G$69)/($G$72-$G$71)</f>
        <v>0.230998945147679</v>
      </c>
      <c r="H74" s="51">
        <f>($H$72-$H$71-$H$69)/($H$72-$H$71)</f>
        <v>0.232016025641026</v>
      </c>
    </row>
    <row r="75" spans="2:8">
      <c r="B75" s="27" t="s">
        <v>166</v>
      </c>
      <c r="C75" s="7" t="s">
        <v>167</v>
      </c>
      <c r="D75" s="52">
        <f>SetupMin/60+$D$64*SecsPer/3600</f>
        <v>0.902777777777778</v>
      </c>
      <c r="E75" s="52">
        <f>SetupMin/60+$E$64*SecsPer/3600</f>
        <v>1.63194444444444</v>
      </c>
      <c r="F75" s="52">
        <f>SetupMin/60+$F$64*SecsPer/3600</f>
        <v>2.84722222222222</v>
      </c>
      <c r="G75" s="52">
        <f>SetupMin/60+$G$64*SecsPer/3600</f>
        <v>7.70833333333333</v>
      </c>
      <c r="H75" s="52">
        <f>SetupMin/60+$H$64*SecsPer/3600</f>
        <v>24.7222222222222</v>
      </c>
    </row>
  </sheetData>
  <mergeCells count="21">
    <mergeCell ref="A1:K1"/>
    <mergeCell ref="B2:J2"/>
    <mergeCell ref="B4:K4"/>
    <mergeCell ref="B6:K6"/>
    <mergeCell ref="C8:E8"/>
    <mergeCell ref="C9:E9"/>
    <mergeCell ref="C10:E10"/>
    <mergeCell ref="C11:E11"/>
    <mergeCell ref="C12:E12"/>
    <mergeCell ref="B14:K14"/>
    <mergeCell ref="C16:D16"/>
    <mergeCell ref="C17:D17"/>
    <mergeCell ref="C19:D19"/>
    <mergeCell ref="C20:D20"/>
    <mergeCell ref="C25:D25"/>
    <mergeCell ref="C30:D30"/>
    <mergeCell ref="B32:K32"/>
    <mergeCell ref="B40:D40"/>
    <mergeCell ref="B43:K43"/>
    <mergeCell ref="B55:D55"/>
    <mergeCell ref="B62:K62"/>
  </mergeCells>
  <conditionalFormatting sqref="C30">
    <cfRule type="expression" dxfId="3" priority="1">
      <formula>$C30="OK"</formula>
    </cfRule>
    <cfRule type="expression" dxfId="1" priority="2">
      <formula>AND($C30&lt;&gt;"",$C30&lt;&gt;"OK")</formula>
    </cfRule>
  </conditionalFormatting>
  <conditionalFormatting sqref="G47:G83">
    <cfRule type="expression" dxfId="3" priority="3">
      <formula>$G47="OK"</formula>
    </cfRule>
    <cfRule type="expression" dxfId="1" priority="4">
      <formula>AND($G47&lt;&gt;"",$G47&lt;&gt;"OK")</formula>
    </cfRule>
  </conditionalFormatting>
  <dataValidations count="23">
    <dataValidation type="textLength" allowBlank="1" showInputMessage="1" showErrorMessage="1" errorTitle="Check this entry" error="Text up to 80 characters." promptTitle="Customer" prompt="Text up to 80 characters." sqref="C8">
      <formula1>0</formula1>
      <formula2>80</formula2>
    </dataValidation>
    <dataValidation type="textLength" allowBlank="1" showInputMessage="1" showErrorMessage="1" errorTitle="Check this entry" error="Text up to 40 characters." promptTitle="Assembly number" prompt="Text up to 40 characters." sqref="C9">
      <formula1>0</formula1>
      <formula2>40</formula2>
    </dataValidation>
    <dataValidation type="textLength" allowBlank="1" showInputMessage="1" showErrorMessage="1" errorTitle="Check this entry" error="Text up to 120 characters." promptTitle="Description" prompt="Text up to 120 characters." sqref="C10">
      <formula1>0</formula1>
      <formula2>120</formula2>
    </dataValidation>
    <dataValidation type="date" allowBlank="1" showInputMessage="1" showErrorMessage="1" errorTitle="Check this entry" error="Enter a date between 01 Jan 2000 and 31 Dec 2100." promptTitle="Date" prompt="Enter a date between 01 Jan 2000 and 31 Dec 2100." sqref="C11">
      <formula1>36526</formula1>
      <formula2>73415</formula2>
    </dataValidation>
    <dataValidation type="textLength" allowBlank="1" showInputMessage="1" showErrorMessage="1" errorTitle="Check this entry" error="Text up to 60 characters." promptTitle="Prepared by" prompt="Text up to 60 characters." sqref="C12">
      <formula1>0</formula1>
      <formula2>60</formula2>
    </dataValidation>
    <dataValidation type="list" allowBlank="1" showInputMessage="1" showErrorMessage="1" errorTitle="Check this entry" error="Pick from the list (edit the list on Setup: Hoses)." promptTitle="Hose" prompt="Pick from the list (edit the list on Setup: Hoses)." sqref="C16">
      <formula1>Hoses</formula1>
    </dataValidation>
    <dataValidation type="list" allowBlank="1" showInputMessage="1" showErrorMessage="1" errorTitle="Check this entry" error="Pick one of: in, mm." promptTitle="Length unit" prompt="Unit for the overall length and the cut-off allowances on Setup. Pick one of: in, mm." sqref="C17">
      <formula1>"in,mm"</formula1>
    </dataValidation>
    <dataValidation type="decimal" allowBlank="1" showInputMessage="1" showErrorMessage="1" errorTitle="Check this entry" error="Enter a number from 0.01 to 1,000,000." promptTitle="Overall length" prompt="End to end, measured as your drawing or catalogue specifies (to the centreline of an elbow). Enter a number from 0.01 to 1,000,000." sqref="C18">
      <formula1>0.01</formula1>
      <formula2>1000000.0</formula2>
    </dataValidation>
    <dataValidation type="list" allowBlank="1" showInputMessage="1" showErrorMessage="1" errorTitle="Check this entry" error="Pick from the list (edit the list on Setup: Fittings)." promptTitle="Fitting, end A" prompt="Pick from the list (edit the list on Setup: Fittings)." sqref="C19">
      <formula1>Fittings</formula1>
    </dataValidation>
    <dataValidation type="list" allowBlank="1" showInputMessage="1" showErrorMessage="1" errorTitle="Check this entry" error="Pick from the list (edit the list on Setup: Fittings)." promptTitle="Fitting, end B" prompt="Pick from the list (edit the list on Setup: Fittings)." sqref="C20">
      <formula1>Fittings</formula1>
    </dataValidation>
    <dataValidation type="decimal" allowBlank="1" showInputMessage="1" showErrorMessage="1" errorTitle="Check this entry" error="Enter a percentage from 0% to 100% (type 85% or 0.85)." promptTitle="Hose cut waste" prompt="Saw kerf, reel ends and test pieces, as a share of the hose cut. Enter a percentage from 0% to 100% (type 85% or 0.85)." sqref="C21">
      <formula1>0</formula1>
      <formula2>1</formula2>
    </dataValidation>
    <dataValidation type="textLength" allowBlank="1" showInputMessage="1" showErrorMessage="1" errorTitle="Check this entry" error="Text up to 80 characters." promptTitle="Component" prompt="Text up to 80 characters." sqref="B36:B58">
      <formula1>0</formula1>
      <formula2>80</formula2>
    </dataValidation>
    <dataValidation type="decimal" allowBlank="1" showInputMessage="1" showErrorMessage="1" errorTitle="Check this entry" error="Enter a number from 0 to 10,000." promptTitle="Qty per assembly" prompt="Enter a number from 0 to 10,000." sqref="C36:C58">
      <formula1>0</formula1>
      <formula2>10000</formula2>
    </dataValidation>
    <dataValidation type="decimal" allowBlank="1" showInputMessage="1" showErrorMessage="1" errorTitle="Check this entry" error="Enter a number from 0 to 1,000,000." promptTitle="Unit price" prompt="Enter a number from 0 to 1,000,000." sqref="D36:D58">
      <formula1>0</formula1>
      <formula2>1000000.0</formula2>
    </dataValidation>
    <dataValidation type="textLength" allowBlank="1" showInputMessage="1" showErrorMessage="1" errorTitle="Check this entry" error="Text up to 80 characters." promptTitle="Operation" prompt="Text up to 80 characters." sqref="B47:B83">
      <formula1>0</formula1>
      <formula2>80</formula2>
    </dataValidation>
    <dataValidation type="decimal" allowBlank="1" showInputMessage="1" showErrorMessage="1" errorTitle="Check this entry" error="Enter a number from 0 to 36,000." promptTitle="Seconds per assembly" prompt="Time per assembly, including handling. Enter a number from 0 to 36,000." sqref="C47:C83">
      <formula1>0</formula1>
      <formula2>36000</formula2>
    </dataValidation>
    <dataValidation type="decimal" allowBlank="1" showInputMessage="1" showErrorMessage="1" errorTitle="Check this entry" error="Enter a number from 0 to 6,000." promptTitle="Setup (min)" prompt="Per batch: die change, test rig setup, first-article check. Enter a number from 0 to 6,000." sqref="D47:D83">
      <formula1>0</formula1>
      <formula2>6000</formula2>
    </dataValidation>
    <dataValidation type="decimal" allowBlank="1" showInputMessage="1" showErrorMessage="1" errorTitle="Check this entry" error="Enter a number from 0 to 1,000,000." promptTitle="Other fixed job cost" prompt="Per order: test certificate, paperwork, first-article report. Enter a number from 0 to 1,000,000." sqref="C59">
      <formula1>0</formula1>
      <formula2>1000000.0</formula2>
    </dataValidation>
    <dataValidation type="whole" allowBlank="1" showInputMessage="1" showErrorMessage="1" errorTitle="Check this entry" error="Enter a whole number from 1 to 10,000,000." promptTitle="Quantity" prompt="Number of assemblies for this price break. Enter a whole number from 1 to 10,000,000." sqref="D64">
      <formula1>1</formula1>
      <formula2>10000000</formula2>
    </dataValidation>
    <dataValidation type="whole" allowBlank="1" showInputMessage="1" showErrorMessage="1" errorTitle="Check this entry" error="Enter a whole number from 1 to 10,000,000." promptTitle="Quantity" prompt="Number of assemblies for this price break. Enter a whole number from 1 to 10,000,000." sqref="E64">
      <formula1>1</formula1>
      <formula2>10000000</formula2>
    </dataValidation>
    <dataValidation type="whole" allowBlank="1" showInputMessage="1" showErrorMessage="1" errorTitle="Check this entry" error="Enter a whole number from 1 to 10,000,000." promptTitle="Quantity" prompt="Number of assemblies for this price break. Enter a whole number from 1 to 10,000,000." sqref="F64">
      <formula1>1</formula1>
      <formula2>10000000</formula2>
    </dataValidation>
    <dataValidation type="whole" allowBlank="1" showInputMessage="1" showErrorMessage="1" errorTitle="Check this entry" error="Enter a whole number from 1 to 10,000,000." promptTitle="Quantity" prompt="Number of assemblies for this price break. Enter a whole number from 1 to 10,000,000." sqref="G64">
      <formula1>1</formula1>
      <formula2>10000000</formula2>
    </dataValidation>
    <dataValidation type="whole" allowBlank="1" showInputMessage="1" showErrorMessage="1" errorTitle="Check this entry" error="Enter a whole number from 1 to 10,000,000." promptTitle="Quantity" prompt="Number of assemblies for this price break. Enter a whole number from 1 to 10,000,000." sqref="H64">
      <formula1>1</formula1>
      <formula2>10000000</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Hose Assembly Cost Estimator&amp;R&amp;8&amp;A</oddHeader>
    <oddFooter>&amp;L&amp;8mfgcalcs.com - free manufacturing templates&amp;R&amp;8Page &amp;P of &amp;N</oddFooter>
  </headerFooter>
  <rowBreaks count="2" manualBreakCount="2">
    <brk id="31" max="16383" man="1"/>
    <brk id="61" max="16383" man="1"/>
  </rowBreaks>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4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168</v>
      </c>
      <c r="C4" s="53">
        <v>150</v>
      </c>
    </row>
    <row r="5" spans="1:12" x14ac:dyDescent="0.25">
      <c r="B5" s="54" t="str">
        <f>"Showing "&amp;TEXT(INDEX(Estimate!$D$64:$H$64,SelIdx),"#,##0")&amp;" assemblies of "&amp;PartNo&amp;": "&amp;Hose&amp;". Pick another quantity in the yellow cell."</f>
        <v>Showing 150 assemblies of HA-08-0036-JJ90: SAE 100R2AT 2-wire, -08 (1/2 in). Pick another quantity in the yellow cell.</v>
      </c>
      <c r="C5" s="54"/>
      <c r="D5" s="54"/>
      <c r="E5" s="54"/>
      <c r="F5" s="54"/>
      <c r="G5" s="54"/>
      <c r="H5" s="54"/>
      <c r="I5" s="54"/>
      <c r="J5" s="54"/>
      <c r="K5" s="54"/>
      <c r="L5" s="54"/>
    </row>
    <row r="7" spans="1:12" ht="18" customHeight="1" x14ac:dyDescent="0.25">
      <c r="B7" s="55" t="str">
        <f>"UNIT PRICE ("&amp;Currency&amp;"/ASSEMBLY)"</f>
        <v>UNIT PRICE (USD/ASSEMBLY)</v>
      </c>
      <c r="C7" s="55"/>
      <c r="D7" s="55" t="str">
        <f>"COST PER ASSEMBLY ("&amp;Currency&amp;")"</f>
        <v>COST PER ASSEMBLY (USD)</v>
      </c>
      <c r="E7" s="55"/>
      <c r="F7" s="55"/>
      <c r="G7" s="55" t="s">
        <v>169</v>
      </c>
      <c r="H7" s="55"/>
      <c r="I7" s="55"/>
      <c r="J7" s="55" t="s">
        <v>170</v>
      </c>
      <c r="K7" s="55"/>
      <c r="L7" s="55"/>
    </row>
    <row r="8" spans="1:12" ht="21" customHeight="1" x14ac:dyDescent="0.25">
      <c r="B8" s="56">
        <f>INDEX(Estimate!$D$72:$H$72,SelIdx)</f>
        <v>27.65</v>
      </c>
      <c r="C8" s="56"/>
      <c r="D8" s="56">
        <f>INDEX(Estimate!$D$69:$H$69,SelIdx)</f>
        <v>21.2628791666667</v>
      </c>
      <c r="E8" s="56"/>
      <c r="F8" s="56"/>
      <c r="G8" s="57">
        <f>INDEX(Estimate!$D$74:$H$74,SelIdx)</f>
        <v>0.230998945147679</v>
      </c>
      <c r="H8" s="57"/>
      <c r="I8" s="57"/>
      <c r="J8" s="56">
        <f>CutLen</f>
        <v>32.1</v>
      </c>
      <c r="K8" s="56"/>
      <c r="L8" s="56"/>
    </row>
    <row r="9" spans="1:12" ht="21" customHeight="1" x14ac:dyDescent="0.25">
      <c r="B9" s="56"/>
      <c r="C9" s="56"/>
      <c r="D9" s="56"/>
      <c r="E9" s="56"/>
      <c r="F9" s="56"/>
      <c r="G9" s="57"/>
      <c r="H9" s="57"/>
      <c r="I9" s="57"/>
      <c r="J9" s="56"/>
      <c r="K9" s="56"/>
      <c r="L9" s="56"/>
    </row>
    <row r="10" spans="1:12" x14ac:dyDescent="0.25">
      <c r="B10" s="58" t="s">
        <v>171</v>
      </c>
      <c r="C10" s="58"/>
      <c r="D10" s="58" t="s">
        <v>172</v>
      </c>
      <c r="E10" s="58"/>
      <c r="F10" s="58"/>
      <c r="G10" s="58" t="str">
        <f>"Markup "&amp;TEXT(Markup,"0%")&amp;" on cost"</f>
        <v>Markup 30% on cost</v>
      </c>
      <c r="H10" s="58"/>
      <c r="I10" s="58"/>
      <c r="J10" s="58" t="str">
        <f>DimUnit&amp;", from "&amp;TEXT(OAL,"0.##")&amp;" overall"</f>
        <v>in, from 36 overall</v>
      </c>
      <c r="K10" s="58"/>
      <c r="L10" s="58"/>
    </row>
    <row r="11" spans="1:12" ht="18" customHeight="1" x14ac:dyDescent="0.25">
      <c r="B11" s="59"/>
      <c r="C11" s="59"/>
      <c r="D11" s="59"/>
      <c r="E11" s="59"/>
      <c r="F11" s="59"/>
      <c r="G11" s="59"/>
      <c r="H11" s="59"/>
      <c r="I11" s="59"/>
      <c r="J11" s="59"/>
      <c r="K11" s="59"/>
      <c r="L11" s="59"/>
    </row>
    <row r="30" spans="2:8" x14ac:dyDescent="0.25">
      <c r="B30" s="31" t="s">
        <v>173</v>
      </c>
      <c r="C30" s="31"/>
      <c r="D30" s="31"/>
      <c r="E30" s="31"/>
      <c r="F30" s="31"/>
      <c r="G30" s="31"/>
      <c r="H30" s="31"/>
    </row>
    <row r="31" spans="2:8" ht="20" customHeight="1" x14ac:dyDescent="0.25">
      <c r="B31" s="47" t="s">
        <v>174</v>
      </c>
      <c r="C31" s="33" t="s">
        <v>175</v>
      </c>
      <c r="D31" s="33"/>
      <c r="E31" s="33" t="s">
        <v>176</v>
      </c>
      <c r="F31" s="33"/>
      <c r="G31" s="33" t="s">
        <v>177</v>
      </c>
      <c r="H31" s="33"/>
    </row>
    <row r="32" spans="2:8" ht="14" customHeight="1" x14ac:dyDescent="0.25">
      <c r="B32" s="32"/>
      <c r="C32" s="32" t="str">
        <f>Currency&amp;"/assembly"</f>
        <v>USD/assembly</v>
      </c>
      <c r="D32" s="32"/>
      <c r="E32" s="32" t="s">
        <v>178</v>
      </c>
      <c r="F32" s="32"/>
      <c r="G32" s="32" t="str">
        <f>Currency</f>
        <v>USD</v>
      </c>
      <c r="H32" s="32"/>
    </row>
    <row r="33" spans="2:9" x14ac:dyDescent="0.25">
      <c r="B33" s="60" t="s">
        <v>62</v>
      </c>
      <c r="C33" s="37">
        <f>CHOOSE(1,INDEX(Estimate!$D$65:$H$65,SelIdx),INDEX(Estimate!$D$66:$H$66,SelIdx),INDEX(Estimate!$D$67:$H$67,SelIdx),INDEX(Estimate!$D$68:$H$68,SelIdx),INDEX(Estimate!$D$70:$H$70,SelIdx),INDEX(Estimate!$D$71:$H$71,SelIdx))</f>
        <v>7.8524625</v>
      </c>
      <c r="D33" s="37"/>
      <c r="E33" s="51">
        <f>IF((INDEX(Estimate!$D$72:$H$72,SelIdx))=0,"",($C$33)/(INDEX(Estimate!$D$72:$H$72,SelIdx)))</f>
        <v>0.283995027124774</v>
      </c>
      <c r="F33" s="51"/>
      <c r="G33" s="61">
        <f>$C$33*INDEX(Estimate!$D$64:$H$64,SelIdx)</f>
        <v>1177.869375</v>
      </c>
      <c r="H33" s="61"/>
    </row>
    <row r="34" spans="2:9" x14ac:dyDescent="0.25">
      <c r="B34" s="60" t="s">
        <v>158</v>
      </c>
      <c r="C34" s="37">
        <f>CHOOSE(2,INDEX(Estimate!$D$65:$H$65,SelIdx),INDEX(Estimate!$D$66:$H$66,SelIdx),INDEX(Estimate!$D$67:$H$67,SelIdx),INDEX(Estimate!$D$68:$H$68,SelIdx),INDEX(Estimate!$D$70:$H$70,SelIdx),INDEX(Estimate!$D$71:$H$71,SelIdx))</f>
        <v>10.23</v>
      </c>
      <c r="D34" s="37"/>
      <c r="E34" s="51">
        <f>IF((INDEX(Estimate!$D$72:$H$72,SelIdx))=0,"",($C$34)/(INDEX(Estimate!$D$72:$H$72,SelIdx)))</f>
        <v>0.36998191681736</v>
      </c>
      <c r="F34" s="51"/>
      <c r="G34" s="61">
        <f>$C$34*INDEX(Estimate!$D$64:$H$64,SelIdx)</f>
        <v>1534.5</v>
      </c>
      <c r="H34" s="61"/>
    </row>
    <row r="35" spans="2:9" x14ac:dyDescent="0.25">
      <c r="B35" s="60" t="s">
        <v>159</v>
      </c>
      <c r="C35" s="37">
        <f>CHOOSE(3,INDEX(Estimate!$D$65:$H$65,SelIdx),INDEX(Estimate!$D$66:$H$66,SelIdx),INDEX(Estimate!$D$67:$H$67,SelIdx),INDEX(Estimate!$D$68:$H$68,SelIdx),INDEX(Estimate!$D$70:$H$70,SelIdx),INDEX(Estimate!$D$71:$H$71,SelIdx))</f>
        <v>2.75625</v>
      </c>
      <c r="D35" s="37"/>
      <c r="E35" s="51">
        <f>IF((INDEX(Estimate!$D$72:$H$72,SelIdx))=0,"",($C$35)/(INDEX(Estimate!$D$72:$H$72,SelIdx)))</f>
        <v>0.0996835443037975</v>
      </c>
      <c r="F35" s="51"/>
      <c r="G35" s="61">
        <f>$C$35*INDEX(Estimate!$D$64:$H$64,SelIdx)</f>
        <v>413.4375</v>
      </c>
      <c r="H35" s="61"/>
    </row>
    <row r="36" spans="2:9" x14ac:dyDescent="0.25">
      <c r="B36" s="60" t="s">
        <v>179</v>
      </c>
      <c r="C36" s="37">
        <f>CHOOSE(4,INDEX(Estimate!$D$65:$H$65,SelIdx),INDEX(Estimate!$D$66:$H$66,SelIdx),INDEX(Estimate!$D$67:$H$67,SelIdx),INDEX(Estimate!$D$68:$H$68,SelIdx),INDEX(Estimate!$D$70:$H$70,SelIdx),INDEX(Estimate!$D$71:$H$71,SelIdx))</f>
        <v>0.424166666666667</v>
      </c>
      <c r="D36" s="37"/>
      <c r="E36" s="51">
        <f>IF((INDEX(Estimate!$D$72:$H$72,SelIdx))=0,"",($C$36)/(INDEX(Estimate!$D$72:$H$72,SelIdx)))</f>
        <v>0.0153405666063894</v>
      </c>
      <c r="F36" s="51"/>
      <c r="G36" s="61">
        <f>$C$36*INDEX(Estimate!$D$64:$H$64,SelIdx)</f>
        <v>63.625</v>
      </c>
      <c r="H36" s="61"/>
    </row>
    <row r="37" spans="2:9" x14ac:dyDescent="0.25">
      <c r="B37" s="60" t="s">
        <v>161</v>
      </c>
      <c r="C37" s="37">
        <f>CHOOSE(5,INDEX(Estimate!$D$65:$H$65,SelIdx),INDEX(Estimate!$D$66:$H$66,SelIdx),INDEX(Estimate!$D$67:$H$67,SelIdx),INDEX(Estimate!$D$68:$H$68,SelIdx),INDEX(Estimate!$D$70:$H$70,SelIdx),INDEX(Estimate!$D$71:$H$71,SelIdx))</f>
        <v>6.37886375</v>
      </c>
      <c r="D37" s="37"/>
      <c r="E37" s="51">
        <f>IF((INDEX(Estimate!$D$72:$H$72,SelIdx))=0,"",($C$37)/(INDEX(Estimate!$D$72:$H$72,SelIdx)))</f>
        <v>0.230700316455696</v>
      </c>
      <c r="F37" s="51"/>
      <c r="G37" s="61">
        <f>$C$37*INDEX(Estimate!$D$64:$H$64,SelIdx)</f>
        <v>956.8295625</v>
      </c>
      <c r="H37" s="61"/>
    </row>
    <row r="38" spans="2:9" x14ac:dyDescent="0.25">
      <c r="B38" s="60" t="s">
        <v>180</v>
      </c>
      <c r="C38" s="37">
        <f>CHOOSE(6,INDEX(Estimate!$D$65:$H$65,SelIdx),INDEX(Estimate!$D$66:$H$66,SelIdx),INDEX(Estimate!$D$67:$H$67,SelIdx),INDEX(Estimate!$D$68:$H$68,SelIdx),INDEX(Estimate!$D$70:$H$70,SelIdx),INDEX(Estimate!$D$71:$H$71,SelIdx))</f>
        <v>0</v>
      </c>
      <c r="D38" s="37"/>
      <c r="E38" s="51">
        <f>IF((INDEX(Estimate!$D$72:$H$72,SelIdx))=0,"",($C$38)/(INDEX(Estimate!$D$72:$H$72,SelIdx)))</f>
        <v>0</v>
      </c>
      <c r="F38" s="51"/>
      <c r="G38" s="61">
        <f>$C$38*INDEX(Estimate!$D$64:$H$64,SelIdx)</f>
        <v>0</v>
      </c>
      <c r="H38" s="61"/>
    </row>
    <row r="40" spans="2:9" x14ac:dyDescent="0.25">
      <c r="B40" s="47" t="s">
        <v>181</v>
      </c>
      <c r="C40" s="47"/>
      <c r="D40" s="33" t="s">
        <v>157</v>
      </c>
      <c r="E40" s="62">
        <f>INDEX(Estimate!$D$64:$H$64,1)</f>
        <v>10</v>
      </c>
      <c r="F40" s="62">
        <f>INDEX(Estimate!$D$64:$H$64,2)</f>
        <v>25</v>
      </c>
      <c r="G40" s="62">
        <f>INDEX(Estimate!$D$64:$H$64,3)</f>
        <v>50</v>
      </c>
      <c r="H40" s="62">
        <f>INDEX(Estimate!$D$64:$H$64,4)</f>
        <v>150</v>
      </c>
      <c r="I40" s="62">
        <f>INDEX(Estimate!$D$64:$H$64,5)</f>
        <v>500</v>
      </c>
    </row>
    <row r="41" spans="2:9" x14ac:dyDescent="0.25">
      <c r="B41" s="27" t="s">
        <v>182</v>
      </c>
      <c r="C41" s="27"/>
      <c r="D41" s="7" t="s">
        <v>183</v>
      </c>
      <c r="E41" s="61">
        <f>Estimate!$D$64</f>
        <v>10</v>
      </c>
      <c r="F41" s="61">
        <f>Estimate!$E$64</f>
        <v>25</v>
      </c>
      <c r="G41" s="61">
        <f>Estimate!$F$64</f>
        <v>50</v>
      </c>
      <c r="H41" s="61">
        <f>Estimate!$G$64</f>
        <v>150</v>
      </c>
      <c r="I41" s="61">
        <f>Estimate!$H$64</f>
        <v>500</v>
      </c>
    </row>
    <row r="42" spans="2:9" x14ac:dyDescent="0.25">
      <c r="B42" s="27" t="s">
        <v>62</v>
      </c>
      <c r="C42" s="27"/>
      <c r="D42" s="7" t="str">
        <f>Currency&amp;"/assembly"</f>
        <v>USD/assembly</v>
      </c>
      <c r="E42" s="37">
        <f>Estimate!$D$65</f>
        <v>7.8524625</v>
      </c>
      <c r="F42" s="37">
        <f>Estimate!$E$65</f>
        <v>7.8524625</v>
      </c>
      <c r="G42" s="37">
        <f>Estimate!$F$65</f>
        <v>7.8524625</v>
      </c>
      <c r="H42" s="37">
        <f>Estimate!$G$65</f>
        <v>7.8524625</v>
      </c>
      <c r="I42" s="37">
        <f>Estimate!$H$65</f>
        <v>7.8524625</v>
      </c>
    </row>
    <row r="43" spans="2:9" x14ac:dyDescent="0.25">
      <c r="B43" s="27" t="s">
        <v>158</v>
      </c>
      <c r="C43" s="27"/>
      <c r="D43" s="7" t="str">
        <f>Currency&amp;"/assembly"</f>
        <v>USD/assembly</v>
      </c>
      <c r="E43" s="37">
        <f>Estimate!$D$66</f>
        <v>10.23</v>
      </c>
      <c r="F43" s="37">
        <f>Estimate!$E$66</f>
        <v>10.23</v>
      </c>
      <c r="G43" s="37">
        <f>Estimate!$F$66</f>
        <v>10.23</v>
      </c>
      <c r="H43" s="37">
        <f>Estimate!$G$66</f>
        <v>10.23</v>
      </c>
      <c r="I43" s="37">
        <f>Estimate!$H$66</f>
        <v>10.23</v>
      </c>
    </row>
    <row r="44" spans="2:9" x14ac:dyDescent="0.25">
      <c r="B44" s="27" t="s">
        <v>184</v>
      </c>
      <c r="C44" s="27"/>
      <c r="D44" s="7" t="str">
        <f>Currency&amp;"/assembly"</f>
        <v>USD/assembly</v>
      </c>
      <c r="E44" s="37">
        <f>Estimate!$D$67</f>
        <v>2.75625</v>
      </c>
      <c r="F44" s="37">
        <f>Estimate!$E$67</f>
        <v>2.75625</v>
      </c>
      <c r="G44" s="37">
        <f>Estimate!$F$67</f>
        <v>2.75625</v>
      </c>
      <c r="H44" s="37">
        <f>Estimate!$G$67</f>
        <v>2.75625</v>
      </c>
      <c r="I44" s="37">
        <f>Estimate!$H$67</f>
        <v>2.75625</v>
      </c>
    </row>
    <row r="45" spans="2:9" x14ac:dyDescent="0.25">
      <c r="B45" s="27" t="s">
        <v>185</v>
      </c>
      <c r="C45" s="27"/>
      <c r="D45" s="7" t="str">
        <f>Currency&amp;"/assembly"</f>
        <v>USD/assembly</v>
      </c>
      <c r="E45" s="37">
        <f>Estimate!$D$68</f>
        <v>6.3625</v>
      </c>
      <c r="F45" s="37">
        <f>Estimate!$E$68</f>
        <v>2.545</v>
      </c>
      <c r="G45" s="37">
        <f>Estimate!$F$68</f>
        <v>1.2725</v>
      </c>
      <c r="H45" s="37">
        <f>Estimate!$G$68</f>
        <v>0.424166666666667</v>
      </c>
      <c r="I45" s="37">
        <f>Estimate!$H$68</f>
        <v>0.12725</v>
      </c>
    </row>
  </sheetData>
  <sheetProtection sheet="1" formatColumns="0" formatRows="0"/>
  <mergeCells count="51">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H30"/>
    <mergeCell ref="C31:D31"/>
    <mergeCell ref="E31:F31"/>
    <mergeCell ref="G31:H31"/>
    <mergeCell ref="C32:D32"/>
    <mergeCell ref="E32:F32"/>
    <mergeCell ref="G32:H32"/>
    <mergeCell ref="C33:D33"/>
    <mergeCell ref="C34:D34"/>
    <mergeCell ref="C35:D35"/>
    <mergeCell ref="C36:D36"/>
    <mergeCell ref="C37:D37"/>
    <mergeCell ref="C38:D38"/>
    <mergeCell ref="E33:F33"/>
    <mergeCell ref="E34:F34"/>
    <mergeCell ref="E35:F35"/>
    <mergeCell ref="E36:F36"/>
    <mergeCell ref="E37:F37"/>
    <mergeCell ref="E38:F38"/>
    <mergeCell ref="G33:H33"/>
    <mergeCell ref="G34:H34"/>
    <mergeCell ref="G35:H35"/>
    <mergeCell ref="G36:H36"/>
    <mergeCell ref="G37:H37"/>
    <mergeCell ref="G38:H38"/>
    <mergeCell ref="B40:C40"/>
    <mergeCell ref="B41:C41"/>
    <mergeCell ref="B42:C42"/>
    <mergeCell ref="B43:C43"/>
    <mergeCell ref="B44:C44"/>
    <mergeCell ref="B45:C45"/>
  </mergeCells>
  <conditionalFormatting sqref="E33:E38">
    <cfRule type="dataBar" priority="1">
      <dataBar>
        <cfvo type="num" val="0"/>
        <cfvo type="max"/>
        <color rgb="FFA8BDF0"/>
      </dataBar>
      <extLst>
        <ext xmlns:x14="http://schemas.microsoft.com/office/spreadsheetml/2009/9/main" uri="{B025F937-C7B1-47D3-B67F-A62EFF666E3E}">
          <x14:id>{DA7ABA51-AAAA-BBBB-0004-000000000001}</x14:id>
        </ext>
      </extLst>
    </cfRule>
  </conditionalFormatting>
  <dataValidations count="1">
    <dataValidation type="list" allowBlank="1" showInputMessage="1" showErrorMessage="1" errorTitle="Check this entry" error="Pick from the list (edit the list on Setup: BreakList)." promptTitle="Quantity shown" prompt="One of the quantities on the Estimate sheet. The tiles and the cost build-up show this quantity. Pick from the list (edit the list on Setup: BreakList)." sqref="C4">
      <formula1>BreakList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Hose Assembly Cost Estimator&amp;R&amp;8&amp;A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E33:E38</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7"/>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186</v>
      </c>
      <c r="C4" s="8"/>
      <c r="D4" s="8"/>
    </row>
    <row r="5" spans="1:4" ht="5" customHeight="1"/>
    <row r="6" spans="1:4" ht="55.8" customHeight="1">
      <c r="B6" s="10" t="s">
        <v>187</v>
      </c>
      <c r="C6" s="10"/>
      <c r="D6" s="10"/>
    </row>
    <row r="8" spans="1:4" ht="21" customHeight="1">
      <c r="B8" s="8" t="s">
        <v>188</v>
      </c>
      <c r="C8" s="8"/>
      <c r="D8" s="8"/>
    </row>
    <row r="9" spans="1:4" ht="5" customHeight="1"/>
    <row r="10" spans="1:4" ht="20" customHeight="1">
      <c r="B10" s="47" t="s">
        <v>182</v>
      </c>
      <c r="C10" s="47" t="s">
        <v>189</v>
      </c>
      <c r="D10" s="33" t="s">
        <v>190</v>
      </c>
    </row>
    <row r="11" spans="1:4" ht="30.4" customHeight="1">
      <c r="B11" s="63" t="s">
        <v>191</v>
      </c>
      <c r="C11" s="64" t="s">
        <v>192</v>
      </c>
      <c r="D11" s="65" t="s">
        <v>193</v>
      </c>
    </row>
    <row r="12" spans="1:4" ht="17.2" customHeight="1">
      <c r="B12" s="63" t="s">
        <v>129</v>
      </c>
      <c r="C12" s="64" t="s">
        <v>194</v>
      </c>
      <c r="D12" s="65" t="s">
        <v>130</v>
      </c>
    </row>
    <row r="13" spans="1:4" ht="17.2" customHeight="1">
      <c r="B13" s="63" t="s">
        <v>195</v>
      </c>
      <c r="C13" s="64" t="s">
        <v>196</v>
      </c>
      <c r="D13" s="65" t="s">
        <v>197</v>
      </c>
    </row>
    <row r="14" spans="1:4" ht="30.4" customHeight="1">
      <c r="B14" s="63" t="s">
        <v>158</v>
      </c>
      <c r="C14" s="64" t="s">
        <v>198</v>
      </c>
      <c r="D14" s="65" t="s">
        <v>197</v>
      </c>
    </row>
    <row r="15" spans="1:4" ht="30.4" customHeight="1">
      <c r="B15" s="63" t="s">
        <v>184</v>
      </c>
      <c r="C15" s="64" t="s">
        <v>199</v>
      </c>
      <c r="D15" s="65" t="s">
        <v>197</v>
      </c>
    </row>
    <row r="16" spans="1:4" ht="30.4" customHeight="1">
      <c r="B16" s="63" t="s">
        <v>179</v>
      </c>
      <c r="C16" s="64" t="s">
        <v>200</v>
      </c>
      <c r="D16" s="65" t="s">
        <v>201</v>
      </c>
    </row>
    <row r="17" spans="2:4" ht="30.4" customHeight="1">
      <c r="B17" s="63" t="s">
        <v>100</v>
      </c>
      <c r="C17" s="64" t="s">
        <v>202</v>
      </c>
      <c r="D17" s="65" t="s">
        <v>197</v>
      </c>
    </row>
    <row r="18" spans="2:4" ht="30.4" customHeight="1">
      <c r="B18" s="63" t="s">
        <v>68</v>
      </c>
      <c r="C18" s="64" t="s">
        <v>203</v>
      </c>
      <c r="D18" s="65" t="s">
        <v>197</v>
      </c>
    </row>
    <row r="19" spans="2:4" ht="17.2" customHeight="1">
      <c r="B19" s="63" t="s">
        <v>164</v>
      </c>
      <c r="C19" s="64" t="s">
        <v>204</v>
      </c>
      <c r="D19" s="65" t="s">
        <v>178</v>
      </c>
    </row>
    <row r="20" spans="2:4" ht="17.2" customHeight="1">
      <c r="B20" s="63" t="s">
        <v>166</v>
      </c>
      <c r="C20" s="64" t="s">
        <v>205</v>
      </c>
      <c r="D20" s="65" t="s">
        <v>167</v>
      </c>
    </row>
    <row r="22" spans="2:4" ht="21" customHeight="1">
      <c r="B22" s="8" t="s">
        <v>206</v>
      </c>
      <c r="C22" s="8"/>
      <c r="D22" s="8"/>
    </row>
    <row r="23" spans="2:4" ht="5" customHeight="1"/>
    <row r="24" spans="2:4" ht="29.4" customHeight="1">
      <c r="B24" s="26" t="s">
        <v>55</v>
      </c>
      <c r="C24" s="10" t="s">
        <v>207</v>
      </c>
      <c r="D24" s="10"/>
    </row>
    <row r="25" spans="2:4" ht="16.2" customHeight="1">
      <c r="B25" s="26" t="s">
        <v>55</v>
      </c>
      <c r="C25" s="10" t="s">
        <v>208</v>
      </c>
      <c r="D25" s="10"/>
    </row>
    <row r="26" spans="2:4" ht="29.4" customHeight="1">
      <c r="B26" s="26" t="s">
        <v>55</v>
      </c>
      <c r="C26" s="10" t="s">
        <v>209</v>
      </c>
      <c r="D26" s="10"/>
    </row>
    <row r="27" spans="2:4" ht="16.2" customHeight="1">
      <c r="B27" s="26" t="s">
        <v>55</v>
      </c>
      <c r="C27" s="10" t="s">
        <v>210</v>
      </c>
      <c r="D27" s="10"/>
    </row>
    <row r="29" spans="2:4" ht="21" customHeight="1">
      <c r="B29" s="8" t="s">
        <v>211</v>
      </c>
      <c r="C29" s="8"/>
      <c r="D29" s="8"/>
    </row>
    <row r="30" spans="2:4" ht="5" customHeight="1"/>
    <row r="31" spans="2:4" ht="29.4" customHeight="1">
      <c r="B31" s="26" t="s">
        <v>55</v>
      </c>
      <c r="C31" s="10" t="s">
        <v>212</v>
      </c>
      <c r="D31" s="10"/>
    </row>
    <row r="32" spans="2:4" ht="29.4" customHeight="1">
      <c r="B32" s="26" t="s">
        <v>55</v>
      </c>
      <c r="C32" s="10" t="s">
        <v>213</v>
      </c>
      <c r="D32" s="10"/>
    </row>
    <row r="33" spans="2:4" ht="29.4" customHeight="1">
      <c r="B33" s="26" t="s">
        <v>55</v>
      </c>
      <c r="C33" s="10" t="s">
        <v>214</v>
      </c>
      <c r="D33" s="10"/>
    </row>
    <row r="34" spans="2:4" ht="16.2" customHeight="1">
      <c r="B34" s="26" t="s">
        <v>55</v>
      </c>
      <c r="C34" s="10" t="s">
        <v>215</v>
      </c>
      <c r="D34" s="10"/>
    </row>
    <row r="36" spans="2:4" ht="21" customHeight="1">
      <c r="B36" s="8" t="s">
        <v>216</v>
      </c>
      <c r="C36" s="8"/>
      <c r="D36" s="8"/>
    </row>
    <row r="37" spans="2:4" ht="5" customHeight="1"/>
    <row r="38" spans="2:4" ht="55.8" customHeight="1">
      <c r="B38" s="10" t="s">
        <v>217</v>
      </c>
      <c r="C38" s="10"/>
      <c r="D38" s="10"/>
    </row>
    <row r="39" spans="2:4">
      <c r="B39" s="24" t="s">
        <v>218</v>
      </c>
      <c r="C39" s="24"/>
      <c r="D39" s="24"/>
    </row>
    <row r="41" spans="2:4" ht="21" customHeight="1">
      <c r="B41" s="8" t="s">
        <v>42</v>
      </c>
      <c r="C41" s="8"/>
      <c r="D41" s="8"/>
    </row>
    <row r="42" spans="2:4" ht="5" customHeight="1"/>
    <row r="43" spans="2:4" ht="42.6" customHeight="1">
      <c r="B43" s="10" t="s">
        <v>219</v>
      </c>
      <c r="C43" s="10"/>
      <c r="D43" s="10"/>
    </row>
    <row r="45" spans="2:4" ht="21" customHeight="1">
      <c r="B45" s="8" t="s">
        <v>220</v>
      </c>
      <c r="C45" s="8"/>
      <c r="D45" s="8"/>
    </row>
    <row r="46" spans="2:4" ht="5" customHeight="1"/>
    <row r="47" spans="2:4" ht="29.4" customHeight="1">
      <c r="B47" s="26" t="s">
        <v>55</v>
      </c>
      <c r="C47" s="10" t="s">
        <v>221</v>
      </c>
      <c r="D47" s="10"/>
    </row>
    <row r="48" spans="2:4" ht="16.2" customHeight="1">
      <c r="B48" s="26" t="s">
        <v>55</v>
      </c>
      <c r="C48" s="10" t="s">
        <v>222</v>
      </c>
      <c r="D48" s="10"/>
    </row>
    <row r="49" spans="2:4" ht="29.4" customHeight="1">
      <c r="B49" s="26" t="s">
        <v>55</v>
      </c>
      <c r="C49" s="10" t="s">
        <v>223</v>
      </c>
      <c r="D49" s="10"/>
    </row>
    <row r="50" spans="2:4">
      <c r="B50" s="21" t="s">
        <v>224</v>
      </c>
      <c r="C50" s="21"/>
      <c r="D50" s="21"/>
    </row>
    <row r="52" spans="2:4" ht="21" customHeight="1">
      <c r="B52" s="8" t="s">
        <v>225</v>
      </c>
      <c r="C52" s="8"/>
      <c r="D52" s="8"/>
    </row>
    <row r="53" spans="2:4" ht="5" customHeight="1"/>
    <row r="54" spans="2:4">
      <c r="B54" s="47" t="s">
        <v>50</v>
      </c>
      <c r="C54" s="47" t="s">
        <v>226</v>
      </c>
      <c r="D54" s="33" t="s">
        <v>114</v>
      </c>
    </row>
    <row r="55" spans="2:4" ht="16.2" customHeight="1">
      <c r="B55" s="66" t="s">
        <v>227</v>
      </c>
      <c r="C55" s="67" t="s">
        <v>228</v>
      </c>
      <c r="D55" s="68" t="s">
        <v>229</v>
      </c>
    </row>
    <row r="57" spans="2:4">
      <c r="B57" s="21" t="s">
        <v>61</v>
      </c>
      <c r="C57" s="21"/>
      <c r="D57" s="21"/>
    </row>
  </sheetData>
  <sheetProtection sheet="1" formatColumns="0" formatRows="0"/>
  <mergeCells count="27">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B50:D50"/>
    <mergeCell ref="B52:D52"/>
    <mergeCell ref="B57:D57"/>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Hose Assembly Cost Estimator&amp;R&amp;8&amp;A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111"/>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69" t="s">
        <v>230</v>
      </c>
      <c r="C4" s="69"/>
      <c r="D4" s="22" t="str">
        <f>IF(COUNTIF($K$11:$K$25,"PASS")=15,"PASS","FAIL")</f>
        <v>PASS</v>
      </c>
      <c r="E4" s="22"/>
      <c r="F4" s="23" t="str">
        <f>COUNTIF($K$11:$K$25,"PASS")&amp;" of 15 checks pass"</f>
        <v>15 of 15 checks pass</v>
      </c>
      <c r="G4" s="23"/>
      <c r="H4" s="23"/>
      <c r="I4" s="23"/>
      <c r="J4" s="23"/>
    </row>
    <row r="6" spans="1:12" ht="29.4" customHeight="1">
      <c r="B6" s="10" t="s">
        <v>231</v>
      </c>
      <c r="C6" s="10"/>
      <c r="D6" s="10"/>
      <c r="E6" s="10"/>
      <c r="F6" s="10"/>
      <c r="G6" s="10"/>
      <c r="H6" s="10"/>
      <c r="I6" s="10"/>
      <c r="J6" s="10"/>
      <c r="K6" s="10"/>
      <c r="L6" s="10"/>
    </row>
    <row r="8" spans="1:12" ht="21" customHeight="1">
      <c r="B8" s="8" t="s">
        <v>232</v>
      </c>
      <c r="C8" s="8"/>
      <c r="D8" s="8"/>
      <c r="E8" s="8"/>
      <c r="F8" s="8"/>
      <c r="G8" s="8"/>
      <c r="H8" s="8"/>
      <c r="I8" s="8"/>
      <c r="J8" s="8"/>
      <c r="K8" s="8"/>
      <c r="L8" s="8"/>
    </row>
    <row r="9" spans="1:12" ht="5" customHeight="1"/>
    <row r="10" spans="1:12" ht="30" customHeight="1">
      <c r="B10" s="33" t="s">
        <v>233</v>
      </c>
      <c r="C10" s="47" t="s">
        <v>105</v>
      </c>
      <c r="D10" s="47"/>
      <c r="E10" s="47"/>
      <c r="F10" s="47"/>
      <c r="G10" s="33" t="s">
        <v>234</v>
      </c>
      <c r="H10" s="33" t="s">
        <v>235</v>
      </c>
      <c r="I10" s="33" t="s">
        <v>236</v>
      </c>
      <c r="J10" s="33" t="s">
        <v>237</v>
      </c>
      <c r="K10" s="33" t="s">
        <v>238</v>
      </c>
    </row>
    <row r="11" spans="1:12" ht="16.2" customHeight="1">
      <c r="B11" s="62">
        <v>1</v>
      </c>
      <c r="C11" s="67" t="s">
        <v>239</v>
      </c>
      <c r="D11" s="67"/>
      <c r="E11" s="67"/>
      <c r="F11" s="67"/>
      <c r="G11" s="70">
        <v>32.1</v>
      </c>
      <c r="H11" s="37">
        <f>$E$81</f>
        <v>32.1</v>
      </c>
      <c r="I11" s="71">
        <f>IF(AND(ISNUMBER($G$11),ISNUMBER($H$11)),ABS($H$11-$G$11),"")</f>
        <v>0</v>
      </c>
      <c r="J11" s="72">
        <v>1E-09</v>
      </c>
      <c r="K11" s="73" t="str">
        <f>IF(AND(ISNUMBER($G$11),ISNUMBER($H$11)),IF(ABS($H$11-$G$11)&lt;=$J$11,"PASS","FAIL"),"FAIL")</f>
        <v>PASS</v>
      </c>
    </row>
    <row r="12" spans="1:12" ht="16.2" customHeight="1">
      <c r="B12" s="62">
        <v>2</v>
      </c>
      <c r="C12" s="67" t="s">
        <v>131</v>
      </c>
      <c r="D12" s="67"/>
      <c r="E12" s="67"/>
      <c r="F12" s="67"/>
      <c r="G12" s="74">
        <v>7.852462500000001</v>
      </c>
      <c r="H12" s="42">
        <f>$E$85</f>
        <v>7.8524625</v>
      </c>
      <c r="I12" s="71">
        <f>IF(AND(ISNUMBER($G$12),ISNUMBER($H$12)),ABS($H$12-$G$12),"")</f>
        <v>0</v>
      </c>
      <c r="J12" s="72">
        <v>1E-09</v>
      </c>
      <c r="K12" s="73" t="str">
        <f>IF(AND(ISNUMBER($G$12),ISNUMBER($H$12)),IF(ABS($H$12-$G$12)&lt;=$J$12,"PASS","FAIL"),"FAIL")</f>
        <v>PASS</v>
      </c>
    </row>
    <row r="13" spans="1:12" ht="16.2" customHeight="1">
      <c r="B13" s="62">
        <v>3</v>
      </c>
      <c r="C13" s="67" t="s">
        <v>240</v>
      </c>
      <c r="D13" s="67"/>
      <c r="E13" s="67"/>
      <c r="F13" s="67"/>
      <c r="G13" s="66" t="s">
        <v>241</v>
      </c>
      <c r="H13" s="39" t="str">
        <f>$E$87</f>
        <v>OK</v>
      </c>
      <c r="I13" s="39"/>
      <c r="J13" s="68" t="s">
        <v>242</v>
      </c>
      <c r="K13" s="73" t="str">
        <f>IF($H$13&amp;""=$G$13&amp;"","PASS","FAIL")</f>
        <v>PASS</v>
      </c>
    </row>
    <row r="14" spans="1:12" ht="16.2" customHeight="1">
      <c r="B14" s="62">
        <v>4</v>
      </c>
      <c r="C14" s="67" t="s">
        <v>243</v>
      </c>
      <c r="D14" s="67"/>
      <c r="E14" s="67"/>
      <c r="F14" s="67"/>
      <c r="G14" s="74">
        <v>2.75625</v>
      </c>
      <c r="H14" s="42">
        <f>$E$93</f>
        <v>2.75625</v>
      </c>
      <c r="I14" s="71">
        <f>IF(AND(ISNUMBER($G$14),ISNUMBER($H$14)),ABS($H$14-$G$14),"")</f>
        <v>0</v>
      </c>
      <c r="J14" s="72">
        <v>1E-09</v>
      </c>
      <c r="K14" s="73" t="str">
        <f>IF(AND(ISNUMBER($G$14),ISNUMBER($H$14)),IF(ABS($H$14-$G$14)&lt;=$J$14,"PASS","FAIL"),"FAIL")</f>
        <v>PASS</v>
      </c>
    </row>
    <row r="15" spans="1:12" ht="16.2" customHeight="1">
      <c r="B15" s="62">
        <v>5</v>
      </c>
      <c r="C15" s="67" t="s">
        <v>154</v>
      </c>
      <c r="D15" s="67"/>
      <c r="E15" s="67"/>
      <c r="F15" s="67"/>
      <c r="G15" s="70">
        <v>63.625</v>
      </c>
      <c r="H15" s="37">
        <f>$E$97</f>
        <v>63.625</v>
      </c>
      <c r="I15" s="71">
        <f>IF(AND(ISNUMBER($G$15),ISNUMBER($H$15)),ABS($H$15-$G$15),"")</f>
        <v>0</v>
      </c>
      <c r="J15" s="72">
        <v>1E-09</v>
      </c>
      <c r="K15" s="73" t="str">
        <f>IF(AND(ISNUMBER($G$15),ISNUMBER($H$15)),IF(ABS($H$15-$G$15)&lt;=$J$15,"PASS","FAIL"),"FAIL")</f>
        <v>PASS</v>
      </c>
    </row>
    <row r="16" spans="1:12" ht="16.2" customHeight="1">
      <c r="B16" s="62">
        <v>6</v>
      </c>
      <c r="C16" s="67" t="s">
        <v>244</v>
      </c>
      <c r="D16" s="67"/>
      <c r="E16" s="67"/>
      <c r="F16" s="67"/>
      <c r="G16" s="66" t="s">
        <v>245</v>
      </c>
      <c r="H16" s="39" t="str">
        <f>$G$63</f>
        <v>Enter a time</v>
      </c>
      <c r="I16" s="39"/>
      <c r="J16" s="68" t="s">
        <v>242</v>
      </c>
      <c r="K16" s="73" t="str">
        <f>IF($H$16&amp;""=$G$16&amp;"","PASS","FAIL")</f>
        <v>PASS</v>
      </c>
    </row>
    <row r="17" spans="2:12" ht="16.2" customHeight="1">
      <c r="B17" s="62">
        <v>7</v>
      </c>
      <c r="C17" s="67" t="s">
        <v>246</v>
      </c>
      <c r="D17" s="67"/>
      <c r="E17" s="67"/>
      <c r="F17" s="67"/>
      <c r="G17" s="74">
        <v>27.2012125</v>
      </c>
      <c r="H17" s="42">
        <f>$F$105</f>
        <v>27.2012125</v>
      </c>
      <c r="I17" s="71">
        <f>IF(AND(ISNUMBER($G$17),ISNUMBER($H$17)),ABS($H$17-$G$17),"")</f>
        <v>0</v>
      </c>
      <c r="J17" s="72">
        <v>1E-09</v>
      </c>
      <c r="K17" s="73" t="str">
        <f>IF(AND(ISNUMBER($G$17),ISNUMBER($H$17)),IF(ABS($H$17-$G$17)&lt;=$J$17,"PASS","FAIL"),"FAIL")</f>
        <v>PASS</v>
      </c>
    </row>
    <row r="18" spans="2:12" ht="16.2" customHeight="1">
      <c r="B18" s="62">
        <v>8</v>
      </c>
      <c r="C18" s="67" t="s">
        <v>247</v>
      </c>
      <c r="D18" s="67"/>
      <c r="E18" s="67"/>
      <c r="F18" s="67"/>
      <c r="G18" s="70">
        <v>35.4</v>
      </c>
      <c r="H18" s="37">
        <f>$F$108</f>
        <v>35.4</v>
      </c>
      <c r="I18" s="71">
        <f>IF(AND(ISNUMBER($G$18),ISNUMBER($H$18)),ABS($H$18-$G$18),"")</f>
        <v>0</v>
      </c>
      <c r="J18" s="72">
        <v>1E-09</v>
      </c>
      <c r="K18" s="73" t="str">
        <f>IF(AND(ISNUMBER($G$18),ISNUMBER($H$18)),IF(ABS($H$18-$G$18)&lt;=$J$18,"PASS","FAIL"),"FAIL")</f>
        <v>PASS</v>
      </c>
    </row>
    <row r="19" spans="2:12" ht="16.2" customHeight="1">
      <c r="B19" s="62">
        <v>9</v>
      </c>
      <c r="C19" s="67" t="s">
        <v>248</v>
      </c>
      <c r="D19" s="67"/>
      <c r="E19" s="67"/>
      <c r="F19" s="67"/>
      <c r="G19" s="75">
        <v>0.2316041666666665</v>
      </c>
      <c r="H19" s="76">
        <f>$F$110</f>
        <v>0.231604166666667</v>
      </c>
      <c r="I19" s="71">
        <f>IF(AND(ISNUMBER($G$19),ISNUMBER($H$19)),ABS($H$19-$G$19),"")</f>
        <v>0</v>
      </c>
      <c r="J19" s="72">
        <v>1E-09</v>
      </c>
      <c r="K19" s="73" t="str">
        <f>IF(AND(ISNUMBER($G$19),ISNUMBER($H$19)),IF(ABS($H$19-$G$19)&lt;=$J$19,"PASS","FAIL"),"FAIL")</f>
        <v>PASS</v>
      </c>
    </row>
    <row r="20" spans="2:12" ht="16.2" customHeight="1">
      <c r="B20" s="62">
        <v>10</v>
      </c>
      <c r="C20" s="67" t="s">
        <v>249</v>
      </c>
      <c r="D20" s="67"/>
      <c r="E20" s="67"/>
      <c r="F20" s="67"/>
      <c r="G20" s="74">
        <v>21.26287916666667</v>
      </c>
      <c r="H20" s="42">
        <f>$I$105</f>
        <v>21.2628791666667</v>
      </c>
      <c r="I20" s="71">
        <f>IF(AND(ISNUMBER($G$20),ISNUMBER($H$20)),ABS($H$20-$G$20),"")</f>
        <v>0</v>
      </c>
      <c r="J20" s="72">
        <v>1E-09</v>
      </c>
      <c r="K20" s="73" t="str">
        <f>IF(AND(ISNUMBER($G$20),ISNUMBER($H$20)),IF(ABS($H$20-$G$20)&lt;=$J$20,"PASS","FAIL"),"FAIL")</f>
        <v>PASS</v>
      </c>
    </row>
    <row r="21" spans="2:12" ht="16.2" customHeight="1">
      <c r="B21" s="62">
        <v>11</v>
      </c>
      <c r="C21" s="67" t="s">
        <v>250</v>
      </c>
      <c r="D21" s="67"/>
      <c r="E21" s="67"/>
      <c r="F21" s="67"/>
      <c r="G21" s="70">
        <v>27.65</v>
      </c>
      <c r="H21" s="37">
        <f>$I$108</f>
        <v>27.65</v>
      </c>
      <c r="I21" s="71">
        <f>IF(AND(ISNUMBER($G$21),ISNUMBER($H$21)),ABS($H$21-$G$21),"")</f>
        <v>0</v>
      </c>
      <c r="J21" s="72">
        <v>1E-09</v>
      </c>
      <c r="K21" s="73" t="str">
        <f>IF(AND(ISNUMBER($G$21),ISNUMBER($H$21)),IF(ABS($H$21-$G$21)&lt;=$J$21,"PASS","FAIL"),"FAIL")</f>
        <v>PASS</v>
      </c>
    </row>
    <row r="22" spans="2:12" ht="16.2" customHeight="1">
      <c r="B22" s="62">
        <v>12</v>
      </c>
      <c r="C22" s="67" t="s">
        <v>251</v>
      </c>
      <c r="D22" s="67"/>
      <c r="E22" s="67"/>
      <c r="F22" s="67"/>
      <c r="G22" s="75">
        <v>0.2309989451476792</v>
      </c>
      <c r="H22" s="76">
        <f>$I$110</f>
        <v>0.230998945147679</v>
      </c>
      <c r="I22" s="71">
        <f>IF(AND(ISNUMBER($G$22),ISNUMBER($H$22)),ABS($H$22-$G$22),"")</f>
        <v>0</v>
      </c>
      <c r="J22" s="72">
        <v>1E-09</v>
      </c>
      <c r="K22" s="73" t="str">
        <f>IF(AND(ISNUMBER($G$22),ISNUMBER($H$22)),IF(ABS($H$22-$G$22)&lt;=$J$22,"PASS","FAIL"),"FAIL")</f>
        <v>PASS</v>
      </c>
    </row>
    <row r="23" spans="2:12" ht="16.2" customHeight="1">
      <c r="B23" s="62">
        <v>13</v>
      </c>
      <c r="C23" s="67" t="s">
        <v>252</v>
      </c>
      <c r="D23" s="67"/>
      <c r="E23" s="67"/>
      <c r="F23" s="67"/>
      <c r="G23" s="74">
        <v>20.9659625</v>
      </c>
      <c r="H23" s="42">
        <f>$J$105</f>
        <v>20.9659625</v>
      </c>
      <c r="I23" s="71">
        <f>IF(AND(ISNUMBER($G$23),ISNUMBER($H$23)),ABS($H$23-$G$23),"")</f>
        <v>0</v>
      </c>
      <c r="J23" s="72">
        <v>1E-09</v>
      </c>
      <c r="K23" s="73" t="str">
        <f>IF(AND(ISNUMBER($G$23),ISNUMBER($H$23)),IF(ABS($H$23-$G$23)&lt;=$J$23,"PASS","FAIL"),"FAIL")</f>
        <v>PASS</v>
      </c>
    </row>
    <row r="24" spans="2:12" ht="16.2" customHeight="1">
      <c r="B24" s="62">
        <v>14</v>
      </c>
      <c r="C24" s="67" t="s">
        <v>253</v>
      </c>
      <c r="D24" s="67"/>
      <c r="E24" s="67"/>
      <c r="F24" s="67"/>
      <c r="G24" s="70">
        <v>27.3</v>
      </c>
      <c r="H24" s="37">
        <f>$J$108</f>
        <v>27.3</v>
      </c>
      <c r="I24" s="71">
        <f>IF(AND(ISNUMBER($G$24),ISNUMBER($H$24)),ABS($H$24-$G$24),"")</f>
        <v>0</v>
      </c>
      <c r="J24" s="72">
        <v>1E-09</v>
      </c>
      <c r="K24" s="73" t="str">
        <f>IF(AND(ISNUMBER($G$24),ISNUMBER($H$24)),IF(ABS($H$24-$G$24)&lt;=$J$24,"PASS","FAIL"),"FAIL")</f>
        <v>PASS</v>
      </c>
    </row>
    <row r="25" spans="2:12" ht="16.2" customHeight="1">
      <c r="B25" s="62">
        <v>15</v>
      </c>
      <c r="C25" s="67" t="s">
        <v>254</v>
      </c>
      <c r="D25" s="67"/>
      <c r="E25" s="67"/>
      <c r="F25" s="67"/>
      <c r="G25" s="75">
        <v>0.2320160256410255</v>
      </c>
      <c r="H25" s="76">
        <f>$J$110</f>
        <v>0.232016025641026</v>
      </c>
      <c r="I25" s="71">
        <f>IF(AND(ISNUMBER($G$25),ISNUMBER($H$25)),ABS($H$25-$G$25),"")</f>
        <v>0</v>
      </c>
      <c r="J25" s="72">
        <v>1E-09</v>
      </c>
      <c r="K25" s="73" t="str">
        <f>IF(AND(ISNUMBER($G$25),ISNUMBER($H$25)),IF(ABS($H$25-$G$25)&lt;=$J$25,"PASS","FAIL"),"FAIL")</f>
        <v>PASS</v>
      </c>
    </row>
    <row r="27" spans="2:12" ht="21" customHeight="1">
      <c r="B27" s="8" t="s">
        <v>255</v>
      </c>
      <c r="C27" s="8"/>
      <c r="D27" s="8"/>
      <c r="E27" s="8"/>
      <c r="F27" s="8"/>
      <c r="G27" s="8"/>
      <c r="H27" s="8"/>
      <c r="I27" s="8"/>
      <c r="J27" s="8"/>
      <c r="K27" s="8"/>
      <c r="L27" s="8"/>
    </row>
    <row r="28" spans="2:12" ht="5" customHeight="1"/>
    <row r="29" spans="2:12">
      <c r="B29" s="21" t="s">
        <v>256</v>
      </c>
      <c r="C29" s="21"/>
      <c r="D29" s="21"/>
      <c r="E29" s="21"/>
      <c r="F29" s="21"/>
      <c r="G29" s="21"/>
      <c r="H29" s="21"/>
      <c r="I29" s="21"/>
      <c r="J29" s="21"/>
      <c r="K29" s="21"/>
      <c r="L29" s="21"/>
    </row>
    <row r="30" spans="2:12">
      <c r="B30" s="31" t="s">
        <v>257</v>
      </c>
      <c r="C30" s="31"/>
      <c r="D30" s="31"/>
      <c r="E30" s="31"/>
      <c r="F30" s="31"/>
    </row>
    <row r="31" spans="2:12">
      <c r="B31" s="27" t="s">
        <v>74</v>
      </c>
      <c r="C31" s="27"/>
      <c r="D31" s="27"/>
      <c r="E31" s="70">
        <v>42</v>
      </c>
      <c r="F31" s="7"/>
    </row>
    <row r="32" spans="2:12">
      <c r="B32" s="27" t="s">
        <v>75</v>
      </c>
      <c r="C32" s="27"/>
      <c r="D32" s="27"/>
      <c r="E32" s="77">
        <v>0.35</v>
      </c>
      <c r="F32" s="7"/>
    </row>
    <row r="33" spans="2:12">
      <c r="B33" s="27" t="s">
        <v>76</v>
      </c>
      <c r="C33" s="27"/>
      <c r="D33" s="27"/>
      <c r="E33" s="77">
        <v>0.3</v>
      </c>
      <c r="F33" s="7"/>
    </row>
    <row r="34" spans="2:12">
      <c r="B34" s="27" t="s">
        <v>258</v>
      </c>
      <c r="C34" s="27"/>
      <c r="D34" s="27"/>
      <c r="E34" s="70">
        <v>0.05</v>
      </c>
      <c r="F34" s="7"/>
    </row>
    <row r="35" spans="2:12">
      <c r="B35" s="27" t="s">
        <v>78</v>
      </c>
      <c r="C35" s="27"/>
      <c r="D35" s="27"/>
      <c r="E35" s="70">
        <v>0</v>
      </c>
      <c r="F35" s="7"/>
    </row>
    <row r="37" spans="2:12">
      <c r="B37" s="31" t="s">
        <v>259</v>
      </c>
      <c r="C37" s="31"/>
      <c r="D37" s="31"/>
      <c r="E37" s="31"/>
      <c r="F37" s="31"/>
      <c r="G37" s="31"/>
      <c r="H37" s="31"/>
      <c r="I37" s="31"/>
      <c r="J37" s="31"/>
      <c r="K37" s="31"/>
      <c r="L37" s="31"/>
    </row>
    <row r="38" spans="2:12" ht="14" customHeight="1">
      <c r="B38" s="32"/>
      <c r="C38" s="32" t="str">
        <f>Currency</f>
        <v>USD</v>
      </c>
      <c r="D38" s="32"/>
      <c r="E38" s="32"/>
    </row>
    <row r="39" spans="2:12" ht="20" customHeight="1">
      <c r="B39" s="33" t="s">
        <v>62</v>
      </c>
      <c r="C39" s="33" t="s">
        <v>63</v>
      </c>
      <c r="D39" s="33" t="s">
        <v>64</v>
      </c>
      <c r="E39" s="33" t="s">
        <v>65</v>
      </c>
    </row>
    <row r="40" spans="2:12">
      <c r="B40" s="66" t="s">
        <v>82</v>
      </c>
      <c r="C40" s="70">
        <v>2.85</v>
      </c>
      <c r="D40" s="66" t="s">
        <v>83</v>
      </c>
      <c r="E40" s="66" t="s">
        <v>84</v>
      </c>
    </row>
    <row r="41" spans="2:12">
      <c r="B41" s="66" t="s">
        <v>85</v>
      </c>
      <c r="C41" s="70">
        <v>1.95</v>
      </c>
      <c r="D41" s="66" t="s">
        <v>83</v>
      </c>
      <c r="E41" s="66" t="s">
        <v>86</v>
      </c>
    </row>
    <row r="42" spans="2:12">
      <c r="B42" s="66" t="s">
        <v>87</v>
      </c>
      <c r="C42" s="70">
        <v>9.4</v>
      </c>
      <c r="D42" s="66" t="s">
        <v>88</v>
      </c>
      <c r="E42" s="66" t="s">
        <v>89</v>
      </c>
    </row>
    <row r="43" spans="2:12">
      <c r="B43" s="66" t="s">
        <v>90</v>
      </c>
      <c r="C43" s="70">
        <v>2.1</v>
      </c>
      <c r="D43" s="66" t="s">
        <v>83</v>
      </c>
      <c r="E43" s="66" t="s">
        <v>86</v>
      </c>
    </row>
    <row r="45" spans="2:12">
      <c r="B45" s="31" t="s">
        <v>260</v>
      </c>
      <c r="C45" s="31"/>
      <c r="D45" s="31"/>
      <c r="E45" s="31"/>
      <c r="F45" s="31"/>
      <c r="G45" s="31"/>
      <c r="H45" s="31"/>
      <c r="I45" s="31"/>
      <c r="J45" s="31"/>
      <c r="K45" s="31"/>
      <c r="L45" s="31"/>
    </row>
    <row r="46" spans="2:12" ht="14" customHeight="1">
      <c r="B46" s="32"/>
      <c r="C46" s="32"/>
      <c r="D46" s="32" t="str">
        <f>Currency</f>
        <v>USD</v>
      </c>
      <c r="E46" s="32"/>
    </row>
    <row r="47" spans="2:12" ht="20" customHeight="1">
      <c r="B47" s="33" t="s">
        <v>66</v>
      </c>
      <c r="C47" s="33" t="s">
        <v>67</v>
      </c>
      <c r="D47" s="33" t="s">
        <v>68</v>
      </c>
      <c r="E47" s="33" t="s">
        <v>65</v>
      </c>
    </row>
    <row r="48" spans="2:12">
      <c r="B48" s="66" t="s">
        <v>92</v>
      </c>
      <c r="C48" s="70">
        <v>1.55</v>
      </c>
      <c r="D48" s="70">
        <v>3.2</v>
      </c>
      <c r="E48" s="66" t="s">
        <v>93</v>
      </c>
    </row>
    <row r="49" spans="2:12">
      <c r="B49" s="66" t="s">
        <v>94</v>
      </c>
      <c r="C49" s="70">
        <v>2.35</v>
      </c>
      <c r="D49" s="70">
        <v>5.6</v>
      </c>
      <c r="E49" s="66" t="s">
        <v>95</v>
      </c>
    </row>
    <row r="50" spans="2:12">
      <c r="B50" s="66" t="s">
        <v>96</v>
      </c>
      <c r="C50" s="70">
        <v>1.7</v>
      </c>
      <c r="D50" s="70">
        <v>4.1</v>
      </c>
      <c r="E50" s="66" t="s">
        <v>95</v>
      </c>
    </row>
    <row r="51" spans="2:12">
      <c r="B51" s="66" t="s">
        <v>97</v>
      </c>
      <c r="C51" s="70">
        <v>1.45</v>
      </c>
      <c r="D51" s="70">
        <v>2.6</v>
      </c>
      <c r="E51" s="66" t="s">
        <v>95</v>
      </c>
    </row>
    <row r="53" spans="2:12">
      <c r="B53" s="31" t="s">
        <v>261</v>
      </c>
      <c r="C53" s="31"/>
      <c r="D53" s="31"/>
      <c r="E53" s="31"/>
      <c r="F53" s="31"/>
      <c r="G53" s="31"/>
      <c r="H53" s="31"/>
      <c r="I53" s="31"/>
      <c r="J53" s="31"/>
      <c r="K53" s="31"/>
      <c r="L53" s="31"/>
    </row>
    <row r="54" spans="2:12" ht="14" customHeight="1">
      <c r="B54" s="32"/>
      <c r="C54" s="32"/>
      <c r="D54" s="32"/>
      <c r="E54" s="32" t="str">
        <f>Currency&amp;"/assembly"</f>
        <v>USD/assembly</v>
      </c>
      <c r="F54" s="32" t="str">
        <f>Currency&amp;"/batch"</f>
        <v>USD/batch</v>
      </c>
      <c r="G54" s="32"/>
    </row>
    <row r="55" spans="2:12" ht="32" customHeight="1">
      <c r="B55" s="33" t="s">
        <v>101</v>
      </c>
      <c r="C55" s="33" t="s">
        <v>102</v>
      </c>
      <c r="D55" s="33" t="s">
        <v>103</v>
      </c>
      <c r="E55" s="33" t="s">
        <v>100</v>
      </c>
      <c r="F55" s="33" t="s">
        <v>104</v>
      </c>
      <c r="G55" s="33" t="s">
        <v>105</v>
      </c>
    </row>
    <row r="56" spans="2:12">
      <c r="B56" s="66" t="s">
        <v>140</v>
      </c>
      <c r="C56" s="78">
        <v>20</v>
      </c>
      <c r="D56" s="78">
        <v>0</v>
      </c>
      <c r="E56" s="42">
        <f>IF(tblVerifyOps[[#This Row],[Operation]]="","",tblVerifyOps[[#This Row],[Seconds per assembly]]/3600*$E$31*(1+$E$32))</f>
        <v>0.315</v>
      </c>
      <c r="F56" s="37">
        <f>IF(tblVerifyOps[[#This Row],[Operation]]="","",tblVerifyOps[[#This Row],[Setup (min)]]/60*$E$31*(1+$E$32))</f>
        <v>0</v>
      </c>
      <c r="G56" s="45" t="str">
        <f>IF(tblVerifyOps[[#This Row],[Operation]]="","",IF(tblVerifyOps[[#This Row],[Operation]]="","Missing operation",IF(AND(tblVerifyOps[[#This Row],[Seconds per assembly]]=0,tblVerifyOps[[#This Row],[Setup (min)]]=0),"Enter a time","OK")))</f>
        <v>OK</v>
      </c>
    </row>
    <row r="57" spans="2:12">
      <c r="B57" s="66" t="s">
        <v>141</v>
      </c>
      <c r="C57" s="78">
        <v>15</v>
      </c>
      <c r="D57" s="78">
        <v>0</v>
      </c>
      <c r="E57" s="42">
        <f>IF(tblVerifyOps[[#This Row],[Operation]]="","",tblVerifyOps[[#This Row],[Seconds per assembly]]/3600*$E$31*(1+$E$32))</f>
        <v>0.23625</v>
      </c>
      <c r="F57" s="37">
        <f>IF(tblVerifyOps[[#This Row],[Operation]]="","",tblVerifyOps[[#This Row],[Setup (min)]]/60*$E$31*(1+$E$32))</f>
        <v>0</v>
      </c>
      <c r="G57" s="45" t="str">
        <f>IF(tblVerifyOps[[#This Row],[Operation]]="","",IF(tblVerifyOps[[#This Row],[Operation]]="","Missing operation",IF(AND(tblVerifyOps[[#This Row],[Seconds per assembly]]=0,tblVerifyOps[[#This Row],[Setup (min)]]=0),"Enter a time","OK")))</f>
        <v>OK</v>
      </c>
    </row>
    <row r="58" spans="2:12">
      <c r="B58" s="66" t="s">
        <v>142</v>
      </c>
      <c r="C58" s="78">
        <v>10</v>
      </c>
      <c r="D58" s="78">
        <v>0</v>
      </c>
      <c r="E58" s="42">
        <f>IF(tblVerifyOps[[#This Row],[Operation]]="","",tblVerifyOps[[#This Row],[Seconds per assembly]]/3600*$E$31*(1+$E$32))</f>
        <v>0.1575</v>
      </c>
      <c r="F58" s="37">
        <f>IF(tblVerifyOps[[#This Row],[Operation]]="","",tblVerifyOps[[#This Row],[Setup (min)]]/60*$E$31*(1+$E$32))</f>
        <v>0</v>
      </c>
      <c r="G58" s="45" t="str">
        <f>IF(tblVerifyOps[[#This Row],[Operation]]="","",IF(tblVerifyOps[[#This Row],[Operation]]="","Missing operation",IF(AND(tblVerifyOps[[#This Row],[Seconds per assembly]]=0,tblVerifyOps[[#This Row],[Setup (min)]]=0),"Enter a time","OK")))</f>
        <v>OK</v>
      </c>
    </row>
    <row r="59" spans="2:12">
      <c r="B59" s="66" t="s">
        <v>143</v>
      </c>
      <c r="C59" s="78">
        <v>25</v>
      </c>
      <c r="D59" s="78">
        <v>10</v>
      </c>
      <c r="E59" s="42">
        <f>IF(tblVerifyOps[[#This Row],[Operation]]="","",tblVerifyOps[[#This Row],[Seconds per assembly]]/3600*$E$31*(1+$E$32))</f>
        <v>0.39375</v>
      </c>
      <c r="F59" s="37">
        <f>IF(tblVerifyOps[[#This Row],[Operation]]="","",tblVerifyOps[[#This Row],[Setup (min)]]/60*$E$31*(1+$E$32))</f>
        <v>9.45</v>
      </c>
      <c r="G59" s="45" t="str">
        <f>IF(tblVerifyOps[[#This Row],[Operation]]="","",IF(tblVerifyOps[[#This Row],[Operation]]="","Missing operation",IF(AND(tblVerifyOps[[#This Row],[Seconds per assembly]]=0,tblVerifyOps[[#This Row],[Setup (min)]]=0),"Enter a time","OK")))</f>
        <v>OK</v>
      </c>
    </row>
    <row r="60" spans="2:12">
      <c r="B60" s="66" t="s">
        <v>144</v>
      </c>
      <c r="C60" s="78">
        <v>25</v>
      </c>
      <c r="D60" s="78">
        <v>0</v>
      </c>
      <c r="E60" s="42">
        <f>IF(tblVerifyOps[[#This Row],[Operation]]="","",tblVerifyOps[[#This Row],[Seconds per assembly]]/3600*$E$31*(1+$E$32))</f>
        <v>0.39375</v>
      </c>
      <c r="F60" s="37">
        <f>IF(tblVerifyOps[[#This Row],[Operation]]="","",tblVerifyOps[[#This Row],[Setup (min)]]/60*$E$31*(1+$E$32))</f>
        <v>0</v>
      </c>
      <c r="G60" s="45" t="str">
        <f>IF(tblVerifyOps[[#This Row],[Operation]]="","",IF(tblVerifyOps[[#This Row],[Operation]]="","Missing operation",IF(AND(tblVerifyOps[[#This Row],[Seconds per assembly]]=0,tblVerifyOps[[#This Row],[Setup (min)]]=0),"Enter a time","OK")))</f>
        <v>OK</v>
      </c>
    </row>
    <row r="61" spans="2:12">
      <c r="B61" s="66" t="s">
        <v>145</v>
      </c>
      <c r="C61" s="78">
        <v>60</v>
      </c>
      <c r="D61" s="78">
        <v>15</v>
      </c>
      <c r="E61" s="42">
        <f>IF(tblVerifyOps[[#This Row],[Operation]]="","",tblVerifyOps[[#This Row],[Seconds per assembly]]/3600*$E$31*(1+$E$32))</f>
        <v>0.945</v>
      </c>
      <c r="F61" s="37">
        <f>IF(tblVerifyOps[[#This Row],[Operation]]="","",tblVerifyOps[[#This Row],[Setup (min)]]/60*$E$31*(1+$E$32))</f>
        <v>14.175</v>
      </c>
      <c r="G61" s="45" t="str">
        <f>IF(tblVerifyOps[[#This Row],[Operation]]="","",IF(tblVerifyOps[[#This Row],[Operation]]="","Missing operation",IF(AND(tblVerifyOps[[#This Row],[Seconds per assembly]]=0,tblVerifyOps[[#This Row],[Setup (min)]]=0),"Enter a time","OK")))</f>
        <v>OK</v>
      </c>
    </row>
    <row r="62" spans="2:12">
      <c r="B62" s="66" t="s">
        <v>146</v>
      </c>
      <c r="C62" s="78">
        <v>20</v>
      </c>
      <c r="D62" s="78">
        <v>0</v>
      </c>
      <c r="E62" s="42">
        <f>IF(tblVerifyOps[[#This Row],[Operation]]="","",tblVerifyOps[[#This Row],[Seconds per assembly]]/3600*$E$31*(1+$E$32))</f>
        <v>0.315</v>
      </c>
      <c r="F62" s="37">
        <f>IF(tblVerifyOps[[#This Row],[Operation]]="","",tblVerifyOps[[#This Row],[Setup (min)]]/60*$E$31*(1+$E$32))</f>
        <v>0</v>
      </c>
      <c r="G62" s="45" t="str">
        <f>IF(tblVerifyOps[[#This Row],[Operation]]="","",IF(tblVerifyOps[[#This Row],[Operation]]="","Missing operation",IF(AND(tblVerifyOps[[#This Row],[Seconds per assembly]]=0,tblVerifyOps[[#This Row],[Setup (min)]]=0),"Enter a time","OK")))</f>
        <v>OK</v>
      </c>
    </row>
    <row r="63" spans="2:12">
      <c r="B63" s="66" t="s">
        <v>262</v>
      </c>
      <c r="C63" s="78">
        <v>0</v>
      </c>
      <c r="D63" s="78">
        <v>0</v>
      </c>
      <c r="E63" s="42">
        <f>IF(tblVerifyOps[[#This Row],[Operation]]="","",tblVerifyOps[[#This Row],[Seconds per assembly]]/3600*$E$31*(1+$E$32))</f>
        <v>0</v>
      </c>
      <c r="F63" s="37">
        <f>IF(tblVerifyOps[[#This Row],[Operation]]="","",tblVerifyOps[[#This Row],[Setup (min)]]/60*$E$31*(1+$E$32))</f>
        <v>0</v>
      </c>
      <c r="G63" s="45" t="str">
        <f>IF(tblVerifyOps[[#This Row],[Operation]]="","",IF(tblVerifyOps[[#This Row],[Operation]]="","Missing operation",IF(AND(tblVerifyOps[[#This Row],[Seconds per assembly]]=0,tblVerifyOps[[#This Row],[Setup (min)]]=0),"Enter a time","OK")))</f>
        <v>Enter a time</v>
      </c>
    </row>
    <row r="65" spans="2:12">
      <c r="B65" s="31" t="s">
        <v>263</v>
      </c>
      <c r="C65" s="31"/>
      <c r="D65" s="31"/>
      <c r="E65" s="31"/>
      <c r="F65" s="31"/>
      <c r="G65" s="31"/>
      <c r="H65" s="31"/>
      <c r="I65" s="31"/>
      <c r="J65" s="31"/>
      <c r="K65" s="31"/>
      <c r="L65" s="31"/>
    </row>
    <row r="66" spans="2:12" ht="14" customHeight="1">
      <c r="B66" s="32"/>
      <c r="C66" s="32"/>
      <c r="D66" s="32" t="str">
        <f>Currency&amp;"/each"</f>
        <v>USD/each</v>
      </c>
      <c r="E66" s="32" t="str">
        <f>Currency&amp;"/assembly"</f>
        <v>USD/assembly</v>
      </c>
    </row>
    <row r="67" spans="2:12" ht="32" customHeight="1">
      <c r="B67" s="33" t="s">
        <v>98</v>
      </c>
      <c r="C67" s="33" t="s">
        <v>99</v>
      </c>
      <c r="D67" s="33" t="s">
        <v>68</v>
      </c>
      <c r="E67" s="33" t="s">
        <v>100</v>
      </c>
    </row>
    <row r="68" spans="2:12">
      <c r="B68" s="66" t="s">
        <v>134</v>
      </c>
      <c r="C68" s="78">
        <v>1</v>
      </c>
      <c r="D68" s="74">
        <v>1.15</v>
      </c>
      <c r="E68" s="42">
        <f>IF(tblVerifyExtras[[#This Row],[Component]]="","",tblVerifyExtras[[#This Row],[Qty per assembly]]*tblVerifyExtras[[#This Row],[Unit price]])</f>
        <v>1.15</v>
      </c>
    </row>
    <row r="69" spans="2:12">
      <c r="B69" s="66" t="s">
        <v>135</v>
      </c>
      <c r="C69" s="78">
        <v>2</v>
      </c>
      <c r="D69" s="74">
        <v>0.08</v>
      </c>
      <c r="E69" s="42">
        <f>IF(tblVerifyExtras[[#This Row],[Component]]="","",tblVerifyExtras[[#This Row],[Qty per assembly]]*tblVerifyExtras[[#This Row],[Unit price]])</f>
        <v>0.16</v>
      </c>
    </row>
    <row r="70" spans="2:12">
      <c r="B70" s="66" t="s">
        <v>136</v>
      </c>
      <c r="C70" s="78">
        <v>1</v>
      </c>
      <c r="D70" s="74">
        <v>0.12</v>
      </c>
      <c r="E70" s="42">
        <f>IF(tblVerifyExtras[[#This Row],[Component]]="","",tblVerifyExtras[[#This Row],[Qty per assembly]]*tblVerifyExtras[[#This Row],[Unit price]])</f>
        <v>0.12</v>
      </c>
    </row>
    <row r="72" spans="2:12">
      <c r="B72" s="31" t="s">
        <v>264</v>
      </c>
      <c r="C72" s="31"/>
      <c r="D72" s="31"/>
      <c r="E72" s="31"/>
      <c r="F72" s="31"/>
      <c r="G72" s="31"/>
      <c r="H72" s="31"/>
      <c r="I72" s="31"/>
      <c r="J72" s="31"/>
      <c r="K72" s="31"/>
      <c r="L72" s="31"/>
    </row>
    <row r="73" spans="2:12">
      <c r="B73" s="27" t="s">
        <v>62</v>
      </c>
      <c r="C73" s="27"/>
      <c r="D73" s="27"/>
      <c r="E73" s="66" t="s">
        <v>82</v>
      </c>
      <c r="F73" s="66"/>
    </row>
    <row r="74" spans="2:12">
      <c r="B74" s="27" t="s">
        <v>118</v>
      </c>
      <c r="C74" s="27"/>
      <c r="D74" s="27"/>
      <c r="E74" s="66" t="s">
        <v>119</v>
      </c>
      <c r="F74" s="66"/>
    </row>
    <row r="75" spans="2:12">
      <c r="B75" s="27" t="s">
        <v>120</v>
      </c>
      <c r="C75" s="27"/>
      <c r="D75" s="27"/>
      <c r="E75" s="70">
        <v>36</v>
      </c>
      <c r="F75" s="7" t="str">
        <f>$E$74</f>
        <v>in</v>
      </c>
    </row>
    <row r="76" spans="2:12">
      <c r="B76" s="27" t="s">
        <v>121</v>
      </c>
      <c r="C76" s="27"/>
      <c r="D76" s="27"/>
      <c r="E76" s="66" t="s">
        <v>92</v>
      </c>
      <c r="F76" s="66"/>
    </row>
    <row r="77" spans="2:12">
      <c r="B77" s="27" t="s">
        <v>122</v>
      </c>
      <c r="C77" s="27"/>
      <c r="D77" s="27"/>
      <c r="E77" s="66" t="s">
        <v>94</v>
      </c>
      <c r="F77" s="66"/>
    </row>
    <row r="78" spans="2:12">
      <c r="B78" s="27" t="s">
        <v>123</v>
      </c>
      <c r="C78" s="27"/>
      <c r="D78" s="27"/>
      <c r="E78" s="77">
        <v>0.03</v>
      </c>
      <c r="F78" s="7"/>
    </row>
    <row r="79" spans="2:12">
      <c r="B79" s="27" t="s">
        <v>124</v>
      </c>
      <c r="C79" s="27"/>
      <c r="D79" s="27"/>
      <c r="E79" s="70">
        <v>1.55</v>
      </c>
      <c r="F79" s="7" t="str">
        <f>$E$74</f>
        <v>in</v>
      </c>
    </row>
    <row r="80" spans="2:12">
      <c r="B80" s="27" t="s">
        <v>125</v>
      </c>
      <c r="C80" s="27"/>
      <c r="D80" s="27"/>
      <c r="E80" s="70">
        <v>2.35</v>
      </c>
      <c r="F80" s="7" t="str">
        <f>$E$74</f>
        <v>in</v>
      </c>
    </row>
    <row r="81" spans="2:12">
      <c r="B81" s="17" t="s">
        <v>126</v>
      </c>
      <c r="C81" s="17"/>
      <c r="D81" s="17"/>
      <c r="E81" s="38">
        <f>IF(OR($E$79="",$E$80=""),"",$E$75-$E$79-$E$80)</f>
        <v>32.1</v>
      </c>
      <c r="F81" s="7" t="str">
        <f>$E$74</f>
        <v>in</v>
      </c>
    </row>
    <row r="82" spans="2:12">
      <c r="B82" s="27" t="s">
        <v>127</v>
      </c>
      <c r="C82" s="27"/>
      <c r="D82" s="27"/>
      <c r="E82" s="66" t="s">
        <v>83</v>
      </c>
      <c r="F82" s="66"/>
    </row>
    <row r="83" spans="2:12">
      <c r="B83" s="27" t="s">
        <v>128</v>
      </c>
      <c r="C83" s="27"/>
      <c r="D83" s="27"/>
      <c r="E83" s="70">
        <v>2.85</v>
      </c>
      <c r="F83" s="7" t="str">
        <f>Currency</f>
        <v>USD</v>
      </c>
    </row>
    <row r="84" spans="2:12">
      <c r="B84" s="27" t="s">
        <v>129</v>
      </c>
      <c r="C84" s="27"/>
      <c r="D84" s="27"/>
      <c r="E84" s="40">
        <f>IF(OR($E$81="",$E$82=""),"",IF($E$82="ft",IF($E$74="in",$E$81/12,$E$81/304.8),IF($E$74="in",$E$81*0.0254,$E$81/1000)))</f>
        <v>2.675</v>
      </c>
      <c r="F84" s="7" t="s">
        <v>130</v>
      </c>
    </row>
    <row r="85" spans="2:12">
      <c r="B85" s="17" t="s">
        <v>131</v>
      </c>
      <c r="C85" s="17"/>
      <c r="D85" s="17"/>
      <c r="E85" s="41">
        <f>IF(OR($E$84="",$E$83=""),"",$E$84*$E$83*(1+$E$78))</f>
        <v>7.8524625</v>
      </c>
      <c r="F85" s="7" t="str">
        <f>Currency&amp;"/assembly"</f>
        <v>USD/assembly</v>
      </c>
    </row>
    <row r="86" spans="2:12">
      <c r="B86" s="27" t="s">
        <v>132</v>
      </c>
      <c r="C86" s="27"/>
      <c r="D86" s="27"/>
      <c r="E86" s="74">
        <v>8.800000000000001</v>
      </c>
      <c r="F86" s="7" t="str">
        <f>Currency&amp;"/assembly"</f>
        <v>USD/assembly</v>
      </c>
    </row>
    <row r="87" spans="2:12">
      <c r="B87" s="27" t="s">
        <v>105</v>
      </c>
      <c r="C87" s="27"/>
      <c r="D87" s="27"/>
      <c r="E87" s="39" t="str">
        <f>IF($E$83="","Hose not on Setup list",IF(OR($E$79="",$E$80=""),"Fitting not on Setup list",IF($E$81&lt;=0,"Fittings longer than the assembly","OK")))</f>
        <v>OK</v>
      </c>
      <c r="F87" s="39"/>
    </row>
    <row r="89" spans="2:12">
      <c r="B89" s="31" t="s">
        <v>265</v>
      </c>
      <c r="C89" s="31"/>
      <c r="D89" s="31"/>
      <c r="E89" s="31"/>
      <c r="F89" s="31"/>
      <c r="G89" s="31"/>
      <c r="H89" s="31"/>
      <c r="I89" s="31"/>
      <c r="J89" s="31"/>
      <c r="K89" s="31"/>
      <c r="L89" s="31"/>
    </row>
    <row r="90" spans="2:12">
      <c r="B90" s="17" t="s">
        <v>138</v>
      </c>
      <c r="C90" s="17"/>
      <c r="D90" s="17"/>
      <c r="E90" s="41">
        <f>N($E$86)+SUM(tblVerifyExtras[Cost per assembly])</f>
        <v>10.23</v>
      </c>
      <c r="F90" s="7" t="str">
        <f>Currency&amp;"/assembly"</f>
        <v>USD/assembly</v>
      </c>
    </row>
    <row r="92" spans="2:12">
      <c r="B92" s="31" t="s">
        <v>266</v>
      </c>
      <c r="C92" s="31"/>
      <c r="D92" s="31"/>
      <c r="E92" s="31"/>
      <c r="F92" s="31"/>
      <c r="G92" s="31"/>
      <c r="H92" s="31"/>
      <c r="I92" s="31"/>
      <c r="J92" s="31"/>
      <c r="K92" s="31"/>
      <c r="L92" s="31"/>
    </row>
    <row r="93" spans="2:12">
      <c r="B93" s="27" t="s">
        <v>148</v>
      </c>
      <c r="C93" s="27"/>
      <c r="D93" s="27"/>
      <c r="E93" s="42">
        <f>SUM(tblVerifyOps[Cost per assembly])</f>
        <v>2.75625</v>
      </c>
      <c r="F93" s="7" t="str">
        <f>Currency&amp;"/assembly"</f>
        <v>USD/assembly</v>
      </c>
    </row>
    <row r="94" spans="2:12">
      <c r="B94" s="27" t="s">
        <v>149</v>
      </c>
      <c r="C94" s="27"/>
      <c r="D94" s="27"/>
      <c r="E94" s="46">
        <f>SUM(tblVerifyOps[Seconds per assembly])</f>
        <v>175</v>
      </c>
      <c r="F94" s="7" t="s">
        <v>150</v>
      </c>
    </row>
    <row r="95" spans="2:12">
      <c r="B95" s="27" t="s">
        <v>151</v>
      </c>
      <c r="C95" s="27"/>
      <c r="D95" s="27"/>
      <c r="E95" s="46">
        <f>SUM(tblVerifyOps[Setup (min)])</f>
        <v>25</v>
      </c>
      <c r="F95" s="7" t="s">
        <v>152</v>
      </c>
    </row>
    <row r="96" spans="2:12">
      <c r="B96" s="27" t="s">
        <v>153</v>
      </c>
      <c r="C96" s="27"/>
      <c r="D96" s="27"/>
      <c r="E96" s="70">
        <v>40</v>
      </c>
      <c r="F96" s="7" t="str">
        <f>Currency&amp;"/order"</f>
        <v>USD/order</v>
      </c>
    </row>
    <row r="97" spans="2:12">
      <c r="B97" s="17" t="s">
        <v>154</v>
      </c>
      <c r="C97" s="17"/>
      <c r="D97" s="17"/>
      <c r="E97" s="38">
        <f>SUM(tblVerifyOps[Setup cost])+$E$96</f>
        <v>63.625</v>
      </c>
      <c r="F97" s="7" t="str">
        <f>Currency&amp;"/order"</f>
        <v>USD/order</v>
      </c>
    </row>
    <row r="99" spans="2:12">
      <c r="B99" s="31" t="s">
        <v>267</v>
      </c>
      <c r="C99" s="31"/>
      <c r="D99" s="31"/>
      <c r="E99" s="31"/>
      <c r="F99" s="31"/>
      <c r="G99" s="31"/>
      <c r="H99" s="31"/>
      <c r="I99" s="31"/>
      <c r="J99" s="31"/>
      <c r="K99" s="31"/>
      <c r="L99" s="31"/>
    </row>
    <row r="100" spans="2:12">
      <c r="B100" s="47" t="s">
        <v>156</v>
      </c>
      <c r="C100" s="47"/>
      <c r="D100" s="47"/>
      <c r="E100" s="33" t="s">
        <v>157</v>
      </c>
      <c r="F100" s="79">
        <v>10</v>
      </c>
      <c r="G100" s="79">
        <v>25</v>
      </c>
      <c r="H100" s="79">
        <v>50</v>
      </c>
      <c r="I100" s="79">
        <v>150</v>
      </c>
      <c r="J100" s="79">
        <v>500</v>
      </c>
    </row>
    <row r="101" spans="2:12">
      <c r="B101" s="27" t="s">
        <v>62</v>
      </c>
      <c r="C101" s="27"/>
      <c r="D101" s="27"/>
      <c r="E101" s="7" t="str">
        <f>Currency&amp;"/assembly"</f>
        <v>USD/assembly</v>
      </c>
      <c r="F101" s="37">
        <f>$E$85</f>
        <v>7.8524625</v>
      </c>
      <c r="G101" s="37">
        <f>$E$85</f>
        <v>7.8524625</v>
      </c>
      <c r="H101" s="37">
        <f>$E$85</f>
        <v>7.8524625</v>
      </c>
      <c r="I101" s="37">
        <f>$E$85</f>
        <v>7.8524625</v>
      </c>
      <c r="J101" s="37">
        <f>$E$85</f>
        <v>7.8524625</v>
      </c>
    </row>
    <row r="102" spans="2:12">
      <c r="B102" s="27" t="s">
        <v>158</v>
      </c>
      <c r="C102" s="27"/>
      <c r="D102" s="27"/>
      <c r="E102" s="7" t="str">
        <f>Currency&amp;"/assembly"</f>
        <v>USD/assembly</v>
      </c>
      <c r="F102" s="37">
        <f>$E$90</f>
        <v>10.23</v>
      </c>
      <c r="G102" s="37">
        <f>$E$90</f>
        <v>10.23</v>
      </c>
      <c r="H102" s="37">
        <f>$E$90</f>
        <v>10.23</v>
      </c>
      <c r="I102" s="37">
        <f>$E$90</f>
        <v>10.23</v>
      </c>
      <c r="J102" s="37">
        <f>$E$90</f>
        <v>10.23</v>
      </c>
    </row>
    <row r="103" spans="2:12">
      <c r="B103" s="27" t="s">
        <v>159</v>
      </c>
      <c r="C103" s="27"/>
      <c r="D103" s="27"/>
      <c r="E103" s="7" t="str">
        <f>Currency&amp;"/assembly"</f>
        <v>USD/assembly</v>
      </c>
      <c r="F103" s="37">
        <f>$E$93</f>
        <v>2.75625</v>
      </c>
      <c r="G103" s="37">
        <f>$E$93</f>
        <v>2.75625</v>
      </c>
      <c r="H103" s="37">
        <f>$E$93</f>
        <v>2.75625</v>
      </c>
      <c r="I103" s="37">
        <f>$E$93</f>
        <v>2.75625</v>
      </c>
      <c r="J103" s="37">
        <f>$E$93</f>
        <v>2.75625</v>
      </c>
    </row>
    <row r="104" spans="2:12">
      <c r="B104" s="27" t="s">
        <v>160</v>
      </c>
      <c r="C104" s="27"/>
      <c r="D104" s="27"/>
      <c r="E104" s="7" t="str">
        <f>Currency&amp;"/assembly"</f>
        <v>USD/assembly</v>
      </c>
      <c r="F104" s="37">
        <f>$E$97/$F$100</f>
        <v>6.3625</v>
      </c>
      <c r="G104" s="37">
        <f>$E$97/$G$100</f>
        <v>2.545</v>
      </c>
      <c r="H104" s="37">
        <f>$E$97/$H$100</f>
        <v>1.2725</v>
      </c>
      <c r="I104" s="37">
        <f>$E$97/$I$100</f>
        <v>0.424166666666667</v>
      </c>
      <c r="J104" s="37">
        <f>$E$97/$J$100</f>
        <v>0.12725</v>
      </c>
    </row>
    <row r="105" spans="2:12">
      <c r="B105" s="17" t="s">
        <v>100</v>
      </c>
      <c r="C105" s="17"/>
      <c r="D105" s="17"/>
      <c r="E105" s="7" t="str">
        <f>Currency&amp;"/assembly"</f>
        <v>USD/assembly</v>
      </c>
      <c r="F105" s="49">
        <f>$F$101+$F$102+$F$103+$F$104</f>
        <v>27.2012125</v>
      </c>
      <c r="G105" s="49">
        <f>$G$101+$G$102+$G$103+$G$104</f>
        <v>23.3837125</v>
      </c>
      <c r="H105" s="49">
        <f>$H$101+$H$102+$H$103+$H$104</f>
        <v>22.1112125</v>
      </c>
      <c r="I105" s="49">
        <f>$I$101+$I$102+$I$103+$I$104</f>
        <v>21.2628791666667</v>
      </c>
      <c r="J105" s="49">
        <f>$J$101+$J$102+$J$103+$J$104</f>
        <v>20.9659625</v>
      </c>
    </row>
    <row r="106" spans="2:12">
      <c r="B106" s="27" t="s">
        <v>161</v>
      </c>
      <c r="C106" s="27"/>
      <c r="D106" s="27"/>
      <c r="E106" s="7" t="str">
        <f>Currency&amp;"/assembly"</f>
        <v>USD/assembly</v>
      </c>
      <c r="F106" s="37">
        <f>$F$105*$E$33</f>
        <v>8.16036375</v>
      </c>
      <c r="G106" s="37">
        <f>$G$105*$E$33</f>
        <v>7.01511375</v>
      </c>
      <c r="H106" s="37">
        <f>$H$105*$E$33</f>
        <v>6.63336375</v>
      </c>
      <c r="I106" s="37">
        <f>$I$105*$E$33</f>
        <v>6.37886375</v>
      </c>
      <c r="J106" s="37">
        <f>$J$105*$E$33</f>
        <v>6.28978875</v>
      </c>
    </row>
    <row r="107" spans="2:12">
      <c r="B107" s="27" t="s">
        <v>162</v>
      </c>
      <c r="C107" s="27"/>
      <c r="D107" s="27"/>
      <c r="E107" s="7" t="str">
        <f>Currency&amp;"/assembly"</f>
        <v>USD/assembly</v>
      </c>
      <c r="F107" s="37">
        <f>$E$35/$F$100</f>
        <v>0</v>
      </c>
      <c r="G107" s="37">
        <f>$E$35/$G$100</f>
        <v>0</v>
      </c>
      <c r="H107" s="37">
        <f>$E$35/$H$100</f>
        <v>0</v>
      </c>
      <c r="I107" s="37">
        <f>$E$35/$I$100</f>
        <v>0</v>
      </c>
      <c r="J107" s="37">
        <f>$E$35/$J$100</f>
        <v>0</v>
      </c>
    </row>
    <row r="108" spans="2:12">
      <c r="B108" s="27" t="s">
        <v>68</v>
      </c>
      <c r="C108" s="27"/>
      <c r="D108" s="27"/>
      <c r="E108" s="7" t="str">
        <f>Currency&amp;"/assembly"</f>
        <v>USD/assembly</v>
      </c>
      <c r="F108" s="50">
        <f>CEILING($F$105+$F$106+$F$107,$E$34)</f>
        <v>35.4</v>
      </c>
      <c r="G108" s="50">
        <f>CEILING($G$105+$G$106+$G$107,$E$34)</f>
        <v>30.4</v>
      </c>
      <c r="H108" s="50">
        <f>CEILING($H$105+$H$106+$H$107,$E$34)</f>
        <v>28.75</v>
      </c>
      <c r="I108" s="50">
        <f>CEILING($I$105+$I$106+$I$107,$E$34)</f>
        <v>27.65</v>
      </c>
      <c r="J108" s="50">
        <f>CEILING($J$105+$J$106+$J$107,$E$34)</f>
        <v>27.3</v>
      </c>
    </row>
    <row r="109" spans="2:12">
      <c r="B109" s="27" t="s">
        <v>163</v>
      </c>
      <c r="C109" s="27"/>
      <c r="D109" s="27"/>
      <c r="E109" s="7" t="str">
        <f>Currency</f>
        <v>USD</v>
      </c>
      <c r="F109" s="37">
        <f>$F$108*$F$100</f>
        <v>354</v>
      </c>
      <c r="G109" s="37">
        <f>$G$108*$G$100</f>
        <v>760</v>
      </c>
      <c r="H109" s="37">
        <f>$H$108*$H$100</f>
        <v>1437.5</v>
      </c>
      <c r="I109" s="37">
        <f>$I$108*$I$100</f>
        <v>4147.5</v>
      </c>
      <c r="J109" s="37">
        <f>$J$108*$J$100</f>
        <v>13650</v>
      </c>
    </row>
    <row r="110" spans="2:12">
      <c r="B110" s="27" t="s">
        <v>164</v>
      </c>
      <c r="C110" s="27"/>
      <c r="D110" s="27"/>
      <c r="E110" s="7" t="s">
        <v>165</v>
      </c>
      <c r="F110" s="51">
        <f>($F$108-$F$107-$F$105)/($F$108-$F$107)</f>
        <v>0.231604166666667</v>
      </c>
      <c r="G110" s="51">
        <f>($G$108-$G$107-$G$105)/($G$108-$G$107)</f>
        <v>0.230798930921053</v>
      </c>
      <c r="H110" s="51">
        <f>($H$108-$H$107-$H$105)/($H$108-$H$107)</f>
        <v>0.230914347826087</v>
      </c>
      <c r="I110" s="51">
        <f>($I$108-$I$107-$I$105)/($I$108-$I$107)</f>
        <v>0.230998945147679</v>
      </c>
      <c r="J110" s="51">
        <f>($J$108-$J$107-$J$105)/($J$108-$J$107)</f>
        <v>0.232016025641026</v>
      </c>
    </row>
    <row r="111" spans="2:12">
      <c r="B111" s="27" t="s">
        <v>166</v>
      </c>
      <c r="C111" s="27"/>
      <c r="D111" s="27"/>
      <c r="E111" s="7" t="s">
        <v>167</v>
      </c>
      <c r="F111" s="52">
        <f>$E$95/60+$F$100*$E$94/3600</f>
        <v>0.902777777777778</v>
      </c>
      <c r="G111" s="52">
        <f>$E$95/60+$G$100*$E$94/3600</f>
        <v>1.63194444444444</v>
      </c>
      <c r="H111" s="52">
        <f>$E$95/60+$H$100*$E$94/3600</f>
        <v>2.84722222222222</v>
      </c>
      <c r="I111" s="52">
        <f>$E$95/60+$I$100*$E$94/3600</f>
        <v>7.70833333333333</v>
      </c>
      <c r="J111" s="52">
        <f>$E$95/60+$J$100*$E$94/3600</f>
        <v>24.7222222222222</v>
      </c>
    </row>
  </sheetData>
  <sheetProtection sheet="1" formatColumns="0" formatRows="0"/>
  <mergeCells count="78">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B27:L27"/>
    <mergeCell ref="B29:L29"/>
    <mergeCell ref="B30:F30"/>
    <mergeCell ref="B31:D31"/>
    <mergeCell ref="B32:D32"/>
    <mergeCell ref="B33:D33"/>
    <mergeCell ref="B34:D34"/>
    <mergeCell ref="B35:D35"/>
    <mergeCell ref="B37:L37"/>
    <mergeCell ref="B45:L45"/>
    <mergeCell ref="B53:L53"/>
    <mergeCell ref="B65:L65"/>
    <mergeCell ref="B72:L72"/>
    <mergeCell ref="B73:D73"/>
    <mergeCell ref="E73:F73"/>
    <mergeCell ref="B74:D74"/>
    <mergeCell ref="E74:F74"/>
    <mergeCell ref="B75:D75"/>
    <mergeCell ref="B76:D76"/>
    <mergeCell ref="E76:F76"/>
    <mergeCell ref="B77:D77"/>
    <mergeCell ref="E77:F77"/>
    <mergeCell ref="B78:D78"/>
    <mergeCell ref="B79:D79"/>
    <mergeCell ref="B80:D80"/>
    <mergeCell ref="B81:D81"/>
    <mergeCell ref="B82:D82"/>
    <mergeCell ref="E82:F82"/>
    <mergeCell ref="B83:D83"/>
    <mergeCell ref="B84:D84"/>
    <mergeCell ref="B85:D85"/>
    <mergeCell ref="B86:D86"/>
    <mergeCell ref="B87:D87"/>
    <mergeCell ref="E87:F87"/>
    <mergeCell ref="B89:L89"/>
    <mergeCell ref="B90:D90"/>
    <mergeCell ref="B92:L92"/>
    <mergeCell ref="B93:D93"/>
    <mergeCell ref="B94:D94"/>
    <mergeCell ref="B95:D95"/>
    <mergeCell ref="B96:D96"/>
    <mergeCell ref="B97:D97"/>
    <mergeCell ref="B99:L99"/>
    <mergeCell ref="B100:D100"/>
    <mergeCell ref="B101:D101"/>
    <mergeCell ref="B102:D102"/>
    <mergeCell ref="B103:D103"/>
    <mergeCell ref="B104:D104"/>
    <mergeCell ref="B105:D105"/>
    <mergeCell ref="B106:D106"/>
    <mergeCell ref="B107:D107"/>
    <mergeCell ref="B108:D108"/>
    <mergeCell ref="B109:D109"/>
    <mergeCell ref="B110:D110"/>
    <mergeCell ref="B111:D11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56:G63">
    <cfRule type="expression" dxfId="3" priority="41">
      <formula>$G56="OK"</formula>
    </cfRule>
    <cfRule type="expression" dxfId="1" priority="42">
      <formula>AND($G56&lt;&gt;"",$G56&lt;&gt;"OK")</formula>
    </cfRule>
  </conditionalFormatting>
  <conditionalFormatting sqref="K11:K25">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Hose Assembly Cost Estimator&amp;R&amp;8&amp;A</oddHeader>
    <oddFooter>&amp;L&amp;8mfgcalcs.com - free manufacturing templates&amp;R&amp;8Page &amp;P of &amp;N</oddFooter>
  </headerFooter>
  <rowBreaks count="4" manualBreakCount="4">
    <brk id="26" max="16383" man="1"/>
    <brk id="52" max="16383" man="1"/>
    <brk id="71" max="16383" man="1"/>
    <brk id="98" max="16383" man="1"/>
  </rowBreaks>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49</vt:i4>
      </vt:variant>
    </vt:vector>
  </HeadingPairs>
  <TitlesOfParts>
    <vt:vector size="55" baseType="lpstr">
      <vt:lpstr>Start Here</vt:lpstr>
      <vt:lpstr>Setup</vt:lpstr>
      <vt:lpstr>Estimate</vt:lpstr>
      <vt:lpstr>Dashboard</vt:lpstr>
      <vt:lpstr>Method</vt:lpstr>
      <vt:lpstr>Verify</vt:lpstr>
      <vt:lpstr>BreakList</vt:lpstr>
      <vt:lpstr>CompCost</vt:lpstr>
      <vt:lpstr>CoName</vt:lpstr>
      <vt:lpstr>Currency</vt:lpstr>
      <vt:lpstr>Customer</vt:lpstr>
      <vt:lpstr>CutLen</vt:lpstr>
      <vt:lpstr>CutoffA</vt:lpstr>
      <vt:lpstr>CutoffB</vt:lpstr>
      <vt:lpstr>CutPriced</vt:lpstr>
      <vt:lpstr>CutWaste</vt:lpstr>
      <vt:lpstr>DashBreak</vt:lpstr>
      <vt:lpstr>DimUnit</vt:lpstr>
      <vt:lpstr>FitA</vt:lpstr>
      <vt:lpstr>FitB</vt:lpstr>
      <vt:lpstr>FitCost</vt:lpstr>
      <vt:lpstr>FixedJob</vt:lpstr>
      <vt:lpstr>FixedJobCost</vt:lpstr>
      <vt:lpstr>Hose</vt:lpstr>
      <vt:lpstr>HoseCost</vt:lpstr>
      <vt:lpstr>HosePer</vt:lpstr>
      <vt:lpstr>HosePrice</vt:lpstr>
      <vt:lpstr>KpiCost</vt:lpstr>
      <vt:lpstr>KpiCut</vt:lpstr>
      <vt:lpstr>KpiMargin</vt:lpstr>
      <vt:lpstr>KpiPrice</vt:lpstr>
      <vt:lpstr>LabourPer</vt:lpstr>
      <vt:lpstr>LabourRate</vt:lpstr>
      <vt:lpstr>LenCheck</vt:lpstr>
      <vt:lpstr>Markup</vt:lpstr>
      <vt:lpstr>OAL</vt:lpstr>
      <vt:lpstr>Overhead</vt:lpstr>
      <vt:lpstr>PartDesc</vt:lpstr>
      <vt:lpstr>PartNo</vt:lpstr>
      <vt:lpstr>PreparedBy</vt:lpstr>
      <vt:lpstr>Dashboard!Print_Area</vt:lpstr>
      <vt:lpstr>Estimate!Print_Area</vt:lpstr>
      <vt:lpstr>Method!Print_Area</vt:lpstr>
      <vt:lpstr>Setup!Print_Area</vt:lpstr>
      <vt:lpstr>'Start Here'!Print_Area</vt:lpstr>
      <vt:lpstr>Verify!Print_Area</vt:lpstr>
      <vt:lpstr>Method!Print_Titles</vt:lpstr>
      <vt:lpstr>QuoteDate</vt:lpstr>
      <vt:lpstr>RoundStep</vt:lpstr>
      <vt:lpstr>SecsPer</vt:lpstr>
      <vt:lpstr>SelfCheck</vt:lpstr>
      <vt:lpstr>SelfCheckSummary</vt:lpstr>
      <vt:lpstr>SelIdx</vt:lpstr>
      <vt:lpstr>SetupMin</vt:lpstr>
      <vt:lpstr>ToolingCharge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Hose Assembly Cost Estimator - free Excel template from MFG Calcs</dc:title>
  <dc:subject>Cost a hydraulic or industrial hose assembly from its overall length and fittings: hose, fittings, extras, labour and fixed job cost, priced cost-plus for five quantities.</dc:subject>
  <dc:creator>MFG Calcs</dc:creator>
  <cp:keywords>hose assembly cost, hydraulic hose, hose quote, cut length, crimp, fittings, cost-plus pricing, fluid power</cp:keywords>
  <dc:description>https://www.mfgcalcs.com/templates/hose-assembly-cost - version 1.0.0, updated 2026-10-24. Free from MFG Calcs - keep this credit when you share it.</dc:description>
  <cp:lastModifiedBy>MFG Calcs</cp:lastModifiedBy>
  <dcterms:created xsi:type="dcterms:W3CDTF">2026-10-24T12:00:00Z</dcterms:created>
  <dcterms:modified xsi:type="dcterms:W3CDTF">2026-10-24T12:00:00Z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hose-assembly-cost</vt:lpwstr>
  </property>
  <property fmtid="{D5CDD505-2E9C-101B-9397-08002B2CF9AE}" pid="3" name="Template version">
    <vt:lpwstr>1.0.0</vt:lpwstr>
  </property>
  <property fmtid="{D5CDD505-2E9C-101B-9397-08002B2CF9AE}" pid="4" name="Template updated">
    <vt:lpwstr>2026-10-24</vt:lpwstr>
  </property>
  <property fmtid="{D5CDD505-2E9C-101B-9397-08002B2CF9AE}" pid="5" name="Template layout">
    <vt:lpwstr>form</vt:lpwstr>
  </property>
  <property fmtid="{D5CDD505-2E9C-101B-9397-08002B2CF9AE}" pid="6" name="Template URL">
    <vt:lpwstr>https://www.mfgcalcs.com/templates/hose-assembly-cost</vt:lpwstr>
  </property>
  <property fmtid="{D5CDD505-2E9C-101B-9397-08002B2CF9AE}" pid="7" name="Template sheet roles">
    <vt:lpwstr>Start Here=start;Setup=setup;Estimate=form;Dashboard=dashboard;Method=method;Verify=verify</vt:lpwstr>
  </property>
</Properties>
</file>