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Hourly Board" sheetId="3" r:id="rId3"/>
    <sheet name="Daily Board" sheetId="4" r:id="rId4"/>
    <sheet name="Dashboard" sheetId="5" r:id="rId5"/>
    <sheet name="Method" sheetId="6" r:id="rId6"/>
    <sheet name="Verify" sheetId="7" r:id="rId7"/>
  </sheets>
  <definedNames>
    <definedName name="BoardDate">'Daily Board'!$D$6</definedName>
    <definedName name="BoardLine">'Daily Board'!$P$6</definedName>
    <definedName name="BoardShift">'Daily Board'!$J$6</definedName>
    <definedName name="BoardStart">IFERROR(INDEX(tblShiftList[Starts],MATCH(BoardShift,tblShiftList[Shift],0)),"")</definedName>
    <definedName name="DashFrom">Dashboard!$G$4</definedName>
    <definedName name="DashLine">Dashboard!$C$4</definedName>
    <definedName name="DashTo">Dashboard!$K$4</definedName>
    <definedName name="FFrom">IF(DashFrom="",0,DashFrom)</definedName>
    <definedName name="FTo">IF(DashTo="",2958465,DashTo)</definedName>
    <definedName name="Hours">tblHours[Hour]</definedName>
    <definedName name="KpiActual">Dashboard!$B$30</definedName>
    <definedName name="KpiAttain">Dashboard!$B$8</definedName>
    <definedName name="KpiDayActual">'Daily Board'!$G$10</definedName>
    <definedName name="KpiDayAttain">'Daily Board'!$B$10</definedName>
    <definedName name="KpiDayHits">'Daily Board'!$L$10</definedName>
    <definedName name="KpiDayShort">'Daily Board'!$P$10</definedName>
    <definedName name="KpiHits">Dashboard!$D$8</definedName>
    <definedName name="KpiHours">Dashboard!$G$30</definedName>
    <definedName name="KpiShort">Dashboard!$G$8</definedName>
    <definedName name="KpiTarget">Dashboard!$D$30</definedName>
    <definedName name="KpiTop">Dashboard!$J$30</definedName>
    <definedName name="KpiWeak">Dashboard!$J$8</definedName>
    <definedName name="Lines">tblLines[Line]</definedName>
    <definedName name="PlantName">Setup!$C$6</definedName>
    <definedName name="_xlnm.Print_Area" localSheetId="3">'Daily Board'!$A$4:$R$42</definedName>
    <definedName name="_xlnm.Print_Area" localSheetId="4">Dashboard!$A$1:$L$89</definedName>
    <definedName name="_xlnm.Print_Area" localSheetId="2">'Hourly Board'!$A$1:$V$325</definedName>
    <definedName name="_xlnm.Print_Area" localSheetId="5">Method!$A$1:$D$59</definedName>
    <definedName name="_xlnm.Print_Area" localSheetId="1">Setup!$A$1:$E$50</definedName>
    <definedName name="_xlnm.Print_Area" localSheetId="0">'Start Here'!$A$1:$F$58</definedName>
    <definedName name="_xlnm.Print_Area" localSheetId="6">Verify!$A$1:$V$48</definedName>
    <definedName name="_xlnm.Print_Titles" localSheetId="2">'Hourly Board'!$1:$5</definedName>
    <definedName name="_xlnm.Print_Titles" localSheetId="5">Method!$1:$2</definedName>
    <definedName name="Products">tblProducts[Product]</definedName>
    <definedName name="Reasons">tblReasons[Reason]</definedName>
    <definedName name="SelfCheck">Verify!$D$4</definedName>
    <definedName name="SelfCheckSummary">Verify!$F$4</definedName>
    <definedName name="ShiftList">tblShiftList[Shift]</definedName>
    <definedName name="TargetHour">Setup!$C$7</definedName>
  </definedNames>
  <calcPr calcId="124519" fullCalcOnLoad="1"/>
</workbook>
</file>

<file path=xl/sharedStrings.xml><?xml version="1.0" encoding="utf-8"?>
<sst xmlns="http://schemas.openxmlformats.org/spreadsheetml/2006/main" count="1942" uniqueCount="291">
  <si>
    <t>Hour-by-Hour Production Board</t>
  </si>
  <si>
    <t>Read this first: what the workbook does and how to use it.</t>
  </si>
  <si>
    <t>mfgcalcs.com</t>
  </si>
  <si>
    <t>Log each line's output every hour against a takt-based target and see the running plan vs actual, the hours that miss and why, by line, day and hour of the shift.</t>
  </si>
  <si>
    <t>For: Team leaders, cell leaders, shift supervisors and production managers who run a line to takt and review it hour by hour.</t>
  </si>
  <si>
    <t>Version 1.0.0  ·  updated 24 October 2026</t>
  </si>
  <si>
    <t>Quick start</t>
  </si>
  <si>
    <t>1.</t>
  </si>
  <si>
    <t>On Setup, type your plant name and hourly attainment target, then replace the example lines, shifts, hour slots, products (with their takt times) and miss reasons.</t>
  </si>
  <si>
    <t>2.</t>
  </si>
  <si>
    <t>Each hour, add one row per line on Hourly Board: the hour of the shift, the product, the minutes available in that hour and the good units made.</t>
  </si>
  <si>
    <t>3.</t>
  </si>
  <si>
    <t>When an hour misses its target, pick the miss reason and write the countermeasure; the Check column asks for it.</t>
  </si>
  <si>
    <t>4.</t>
  </si>
  <si>
    <t>Open the Dashboard: filter by line, or set From and To to one day, and read which hours and which reasons lost the most units.</t>
  </si>
  <si>
    <t>5.</t>
  </si>
  <si>
    <t>To print one shift's board for the line, pick the date, shift and line on Daily Board. A date with no rows prints a blank board to fill in by hand.</t>
  </si>
  <si>
    <t>What is in this workbook</t>
  </si>
  <si>
    <t>Start Here</t>
  </si>
  <si>
    <t>Setup</t>
  </si>
  <si>
    <t>Plant name, the hourly target, and the line, shift, hour-slot, product (takt time) and miss-reason lists.</t>
  </si>
  <si>
    <t>Hourly Board</t>
  </si>
  <si>
    <t>One row per line per hour: the minutes available, the units made, and why an hour missed.</t>
  </si>
  <si>
    <t>Daily Board</t>
  </si>
  <si>
    <t>One shift's hour-by-hour board for one line, to print and hang by the line or review at the shift handover.</t>
  </si>
  <si>
    <t>Dashboard</t>
  </si>
  <si>
    <t>Hourly attainment against takt, where in the shift the units are lost, and why, for the line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</si>
  <si>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</si>
  <si>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</si>
  <si>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</si>
  <si>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</si>
  <si>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</si>
  <si>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</si>
  <si>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</si>
  <si>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</si>
  <si>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</si>
  <si>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</si>
  <si>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</si>
  <si>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</si>
  <si>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</si>
  <si>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</si>
  <si>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</si>
  <si>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</si>
  <si>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</si>
  <si>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</si>
  <si>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</si>
  <si>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</si>
  <si>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Takt Time Calculator on mfgcalcs.com</t>
  </si>
  <si>
    <t>Latest version</t>
  </si>
  <si>
    <t>mfgcalcs.com/templates/hour-by-hour-production-board</t>
  </si>
  <si>
    <t>More free templates</t>
  </si>
  <si>
    <t>mfgcalcs.com/templates</t>
  </si>
  <si>
    <t>Version</t>
  </si>
  <si>
    <t>1.0.0 (updated 24 October 2026)</t>
  </si>
  <si>
    <t>About the example data</t>
  </si>
  <si>
    <t>Every number already in this workbook is example data for Calder Pump Assembly, a fictional business invented for this template, so the dashboard and charts show something meaningful on day one. It covers two assembly cells on two shifts over ten working days (5 to 16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</si>
  <si>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</si>
  <si>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</si>
  <si>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Daily Board,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</si>
  <si>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</si>
  <si>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</si>
  <si>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</si>
  <si>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The Daily Board sheet prints without the MFG Calcs band at the top; its page footer keeps a small mfgcalcs.com credit, which you can change in Page Layout &gt; Header &amp; Footer after unprotecting the sheet.</t>
  </si>
  <si>
    <t>Free from MFG Calcs - keep this credit when you share it.</t>
  </si>
  <si>
    <t>Engineering estimates for planning and improvement work. Verify the results against your own process, data and standards before you rely on them.</t>
  </si>
  <si>
    <t>Line</t>
  </si>
  <si>
    <t>Area</t>
  </si>
  <si>
    <t>Description</t>
  </si>
  <si>
    <t>Shift</t>
  </si>
  <si>
    <t>Starts</t>
  </si>
  <si>
    <t>Notes</t>
  </si>
  <si>
    <t>Hour</t>
  </si>
  <si>
    <t>Usual minutes</t>
  </si>
  <si>
    <t>Product</t>
  </si>
  <si>
    <t>Takt time (s)</t>
  </si>
  <si>
    <t>Reason</t>
  </si>
  <si>
    <t>Definition</t>
  </si>
  <si>
    <t>Plant and target</t>
  </si>
  <si>
    <t>Plant name</t>
  </si>
  <si>
    <t>Calder Pump Assembly (example)</t>
  </si>
  <si>
    <t>Hourly attainment target</t>
  </si>
  <si>
    <t>The hourly target is set by takt time, not by a benchmark: available seconds in the hour divided by the product's takt, rounded down to whole units. 'Near target' means within 5% below the attainment target.</t>
  </si>
  <si>
    <t>Lists that feed the dropdowns</t>
  </si>
  <si>
    <t>Edit, add or remove rows; every dropdown on the Hourly Board reads these lists. Takt time is available time divided by customer demand (use the Takt Time calculator); enter it in seconds per unit.</t>
  </si>
  <si>
    <t>Lines</t>
  </si>
  <si>
    <t>A1</t>
  </si>
  <si>
    <t>Assembly</t>
  </si>
  <si>
    <t>Pump housing and valve body cell, 4 stations</t>
  </si>
  <si>
    <t>A2</t>
  </si>
  <si>
    <t>Bracket kit and valve body cell, 3 stations</t>
  </si>
  <si>
    <t>Shifts</t>
  </si>
  <si>
    <t>Early</t>
  </si>
  <si>
    <t>06:00 to 14:00, lunch in hour 5</t>
  </si>
  <si>
    <t>Late</t>
  </si>
  <si>
    <t>14:00 to 22:00, lunch in hour 5</t>
  </si>
  <si>
    <t>Hour slots</t>
  </si>
  <si>
    <t>Start-up and handover</t>
  </si>
  <si>
    <t/>
  </si>
  <si>
    <t>10-minute break</t>
  </si>
  <si>
    <t>30-minute lunch</t>
  </si>
  <si>
    <t>First hour after lunch</t>
  </si>
  <si>
    <t>10-minute clean-down</t>
  </si>
  <si>
    <t>Products and takt times</t>
  </si>
  <si>
    <t>Pump housing PH-40</t>
  </si>
  <si>
    <t>Takt from 630 units a shift</t>
  </si>
  <si>
    <t>Valve body VB-12</t>
  </si>
  <si>
    <t>Takt from 525 units a shift</t>
  </si>
  <si>
    <t>Bracket kit BK-3</t>
  </si>
  <si>
    <t>Takt from 840 units a shift</t>
  </si>
  <si>
    <t>Miss reasons</t>
  </si>
  <si>
    <t>Start-up</t>
  </si>
  <si>
    <t>Shift start, handover or first-piece approval</t>
  </si>
  <si>
    <t>Material shortage</t>
  </si>
  <si>
    <t>Parts or packaging not at the cell</t>
  </si>
  <si>
    <t>Minor stops</t>
  </si>
  <si>
    <t>Jams, misfeeds and short stops under 5 minutes</t>
  </si>
  <si>
    <t>Machine fault</t>
  </si>
  <si>
    <t>A station down for repair</t>
  </si>
  <si>
    <t>Quality check</t>
  </si>
  <si>
    <t>Line held for a check, rework or a quality decision</t>
  </si>
  <si>
    <t>Changeover</t>
  </si>
  <si>
    <t>Product change, last good part to first good part</t>
  </si>
  <si>
    <t>Operator away</t>
  </si>
  <si>
    <t>Station unstaffed: training, meeting, absence</t>
  </si>
  <si>
    <t>Other</t>
  </si>
  <si>
    <t>Anything else; say what in the countermeasure</t>
  </si>
  <si>
    <t>Date</t>
  </si>
  <si>
    <t>Available (min)</t>
  </si>
  <si>
    <t>Actual (units)</t>
  </si>
  <si>
    <t>Miss reason</t>
  </si>
  <si>
    <t>Takt (s)</t>
  </si>
  <si>
    <t>Target (units)</t>
  </si>
  <si>
    <t>Gap (units)</t>
  </si>
  <si>
    <t>Short (units)</t>
  </si>
  <si>
    <t>Attainment</t>
  </si>
  <si>
    <t>Hit</t>
  </si>
  <si>
    <t>Hour status</t>
  </si>
  <si>
    <t>Cum. target</t>
  </si>
  <si>
    <t>Cum. actual</t>
  </si>
  <si>
    <t>Cum. gap</t>
  </si>
  <si>
    <t>View date</t>
  </si>
  <si>
    <t>Check</t>
  </si>
  <si>
    <t>Countermeasure</t>
  </si>
  <si>
    <t>Example data for Calder Pump Assembly (fictional). Replace it with your own: select the example rows, right-click, Delete &gt; Table Rows. Yellow = you type; blue = calculated; Check names any problem.</t>
  </si>
  <si>
    <t>First-piece approval took 15 min</t>
  </si>
  <si>
    <t>Housings late from goods-in; kanban raised</t>
  </si>
  <si>
    <t>Station 3 press reset</t>
  </si>
  <si>
    <t>HOUR-BY-HOUR PRODUCTION BOARD</t>
  </si>
  <si>
    <t>SHIFT ATTAINMENT</t>
  </si>
  <si>
    <t>UNITS MADE</t>
  </si>
  <si>
    <t>HOURS ON TARGET</t>
  </si>
  <si>
    <t>UNITS SHORT</t>
  </si>
  <si>
    <t>Sum of each missed hour's shortfall</t>
  </si>
  <si>
    <t>Hour by hour</t>
  </si>
  <si>
    <t>Target</t>
  </si>
  <si>
    <t>Actual</t>
  </si>
  <si>
    <t>Gap</t>
  </si>
  <si>
    <t>Team leader (name, signature)</t>
  </si>
  <si>
    <t>Shift supervisor (name, signature)</t>
  </si>
  <si>
    <t>Handover to the next shift</t>
  </si>
  <si>
    <t>From</t>
  </si>
  <si>
    <t>To</t>
  </si>
  <si>
    <t>ATTAINMENT</t>
  </si>
  <si>
    <t>WEAKEST HOUR OF THE SHIFT</t>
  </si>
  <si>
    <t>Share of logged hours that reached the target</t>
  </si>
  <si>
    <t>Lowest attainment, see the hour chart</t>
  </si>
  <si>
    <t>UNITS AT TAKT</t>
  </si>
  <si>
    <t>HOURS LOGGED</t>
  </si>
  <si>
    <t>BIGGEST MISS REASON</t>
  </si>
  <si>
    <t>Good units in view</t>
  </si>
  <si>
    <t>Sum of the hourly targets</t>
  </si>
  <si>
    <t>Line-hours with a target</t>
  </si>
  <si>
    <t>Ranked by units short, see the Pareto</t>
  </si>
  <si>
    <t>By hour of the shift</t>
  </si>
  <si>
    <t>Hour of shift</t>
  </si>
  <si>
    <t>Hours on target</t>
  </si>
  <si>
    <t>Attainment target</t>
  </si>
  <si>
    <t>Daily summary (last 10 production days in view)</t>
  </si>
  <si>
    <t>By line</t>
  </si>
  <si>
    <t>Units short by miss reason (Pareto)</t>
  </si>
  <si>
    <t>Attain.</t>
  </si>
  <si>
    <t>Hrs on tgt</t>
  </si>
  <si>
    <t>Rank</t>
  </si>
  <si>
    <t>Units short</t>
  </si>
  <si>
    <t>Share</t>
  </si>
  <si>
    <t>Cumulative</t>
  </si>
  <si>
    <t>Helper: Miss reason (list order)</t>
  </si>
  <si>
    <t>Helper: value (-1 = unused slot)</t>
  </si>
  <si>
    <t>Helper: rank, ties by list order</t>
  </si>
  <si>
    <t>units</t>
  </si>
  <si>
    <t>%</t>
  </si>
  <si>
    <t>Total</t>
  </si>
  <si>
    <t>The Dashboard shows the 2 lines, 8 hour slots and 8 miss reasons of the Setup lists. If you add more, extend the 'By line', 'By hour of the shift' and Pareto blocks (see Method) or they will not appear here.</t>
  </si>
  <si>
    <t>What this workbook calculates</t>
  </si>
  <si>
    <t>One row per line per hour holds the minutes the line was planned to run in that hour and the good units it made. The product's takt time turns the minutes into the hour's target, so every hour is judged against the pace customer demand requires, not against a rate someone typed. Running totals show how far ahead or behind the shift is, and the miss reason on every short hour feeds the Pareto. Every roll-up adds the quantities first and divides last, so a 30-minute lunch hour weighs half as much as a full hour.</t>
  </si>
  <si>
    <t>Calculations</t>
  </si>
  <si>
    <t>Quantity</t>
  </si>
  <si>
    <t>How it is calculated</t>
  </si>
  <si>
    <t>Units</t>
  </si>
  <si>
    <t>Takt time</t>
  </si>
  <si>
    <t>Looked up from the Products list on Setup by product (INDEX/MATCH): available time / customer demand, in seconds per unit.</t>
  </si>
  <si>
    <t>s/unit</t>
  </si>
  <si>
    <t>INT(available minutes x 60 / takt): the whole units the hour should make at takt.</t>
  </si>
  <si>
    <t>Actual - target. Negative is units short.</t>
  </si>
  <si>
    <t>Short</t>
  </si>
  <si>
    <t>MAX(0, target - actual): the hour's shortfall, never negative.</t>
  </si>
  <si>
    <t>Actual / target. Over several rows: sum of actual / sum of target.</t>
  </si>
  <si>
    <t>1 when actual &gt;= target x the hourly attainment target on Setup, else 0. Hours on target = sum of hits / hours with a target.</t>
  </si>
  <si>
    <t>-</t>
  </si>
  <si>
    <t>On target at or above the attainment target, Near target within 5% below it, Below target otherwise.</t>
  </si>
  <si>
    <t>Cumulative target and actual</t>
  </si>
  <si>
    <t>SUMIFS of target and actual over the rows with the same date, shift and line and an hour up to this row's hour.</t>
  </si>
  <si>
    <t>Pareto</t>
  </si>
  <si>
    <t>Units short summed by miss reason, ranked by COUNTIF ranks with share and cumulative share. Hidden helper columns AO:AQ hold the unsorted values and ranks.</t>
  </si>
  <si>
    <t>units, %</t>
  </si>
  <si>
    <t>Dashboard roll-ups</t>
  </si>
  <si>
    <t>SUMIFS over the Hourly Board restricted to rows whose View date is filled in (inside the line and date filters).</t>
  </si>
  <si>
    <t>For the date, shift and line chosen on that sheet: SUMIFS of minutes, target and actual per hour and up to each hour; product, miss reason and countermeasure by INDEX at the matching row (SUMPRODUCT finds its position). Starts = the shift's start time on Setup + (hour - 1) / 24.</t>
  </si>
  <si>
    <t>Assumptions</t>
  </si>
  <si>
    <t>One product per line per hour. If a line changes product inside an hour, split the hour into two rows with their own minutes; the Check column will flag the duplicate hour, which you can then read as intended.</t>
  </si>
  <si>
    <t>Actual counts good units completed in the hour; scrap and rework are not counted.</t>
  </si>
  <si>
    <t>Available minutes are planned running time: breaks, meetings and planned clean-down come off, unplanned stops do not.</t>
  </si>
  <si>
    <t>Takt time is set per product. If demand changes, update the takt on Setup; past rows keep the targets they were logged against only if you copy them as values first.</t>
  </si>
  <si>
    <t>Limitations</t>
  </si>
  <si>
    <t>The target is rounded down to whole units, so a 50-minute hour at a 48-second takt is 62 units, not 62.5.</t>
  </si>
  <si>
    <t>Only one miss reason per hour, so the Pareto attributes each hour's whole shortfall to one reason.</t>
  </si>
  <si>
    <t>When an hour is split into two rows, the Daily Board adds their minutes and units but shows the product, reason and countermeasure of the later row.</t>
  </si>
  <si>
    <t>The Dashboard has fixed blocks for the number of lines, hour slots and reasons in the example lists; longer lists need the blocks extended (a warning appears on the Dashboard).</t>
  </si>
  <si>
    <t>The daily block shows the last 10 production days inside the filters.</t>
  </si>
  <si>
    <t>Agreement with the live calculator</t>
  </si>
  <si>
    <t>Takt time here is the live Takt Time calculator's number: available time x 60 / customer demand. For the calculator's example (a 480-minute shift with 45 minutes of breaks and planned stops and 950 units of demand) takt is 27.47 seconds and the required rate is 131.0 units an hour, so a full 60-minute hour on this board has a target of 131 units; both numbers are checked against the calculator's engine on every build. The calculator gives the pace; this workbook holds each hour to it and keeps the record.</t>
  </si>
  <si>
    <t>Open the Takt Time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</si>
  <si>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</si>
  <si>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</si>
  <si>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Lean Enterprise Institute, Lean Lexicon, 5th edition, 2014 (takt time; production analysis board).</t>
  </si>
  <si>
    <t>Rother, M. and Shook, J., Learning to See, Lean Enterprise Institute, 1999 (takt time from available time and customer demand).</t>
  </si>
  <si>
    <t>MFG Calcs Takt Time calculator (takt-time): available time x 60 / customer demand.</t>
  </si>
  <si>
    <t>Standards are cited by name so you can look them up; no copyrighted standard text or tables are reproduced. Statistical constants used are public.</t>
  </si>
  <si>
    <t>Version history</t>
  </si>
  <si>
    <t>Change</t>
  </si>
  <si>
    <t>1.0.0</t>
  </si>
  <si>
    <t>First release.</t>
  </si>
  <si>
    <t>24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</si>
  <si>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</si>
  <si>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</si>
  <si>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</si>
  <si>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</si>
  <si>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</si>
  <si>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</si>
  <si>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</si>
  <si>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</si>
  <si>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</si>
  <si>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short hour): target</t>
  </si>
  <si>
    <t>Row 1 (calculator example, short hour): gap</t>
  </si>
  <si>
    <t>Row 1 (calculator example, short hour): attainment</t>
  </si>
  <si>
    <t>Row 2 (50-minute hour, above target): target</t>
  </si>
  <si>
    <t>Row 2 (50-minute hour, above target): gap</t>
  </si>
  <si>
    <t>Row 2 (50-minute hour, above target): attainment</t>
  </si>
  <si>
    <t>Row 3 (short hour, no reason): target</t>
  </si>
  <si>
    <t>Row 3 (short hour, no reason): gap</t>
  </si>
  <si>
    <t>Row 3 (short hour, no reason): attainment</t>
  </si>
  <si>
    <t>Row 4 (line B, half hour): target</t>
  </si>
  <si>
    <t>Row 4 (line B, half hour): gap</t>
  </si>
  <si>
    <t>Row 4 (line B, half hour): attainment</t>
  </si>
  <si>
    <t>Row 1: status (95.4% against 100%)</t>
  </si>
  <si>
    <t>Near target</t>
  </si>
  <si>
    <t>exact</t>
  </si>
  <si>
    <t>Row 2: status (above target)</t>
  </si>
  <si>
    <t>On target</t>
  </si>
  <si>
    <t>Row 2: cumulative target (hours 1-2)</t>
  </si>
  <si>
    <t>Row 2: cumulative actual (hours 1-2)</t>
  </si>
  <si>
    <t>Row 3: cumulative gap (hours 1-3)</t>
  </si>
  <si>
    <t>Row 3: Check asks for the miss reason</t>
  </si>
  <si>
    <t>Give the miss reason</t>
  </si>
  <si>
    <t>Row 4: running total restarts for line B</t>
  </si>
  <si>
    <t>All rows: attainment (Dashboard formula)</t>
  </si>
  <si>
    <t>All rows: hours on target (Dashboard formula)</t>
  </si>
  <si>
    <t>All rows: units short (Dashboard formula)</t>
  </si>
  <si>
    <t>Fixed test inputs</t>
  </si>
  <si>
    <t>White cells are fixed test inputs; blue cells are the workbook's formulas evaluated on them.</t>
  </si>
  <si>
    <t>Parameters</t>
  </si>
  <si>
    <t>Filter: from (0 = no limit)</t>
  </si>
  <si>
    <t>Filter: to (2958465 = no limit)</t>
  </si>
  <si>
    <t>Filter: line (blank = all)</t>
  </si>
  <si>
    <t>Test table: Board</t>
  </si>
  <si>
    <t>S1</t>
  </si>
  <si>
    <t>A</t>
  </si>
  <si>
    <t>P1</t>
  </si>
  <si>
    <t>R1</t>
  </si>
  <si>
    <t>B</t>
  </si>
  <si>
    <t>P2</t>
  </si>
</sst>
</file>

<file path=xl/styles.xml><?xml version="1.0" encoding="utf-8"?>
<styleSheet xmlns="http://schemas.openxmlformats.org/spreadsheetml/2006/main">
  <numFmts count="8">
    <numFmt numFmtId="164" formatCode="0.0%"/>
    <numFmt numFmtId="165" formatCode="hh:mm"/>
    <numFmt numFmtId="166" formatCode="#,##0"/>
    <numFmt numFmtId="167" formatCode="#,##0.0"/>
    <numFmt numFmtId="168" formatCode="d mmm yyyy"/>
    <numFmt numFmtId="169" formatCode="&quot;Target &quot;0.0%"/>
    <numFmt numFmtId="170" formatCode="ddd d mmm"/>
    <numFmt numFmtId="171" formatCode="0.0E+00"/>
  </numFmts>
  <fonts count="26">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20"/>
      <color rgb="FF14386C"/>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2">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right/>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9" fillId="7" borderId="2" xfId="0" applyFont="1" applyFill="1" applyBorder="1" applyAlignment="1">
      <alignment vertical="center" wrapText="1"/>
    </xf>
    <xf numFmtId="168"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8"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0" fontId="21" fillId="0" borderId="0" xfId="0" applyFont="1" applyAlignment="1">
      <alignment horizontal="right" vertical="center"/>
    </xf>
    <xf numFmtId="0" fontId="9" fillId="0" borderId="0" xfId="0" applyFont="1" applyAlignment="1">
      <alignment horizontal="right" vertical="center"/>
    </xf>
    <xf numFmtId="168" fontId="10" fillId="3" borderId="2" xfId="0" applyNumberFormat="1" applyFont="1" applyFill="1" applyBorder="1" applyAlignment="1" applyProtection="1">
      <alignment horizontal="left" vertical="center"/>
      <protection locked="0"/>
    </xf>
    <xf numFmtId="0" fontId="22" fillId="0" borderId="0" xfId="0" applyFont="1" applyAlignment="1">
      <alignment vertical="center"/>
    </xf>
    <xf numFmtId="0" fontId="23"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9" fontId="24" fillId="9" borderId="7" xfId="0" applyNumberFormat="1" applyFont="1" applyFill="1" applyBorder="1" applyAlignment="1">
      <alignment horizontal="left" vertical="center"/>
    </xf>
    <xf numFmtId="0" fontId="24" fillId="9" borderId="7" xfId="0" applyFont="1" applyFill="1" applyBorder="1" applyAlignment="1">
      <alignment vertical="center"/>
    </xf>
    <xf numFmtId="0" fontId="23"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vertical="center"/>
    </xf>
    <xf numFmtId="0" fontId="23" fillId="0" borderId="0" xfId="0" applyFont="1" applyAlignment="1"/>
    <xf numFmtId="0" fontId="10" fillId="0" borderId="10" xfId="0" applyFont="1" applyBorder="1" applyAlignment="1">
      <alignment vertical="center"/>
    </xf>
    <xf numFmtId="0" fontId="25" fillId="9" borderId="7" xfId="0" applyFont="1" applyFill="1" applyBorder="1" applyAlignment="1">
      <alignment horizontal="left" vertical="center"/>
    </xf>
    <xf numFmtId="164" fontId="10" fillId="0" borderId="9" xfId="0" applyNumberFormat="1" applyFont="1" applyBorder="1" applyAlignment="1">
      <alignment vertical="center"/>
    </xf>
    <xf numFmtId="170" fontId="9" fillId="0" borderId="9" xfId="0" applyNumberFormat="1" applyFont="1" applyBorder="1" applyAlignment="1">
      <alignment vertical="center"/>
    </xf>
    <xf numFmtId="0" fontId="22" fillId="0" borderId="0" xfId="0" applyFont="1" applyAlignment="1">
      <alignment horizontal="center" vertical="center"/>
    </xf>
    <xf numFmtId="166" fontId="9" fillId="0" borderId="9" xfId="0" applyNumberFormat="1" applyFont="1" applyBorder="1" applyAlignment="1">
      <alignment horizontal="center" vertical="center"/>
    </xf>
    <xf numFmtId="166" fontId="10" fillId="0" borderId="0" xfId="0" applyNumberFormat="1" applyFont="1" applyAlignment="1">
      <alignment vertical="center"/>
    </xf>
    <xf numFmtId="0" fontId="9" fillId="4" borderId="11" xfId="0" applyFont="1" applyFill="1" applyBorder="1" applyAlignment="1">
      <alignment vertical="center"/>
    </xf>
    <xf numFmtId="166" fontId="9" fillId="4" borderId="11"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8"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Units each hour: target vs actual</a:t>
            </a:r>
          </a:p>
        </c:rich>
      </c:tx>
      <c:layout/>
    </c:title>
    <c:plotArea>
      <c:layout/>
      <c:barChart>
        <c:barDir val="col"/>
        <c:grouping val="clustered"/>
        <c:ser>
          <c:idx val="0"/>
          <c:order val="0"/>
          <c:tx>
            <c:v>Target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'Daily Board'!$C$17:$C$24</c:f>
              <c:numCache>
                <c:formatCode>General</c:formatCode>
                <c:ptCount val="8"/>
                <c:pt idx="0">
                  <c:v>0.25</c:v>
                </c:pt>
                <c:pt idx="1">
                  <c:v>0.291666666666667</c:v>
                </c:pt>
                <c:pt idx="2">
                  <c:v>0.333333333333333</c:v>
                </c:pt>
                <c:pt idx="3">
                  <c:v>0.375</c:v>
                </c:pt>
                <c:pt idx="4">
                  <c:v>0.416666666666667</c:v>
                </c:pt>
                <c:pt idx="5">
                  <c:v>0.458333333333333</c:v>
                </c:pt>
                <c:pt idx="6">
                  <c:v>0.5</c:v>
                </c:pt>
                <c:pt idx="7">
                  <c:v>0.541666666666667</c:v>
                </c:pt>
              </c:numCache>
            </c:numRef>
          </c:cat>
          <c:val>
            <c:numRef>
              <c:f>'Daily Board'!$G$17:$G$24</c:f>
              <c:numCache>
                <c:formatCode>General</c:formatCode>
                <c:ptCount val="8"/>
                <c:pt idx="0">
                  <c:v>120</c:v>
                </c:pt>
                <c:pt idx="1">
                  <c:v>120</c:v>
                </c:pt>
                <c:pt idx="2">
                  <c:v>100</c:v>
                </c:pt>
                <c:pt idx="3">
                  <c:v>120</c:v>
                </c:pt>
                <c:pt idx="4">
                  <c:v>60</c:v>
                </c:pt>
                <c:pt idx="5">
                  <c:v>120</c:v>
                </c:pt>
                <c:pt idx="6">
                  <c:v>100</c:v>
                </c:pt>
                <c:pt idx="7">
                  <c:v>100</c:v>
                </c:pt>
              </c:numCache>
            </c:numRef>
          </c:val>
        </c:ser>
        <c:ser>
          <c:idx val="1"/>
          <c:order val="1"/>
          <c:tx>
            <c:v>Actual</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'Daily Board'!$C$17:$C$24</c:f>
              <c:numCache>
                <c:formatCode>General</c:formatCode>
                <c:ptCount val="8"/>
                <c:pt idx="0">
                  <c:v>0.25</c:v>
                </c:pt>
                <c:pt idx="1">
                  <c:v>0.291666666666667</c:v>
                </c:pt>
                <c:pt idx="2">
                  <c:v>0.333333333333333</c:v>
                </c:pt>
                <c:pt idx="3">
                  <c:v>0.375</c:v>
                </c:pt>
                <c:pt idx="4">
                  <c:v>0.416666666666667</c:v>
                </c:pt>
                <c:pt idx="5">
                  <c:v>0.458333333333333</c:v>
                </c:pt>
                <c:pt idx="6">
                  <c:v>0.5</c:v>
                </c:pt>
                <c:pt idx="7">
                  <c:v>0.541666666666667</c:v>
                </c:pt>
              </c:numCache>
            </c:numRef>
          </c:cat>
          <c:val>
            <c:numRef>
              <c:f>'Daily Board'!$H$17:$H$24</c:f>
              <c:numCache>
                <c:formatCode>General</c:formatCode>
                <c:ptCount val="8"/>
                <c:pt idx="0">
                  <c:v>104</c:v>
                </c:pt>
                <c:pt idx="1">
                  <c:v>127</c:v>
                </c:pt>
                <c:pt idx="2">
                  <c:v>51</c:v>
                </c:pt>
                <c:pt idx="3">
                  <c:v>125</c:v>
                </c:pt>
                <c:pt idx="4">
                  <c:v>61</c:v>
                </c:pt>
                <c:pt idx="5">
                  <c:v>114</c:v>
                </c:pt>
                <c:pt idx="6">
                  <c:v>102</c:v>
                </c:pt>
                <c:pt idx="7">
                  <c:v>103</c:v>
                </c:pt>
              </c:numCache>
            </c:numRef>
          </c:val>
        </c:ser>
        <c:gapWidth val="80"/>
        <c:overlap val="-10"/>
        <c:axId val="50010001"/>
        <c:axId val="50010002"/>
      </c:barChart>
      <c:catAx>
        <c:axId val="50010001"/>
        <c:scaling>
          <c:orientation val="minMax"/>
        </c:scaling>
        <c:axPos val="b"/>
        <c:numFmt formatCode="hh: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Running total: plan vs actual</a:t>
            </a:r>
          </a:p>
        </c:rich>
      </c:tx>
      <c:layout/>
    </c:title>
    <c:plotArea>
      <c:layout/>
      <c:lineChart>
        <c:grouping val="standard"/>
        <c:ser>
          <c:idx val="0"/>
          <c:order val="0"/>
          <c:tx>
            <c:v>Cumulative target</c:v>
          </c:tx>
          <c:spPr>
            <a:ln w="19050">
              <a:solidFill>
                <a:srgbClr val="4A5361"/>
              </a:solidFill>
              <a:prstDash val="dash"/>
            </a:ln>
          </c:spPr>
          <c:marker>
            <c:symbol val="none"/>
          </c:marker>
          <c:cat>
            <c:numRef>
              <c:f>'Daily Board'!$C$17:$C$24</c:f>
              <c:numCache>
                <c:formatCode>General</c:formatCode>
                <c:ptCount val="8"/>
                <c:pt idx="0">
                  <c:v>0.25</c:v>
                </c:pt>
                <c:pt idx="1">
                  <c:v>0.291666666666667</c:v>
                </c:pt>
                <c:pt idx="2">
                  <c:v>0.333333333333333</c:v>
                </c:pt>
                <c:pt idx="3">
                  <c:v>0.375</c:v>
                </c:pt>
                <c:pt idx="4">
                  <c:v>0.416666666666667</c:v>
                </c:pt>
                <c:pt idx="5">
                  <c:v>0.458333333333333</c:v>
                </c:pt>
                <c:pt idx="6">
                  <c:v>0.5</c:v>
                </c:pt>
                <c:pt idx="7">
                  <c:v>0.541666666666667</c:v>
                </c:pt>
              </c:numCache>
            </c:numRef>
          </c:cat>
          <c:val>
            <c:numRef>
              <c:f>'Daily Board'!$J$17:$J$24</c:f>
              <c:numCache>
                <c:formatCode>General</c:formatCode>
                <c:ptCount val="8"/>
                <c:pt idx="0">
                  <c:v>120</c:v>
                </c:pt>
                <c:pt idx="1">
                  <c:v>240</c:v>
                </c:pt>
                <c:pt idx="2">
                  <c:v>340</c:v>
                </c:pt>
                <c:pt idx="3">
                  <c:v>460</c:v>
                </c:pt>
                <c:pt idx="4">
                  <c:v>520</c:v>
                </c:pt>
                <c:pt idx="5">
                  <c:v>640</c:v>
                </c:pt>
                <c:pt idx="6">
                  <c:v>740</c:v>
                </c:pt>
                <c:pt idx="7">
                  <c:v>840</c:v>
                </c:pt>
              </c:numCache>
            </c:numRef>
          </c:val>
        </c:ser>
        <c:ser>
          <c:idx val="1"/>
          <c:order val="1"/>
          <c:tx>
            <c:v>Cumulative actual</c:v>
          </c:tx>
          <c:spPr>
            <a:ln w="28575">
              <a:solidFill>
                <a:srgbClr val="3B64D8"/>
              </a:solidFill>
            </a:ln>
          </c:spPr>
          <c:marker>
            <c:symbol val="circle"/>
            <c:size val="5"/>
            <c:spPr>
              <a:solidFill>
                <a:srgbClr val="3B64D8"/>
              </a:solidFill>
              <a:ln>
                <a:solidFill>
                  <a:srgbClr val="3B64D8"/>
                </a:solidFill>
              </a:ln>
            </c:spPr>
          </c:marker>
          <c:cat>
            <c:numRef>
              <c:f>'Daily Board'!$C$17:$C$24</c:f>
              <c:numCache>
                <c:formatCode>General</c:formatCode>
                <c:ptCount val="8"/>
                <c:pt idx="0">
                  <c:v>0.25</c:v>
                </c:pt>
                <c:pt idx="1">
                  <c:v>0.291666666666667</c:v>
                </c:pt>
                <c:pt idx="2">
                  <c:v>0.333333333333333</c:v>
                </c:pt>
                <c:pt idx="3">
                  <c:v>0.375</c:v>
                </c:pt>
                <c:pt idx="4">
                  <c:v>0.416666666666667</c:v>
                </c:pt>
                <c:pt idx="5">
                  <c:v>0.458333333333333</c:v>
                </c:pt>
                <c:pt idx="6">
                  <c:v>0.5</c:v>
                </c:pt>
                <c:pt idx="7">
                  <c:v>0.541666666666667</c:v>
                </c:pt>
              </c:numCache>
            </c:numRef>
          </c:cat>
          <c:val>
            <c:numRef>
              <c:f>'Daily Board'!$K$17:$K$24</c:f>
              <c:numCache>
                <c:formatCode>General</c:formatCode>
                <c:ptCount val="8"/>
                <c:pt idx="0">
                  <c:v>104</c:v>
                </c:pt>
                <c:pt idx="1">
                  <c:v>231</c:v>
                </c:pt>
                <c:pt idx="2">
                  <c:v>282</c:v>
                </c:pt>
                <c:pt idx="3">
                  <c:v>407</c:v>
                </c:pt>
                <c:pt idx="4">
                  <c:v>468</c:v>
                </c:pt>
                <c:pt idx="5">
                  <c:v>582</c:v>
                </c:pt>
                <c:pt idx="6">
                  <c:v>684</c:v>
                </c:pt>
                <c:pt idx="7">
                  <c:v>787</c:v>
                </c:pt>
              </c:numCache>
            </c:numRef>
          </c:val>
        </c:ser>
        <c:marker val="1"/>
        <c:axId val="50020001"/>
        <c:axId val="50020002"/>
      </c:lineChart>
      <c:catAx>
        <c:axId val="50020001"/>
        <c:scaling>
          <c:orientation val="minMax"/>
        </c:scaling>
        <c:axPos val="b"/>
        <c:numFmt formatCode="hh: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Attainment by hour of the shift</a:t>
            </a:r>
          </a:p>
        </c:rich>
      </c:tx>
      <c:layout/>
    </c:title>
    <c:plotArea>
      <c:layout/>
      <c:barChart>
        <c:barDir val="col"/>
        <c:grouping val="clustered"/>
        <c:ser>
          <c:idx val="0"/>
          <c:order val="0"/>
          <c:tx>
            <c:v>Attainment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Dashboard!$B$53:$B$60</c:f>
              <c:numCache>
                <c:formatCode>General</c:formatCode>
                <c:ptCount val="8"/>
                <c:pt idx="0">
                  <c:v>1</c:v>
                </c:pt>
                <c:pt idx="1">
                  <c:v>2</c:v>
                </c:pt>
                <c:pt idx="2">
                  <c:v>3</c:v>
                </c:pt>
                <c:pt idx="3">
                  <c:v>4</c:v>
                </c:pt>
                <c:pt idx="4">
                  <c:v>5</c:v>
                </c:pt>
                <c:pt idx="5">
                  <c:v>6</c:v>
                </c:pt>
                <c:pt idx="6">
                  <c:v>7</c:v>
                </c:pt>
                <c:pt idx="7">
                  <c:v>8</c:v>
                </c:pt>
              </c:numCache>
            </c:numRef>
          </c:cat>
          <c:val>
            <c:numRef>
              <c:f>Dashboard!$F$53:$F$60</c:f>
              <c:numCache>
                <c:formatCode>General</c:formatCode>
                <c:ptCount val="8"/>
                <c:pt idx="0">
                  <c:v>0.877179487179487</c:v>
                </c:pt>
                <c:pt idx="1">
                  <c:v>0.983589743589744</c:v>
                </c:pt>
                <c:pt idx="2">
                  <c:v>0.916152897657213</c:v>
                </c:pt>
                <c:pt idx="3">
                  <c:v>0.975641025641026</c:v>
                </c:pt>
                <c:pt idx="4">
                  <c:v>1.00205761316872</c:v>
                </c:pt>
                <c:pt idx="5">
                  <c:v>0.935897435897436</c:v>
                </c:pt>
                <c:pt idx="6">
                  <c:v>0.989827373612824</c:v>
                </c:pt>
                <c:pt idx="7">
                  <c:v>0.997533908754624</c:v>
                </c:pt>
              </c:numCache>
            </c:numRef>
          </c:val>
        </c:ser>
        <c:gapWidth val="60"/>
        <c:overlap val="-10"/>
        <c:axId val="50030001"/>
        <c:axId val="50030002"/>
      </c:barChart>
      <c:lineChart>
        <c:grouping val="standard"/>
        <c:ser>
          <c:idx val="1"/>
          <c:order val="1"/>
          <c:tx>
            <c:v>Target</c:v>
          </c:tx>
          <c:spPr>
            <a:ln w="19050">
              <a:solidFill>
                <a:srgbClr val="4A5361"/>
              </a:solidFill>
              <a:prstDash val="dash"/>
            </a:ln>
          </c:spPr>
          <c:marker>
            <c:symbol val="none"/>
          </c:marker>
          <c:cat>
            <c:numRef>
              <c:f>Dashboard!$B$53:$B$60</c:f>
              <c:numCache>
                <c:formatCode>General</c:formatCode>
                <c:ptCount val="8"/>
                <c:pt idx="0">
                  <c:v>1</c:v>
                </c:pt>
                <c:pt idx="1">
                  <c:v>2</c:v>
                </c:pt>
                <c:pt idx="2">
                  <c:v>3</c:v>
                </c:pt>
                <c:pt idx="3">
                  <c:v>4</c:v>
                </c:pt>
                <c:pt idx="4">
                  <c:v>5</c:v>
                </c:pt>
                <c:pt idx="5">
                  <c:v>6</c:v>
                </c:pt>
                <c:pt idx="6">
                  <c:v>7</c:v>
                </c:pt>
                <c:pt idx="7">
                  <c:v>8</c:v>
                </c:pt>
              </c:numCache>
            </c:numRef>
          </c:cat>
          <c:val>
            <c:numRef>
              <c:f>Dashboard!$H$53:$H$60</c:f>
              <c:numCache>
                <c:formatCode>General</c:formatCode>
                <c:ptCount val="8"/>
                <c:pt idx="0">
                  <c:v>1</c:v>
                </c:pt>
                <c:pt idx="1">
                  <c:v>1</c:v>
                </c:pt>
                <c:pt idx="2">
                  <c:v>1</c:v>
                </c:pt>
                <c:pt idx="3">
                  <c:v>1</c:v>
                </c:pt>
                <c:pt idx="4">
                  <c:v>1</c:v>
                </c:pt>
                <c:pt idx="5">
                  <c:v>1</c:v>
                </c:pt>
                <c:pt idx="6">
                  <c:v>1</c:v>
                </c:pt>
                <c:pt idx="7">
                  <c:v>1</c:v>
                </c:pt>
              </c:numCache>
            </c:numRef>
          </c:val>
        </c:ser>
        <c:marker val="1"/>
        <c:axId val="50030001"/>
        <c:axId val="50030002"/>
      </c:lineChart>
      <c:catAx>
        <c:axId val="5003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ax val="1.2"/>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Attainment by day</a:t>
            </a:r>
          </a:p>
        </c:rich>
      </c:tx>
      <c:layout/>
    </c:title>
    <c:plotArea>
      <c:layout/>
      <c:barChart>
        <c:barDir val="col"/>
        <c:grouping val="clustered"/>
        <c:ser>
          <c:idx val="0"/>
          <c:order val="0"/>
          <c:tx>
            <c:v>Attainment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Dashboard!$B$64:$B$73</c:f>
              <c:numCache>
                <c:formatCode>General</c:formatCode>
                <c:ptCount val="10"/>
                <c:pt idx="0">
                  <c:v>46300</c:v>
                </c:pt>
                <c:pt idx="1">
                  <c:v>46301</c:v>
                </c:pt>
                <c:pt idx="2">
                  <c:v>46302</c:v>
                </c:pt>
                <c:pt idx="3">
                  <c:v>46303</c:v>
                </c:pt>
                <c:pt idx="4">
                  <c:v>46304</c:v>
                </c:pt>
                <c:pt idx="5">
                  <c:v>46307</c:v>
                </c:pt>
                <c:pt idx="6">
                  <c:v>46308</c:v>
                </c:pt>
                <c:pt idx="7">
                  <c:v>46309</c:v>
                </c:pt>
                <c:pt idx="8">
                  <c:v>46310</c:v>
                </c:pt>
                <c:pt idx="9">
                  <c:v>46311</c:v>
                </c:pt>
              </c:numCache>
            </c:numRef>
          </c:cat>
          <c:val>
            <c:numRef>
              <c:f>Dashboard!$F$64:$F$73</c:f>
              <c:numCache>
                <c:formatCode>General</c:formatCode>
                <c:ptCount val="10"/>
                <c:pt idx="0">
                  <c:v>0.933673469387755</c:v>
                </c:pt>
                <c:pt idx="1">
                  <c:v>0.955524179315214</c:v>
                </c:pt>
                <c:pt idx="2">
                  <c:v>0.959670424978317</c:v>
                </c:pt>
                <c:pt idx="3">
                  <c:v>0.961848862802641</c:v>
                </c:pt>
                <c:pt idx="4">
                  <c:v>0.95386961494472</c:v>
                </c:pt>
                <c:pt idx="5">
                  <c:v>0.975170068027211</c:v>
                </c:pt>
                <c:pt idx="6">
                  <c:v>0.940816326530612</c:v>
                </c:pt>
                <c:pt idx="7">
                  <c:v>0.963683052090976</c:v>
                </c:pt>
                <c:pt idx="8">
                  <c:v>0.957869634340223</c:v>
                </c:pt>
                <c:pt idx="9">
                  <c:v>0.961115187087307</c:v>
                </c:pt>
              </c:numCache>
            </c:numRef>
          </c:val>
        </c:ser>
        <c:gapWidth val="60"/>
        <c:overlap val="-10"/>
        <c:axId val="50040001"/>
        <c:axId val="50040002"/>
      </c:barChart>
      <c:lineChart>
        <c:grouping val="standard"/>
        <c:ser>
          <c:idx val="1"/>
          <c:order val="1"/>
          <c:tx>
            <c:v>Target</c:v>
          </c:tx>
          <c:spPr>
            <a:ln w="19050">
              <a:solidFill>
                <a:srgbClr val="4A5361"/>
              </a:solidFill>
              <a:prstDash val="dash"/>
            </a:ln>
          </c:spPr>
          <c:marker>
            <c:symbol val="none"/>
          </c:marker>
          <c:cat>
            <c:numRef>
              <c:f>Dashboard!$B$64:$B$73</c:f>
              <c:numCache>
                <c:formatCode>General</c:formatCode>
                <c:ptCount val="10"/>
                <c:pt idx="0">
                  <c:v>46300</c:v>
                </c:pt>
                <c:pt idx="1">
                  <c:v>46301</c:v>
                </c:pt>
                <c:pt idx="2">
                  <c:v>46302</c:v>
                </c:pt>
                <c:pt idx="3">
                  <c:v>46303</c:v>
                </c:pt>
                <c:pt idx="4">
                  <c:v>46304</c:v>
                </c:pt>
                <c:pt idx="5">
                  <c:v>46307</c:v>
                </c:pt>
                <c:pt idx="6">
                  <c:v>46308</c:v>
                </c:pt>
                <c:pt idx="7">
                  <c:v>46309</c:v>
                </c:pt>
                <c:pt idx="8">
                  <c:v>46310</c:v>
                </c:pt>
                <c:pt idx="9">
                  <c:v>46311</c:v>
                </c:pt>
              </c:numCache>
            </c:numRef>
          </c:cat>
          <c:val>
            <c:numRef>
              <c:f>Dashboard!$G$64:$G$73</c:f>
              <c:numCache>
                <c:formatCode>General</c:formatCode>
                <c:ptCount val="10"/>
                <c:pt idx="0">
                  <c:v>1</c:v>
                </c:pt>
                <c:pt idx="1">
                  <c:v>1</c:v>
                </c:pt>
                <c:pt idx="2">
                  <c:v>1</c:v>
                </c:pt>
                <c:pt idx="3">
                  <c:v>1</c:v>
                </c:pt>
                <c:pt idx="4">
                  <c:v>1</c:v>
                </c:pt>
                <c:pt idx="5">
                  <c:v>1</c:v>
                </c:pt>
                <c:pt idx="6">
                  <c:v>1</c:v>
                </c:pt>
                <c:pt idx="7">
                  <c:v>1</c:v>
                </c:pt>
                <c:pt idx="8">
                  <c:v>1</c:v>
                </c:pt>
                <c:pt idx="9">
                  <c:v>1</c:v>
                </c:pt>
              </c:numCache>
            </c:numRef>
          </c:val>
        </c:ser>
        <c:marker val="1"/>
        <c:axId val="50040001"/>
        <c:axId val="50040002"/>
      </c:lineChart>
      <c:catAx>
        <c:axId val="5004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ax val="1.2"/>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Units short Pareto</a:t>
            </a:r>
          </a:p>
        </c:rich>
      </c:tx>
      <c:layout/>
    </c:title>
    <c:plotArea>
      <c:layout/>
      <c:barChart>
        <c:barDir val="col"/>
        <c:grouping val="clustered"/>
        <c:ser>
          <c:idx val="0"/>
          <c:order val="0"/>
          <c:tx>
            <c:v>Units short</c:v>
          </c:tx>
          <c:spPr>
            <a:solidFill>
              <a:srgbClr val="3B64D8"/>
            </a:solidFill>
            <a:ln w="9525">
              <a:solidFill>
                <a:srgbClr val="FFFFFF"/>
              </a:solidFill>
            </a:ln>
          </c:spPr>
          <c:cat>
            <c:strRef>
              <c:f>Dashboard!$H$78:$H$85</c:f>
              <c:strCache>
                <c:ptCount val="8"/>
                <c:pt idx="0">
                  <c:v>Material shortage</c:v>
                </c:pt>
                <c:pt idx="1">
                  <c:v>Start-up</c:v>
                </c:pt>
                <c:pt idx="2">
                  <c:v>Minor stops</c:v>
                </c:pt>
                <c:pt idx="3">
                  <c:v>Quality check</c:v>
                </c:pt>
                <c:pt idx="4">
                  <c:v>Operator away</c:v>
                </c:pt>
                <c:pt idx="5">
                  <c:v>Machine fault</c:v>
                </c:pt>
                <c:pt idx="6">
                  <c:v>Other</c:v>
                </c:pt>
                <c:pt idx="7">
                  <c:v>Changeover</c:v>
                </c:pt>
              </c:strCache>
            </c:strRef>
          </c:cat>
          <c:val>
            <c:numRef>
              <c:f>Dashboard!$J$78:$J$85</c:f>
              <c:numCache>
                <c:formatCode>General</c:formatCode>
                <c:ptCount val="8"/>
                <c:pt idx="0">
                  <c:v>546</c:v>
                </c:pt>
                <c:pt idx="1">
                  <c:v>479</c:v>
                </c:pt>
                <c:pt idx="2">
                  <c:v>224</c:v>
                </c:pt>
                <c:pt idx="3">
                  <c:v>83</c:v>
                </c:pt>
                <c:pt idx="4">
                  <c:v>65</c:v>
                </c:pt>
                <c:pt idx="5">
                  <c:v>51</c:v>
                </c:pt>
                <c:pt idx="6">
                  <c:v>26</c:v>
                </c:pt>
                <c:pt idx="7">
                  <c:v>0</c:v>
                </c:pt>
              </c:numCache>
            </c:numRef>
          </c:val>
        </c:ser>
        <c:gapWidth val="40"/>
        <c:axId val="50050001"/>
        <c:axId val="5005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Dashboard!$H$78:$H$85</c:f>
              <c:strCache>
                <c:ptCount val="8"/>
                <c:pt idx="0">
                  <c:v>Material shortage</c:v>
                </c:pt>
                <c:pt idx="1">
                  <c:v>Start-up</c:v>
                </c:pt>
                <c:pt idx="2">
                  <c:v>Minor stops</c:v>
                </c:pt>
                <c:pt idx="3">
                  <c:v>Quality check</c:v>
                </c:pt>
                <c:pt idx="4">
                  <c:v>Operator away</c:v>
                </c:pt>
                <c:pt idx="5">
                  <c:v>Machine fault</c:v>
                </c:pt>
                <c:pt idx="6">
                  <c:v>Other</c:v>
                </c:pt>
                <c:pt idx="7">
                  <c:v>Changeover</c:v>
                </c:pt>
              </c:strCache>
            </c:strRef>
          </c:cat>
          <c:val>
            <c:numRef>
              <c:f>Dashboard!$L$78:$L$85</c:f>
              <c:numCache>
                <c:formatCode>General</c:formatCode>
                <c:ptCount val="8"/>
                <c:pt idx="0">
                  <c:v>0.370420624151967</c:v>
                </c:pt>
                <c:pt idx="1">
                  <c:v>0.695386702849389</c:v>
                </c:pt>
                <c:pt idx="2">
                  <c:v>0.847354138398915</c:v>
                </c:pt>
                <c:pt idx="3">
                  <c:v>0.903663500678426</c:v>
                </c:pt>
                <c:pt idx="4">
                  <c:v>0.947761194029851</c:v>
                </c:pt>
                <c:pt idx="5">
                  <c:v>0.98236092265943</c:v>
                </c:pt>
                <c:pt idx="6">
                  <c:v>1</c:v>
                </c:pt>
                <c:pt idx="7">
                  <c:v>1</c:v>
                </c:pt>
              </c:numCache>
            </c:numRef>
          </c:val>
        </c:ser>
        <c:marker val="1"/>
        <c:axId val="60050001"/>
        <c:axId val="60050002"/>
      </c:lineChart>
      <c:catAx>
        <c:axId val="5005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50002"/>
        <c:crosses val="autoZero"/>
        <c:lblAlgn val="ctr"/>
        <c:lblOffset val="100"/>
      </c:catAx>
      <c:valAx>
        <c:axId val="5005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50001"/>
        <c:crosses val="autoZero"/>
        <c:crossBetween val="between"/>
      </c:valAx>
      <c:valAx>
        <c:axId val="6005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50001"/>
        <c:crosses val="max"/>
        <c:crossBetween val="between"/>
        <c:majorUnit val="0.2"/>
      </c:valAx>
      <c:catAx>
        <c:axId val="60050001"/>
        <c:scaling>
          <c:orientation val="minMax"/>
        </c:scaling>
        <c:delete val="1"/>
        <c:axPos val="b"/>
        <c:tickLblPos val="none"/>
        <c:crossAx val="6005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Target vs actual by line</a:t>
            </a:r>
          </a:p>
        </c:rich>
      </c:tx>
      <c:layout/>
    </c:title>
    <c:plotArea>
      <c:layout/>
      <c:barChart>
        <c:barDir val="col"/>
        <c:grouping val="clustered"/>
        <c:ser>
          <c:idx val="0"/>
          <c:order val="0"/>
          <c:tx>
            <c:v>Target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Dashboard!$B$77:$B$78</c:f>
              <c:strCache>
                <c:ptCount val="2"/>
                <c:pt idx="0">
                  <c:v>A1</c:v>
                </c:pt>
                <c:pt idx="1">
                  <c:v>A2</c:v>
                </c:pt>
              </c:strCache>
            </c:strRef>
          </c:cat>
          <c:val>
            <c:numRef>
              <c:f>Dashboard!$C$77:$C$78</c:f>
              <c:numCache>
                <c:formatCode>General</c:formatCode>
                <c:ptCount val="2"/>
                <c:pt idx="0">
                  <c:v>11744</c:v>
                </c:pt>
                <c:pt idx="1">
                  <c:v>15532</c:v>
                </c:pt>
              </c:numCache>
            </c:numRef>
          </c:val>
        </c:ser>
        <c:ser>
          <c:idx val="1"/>
          <c:order val="1"/>
          <c:tx>
            <c:v>Actual</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Dashboard!$B$77:$B$78</c:f>
              <c:strCache>
                <c:ptCount val="2"/>
                <c:pt idx="0">
                  <c:v>A1</c:v>
                </c:pt>
                <c:pt idx="1">
                  <c:v>A2</c:v>
                </c:pt>
              </c:strCache>
            </c:strRef>
          </c:cat>
          <c:val>
            <c:numRef>
              <c:f>Dashboard!$D$77:$D$78</c:f>
              <c:numCache>
                <c:formatCode>General</c:formatCode>
                <c:ptCount val="2"/>
                <c:pt idx="0">
                  <c:v>11422</c:v>
                </c:pt>
                <c:pt idx="1">
                  <c:v>14657</c:v>
                </c:pt>
              </c:numCache>
            </c:numRef>
          </c:val>
        </c:ser>
        <c:gapWidth val="80"/>
        <c:overlap val="-10"/>
        <c:axId val="50060001"/>
        <c:axId val="50060002"/>
      </c:barChart>
      <c:catAx>
        <c:axId val="5006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60002"/>
        <c:crosses val="autoZero"/>
        <c:lblAlgn val="ctr"/>
        <c:lblOffset val="100"/>
      </c:catAx>
      <c:valAx>
        <c:axId val="5006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6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Relationship Id="rId3" Type="http://schemas.openxmlformats.org/officeDocument/2006/relationships/chart" Target="../charts/chart5.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25</xdr:row>
      <xdr:rowOff>38100</xdr:rowOff>
    </xdr:from>
    <xdr:to>
      <xdr:col>8</xdr:col>
      <xdr:colOff>447675</xdr:colOff>
      <xdr:row>37</xdr:row>
      <xdr:rowOff>152400</xdr:rowOff>
    </xdr:to>
    <xdr:graphicFrame macro="">
      <xdr:nvGraphicFramePr>
        <xdr:cNvPr id="2" name="Chart 1" descr="Clustered column chart of the takt target and the good units made in each hour of the chosen shift, by the hour's start ti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38100</xdr:colOff>
      <xdr:row>25</xdr:row>
      <xdr:rowOff>38100</xdr:rowOff>
    </xdr:from>
    <xdr:to>
      <xdr:col>17</xdr:col>
      <xdr:colOff>876300</xdr:colOff>
      <xdr:row>37</xdr:row>
      <xdr:rowOff>152400</xdr:rowOff>
    </xdr:to>
    <xdr:graphicFrame macro="">
      <xdr:nvGraphicFramePr>
        <xdr:cNvPr id="3" name="Chart 2" descr="Line chart of the cumulative takt target and the cumulative units made from hour 1 to the end of the chosen shift, by the hour's start ti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attainment (units made over the takt target) for each hour of the shift over the dates in view, with the hourly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daily attainment for the last ten production days in view, with the hourly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Pareto chart of units short by miss reason, largest first, with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Clustered column chart of units at takt and units made for each line over the dates in vie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Lines" displayName="tblLines" ref="B15:D17" totalsRowShown="0">
  <autoFilter ref="B15:D17"/>
  <tableColumns count="3">
    <tableColumn id="1" name="Line"/>
    <tableColumn id="2" name="Area"/>
    <tableColumn id="3" name="Description"/>
  </tableColumns>
  <tableStyleInfo name="TableStyleLight1" showFirstColumn="0" showLastColumn="0" showRowStripes="0" showColumnStripes="0"/>
</table>
</file>

<file path=xl/tables/table2.xml><?xml version="1.0" encoding="utf-8"?>
<table xmlns="http://schemas.openxmlformats.org/spreadsheetml/2006/main" id="2" name="tblShiftList" displayName="tblShiftList" ref="B20:D22" totalsRowShown="0">
  <autoFilter ref="B20:D22"/>
  <tableColumns count="3">
    <tableColumn id="1" name="Shift"/>
    <tableColumn id="2" name="Starts"/>
    <tableColumn id="3" name="Notes"/>
  </tableColumns>
  <tableStyleInfo name="TableStyleLight1" showFirstColumn="0" showLastColumn="0" showRowStripes="0" showColumnStripes="0"/>
</table>
</file>

<file path=xl/tables/table3.xml><?xml version="1.0" encoding="utf-8"?>
<table xmlns="http://schemas.openxmlformats.org/spreadsheetml/2006/main" id="3" name="tblHours" displayName="tblHours" ref="B25:D33" totalsRowShown="0">
  <autoFilter ref="B25:D33"/>
  <tableColumns count="3">
    <tableColumn id="1" name="Hour"/>
    <tableColumn id="2" name="Usual minutes"/>
    <tableColumn id="3" name="Notes"/>
  </tableColumns>
  <tableStyleInfo name="TableStyleLight1" showFirstColumn="0" showLastColumn="0" showRowStripes="0" showColumnStripes="0"/>
</table>
</file>

<file path=xl/tables/table4.xml><?xml version="1.0" encoding="utf-8"?>
<table xmlns="http://schemas.openxmlformats.org/spreadsheetml/2006/main" id="4" name="tblProducts" displayName="tblProducts" ref="B36:D39" totalsRowShown="0">
  <autoFilter ref="B36:D39"/>
  <tableColumns count="3">
    <tableColumn id="1" name="Product"/>
    <tableColumn id="2" name="Takt time (s)"/>
    <tableColumn id="3" name="Notes"/>
  </tableColumns>
  <tableStyleInfo name="TableStyleLight1" showFirstColumn="0" showLastColumn="0" showRowStripes="0" showColumnStripes="0"/>
</table>
</file>

<file path=xl/tables/table5.xml><?xml version="1.0" encoding="utf-8"?>
<table xmlns="http://schemas.openxmlformats.org/spreadsheetml/2006/main" id="5" name="tblReasons" displayName="tblReasons" ref="B42:C50" totalsRowShown="0">
  <autoFilter ref="B42:C50"/>
  <tableColumns count="2">
    <tableColumn id="1" name="Reason"/>
    <tableColumn id="2" name="Definition"/>
  </tableColumns>
  <tableStyleInfo name="TableStyleLight1" showFirstColumn="0" showLastColumn="0" showRowStripes="0" showColumnStripes="0"/>
</table>
</file>

<file path=xl/tables/table6.xml><?xml version="1.0" encoding="utf-8"?>
<table xmlns="http://schemas.openxmlformats.org/spreadsheetml/2006/main" id="6" name="tblBoard" displayName="tblBoard" ref="B5:V325" totalsRowShown="0">
  <autoFilter ref="B5:V325"/>
  <tableColumns count="21">
    <tableColumn id="1" name="Date"/>
    <tableColumn id="2" name="Shift"/>
    <tableColumn id="3" name="Line"/>
    <tableColumn id="4" name="Hour"/>
    <tableColumn id="5" name="Product"/>
    <tableColumn id="6" name="Available (min)"/>
    <tableColumn id="7" name="Actual (units)"/>
    <tableColumn id="8" name="Miss reason"/>
    <tableColumn id="9" name="Takt (s)">
      <calculatedColumnFormula>IF(tblBoard[[#This Row],[Date]]="","",IFERROR(INDEX(tblProducts[Takt time (s)],MATCH(tblBoard[[#This Row],[Product]],tblProducts[Product],0)),""))</calculatedColumnFormula>
    </tableColumn>
    <tableColumn id="10" name="Target (units)">
      <calculatedColumnFormula>IF(tblBoard[[#This Row],[Date]]="","",IF(OR(tblBoard[[#This Row],[Takt (s)]]="",tblBoard[[#This Row],[Available (min)]]=""),"",INT(tblBoard[[#This Row],[Available (min)]]*60/tblBoard[[#This Row],[Takt (s)]])))</calculatedColumnFormula>
    </tableColumn>
    <tableColumn id="11" name="Gap (units)">
      <calculatedColumnFormula>IF(tblBoard[[#This Row],[Date]]="","",IF(tblBoard[[#This Row],[Target (units)]]="","",tblBoard[[#This Row],[Actual (units)]]-tblBoard[[#This Row],[Target (units)]]))</calculatedColumnFormula>
    </tableColumn>
    <tableColumn id="12" name="Short (units)">
      <calculatedColumnFormula>IF(tblBoard[[#This Row],[Date]]="","",IF(tblBoard[[#This Row],[Target (units)]]="","",MAX(0,tblBoard[[#This Row],[Target (units)]]-tblBoard[[#This Row],[Actual (units)]])))</calculatedColumnFormula>
    </tableColumn>
    <tableColumn id="13" name="Attainment">
      <calculatedColumnFormula>IF(tblBoard[[#This Row],[Date]]="","",IF(N(tblBoard[[#This Row],[Target (units)]])&gt;0,tblBoard[[#This Row],[Actual (units)]]/tblBoard[[#This Row],[Target (units)]],""))</calculatedColumnFormula>
    </tableColumn>
    <tableColumn id="14" name="Hit">
      <calculatedColumnFormula>IF(tblBoard[[#This Row],[Date]]="","",IF(N(tblBoard[[#This Row],[Target (units)]])&gt;0,IF(tblBoard[[#This Row],[Actual (units)]]&gt;=tblBoard[[#This Row],[Target (units)]]*TargetHour,1,0),""))</calculatedColumnFormula>
    </tableColumn>
    <tableColumn id="15" name="Hour status">
      <calculatedColumnFormula>IF(NOT(ISNUMBER(tblBoard[[#This Row],[Attainment]])),"",IF(tblBoard[[#This Row],[Attainment]]&gt;=TargetHour,"On target",IF(tblBoard[[#This Row],[Attainment]]&gt;=TargetHour*(1-0.05),"Near target","Below target")))</calculatedColumnFormula>
    </tableColumn>
    <tableColumn id="16" name="Cum. target">
      <calculatedColumnFormula>IF(tblBoard[[#This Row],[Date]]="","",IF(tblBoard[[#This Row],[Hour]]="","",SUMIFS(tblBoard[Target (units)],tblBoard[Date],tblBoard[[#This Row],[Date]],tblBoard[Shift],tblBoard[[#This Row],[Shift]],tblBoard[Line],tblBoard[[#This Row],[Line]],tblBoard[Hour],"&lt;="&amp;tblBoard[[#This Row],[Hour]])))</calculatedColumnFormula>
    </tableColumn>
    <tableColumn id="17" name="Cum. actual">
      <calculatedColumnFormula>IF(tblBoard[[#This Row],[Date]]="","",IF(tblBoard[[#This Row],[Hour]]="","",SUMIFS(tblBoard[Actual (units)],tblBoard[Date],tblBoard[[#This Row],[Date]],tblBoard[Shift],tblBoard[[#This Row],[Shift]],tblBoard[Line],tblBoard[[#This Row],[Line]],tblBoard[Hour],"&lt;="&amp;tblBoard[[#This Row],[Hour]])))</calculatedColumnFormula>
    </tableColumn>
    <tableColumn id="18" name="Cum. gap">
      <calculatedColumnFormula>IF(tblBoard[[#This Row],[Date]]="","",IF(tblBoard[[#This Row],[Cum. target]]="","",tblBoard[[#This Row],[Cum. actual]]-tblBoard[[#This Row],[Cum. target]]))</calculatedColumnFormula>
    </tableColumn>
    <tableColumn id="19" name="View date">
      <calculatedColumnFormula>IF(tblBoard[[#This Row],[Date]]="","",IF(AND(tblBoard[[#This Row],[Date]]&gt;=FFrom,tblBoard[[#This Row],[Date]]&lt;=FTo,OR(DashLine="",tblBoard[[#This Row],[Line]]=DashLine)),tblBoard[[#This Row],[Date]],""))</calculatedColumnFormula>
    </tableColumn>
    <tableColumn id="20" name="Check">
      <calculatedColumnFormula>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calculatedColumnFormula>
    </tableColumn>
    <tableColumn id="21" name="Countermeasure"/>
  </tableColumns>
  <tableStyleInfo name="TableStyleLight1" showFirstColumn="0" showLastColumn="0" showRowStripes="0" showColumnStripes="0"/>
</table>
</file>

<file path=xl/tables/table7.xml><?xml version="1.0" encoding="utf-8"?>
<table xmlns="http://schemas.openxmlformats.org/spreadsheetml/2006/main" id="7" name="tblVerifyBoard" displayName="tblVerifyBoard" ref="B44:V48" totalsRowShown="0">
  <tableColumns count="21">
    <tableColumn id="1" name="Date"/>
    <tableColumn id="2" name="Shift"/>
    <tableColumn id="3" name="Line"/>
    <tableColumn id="4" name="Hour"/>
    <tableColumn id="5" name="Product"/>
    <tableColumn id="6" name="Available (min)"/>
    <tableColumn id="7" name="Actual (units)"/>
    <tableColumn id="8" name="Miss reason"/>
    <tableColumn id="9" name="Takt (s)"/>
    <tableColumn id="10" name="Target (units)">
      <calculatedColumnFormula>IF(tblVerifyBoard[[#This Row],[Date]]="","",IF(OR(tblVerifyBoard[[#This Row],[Takt (s)]]="",tblVerifyBoard[[#This Row],[Available (min)]]=""),"",INT(tblVerifyBoard[[#This Row],[Available (min)]]*60/tblVerifyBoard[[#This Row],[Takt (s)]])))</calculatedColumnFormula>
    </tableColumn>
    <tableColumn id="11" name="Gap (units)">
      <calculatedColumnFormula>IF(tblVerifyBoard[[#This Row],[Date]]="","",IF(tblVerifyBoard[[#This Row],[Target (units)]]="","",tblVerifyBoard[[#This Row],[Actual (units)]]-tblVerifyBoard[[#This Row],[Target (units)]]))</calculatedColumnFormula>
    </tableColumn>
    <tableColumn id="12" name="Short (units)">
      <calculatedColumnFormula>IF(tblVerifyBoard[[#This Row],[Date]]="","",IF(tblVerifyBoard[[#This Row],[Target (units)]]="","",MAX(0,tblVerifyBoard[[#This Row],[Target (units)]]-tblVerifyBoard[[#This Row],[Actual (units)]])))</calculatedColumnFormula>
    </tableColumn>
    <tableColumn id="13" name="Attainment">
      <calculatedColumnFormula>IF(tblVerifyBoard[[#This Row],[Date]]="","",IF(N(tblVerifyBoard[[#This Row],[Target (units)]])&gt;0,tblVerifyBoard[[#This Row],[Actual (units)]]/tblVerifyBoard[[#This Row],[Target (units)]],""))</calculatedColumnFormula>
    </tableColumn>
    <tableColumn id="14" name="Hit">
      <calculatedColumnFormula>IF(tblVerifyBoard[[#This Row],[Date]]="","",IF(N(tblVerifyBoard[[#This Row],[Target (units)]])&gt;0,IF(tblVerifyBoard[[#This Row],[Actual (units)]]&gt;=tblVerifyBoard[[#This Row],[Target (units)]]*$E$41,1,0),""))</calculatedColumnFormula>
    </tableColumn>
    <tableColumn id="15" name="Hour status">
      <calculatedColumnFormula>IF(NOT(ISNUMBER(tblVerifyBoard[[#This Row],[Attainment]])),"",IF(tblVerifyBoard[[#This Row],[Attainment]]&gt;=$E$41,"On target",IF(tblVerifyBoard[[#This Row],[Attainment]]&gt;=$E$41*(1-0.05),"Near target","Below target")))</calculatedColumnFormula>
    </tableColumn>
    <tableColumn id="16" name="Cum. target">
      <calculatedColumnFormula>IF(tblVerifyBoard[[#This Row],[Date]]="","",IF(tblVerifyBoard[[#This Row],[Hour]]="","",SUMIFS(tblVerifyBoard[Target (units)],tblVerifyBoard[Date],tblVerifyBoard[[#This Row],[Date]],tblVerifyBoard[Shift],tblVerifyBoard[[#This Row],[Shift]],tblVerifyBoard[Line],tblVerifyBoard[[#This Row],[Line]],tblVerifyBoard[Hour],"&lt;="&amp;tblVerifyBoard[[#This Row],[Hour]])))</calculatedColumnFormula>
    </tableColumn>
    <tableColumn id="17" name="Cum. actual">
      <calculatedColumnFormula>IF(tblVerifyBoard[[#This Row],[Date]]="","",IF(tblVerifyBoard[[#This Row],[Hour]]="","",SUMIFS(tblVerifyBoard[Actual (units)],tblVerifyBoard[Date],tblVerifyBoard[[#This Row],[Date]],tblVerifyBoard[Shift],tblVerifyBoard[[#This Row],[Shift]],tblVerifyBoard[Line],tblVerifyBoard[[#This Row],[Line]],tblVerifyBoard[Hour],"&lt;="&amp;tblVerifyBoard[[#This Row],[Hour]])))</calculatedColumnFormula>
    </tableColumn>
    <tableColumn id="18" name="Cum. gap">
      <calculatedColumnFormula>IF(tblVerifyBoard[[#This Row],[Date]]="","",IF(tblVerifyBoard[[#This Row],[Cum. target]]="","",tblVerifyBoard[[#This Row],[Cum. actual]]-tblVerifyBoard[[#This Row],[Cum. target]]))</calculatedColumnFormula>
    </tableColumn>
    <tableColumn id="19" name="View date">
      <calculatedColumnFormula>IF(tblVerifyBoard[[#This Row],[Date]]="","",IF(AND(tblVerifyBoard[[#This Row],[Date]]&gt;=$E$38,tblVerifyBoard[[#This Row],[Date]]&lt;=$E$39,OR($E$40="",tblVerifyBoard[[#This Row],[Line]]=$E$40)),tblVerifyBoard[[#This Row],[Date]],""))</calculatedColumnFormula>
    </tableColumn>
    <tableColumn id="20" name="Check">
      <calculatedColumnFormula>IF(tblVerifyBoard[[#This Row],[Date]]="","",IF(tblVerifyBoard[[#This Row],[Shift]]="","Missing shift",IF(tblVerifyBoard[[#This Row],[Line]]="","Missing line",IF(tblVerifyBoard[[#This Row],[Hour]]="","Missing hour",IF(tblVerifyBoard[[#This Row],[Available (min)]]="","Missing available",IF(tblVerifyBoard[[#This Row],[Actual (units)]]="","Missing actual",IF(tblVerifyBoard[[#This Row],[Takt (s)]]="","Pick a product from the Setup list",IF(tblVerifyBoard[[#This Row],[Available (min)]]&gt;60,"More than 60 minutes in an hour",IF(AND(N(tblVerifyBoard[[#This Row],[Gap (units)]])&lt;0,tblVerifyBoard[[#This Row],[Miss reason]]=""),"Give the miss reason",IF(COUNTIFS(tblVerifyBoard[Date],tblVerifyBoard[[#This Row],[Date]],tblVerifyBoard[Shift],tblVerifyBoard[[#This Row],[Shift]],tblVerifyBoard[Line],tblVerifyBoard[[#This Row],[Line]],tblVerifyBoard[Hour],tblVerifyBoard[[#This Row],[Hour]])&gt;1,"Duplicate hour row",IF(tblVerifyBoard[[#This Row],[Actual (units)]]&gt;tblVerifyBoard[[#This Row],[Target (units)]]*1.3,"Far above takt pace: check takt or count","OK")))))))))))</calculatedColumnFormula>
    </tableColumn>
    <tableColumn id="21" name="Countermeasure"/>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ur-by-hour-production-board" TargetMode="External"/><Relationship Id="rId2" Type="http://schemas.openxmlformats.org/officeDocument/2006/relationships/hyperlink" Target="https://www.mfgcalcs.com/calculators/conveyors-production-lines/takt-time?utm_source=mfgcalcs-template&amp;utm_medium=xlsx&amp;utm_campaign=hour-by-hour-production-board" TargetMode="External"/><Relationship Id="rId3" Type="http://schemas.openxmlformats.org/officeDocument/2006/relationships/hyperlink" Target="https://www.mfgcalcs.com/templates/hour-by-hour-production-board?utm_source=mfgcalcs-template&amp;utm_medium=xlsx&amp;utm_campaign=hour-by-hour-production-board" TargetMode="External"/><Relationship Id="rId4" Type="http://schemas.openxmlformats.org/officeDocument/2006/relationships/hyperlink" Target="https://www.mfgcalcs.com/templates?utm_source=mfgcalcs-template&amp;utm_medium=xlsx&amp;utm_campaign=hour-by-hour-production-board"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ur-by-hour-production-board"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 Id="rId5" Type="http://schemas.openxmlformats.org/officeDocument/2006/relationships/table" Target="../tables/table4.xml"/><Relationship Id="rId6" Type="http://schemas.openxmlformats.org/officeDocument/2006/relationships/table" Target="../tables/table5.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ur-by-hour-production-board" TargetMode="External"/><Relationship Id="rId2"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ur-by-hour-production-board"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ur-by-hour-production-board" TargetMode="External"/><Relationship Id="rId2"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ur-by-hour-production-board" TargetMode="External"/><Relationship Id="rId2" Type="http://schemas.openxmlformats.org/officeDocument/2006/relationships/hyperlink" Target="https://www.mfgcalcs.com/calculators/conveyors-production-lines/takt-time?utm_source=mfgcalcs-template&amp;utm_medium=xlsx&amp;utm_campaign=hour-by-hour-production-board"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ur-by-hour-production-board" TargetMode="External"/><Relationship Id="rId2"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8"/>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6" spans="1:6" ht="29.4"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22 of 22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5" spans="2:6" ht="29.4" customHeight="1">
      <c r="B55" s="26" t="s">
        <v>57</v>
      </c>
      <c r="C55" s="10" t="s">
        <v>62</v>
      </c>
      <c r="D55" s="10"/>
      <c r="E55" s="10"/>
      <c r="F55" s="10"/>
    </row>
    <row r="57" spans="2:6" ht="16.2" customHeight="1">
      <c r="B57" s="17" t="s">
        <v>63</v>
      </c>
      <c r="C57" s="17"/>
      <c r="D57" s="17"/>
      <c r="E57" s="17"/>
      <c r="F57" s="17"/>
    </row>
    <row r="58" spans="2:6" ht="26.76" customHeight="1">
      <c r="B58" s="21" t="s">
        <v>64</v>
      </c>
      <c r="C58" s="21"/>
      <c r="D58" s="21"/>
      <c r="E58" s="21"/>
      <c r="F58" s="21"/>
    </row>
  </sheetData>
  <sheetProtection sheet="1" formatColumns="0" formatRows="0"/>
  <mergeCells count="42">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C55:F55"/>
    <mergeCell ref="B57:F57"/>
    <mergeCell ref="B58:F58"/>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Hourly Board'!A1" tooltip="Go to Hourly Board" display="Hourly Board"/>
    <hyperlink ref="C23" location="'Daily Board'!A1" tooltip="Go to Daily Board" display="Daily Board"/>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Hour-by-Hour Production Board&amp;R&amp;8&amp;A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50"/>
  <sheetViews>
    <sheetView showGridLines="0" workbookViewId="0"/>
  </sheetViews>
  <sheetFormatPr defaultRowHeight="15"/>
  <cols>
    <col min="1" max="1" width="2.7109375" customWidth="1"/>
    <col min="2" max="2" width="30.7109375" customWidth="1"/>
    <col min="3" max="3" width="16.7109375" customWidth="1"/>
    <col min="4" max="4" width="44.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77</v>
      </c>
      <c r="C4" s="8"/>
      <c r="D4" s="8"/>
    </row>
    <row r="5" spans="1:5" ht="5" customHeight="1"/>
    <row r="6" spans="1:5">
      <c r="B6" s="27" t="s">
        <v>78</v>
      </c>
      <c r="C6" s="28" t="s">
        <v>79</v>
      </c>
      <c r="D6" s="28"/>
    </row>
    <row r="7" spans="1:5">
      <c r="B7" s="27" t="s">
        <v>80</v>
      </c>
      <c r="C7" s="29">
        <v>1</v>
      </c>
      <c r="D7" s="7"/>
    </row>
    <row r="9" spans="1:5" ht="35.4" customHeight="1">
      <c r="B9" s="25" t="s">
        <v>81</v>
      </c>
      <c r="C9" s="25"/>
      <c r="D9" s="25"/>
    </row>
    <row r="11" spans="1:5" ht="21" customHeight="1">
      <c r="B11" s="8" t="s">
        <v>82</v>
      </c>
      <c r="C11" s="8"/>
      <c r="D11" s="8"/>
    </row>
    <row r="12" spans="1:5" ht="5" customHeight="1"/>
    <row r="13" spans="1:5" ht="26.76" customHeight="1">
      <c r="B13" s="21" t="s">
        <v>83</v>
      </c>
      <c r="C13" s="21"/>
      <c r="D13" s="21"/>
    </row>
    <row r="14" spans="1:5">
      <c r="B14" s="30" t="s">
        <v>84</v>
      </c>
      <c r="C14" s="30"/>
      <c r="D14" s="30"/>
    </row>
    <row r="15" spans="1:5" ht="20" customHeight="1">
      <c r="B15" s="31" t="s">
        <v>65</v>
      </c>
      <c r="C15" s="31" t="s">
        <v>66</v>
      </c>
      <c r="D15" s="31" t="s">
        <v>67</v>
      </c>
    </row>
    <row r="16" spans="1:5">
      <c r="B16" s="28" t="s">
        <v>85</v>
      </c>
      <c r="C16" s="28" t="s">
        <v>86</v>
      </c>
      <c r="D16" s="28" t="s">
        <v>87</v>
      </c>
    </row>
    <row r="17" spans="2:4">
      <c r="B17" s="28" t="s">
        <v>88</v>
      </c>
      <c r="C17" s="28" t="s">
        <v>86</v>
      </c>
      <c r="D17" s="28" t="s">
        <v>89</v>
      </c>
    </row>
    <row r="19" spans="2:4">
      <c r="B19" s="30" t="s">
        <v>90</v>
      </c>
      <c r="C19" s="30"/>
      <c r="D19" s="30"/>
    </row>
    <row r="20" spans="2:4" ht="20" customHeight="1">
      <c r="B20" s="31" t="s">
        <v>68</v>
      </c>
      <c r="C20" s="31" t="s">
        <v>69</v>
      </c>
      <c r="D20" s="31" t="s">
        <v>70</v>
      </c>
    </row>
    <row r="21" spans="2:4">
      <c r="B21" s="28" t="s">
        <v>91</v>
      </c>
      <c r="C21" s="32">
        <v>0.25</v>
      </c>
      <c r="D21" s="28" t="s">
        <v>92</v>
      </c>
    </row>
    <row r="22" spans="2:4">
      <c r="B22" s="28" t="s">
        <v>93</v>
      </c>
      <c r="C22" s="32">
        <v>0.5833333333333334</v>
      </c>
      <c r="D22" s="28" t="s">
        <v>94</v>
      </c>
    </row>
    <row r="24" spans="2:4">
      <c r="B24" s="30" t="s">
        <v>95</v>
      </c>
      <c r="C24" s="30"/>
      <c r="D24" s="30"/>
    </row>
    <row r="25" spans="2:4" ht="32" customHeight="1">
      <c r="B25" s="31" t="s">
        <v>71</v>
      </c>
      <c r="C25" s="31" t="s">
        <v>72</v>
      </c>
      <c r="D25" s="31" t="s">
        <v>70</v>
      </c>
    </row>
    <row r="26" spans="2:4">
      <c r="B26" s="33">
        <v>1</v>
      </c>
      <c r="C26" s="33">
        <v>60</v>
      </c>
      <c r="D26" s="28" t="s">
        <v>96</v>
      </c>
    </row>
    <row r="27" spans="2:4">
      <c r="B27" s="33">
        <v>2</v>
      </c>
      <c r="C27" s="33">
        <v>60</v>
      </c>
      <c r="D27" s="28" t="s">
        <v>97</v>
      </c>
    </row>
    <row r="28" spans="2:4">
      <c r="B28" s="33">
        <v>3</v>
      </c>
      <c r="C28" s="33">
        <v>50</v>
      </c>
      <c r="D28" s="28" t="s">
        <v>98</v>
      </c>
    </row>
    <row r="29" spans="2:4">
      <c r="B29" s="33">
        <v>4</v>
      </c>
      <c r="C29" s="33">
        <v>60</v>
      </c>
      <c r="D29" s="28" t="s">
        <v>97</v>
      </c>
    </row>
    <row r="30" spans="2:4">
      <c r="B30" s="33">
        <v>5</v>
      </c>
      <c r="C30" s="33">
        <v>30</v>
      </c>
      <c r="D30" s="28" t="s">
        <v>99</v>
      </c>
    </row>
    <row r="31" spans="2:4">
      <c r="B31" s="33">
        <v>6</v>
      </c>
      <c r="C31" s="33">
        <v>60</v>
      </c>
      <c r="D31" s="28" t="s">
        <v>100</v>
      </c>
    </row>
    <row r="32" spans="2:4">
      <c r="B32" s="33">
        <v>7</v>
      </c>
      <c r="C32" s="33">
        <v>50</v>
      </c>
      <c r="D32" s="28" t="s">
        <v>98</v>
      </c>
    </row>
    <row r="33" spans="2:4">
      <c r="B33" s="33">
        <v>8</v>
      </c>
      <c r="C33" s="33">
        <v>50</v>
      </c>
      <c r="D33" s="28" t="s">
        <v>101</v>
      </c>
    </row>
    <row r="35" spans="2:4">
      <c r="B35" s="30" t="s">
        <v>102</v>
      </c>
      <c r="C35" s="30"/>
      <c r="D35" s="30"/>
    </row>
    <row r="36" spans="2:4" ht="32" customHeight="1">
      <c r="B36" s="31" t="s">
        <v>73</v>
      </c>
      <c r="C36" s="31" t="s">
        <v>74</v>
      </c>
      <c r="D36" s="31" t="s">
        <v>70</v>
      </c>
    </row>
    <row r="37" spans="2:4">
      <c r="B37" s="28" t="s">
        <v>103</v>
      </c>
      <c r="C37" s="34">
        <v>40</v>
      </c>
      <c r="D37" s="28" t="s">
        <v>104</v>
      </c>
    </row>
    <row r="38" spans="2:4">
      <c r="B38" s="28" t="s">
        <v>105</v>
      </c>
      <c r="C38" s="34">
        <v>48</v>
      </c>
      <c r="D38" s="28" t="s">
        <v>106</v>
      </c>
    </row>
    <row r="39" spans="2:4">
      <c r="B39" s="28" t="s">
        <v>107</v>
      </c>
      <c r="C39" s="34">
        <v>30</v>
      </c>
      <c r="D39" s="28" t="s">
        <v>108</v>
      </c>
    </row>
    <row r="41" spans="2:4">
      <c r="B41" s="30" t="s">
        <v>109</v>
      </c>
      <c r="C41" s="30"/>
    </row>
    <row r="42" spans="2:4" ht="20" customHeight="1">
      <c r="B42" s="31" t="s">
        <v>75</v>
      </c>
      <c r="C42" s="31" t="s">
        <v>76</v>
      </c>
    </row>
    <row r="43" spans="2:4">
      <c r="B43" s="28" t="s">
        <v>110</v>
      </c>
      <c r="C43" s="28" t="s">
        <v>111</v>
      </c>
    </row>
    <row r="44" spans="2:4">
      <c r="B44" s="28" t="s">
        <v>112</v>
      </c>
      <c r="C44" s="28" t="s">
        <v>113</v>
      </c>
    </row>
    <row r="45" spans="2:4">
      <c r="B45" s="28" t="s">
        <v>114</v>
      </c>
      <c r="C45" s="28" t="s">
        <v>115</v>
      </c>
    </row>
    <row r="46" spans="2:4">
      <c r="B46" s="28" t="s">
        <v>116</v>
      </c>
      <c r="C46" s="28" t="s">
        <v>117</v>
      </c>
    </row>
    <row r="47" spans="2:4">
      <c r="B47" s="28" t="s">
        <v>118</v>
      </c>
      <c r="C47" s="28" t="s">
        <v>119</v>
      </c>
    </row>
    <row r="48" spans="2:4">
      <c r="B48" s="28" t="s">
        <v>120</v>
      </c>
      <c r="C48" s="28" t="s">
        <v>121</v>
      </c>
    </row>
    <row r="49" spans="2:3">
      <c r="B49" s="28" t="s">
        <v>122</v>
      </c>
      <c r="C49" s="28" t="s">
        <v>123</v>
      </c>
    </row>
    <row r="50" spans="2:3">
      <c r="B50" s="28" t="s">
        <v>124</v>
      </c>
      <c r="C50" s="28" t="s">
        <v>125</v>
      </c>
    </row>
  </sheetData>
  <mergeCells count="13">
    <mergeCell ref="A1:E1"/>
    <mergeCell ref="B2:C2"/>
    <mergeCell ref="D2:E2"/>
    <mergeCell ref="B4:D4"/>
    <mergeCell ref="C6:D6"/>
    <mergeCell ref="B9:D9"/>
    <mergeCell ref="B11:D11"/>
    <mergeCell ref="B13:D13"/>
    <mergeCell ref="B14:D14"/>
    <mergeCell ref="B19:D19"/>
    <mergeCell ref="B24:D24"/>
    <mergeCell ref="B35:D35"/>
    <mergeCell ref="B41:C41"/>
  </mergeCells>
  <dataValidations count="16">
    <dataValidation type="textLength" allowBlank="1" showInputMessage="1" showErrorMessage="1" errorTitle="Check this entry" error="Text up to 80 characters." promptTitle="Plant name" prompt="Shown on the Dashboard. Text up to 80 characters." sqref="C6">
      <formula1>0</formula1>
      <formula2>80</formula2>
    </dataValidation>
    <dataValidation type="decimal" allowBlank="1" showInputMessage="1" showErrorMessage="1" errorTitle="Check this entry" error="Enter a percentage from 0% to 200% (type 85% or 0.85)." promptTitle="Hourly attainment target" prompt="Actual / target units for an hour to count as made. 100% means the hour made its takt number; your own choice. Enter a percentage from 0% to 200% (type 85% or 0.85)." sqref="C7">
      <formula1>0</formula1>
      <formula2>2</formula2>
    </dataValidation>
    <dataValidation type="textLength" allowBlank="1" showInputMessage="1" showErrorMessage="1" errorTitle="Check this entry" error="Text up to 40 characters." promptTitle="Line" prompt="Text up to 40 characters." sqref="B16:B117">
      <formula1>0</formula1>
      <formula2>40</formula2>
    </dataValidation>
    <dataValidation type="textLength" allowBlank="1" showInputMessage="1" showErrorMessage="1" errorTitle="Check this entry" error="Text up to 40 characters." promptTitle="Area" prompt="Text up to 40 characters." sqref="C16:C117">
      <formula1>0</formula1>
      <formula2>40</formula2>
    </dataValidation>
    <dataValidation type="textLength" allowBlank="1" showInputMessage="1" showErrorMessage="1" errorTitle="Check this entry" error="Text up to 120 characters." promptTitle="Description" prompt="Text up to 120 characters." sqref="D16:D117">
      <formula1>0</formula1>
      <formula2>120</formula2>
    </dataValidation>
    <dataValidation type="textLength" allowBlank="1" showInputMessage="1" showErrorMessage="1" errorTitle="Check this entry" error="Text up to 20 characters." promptTitle="Shift" prompt="Text up to 20 characters." sqref="B21:B122">
      <formula1>0</formula1>
      <formula2>20</formula2>
    </dataValidation>
    <dataValidation type="time" allowBlank="1" showInputMessage="1" showErrorMessage="1" errorTitle="Check this entry" error="Enter a time of day, e.g. 06:00." promptTitle="Starts" prompt="Clock time hour 1 of this shift starts. The Daily Board labels each hour from it. Enter a time of day, e.g. 06:00." sqref="C21:C122">
      <formula1>0</formula1>
      <formula2>0.999988425925926</formula2>
    </dataValidation>
    <dataValidation type="textLength" allowBlank="1" showInputMessage="1" showErrorMessage="1" errorTitle="Check this entry" error="Text up to 120 characters." promptTitle="Notes" prompt="Text up to 120 characters." sqref="D21:D122">
      <formula1>0</formula1>
      <formula2>120</formula2>
    </dataValidation>
    <dataValidation type="whole" allowBlank="1" showInputMessage="1" showErrorMessage="1" errorTitle="Check this entry" error="Enter a whole number from 1 to 24." promptTitle="Hour" prompt="Hour of the shift: 1 is the first hour. Enter a whole number from 1 to 24." sqref="B26:B133">
      <formula1>1</formula1>
      <formula2>24</formula2>
    </dataValidation>
    <dataValidation type="whole" allowBlank="1" showInputMessage="1" showErrorMessage="1" errorTitle="Check this entry" error="Enter a whole number from 0 to 60." promptTitle="Usual minutes" prompt="Minutes normally available in this hour after breaks and planned stops. A guide for the board; each row records its own. Enter a whole number from 0 to 60." sqref="C26:C133">
      <formula1>0</formula1>
      <formula2>60</formula2>
    </dataValidation>
    <dataValidation type="textLength" allowBlank="1" showInputMessage="1" showErrorMessage="1" errorTitle="Check this entry" error="Text up to 120 characters." promptTitle="Notes" prompt="Text up to 120 characters." sqref="D26:D133">
      <formula1>0</formula1>
      <formula2>120</formula2>
    </dataValidation>
    <dataValidation type="textLength" allowBlank="1" showInputMessage="1" showErrorMessage="1" errorTitle="Check this entry" error="Text up to 60 characters." promptTitle="Product" prompt="Text up to 60 characters." sqref="B37:B139">
      <formula1>0</formula1>
      <formula2>60</formula2>
    </dataValidation>
    <dataValidation type="decimal" allowBlank="1" showInputMessage="1" showErrorMessage="1" errorTitle="Check this entry" error="Enter a number from 0.01 to 1,000,000." promptTitle="Takt time (s)" prompt="Available time divided by customer demand, in seconds per unit. Enter a number from 0.01 to 1,000,000." sqref="C37:C139">
      <formula1>0.01</formula1>
      <formula2>1000000.0</formula2>
    </dataValidation>
    <dataValidation type="textLength" allowBlank="1" showInputMessage="1" showErrorMessage="1" errorTitle="Check this entry" error="Text up to 120 characters." promptTitle="Notes" prompt="Text up to 120 characters." sqref="D37:D139">
      <formula1>0</formula1>
      <formula2>120</formula2>
    </dataValidation>
    <dataValidation type="textLength" allowBlank="1" showInputMessage="1" showErrorMessage="1" errorTitle="Check this entry" error="Text up to 60 characters." promptTitle="Reason" prompt="Text up to 60 characters." sqref="B43:B150">
      <formula1>0</formula1>
      <formula2>60</formula2>
    </dataValidation>
    <dataValidation type="textLength" allowBlank="1" showInputMessage="1" showErrorMessage="1" errorTitle="Check this entry" error="Text up to 160 characters." promptTitle="Definition" prompt="Text up to 160 characters." sqref="C43:C150">
      <formula1>0</formula1>
      <formula2>160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Hour-by-Hour Production Board&amp;R&amp;8&amp;A</oddHeader>
    <oddFooter>&amp;L&amp;8mfgcalcs.com - free manufacturing templates&amp;R&amp;8Page &amp;P of &amp;N</oddFooter>
  </headerFooter>
  <rowBreaks count="1" manualBreakCount="1">
    <brk id="39" max="16383" man="1"/>
  </rowBreaks>
  <tableParts count="5">
    <tablePart r:id="rId2"/>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V325"/>
  <sheetViews>
    <sheetView workbookViewId="0">
      <pane xSplit="5" ySplit="5" topLeftCell="F6" activePane="bottomRight" state="frozen"/>
      <selection pane="topRight" activeCell="F1" sqref="F1"/>
      <selection pane="bottomLeft" activeCell="A6" sqref="A6"/>
      <selection pane="bottomRight"/>
    </sheetView>
  </sheetViews>
  <sheetFormatPr defaultRowHeight="15" x14ac:dyDescent="0.25"/>
  <cols>
    <col min="1" max="1" width="2.7109375" customWidth="1"/>
    <col min="2" max="2" width="12.28515625" customWidth="1"/>
    <col min="3" max="3" width="8.28515625" customWidth="1"/>
    <col min="4" max="5" width="6.7109375" customWidth="1"/>
    <col min="6" max="6" width="18.7109375" customWidth="1"/>
    <col min="7" max="7" width="10.28515625" customWidth="1"/>
    <col min="8" max="8" width="9.28515625" customWidth="1"/>
    <col min="9" max="9" width="15.7109375" customWidth="1"/>
    <col min="10" max="10" width="8.28515625" customWidth="1"/>
    <col min="11" max="11" width="8.7109375" customWidth="1"/>
    <col min="12" max="13" width="8.28515625" customWidth="1"/>
    <col min="14" max="14" width="11.28515625" customWidth="1"/>
    <col min="15" max="15" width="5.7109375" customWidth="1"/>
    <col min="16" max="16" width="12.28515625" customWidth="1"/>
    <col min="17" max="18" width="9.28515625" customWidth="1"/>
    <col min="19" max="19" width="8.7109375" customWidth="1"/>
    <col min="20" max="20" width="12.28515625" customWidth="1"/>
    <col min="21" max="21" width="24.7109375" customWidth="1"/>
    <col min="22" max="22" width="34.7109375" customWidth="1"/>
  </cols>
  <sheetData>
    <row r="1" spans="1:22" ht="30" customHeight="1" x14ac:dyDescent="0.25">
      <c r="A1" s="1" t="s">
        <v>0</v>
      </c>
      <c r="B1" s="1"/>
      <c r="C1" s="1"/>
      <c r="D1" s="1"/>
      <c r="E1" s="1"/>
      <c r="F1" s="1"/>
      <c r="G1" s="1"/>
      <c r="H1" s="1"/>
      <c r="I1" s="1"/>
      <c r="J1" s="1"/>
      <c r="K1" s="1"/>
      <c r="L1" s="1"/>
      <c r="M1" s="1"/>
      <c r="N1" s="1"/>
      <c r="O1" s="1"/>
      <c r="P1" s="1"/>
      <c r="Q1" s="1"/>
      <c r="R1" s="1"/>
      <c r="S1" s="1"/>
      <c r="T1" s="1"/>
      <c r="U1" s="1"/>
      <c r="V1" s="1"/>
    </row>
    <row r="2" spans="1:22" ht="21" customHeight="1" x14ac:dyDescent="0.25">
      <c r="B2" s="2" t="s">
        <v>22</v>
      </c>
      <c r="C2" s="2"/>
      <c r="D2" s="2"/>
      <c r="E2" s="2"/>
      <c r="F2" s="2"/>
      <c r="G2" s="2"/>
      <c r="H2" s="2"/>
      <c r="I2" s="2"/>
      <c r="J2" s="2"/>
      <c r="K2" s="2"/>
      <c r="L2" s="2"/>
      <c r="M2" s="2"/>
      <c r="N2" s="2"/>
      <c r="O2" s="2"/>
      <c r="P2" s="2"/>
      <c r="Q2" s="2"/>
      <c r="R2" s="2"/>
      <c r="S2" s="2"/>
      <c r="T2" s="2"/>
      <c r="U2" s="2"/>
      <c r="V2" s="3" t="s">
        <v>2</v>
      </c>
    </row>
    <row r="3" spans="1:22" ht="6" customHeight="1" x14ac:dyDescent="0.25"/>
    <row r="4" spans="1:22" ht="18" customHeight="1" x14ac:dyDescent="0.25">
      <c r="B4" s="35" t="s">
        <v>143</v>
      </c>
      <c r="C4" s="35"/>
      <c r="D4" s="35"/>
      <c r="E4" s="35"/>
      <c r="F4" s="35"/>
      <c r="G4" s="35"/>
      <c r="H4" s="35"/>
      <c r="I4" s="35"/>
      <c r="J4" s="35"/>
      <c r="K4" s="35"/>
      <c r="L4" s="35"/>
      <c r="M4" s="35"/>
      <c r="N4" s="35"/>
      <c r="O4" s="35"/>
      <c r="P4" s="35"/>
      <c r="Q4" s="35"/>
      <c r="R4" s="35"/>
      <c r="S4" s="35"/>
      <c r="T4" s="35"/>
      <c r="U4" s="35"/>
      <c r="V4" s="35"/>
    </row>
    <row r="5" spans="1:22" ht="32" customHeight="1" x14ac:dyDescent="0.25">
      <c r="B5" s="31" t="s">
        <v>126</v>
      </c>
      <c r="C5" s="31" t="s">
        <v>68</v>
      </c>
      <c r="D5" s="31" t="s">
        <v>65</v>
      </c>
      <c r="E5" s="31" t="s">
        <v>71</v>
      </c>
      <c r="F5" s="31" t="s">
        <v>73</v>
      </c>
      <c r="G5" s="31" t="s">
        <v>127</v>
      </c>
      <c r="H5" s="31" t="s">
        <v>128</v>
      </c>
      <c r="I5" s="31" t="s">
        <v>129</v>
      </c>
      <c r="J5" s="31" t="s">
        <v>130</v>
      </c>
      <c r="K5" s="31" t="s">
        <v>131</v>
      </c>
      <c r="L5" s="31" t="s">
        <v>132</v>
      </c>
      <c r="M5" s="31" t="s">
        <v>133</v>
      </c>
      <c r="N5" s="31" t="s">
        <v>134</v>
      </c>
      <c r="O5" s="31" t="s">
        <v>135</v>
      </c>
      <c r="P5" s="31" t="s">
        <v>136</v>
      </c>
      <c r="Q5" s="31" t="s">
        <v>137</v>
      </c>
      <c r="R5" s="31" t="s">
        <v>138</v>
      </c>
      <c r="S5" s="31" t="s">
        <v>139</v>
      </c>
      <c r="T5" s="31" t="s">
        <v>140</v>
      </c>
      <c r="U5" s="31" t="s">
        <v>141</v>
      </c>
      <c r="V5" s="31" t="s">
        <v>142</v>
      </c>
    </row>
    <row r="6" spans="1:22" x14ac:dyDescent="0.25">
      <c r="B6" s="36">
        <v>46300</v>
      </c>
      <c r="C6" s="28" t="s">
        <v>91</v>
      </c>
      <c r="D6" s="28" t="s">
        <v>85</v>
      </c>
      <c r="E6" s="33">
        <v>1</v>
      </c>
      <c r="F6" s="28" t="s">
        <v>103</v>
      </c>
      <c r="G6" s="33">
        <v>60</v>
      </c>
      <c r="H6" s="33">
        <v>79</v>
      </c>
      <c r="I6" s="28" t="s">
        <v>110</v>
      </c>
      <c r="J6" s="37">
        <f>IF(tblBoard[[#This Row],[Date]]="","",IFERROR(INDEX(tblProducts[Takt time (s)],MATCH(tblBoard[[#This Row],[Product]],tblProducts[Product],0)),""))</f>
        <v>40</v>
      </c>
      <c r="K6" s="38">
        <f>IF(tblBoard[[#This Row],[Date]]="","",IF(OR(tblBoard[[#This Row],[Takt (s)]]="",tblBoard[[#This Row],[Available (min)]]=""),"",INT(tblBoard[[#This Row],[Available (min)]]*60/tblBoard[[#This Row],[Takt (s)]])))</f>
        <v>90</v>
      </c>
      <c r="L6" s="38">
        <f>IF(tblBoard[[#This Row],[Date]]="","",IF(tblBoard[[#This Row],[Target (units)]]="","",tblBoard[[#This Row],[Actual (units)]]-tblBoard[[#This Row],[Target (units)]]))</f>
        <v>-11</v>
      </c>
      <c r="M6" s="38">
        <f>IF(tblBoard[[#This Row],[Date]]="","",IF(tblBoard[[#This Row],[Target (units)]]="","",MAX(0,tblBoard[[#This Row],[Target (units)]]-tblBoard[[#This Row],[Actual (units)]])))</f>
        <v>11</v>
      </c>
      <c r="N6" s="39">
        <f>IF(tblBoard[[#This Row],[Date]]="","",IF(N(tblBoard[[#This Row],[Target (units)]])&gt;0,tblBoard[[#This Row],[Actual (units)]]/tblBoard[[#This Row],[Target (units)]],""))</f>
        <v>0.877777777777778</v>
      </c>
      <c r="O6" s="38">
        <f>IF(tblBoard[[#This Row],[Date]]="","",IF(N(tblBoard[[#This Row],[Target (units)]])&gt;0,IF(tblBoard[[#This Row],[Actual (units)]]&gt;=tblBoard[[#This Row],[Target (units)]]*TargetHour,1,0),""))</f>
        <v>0</v>
      </c>
      <c r="P6" s="40" t="str">
        <f>IF(NOT(ISNUMBER(tblBoard[[#This Row],[Attainment]])),"",IF(tblBoard[[#This Row],[Attainment]]&gt;=TargetHour,"On target",IF(tblBoard[[#This Row],[Attainment]]&gt;=TargetHour*(1-0.05),"Near target","Below target")))</f>
        <v>Below target</v>
      </c>
      <c r="Q6" s="38">
        <f>IF(tblBoard[[#This Row],[Date]]="","",IF(tblBoard[[#This Row],[Hour]]="","",SUMIFS(tblBoard[Target (units)],tblBoard[Date],tblBoard[[#This Row],[Date]],tblBoard[Shift],tblBoard[[#This Row],[Shift]],tblBoard[Line],tblBoard[[#This Row],[Line]],tblBoard[Hour],"&lt;="&amp;tblBoard[[#This Row],[Hour]])))</f>
        <v>90</v>
      </c>
      <c r="R6" s="38">
        <f>IF(tblBoard[[#This Row],[Date]]="","",IF(tblBoard[[#This Row],[Hour]]="","",SUMIFS(tblBoard[Actual (units)],tblBoard[Date],tblBoard[[#This Row],[Date]],tblBoard[Shift],tblBoard[[#This Row],[Shift]],tblBoard[Line],tblBoard[[#This Row],[Line]],tblBoard[Hour],"&lt;="&amp;tblBoard[[#This Row],[Hour]])))</f>
        <v>79</v>
      </c>
      <c r="S6" s="38">
        <f>IF(tblBoard[[#This Row],[Date]]="","",IF(tblBoard[[#This Row],[Cum. target]]="","",tblBoard[[#This Row],[Cum. actual]]-tblBoard[[#This Row],[Cum. target]]))</f>
        <v>-11</v>
      </c>
      <c r="T6" s="41">
        <f>IF(tblBoard[[#This Row],[Date]]="","",IF(AND(tblBoard[[#This Row],[Date]]&gt;=FFrom,tblBoard[[#This Row],[Date]]&lt;=FTo,OR(DashLine="",tblBoard[[#This Row],[Line]]=DashLine)),tblBoard[[#This Row],[Date]],""))</f>
        <v>46300</v>
      </c>
      <c r="U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 s="43" t="s">
        <v>97</v>
      </c>
    </row>
    <row r="7" spans="1:22" x14ac:dyDescent="0.25">
      <c r="B7" s="36">
        <v>46300</v>
      </c>
      <c r="C7" s="28" t="s">
        <v>91</v>
      </c>
      <c r="D7" s="28" t="s">
        <v>85</v>
      </c>
      <c r="E7" s="33">
        <v>2</v>
      </c>
      <c r="F7" s="28" t="s">
        <v>103</v>
      </c>
      <c r="G7" s="33">
        <v>60</v>
      </c>
      <c r="H7" s="33">
        <v>91</v>
      </c>
      <c r="I7" s="28"/>
      <c r="J7" s="37">
        <f>IF(tblBoard[[#This Row],[Date]]="","",IFERROR(INDEX(tblProducts[Takt time (s)],MATCH(tblBoard[[#This Row],[Product]],tblProducts[Product],0)),""))</f>
        <v>40</v>
      </c>
      <c r="K7" s="38">
        <f>IF(tblBoard[[#This Row],[Date]]="","",IF(OR(tblBoard[[#This Row],[Takt (s)]]="",tblBoard[[#This Row],[Available (min)]]=""),"",INT(tblBoard[[#This Row],[Available (min)]]*60/tblBoard[[#This Row],[Takt (s)]])))</f>
        <v>90</v>
      </c>
      <c r="L7" s="38">
        <f>IF(tblBoard[[#This Row],[Date]]="","",IF(tblBoard[[#This Row],[Target (units)]]="","",tblBoard[[#This Row],[Actual (units)]]-tblBoard[[#This Row],[Target (units)]]))</f>
        <v>1</v>
      </c>
      <c r="M7" s="38">
        <f>IF(tblBoard[[#This Row],[Date]]="","",IF(tblBoard[[#This Row],[Target (units)]]="","",MAX(0,tblBoard[[#This Row],[Target (units)]]-tblBoard[[#This Row],[Actual (units)]])))</f>
        <v>0</v>
      </c>
      <c r="N7" s="39">
        <f>IF(tblBoard[[#This Row],[Date]]="","",IF(N(tblBoard[[#This Row],[Target (units)]])&gt;0,tblBoard[[#This Row],[Actual (units)]]/tblBoard[[#This Row],[Target (units)]],""))</f>
        <v>1.01111111111111</v>
      </c>
      <c r="O7" s="38">
        <f>IF(tblBoard[[#This Row],[Date]]="","",IF(N(tblBoard[[#This Row],[Target (units)]])&gt;0,IF(tblBoard[[#This Row],[Actual (units)]]&gt;=tblBoard[[#This Row],[Target (units)]]*TargetHour,1,0),""))</f>
        <v>1</v>
      </c>
      <c r="P7" s="40" t="str">
        <f>IF(NOT(ISNUMBER(tblBoard[[#This Row],[Attainment]])),"",IF(tblBoard[[#This Row],[Attainment]]&gt;=TargetHour,"On target",IF(tblBoard[[#This Row],[Attainment]]&gt;=TargetHour*(1-0.05),"Near target","Below target")))</f>
        <v>On target</v>
      </c>
      <c r="Q7" s="38">
        <f>IF(tblBoard[[#This Row],[Date]]="","",IF(tblBoard[[#This Row],[Hour]]="","",SUMIFS(tblBoard[Target (units)],tblBoard[Date],tblBoard[[#This Row],[Date]],tblBoard[Shift],tblBoard[[#This Row],[Shift]],tblBoard[Line],tblBoard[[#This Row],[Line]],tblBoard[Hour],"&lt;="&amp;tblBoard[[#This Row],[Hour]])))</f>
        <v>180</v>
      </c>
      <c r="R7" s="38">
        <f>IF(tblBoard[[#This Row],[Date]]="","",IF(tblBoard[[#This Row],[Hour]]="","",SUMIFS(tblBoard[Actual (units)],tblBoard[Date],tblBoard[[#This Row],[Date]],tblBoard[Shift],tblBoard[[#This Row],[Shift]],tblBoard[Line],tblBoard[[#This Row],[Line]],tblBoard[Hour],"&lt;="&amp;tblBoard[[#This Row],[Hour]])))</f>
        <v>170</v>
      </c>
      <c r="S7" s="38">
        <f>IF(tblBoard[[#This Row],[Date]]="","",IF(tblBoard[[#This Row],[Cum. target]]="","",tblBoard[[#This Row],[Cum. actual]]-tblBoard[[#This Row],[Cum. target]]))</f>
        <v>-10</v>
      </c>
      <c r="T7" s="41">
        <f>IF(tblBoard[[#This Row],[Date]]="","",IF(AND(tblBoard[[#This Row],[Date]]&gt;=FFrom,tblBoard[[#This Row],[Date]]&lt;=FTo,OR(DashLine="",tblBoard[[#This Row],[Line]]=DashLine)),tblBoard[[#This Row],[Date]],""))</f>
        <v>46300</v>
      </c>
      <c r="U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 s="43" t="s">
        <v>97</v>
      </c>
    </row>
    <row r="8" spans="1:22" x14ac:dyDescent="0.25">
      <c r="B8" s="36">
        <v>46300</v>
      </c>
      <c r="C8" s="28" t="s">
        <v>91</v>
      </c>
      <c r="D8" s="28" t="s">
        <v>85</v>
      </c>
      <c r="E8" s="33">
        <v>3</v>
      </c>
      <c r="F8" s="28" t="s">
        <v>103</v>
      </c>
      <c r="G8" s="33">
        <v>50</v>
      </c>
      <c r="H8" s="33">
        <v>71</v>
      </c>
      <c r="I8" s="28" t="s">
        <v>114</v>
      </c>
      <c r="J8" s="37">
        <f>IF(tblBoard[[#This Row],[Date]]="","",IFERROR(INDEX(tblProducts[Takt time (s)],MATCH(tblBoard[[#This Row],[Product]],tblProducts[Product],0)),""))</f>
        <v>40</v>
      </c>
      <c r="K8" s="38">
        <f>IF(tblBoard[[#This Row],[Date]]="","",IF(OR(tblBoard[[#This Row],[Takt (s)]]="",tblBoard[[#This Row],[Available (min)]]=""),"",INT(tblBoard[[#This Row],[Available (min)]]*60/tblBoard[[#This Row],[Takt (s)]])))</f>
        <v>75</v>
      </c>
      <c r="L8" s="38">
        <f>IF(tblBoard[[#This Row],[Date]]="","",IF(tblBoard[[#This Row],[Target (units)]]="","",tblBoard[[#This Row],[Actual (units)]]-tblBoard[[#This Row],[Target (units)]]))</f>
        <v>-4</v>
      </c>
      <c r="M8" s="38">
        <f>IF(tblBoard[[#This Row],[Date]]="","",IF(tblBoard[[#This Row],[Target (units)]]="","",MAX(0,tblBoard[[#This Row],[Target (units)]]-tblBoard[[#This Row],[Actual (units)]])))</f>
        <v>4</v>
      </c>
      <c r="N8" s="39">
        <f>IF(tblBoard[[#This Row],[Date]]="","",IF(N(tblBoard[[#This Row],[Target (units)]])&gt;0,tblBoard[[#This Row],[Actual (units)]]/tblBoard[[#This Row],[Target (units)]],""))</f>
        <v>0.946666666666667</v>
      </c>
      <c r="O8" s="38">
        <f>IF(tblBoard[[#This Row],[Date]]="","",IF(N(tblBoard[[#This Row],[Target (units)]])&gt;0,IF(tblBoard[[#This Row],[Actual (units)]]&gt;=tblBoard[[#This Row],[Target (units)]]*TargetHour,1,0),""))</f>
        <v>0</v>
      </c>
      <c r="P8" s="40" t="str">
        <f>IF(NOT(ISNUMBER(tblBoard[[#This Row],[Attainment]])),"",IF(tblBoard[[#This Row],[Attainment]]&gt;=TargetHour,"On target",IF(tblBoard[[#This Row],[Attainment]]&gt;=TargetHour*(1-0.05),"Near target","Below target")))</f>
        <v>Below target</v>
      </c>
      <c r="Q8" s="38">
        <f>IF(tblBoard[[#This Row],[Date]]="","",IF(tblBoard[[#This Row],[Hour]]="","",SUMIFS(tblBoard[Target (units)],tblBoard[Date],tblBoard[[#This Row],[Date]],tblBoard[Shift],tblBoard[[#This Row],[Shift]],tblBoard[Line],tblBoard[[#This Row],[Line]],tblBoard[Hour],"&lt;="&amp;tblBoard[[#This Row],[Hour]])))</f>
        <v>255</v>
      </c>
      <c r="R8" s="38">
        <f>IF(tblBoard[[#This Row],[Date]]="","",IF(tblBoard[[#This Row],[Hour]]="","",SUMIFS(tblBoard[Actual (units)],tblBoard[Date],tblBoard[[#This Row],[Date]],tblBoard[Shift],tblBoard[[#This Row],[Shift]],tblBoard[Line],tblBoard[[#This Row],[Line]],tblBoard[Hour],"&lt;="&amp;tblBoard[[#This Row],[Hour]])))</f>
        <v>241</v>
      </c>
      <c r="S8" s="38">
        <f>IF(tblBoard[[#This Row],[Date]]="","",IF(tblBoard[[#This Row],[Cum. target]]="","",tblBoard[[#This Row],[Cum. actual]]-tblBoard[[#This Row],[Cum. target]]))</f>
        <v>-14</v>
      </c>
      <c r="T8" s="41">
        <f>IF(tblBoard[[#This Row],[Date]]="","",IF(AND(tblBoard[[#This Row],[Date]]&gt;=FFrom,tblBoard[[#This Row],[Date]]&lt;=FTo,OR(DashLine="",tblBoard[[#This Row],[Line]]=DashLine)),tblBoard[[#This Row],[Date]],""))</f>
        <v>46300</v>
      </c>
      <c r="U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 s="43" t="s">
        <v>97</v>
      </c>
    </row>
    <row r="9" spans="1:22" x14ac:dyDescent="0.25">
      <c r="B9" s="36">
        <v>46300</v>
      </c>
      <c r="C9" s="28" t="s">
        <v>91</v>
      </c>
      <c r="D9" s="28" t="s">
        <v>85</v>
      </c>
      <c r="E9" s="33">
        <v>4</v>
      </c>
      <c r="F9" s="28" t="s">
        <v>103</v>
      </c>
      <c r="G9" s="33">
        <v>60</v>
      </c>
      <c r="H9" s="33">
        <v>88</v>
      </c>
      <c r="I9" s="28" t="s">
        <v>114</v>
      </c>
      <c r="J9" s="37">
        <f>IF(tblBoard[[#This Row],[Date]]="","",IFERROR(INDEX(tblProducts[Takt time (s)],MATCH(tblBoard[[#This Row],[Product]],tblProducts[Product],0)),""))</f>
        <v>40</v>
      </c>
      <c r="K9" s="38">
        <f>IF(tblBoard[[#This Row],[Date]]="","",IF(OR(tblBoard[[#This Row],[Takt (s)]]="",tblBoard[[#This Row],[Available (min)]]=""),"",INT(tblBoard[[#This Row],[Available (min)]]*60/tblBoard[[#This Row],[Takt (s)]])))</f>
        <v>90</v>
      </c>
      <c r="L9" s="38">
        <f>IF(tblBoard[[#This Row],[Date]]="","",IF(tblBoard[[#This Row],[Target (units)]]="","",tblBoard[[#This Row],[Actual (units)]]-tblBoard[[#This Row],[Target (units)]]))</f>
        <v>-2</v>
      </c>
      <c r="M9" s="38">
        <f>IF(tblBoard[[#This Row],[Date]]="","",IF(tblBoard[[#This Row],[Target (units)]]="","",MAX(0,tblBoard[[#This Row],[Target (units)]]-tblBoard[[#This Row],[Actual (units)]])))</f>
        <v>2</v>
      </c>
      <c r="N9" s="39">
        <f>IF(tblBoard[[#This Row],[Date]]="","",IF(N(tblBoard[[#This Row],[Target (units)]])&gt;0,tblBoard[[#This Row],[Actual (units)]]/tblBoard[[#This Row],[Target (units)]],""))</f>
        <v>0.977777777777778</v>
      </c>
      <c r="O9" s="38">
        <f>IF(tblBoard[[#This Row],[Date]]="","",IF(N(tblBoard[[#This Row],[Target (units)]])&gt;0,IF(tblBoard[[#This Row],[Actual (units)]]&gt;=tblBoard[[#This Row],[Target (units)]]*TargetHour,1,0),""))</f>
        <v>0</v>
      </c>
      <c r="P9" s="40" t="str">
        <f>IF(NOT(ISNUMBER(tblBoard[[#This Row],[Attainment]])),"",IF(tblBoard[[#This Row],[Attainment]]&gt;=TargetHour,"On target",IF(tblBoard[[#This Row],[Attainment]]&gt;=TargetHour*(1-0.05),"Near target","Below target")))</f>
        <v>Near target</v>
      </c>
      <c r="Q9" s="38">
        <f>IF(tblBoard[[#This Row],[Date]]="","",IF(tblBoard[[#This Row],[Hour]]="","",SUMIFS(tblBoard[Target (units)],tblBoard[Date],tblBoard[[#This Row],[Date]],tblBoard[Shift],tblBoard[[#This Row],[Shift]],tblBoard[Line],tblBoard[[#This Row],[Line]],tblBoard[Hour],"&lt;="&amp;tblBoard[[#This Row],[Hour]])))</f>
        <v>345</v>
      </c>
      <c r="R9" s="38">
        <f>IF(tblBoard[[#This Row],[Date]]="","",IF(tblBoard[[#This Row],[Hour]]="","",SUMIFS(tblBoard[Actual (units)],tblBoard[Date],tblBoard[[#This Row],[Date]],tblBoard[Shift],tblBoard[[#This Row],[Shift]],tblBoard[Line],tblBoard[[#This Row],[Line]],tblBoard[Hour],"&lt;="&amp;tblBoard[[#This Row],[Hour]])))</f>
        <v>329</v>
      </c>
      <c r="S9" s="38">
        <f>IF(tblBoard[[#This Row],[Date]]="","",IF(tblBoard[[#This Row],[Cum. target]]="","",tblBoard[[#This Row],[Cum. actual]]-tblBoard[[#This Row],[Cum. target]]))</f>
        <v>-16</v>
      </c>
      <c r="T9" s="41">
        <f>IF(tblBoard[[#This Row],[Date]]="","",IF(AND(tblBoard[[#This Row],[Date]]&gt;=FFrom,tblBoard[[#This Row],[Date]]&lt;=FTo,OR(DashLine="",tblBoard[[#This Row],[Line]]=DashLine)),tblBoard[[#This Row],[Date]],""))</f>
        <v>46300</v>
      </c>
      <c r="U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 s="43" t="s">
        <v>97</v>
      </c>
    </row>
    <row r="10" spans="1:22" x14ac:dyDescent="0.25">
      <c r="B10" s="36">
        <v>46300</v>
      </c>
      <c r="C10" s="28" t="s">
        <v>91</v>
      </c>
      <c r="D10" s="28" t="s">
        <v>85</v>
      </c>
      <c r="E10" s="33">
        <v>5</v>
      </c>
      <c r="F10" s="28" t="s">
        <v>103</v>
      </c>
      <c r="G10" s="33">
        <v>30</v>
      </c>
      <c r="H10" s="33">
        <v>47</v>
      </c>
      <c r="I10" s="28"/>
      <c r="J10" s="37">
        <f>IF(tblBoard[[#This Row],[Date]]="","",IFERROR(INDEX(tblProducts[Takt time (s)],MATCH(tblBoard[[#This Row],[Product]],tblProducts[Product],0)),""))</f>
        <v>40</v>
      </c>
      <c r="K10" s="38">
        <f>IF(tblBoard[[#This Row],[Date]]="","",IF(OR(tblBoard[[#This Row],[Takt (s)]]="",tblBoard[[#This Row],[Available (min)]]=""),"",INT(tblBoard[[#This Row],[Available (min)]]*60/tblBoard[[#This Row],[Takt (s)]])))</f>
        <v>45</v>
      </c>
      <c r="L10" s="38">
        <f>IF(tblBoard[[#This Row],[Date]]="","",IF(tblBoard[[#This Row],[Target (units)]]="","",tblBoard[[#This Row],[Actual (units)]]-tblBoard[[#This Row],[Target (units)]]))</f>
        <v>2</v>
      </c>
      <c r="M10" s="38">
        <f>IF(tblBoard[[#This Row],[Date]]="","",IF(tblBoard[[#This Row],[Target (units)]]="","",MAX(0,tblBoard[[#This Row],[Target (units)]]-tblBoard[[#This Row],[Actual (units)]])))</f>
        <v>0</v>
      </c>
      <c r="N10" s="39">
        <f>IF(tblBoard[[#This Row],[Date]]="","",IF(N(tblBoard[[#This Row],[Target (units)]])&gt;0,tblBoard[[#This Row],[Actual (units)]]/tblBoard[[#This Row],[Target (units)]],""))</f>
        <v>1.04444444444444</v>
      </c>
      <c r="O10" s="38">
        <f>IF(tblBoard[[#This Row],[Date]]="","",IF(N(tblBoard[[#This Row],[Target (units)]])&gt;0,IF(tblBoard[[#This Row],[Actual (units)]]&gt;=tblBoard[[#This Row],[Target (units)]]*TargetHour,1,0),""))</f>
        <v>1</v>
      </c>
      <c r="P10" s="40" t="str">
        <f>IF(NOT(ISNUMBER(tblBoard[[#This Row],[Attainment]])),"",IF(tblBoard[[#This Row],[Attainment]]&gt;=TargetHour,"On target",IF(tblBoard[[#This Row],[Attainment]]&gt;=TargetHour*(1-0.05),"Near target","Below target")))</f>
        <v>On target</v>
      </c>
      <c r="Q10" s="38">
        <f>IF(tblBoard[[#This Row],[Date]]="","",IF(tblBoard[[#This Row],[Hour]]="","",SUMIFS(tblBoard[Target (units)],tblBoard[Date],tblBoard[[#This Row],[Date]],tblBoard[Shift],tblBoard[[#This Row],[Shift]],tblBoard[Line],tblBoard[[#This Row],[Line]],tblBoard[Hour],"&lt;="&amp;tblBoard[[#This Row],[Hour]])))</f>
        <v>390</v>
      </c>
      <c r="R10" s="38">
        <f>IF(tblBoard[[#This Row],[Date]]="","",IF(tblBoard[[#This Row],[Hour]]="","",SUMIFS(tblBoard[Actual (units)],tblBoard[Date],tblBoard[[#This Row],[Date]],tblBoard[Shift],tblBoard[[#This Row],[Shift]],tblBoard[Line],tblBoard[[#This Row],[Line]],tblBoard[Hour],"&lt;="&amp;tblBoard[[#This Row],[Hour]])))</f>
        <v>376</v>
      </c>
      <c r="S10" s="38">
        <f>IF(tblBoard[[#This Row],[Date]]="","",IF(tblBoard[[#This Row],[Cum. target]]="","",tblBoard[[#This Row],[Cum. actual]]-tblBoard[[#This Row],[Cum. target]]))</f>
        <v>-14</v>
      </c>
      <c r="T10" s="41">
        <f>IF(tblBoard[[#This Row],[Date]]="","",IF(AND(tblBoard[[#This Row],[Date]]&gt;=FFrom,tblBoard[[#This Row],[Date]]&lt;=FTo,OR(DashLine="",tblBoard[[#This Row],[Line]]=DashLine)),tblBoard[[#This Row],[Date]],""))</f>
        <v>46300</v>
      </c>
      <c r="U1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 s="43" t="s">
        <v>97</v>
      </c>
    </row>
    <row r="11" spans="1:22" x14ac:dyDescent="0.25">
      <c r="B11" s="36">
        <v>46300</v>
      </c>
      <c r="C11" s="28" t="s">
        <v>91</v>
      </c>
      <c r="D11" s="28" t="s">
        <v>85</v>
      </c>
      <c r="E11" s="33">
        <v>6</v>
      </c>
      <c r="F11" s="28" t="s">
        <v>103</v>
      </c>
      <c r="G11" s="33">
        <v>60</v>
      </c>
      <c r="H11" s="33">
        <v>87</v>
      </c>
      <c r="I11" s="28" t="s">
        <v>122</v>
      </c>
      <c r="J11" s="37">
        <f>IF(tblBoard[[#This Row],[Date]]="","",IFERROR(INDEX(tblProducts[Takt time (s)],MATCH(tblBoard[[#This Row],[Product]],tblProducts[Product],0)),""))</f>
        <v>40</v>
      </c>
      <c r="K11" s="38">
        <f>IF(tblBoard[[#This Row],[Date]]="","",IF(OR(tblBoard[[#This Row],[Takt (s)]]="",tblBoard[[#This Row],[Available (min)]]=""),"",INT(tblBoard[[#This Row],[Available (min)]]*60/tblBoard[[#This Row],[Takt (s)]])))</f>
        <v>90</v>
      </c>
      <c r="L11" s="38">
        <f>IF(tblBoard[[#This Row],[Date]]="","",IF(tblBoard[[#This Row],[Target (units)]]="","",tblBoard[[#This Row],[Actual (units)]]-tblBoard[[#This Row],[Target (units)]]))</f>
        <v>-3</v>
      </c>
      <c r="M11" s="38">
        <f>IF(tblBoard[[#This Row],[Date]]="","",IF(tblBoard[[#This Row],[Target (units)]]="","",MAX(0,tblBoard[[#This Row],[Target (units)]]-tblBoard[[#This Row],[Actual (units)]])))</f>
        <v>3</v>
      </c>
      <c r="N11" s="39">
        <f>IF(tblBoard[[#This Row],[Date]]="","",IF(N(tblBoard[[#This Row],[Target (units)]])&gt;0,tblBoard[[#This Row],[Actual (units)]]/tblBoard[[#This Row],[Target (units)]],""))</f>
        <v>0.966666666666667</v>
      </c>
      <c r="O11" s="38">
        <f>IF(tblBoard[[#This Row],[Date]]="","",IF(N(tblBoard[[#This Row],[Target (units)]])&gt;0,IF(tblBoard[[#This Row],[Actual (units)]]&gt;=tblBoard[[#This Row],[Target (units)]]*TargetHour,1,0),""))</f>
        <v>0</v>
      </c>
      <c r="P11" s="40" t="str">
        <f>IF(NOT(ISNUMBER(tblBoard[[#This Row],[Attainment]])),"",IF(tblBoard[[#This Row],[Attainment]]&gt;=TargetHour,"On target",IF(tblBoard[[#This Row],[Attainment]]&gt;=TargetHour*(1-0.05),"Near target","Below target")))</f>
        <v>Near target</v>
      </c>
      <c r="Q11" s="38">
        <f>IF(tblBoard[[#This Row],[Date]]="","",IF(tblBoard[[#This Row],[Hour]]="","",SUMIFS(tblBoard[Target (units)],tblBoard[Date],tblBoard[[#This Row],[Date]],tblBoard[Shift],tblBoard[[#This Row],[Shift]],tblBoard[Line],tblBoard[[#This Row],[Line]],tblBoard[Hour],"&lt;="&amp;tblBoard[[#This Row],[Hour]])))</f>
        <v>480</v>
      </c>
      <c r="R11" s="38">
        <f>IF(tblBoard[[#This Row],[Date]]="","",IF(tblBoard[[#This Row],[Hour]]="","",SUMIFS(tblBoard[Actual (units)],tblBoard[Date],tblBoard[[#This Row],[Date]],tblBoard[Shift],tblBoard[[#This Row],[Shift]],tblBoard[Line],tblBoard[[#This Row],[Line]],tblBoard[Hour],"&lt;="&amp;tblBoard[[#This Row],[Hour]])))</f>
        <v>463</v>
      </c>
      <c r="S11" s="38">
        <f>IF(tblBoard[[#This Row],[Date]]="","",IF(tblBoard[[#This Row],[Cum. target]]="","",tblBoard[[#This Row],[Cum. actual]]-tblBoard[[#This Row],[Cum. target]]))</f>
        <v>-17</v>
      </c>
      <c r="T11" s="41">
        <f>IF(tblBoard[[#This Row],[Date]]="","",IF(AND(tblBoard[[#This Row],[Date]]&gt;=FFrom,tblBoard[[#This Row],[Date]]&lt;=FTo,OR(DashLine="",tblBoard[[#This Row],[Line]]=DashLine)),tblBoard[[#This Row],[Date]],""))</f>
        <v>46300</v>
      </c>
      <c r="U1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 s="43" t="s">
        <v>97</v>
      </c>
    </row>
    <row r="12" spans="1:22" x14ac:dyDescent="0.25">
      <c r="B12" s="36">
        <v>46300</v>
      </c>
      <c r="C12" s="28" t="s">
        <v>91</v>
      </c>
      <c r="D12" s="28" t="s">
        <v>85</v>
      </c>
      <c r="E12" s="33">
        <v>7</v>
      </c>
      <c r="F12" s="28" t="s">
        <v>103</v>
      </c>
      <c r="G12" s="33">
        <v>50</v>
      </c>
      <c r="H12" s="33">
        <v>73</v>
      </c>
      <c r="I12" s="28" t="s">
        <v>114</v>
      </c>
      <c r="J12" s="37">
        <f>IF(tblBoard[[#This Row],[Date]]="","",IFERROR(INDEX(tblProducts[Takt time (s)],MATCH(tblBoard[[#This Row],[Product]],tblProducts[Product],0)),""))</f>
        <v>40</v>
      </c>
      <c r="K12" s="38">
        <f>IF(tblBoard[[#This Row],[Date]]="","",IF(OR(tblBoard[[#This Row],[Takt (s)]]="",tblBoard[[#This Row],[Available (min)]]=""),"",INT(tblBoard[[#This Row],[Available (min)]]*60/tblBoard[[#This Row],[Takt (s)]])))</f>
        <v>75</v>
      </c>
      <c r="L12" s="38">
        <f>IF(tblBoard[[#This Row],[Date]]="","",IF(tblBoard[[#This Row],[Target (units)]]="","",tblBoard[[#This Row],[Actual (units)]]-tblBoard[[#This Row],[Target (units)]]))</f>
        <v>-2</v>
      </c>
      <c r="M12" s="38">
        <f>IF(tblBoard[[#This Row],[Date]]="","",IF(tblBoard[[#This Row],[Target (units)]]="","",MAX(0,tblBoard[[#This Row],[Target (units)]]-tblBoard[[#This Row],[Actual (units)]])))</f>
        <v>2</v>
      </c>
      <c r="N12" s="39">
        <f>IF(tblBoard[[#This Row],[Date]]="","",IF(N(tblBoard[[#This Row],[Target (units)]])&gt;0,tblBoard[[#This Row],[Actual (units)]]/tblBoard[[#This Row],[Target (units)]],""))</f>
        <v>0.973333333333333</v>
      </c>
      <c r="O12" s="38">
        <f>IF(tblBoard[[#This Row],[Date]]="","",IF(N(tblBoard[[#This Row],[Target (units)]])&gt;0,IF(tblBoard[[#This Row],[Actual (units)]]&gt;=tblBoard[[#This Row],[Target (units)]]*TargetHour,1,0),""))</f>
        <v>0</v>
      </c>
      <c r="P12" s="40" t="str">
        <f>IF(NOT(ISNUMBER(tblBoard[[#This Row],[Attainment]])),"",IF(tblBoard[[#This Row],[Attainment]]&gt;=TargetHour,"On target",IF(tblBoard[[#This Row],[Attainment]]&gt;=TargetHour*(1-0.05),"Near target","Below target")))</f>
        <v>Near target</v>
      </c>
      <c r="Q12" s="38">
        <f>IF(tblBoard[[#This Row],[Date]]="","",IF(tblBoard[[#This Row],[Hour]]="","",SUMIFS(tblBoard[Target (units)],tblBoard[Date],tblBoard[[#This Row],[Date]],tblBoard[Shift],tblBoard[[#This Row],[Shift]],tblBoard[Line],tblBoard[[#This Row],[Line]],tblBoard[Hour],"&lt;="&amp;tblBoard[[#This Row],[Hour]])))</f>
        <v>555</v>
      </c>
      <c r="R12" s="38">
        <f>IF(tblBoard[[#This Row],[Date]]="","",IF(tblBoard[[#This Row],[Hour]]="","",SUMIFS(tblBoard[Actual (units)],tblBoard[Date],tblBoard[[#This Row],[Date]],tblBoard[Shift],tblBoard[[#This Row],[Shift]],tblBoard[Line],tblBoard[[#This Row],[Line]],tblBoard[Hour],"&lt;="&amp;tblBoard[[#This Row],[Hour]])))</f>
        <v>536</v>
      </c>
      <c r="S12" s="38">
        <f>IF(tblBoard[[#This Row],[Date]]="","",IF(tblBoard[[#This Row],[Cum. target]]="","",tblBoard[[#This Row],[Cum. actual]]-tblBoard[[#This Row],[Cum. target]]))</f>
        <v>-19</v>
      </c>
      <c r="T12" s="41">
        <f>IF(tblBoard[[#This Row],[Date]]="","",IF(AND(tblBoard[[#This Row],[Date]]&gt;=FFrom,tblBoard[[#This Row],[Date]]&lt;=FTo,OR(DashLine="",tblBoard[[#This Row],[Line]]=DashLine)),tblBoard[[#This Row],[Date]],""))</f>
        <v>46300</v>
      </c>
      <c r="U1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 s="43" t="s">
        <v>97</v>
      </c>
    </row>
    <row r="13" spans="1:22" x14ac:dyDescent="0.25">
      <c r="B13" s="36">
        <v>46300</v>
      </c>
      <c r="C13" s="28" t="s">
        <v>91</v>
      </c>
      <c r="D13" s="28" t="s">
        <v>85</v>
      </c>
      <c r="E13" s="33">
        <v>8</v>
      </c>
      <c r="F13" s="28" t="s">
        <v>103</v>
      </c>
      <c r="G13" s="33">
        <v>50</v>
      </c>
      <c r="H13" s="33">
        <v>72</v>
      </c>
      <c r="I13" s="28" t="s">
        <v>114</v>
      </c>
      <c r="J13" s="37">
        <f>IF(tblBoard[[#This Row],[Date]]="","",IFERROR(INDEX(tblProducts[Takt time (s)],MATCH(tblBoard[[#This Row],[Product]],tblProducts[Product],0)),""))</f>
        <v>40</v>
      </c>
      <c r="K13" s="38">
        <f>IF(tblBoard[[#This Row],[Date]]="","",IF(OR(tblBoard[[#This Row],[Takt (s)]]="",tblBoard[[#This Row],[Available (min)]]=""),"",INT(tblBoard[[#This Row],[Available (min)]]*60/tblBoard[[#This Row],[Takt (s)]])))</f>
        <v>75</v>
      </c>
      <c r="L13" s="38">
        <f>IF(tblBoard[[#This Row],[Date]]="","",IF(tblBoard[[#This Row],[Target (units)]]="","",tblBoard[[#This Row],[Actual (units)]]-tblBoard[[#This Row],[Target (units)]]))</f>
        <v>-3</v>
      </c>
      <c r="M13" s="38">
        <f>IF(tblBoard[[#This Row],[Date]]="","",IF(tblBoard[[#This Row],[Target (units)]]="","",MAX(0,tblBoard[[#This Row],[Target (units)]]-tblBoard[[#This Row],[Actual (units)]])))</f>
        <v>3</v>
      </c>
      <c r="N13" s="39">
        <f>IF(tblBoard[[#This Row],[Date]]="","",IF(N(tblBoard[[#This Row],[Target (units)]])&gt;0,tblBoard[[#This Row],[Actual (units)]]/tblBoard[[#This Row],[Target (units)]],""))</f>
        <v>0.96</v>
      </c>
      <c r="O13" s="38">
        <f>IF(tblBoard[[#This Row],[Date]]="","",IF(N(tblBoard[[#This Row],[Target (units)]])&gt;0,IF(tblBoard[[#This Row],[Actual (units)]]&gt;=tblBoard[[#This Row],[Target (units)]]*TargetHour,1,0),""))</f>
        <v>0</v>
      </c>
      <c r="P13" s="40" t="str">
        <f>IF(NOT(ISNUMBER(tblBoard[[#This Row],[Attainment]])),"",IF(tblBoard[[#This Row],[Attainment]]&gt;=TargetHour,"On target",IF(tblBoard[[#This Row],[Attainment]]&gt;=TargetHour*(1-0.05),"Near target","Below target")))</f>
        <v>Near target</v>
      </c>
      <c r="Q13" s="38">
        <f>IF(tblBoard[[#This Row],[Date]]="","",IF(tblBoard[[#This Row],[Hour]]="","",SUMIFS(tblBoard[Target (units)],tblBoard[Date],tblBoard[[#This Row],[Date]],tblBoard[Shift],tblBoard[[#This Row],[Shift]],tblBoard[Line],tblBoard[[#This Row],[Line]],tblBoard[Hour],"&lt;="&amp;tblBoard[[#This Row],[Hour]])))</f>
        <v>630</v>
      </c>
      <c r="R13" s="38">
        <f>IF(tblBoard[[#This Row],[Date]]="","",IF(tblBoard[[#This Row],[Hour]]="","",SUMIFS(tblBoard[Actual (units)],tblBoard[Date],tblBoard[[#This Row],[Date]],tblBoard[Shift],tblBoard[[#This Row],[Shift]],tblBoard[Line],tblBoard[[#This Row],[Line]],tblBoard[Hour],"&lt;="&amp;tblBoard[[#This Row],[Hour]])))</f>
        <v>608</v>
      </c>
      <c r="S13" s="38">
        <f>IF(tblBoard[[#This Row],[Date]]="","",IF(tblBoard[[#This Row],[Cum. target]]="","",tblBoard[[#This Row],[Cum. actual]]-tblBoard[[#This Row],[Cum. target]]))</f>
        <v>-22</v>
      </c>
      <c r="T13" s="41">
        <f>IF(tblBoard[[#This Row],[Date]]="","",IF(AND(tblBoard[[#This Row],[Date]]&gt;=FFrom,tblBoard[[#This Row],[Date]]&lt;=FTo,OR(DashLine="",tblBoard[[#This Row],[Line]]=DashLine)),tblBoard[[#This Row],[Date]],""))</f>
        <v>46300</v>
      </c>
      <c r="U1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 s="43" t="s">
        <v>97</v>
      </c>
    </row>
    <row r="14" spans="1:22" x14ac:dyDescent="0.25">
      <c r="B14" s="36">
        <v>46300</v>
      </c>
      <c r="C14" s="28" t="s">
        <v>91</v>
      </c>
      <c r="D14" s="28" t="s">
        <v>88</v>
      </c>
      <c r="E14" s="33">
        <v>1</v>
      </c>
      <c r="F14" s="28" t="s">
        <v>107</v>
      </c>
      <c r="G14" s="33">
        <v>60</v>
      </c>
      <c r="H14" s="33">
        <v>102</v>
      </c>
      <c r="I14" s="28" t="s">
        <v>110</v>
      </c>
      <c r="J14" s="37">
        <f>IF(tblBoard[[#This Row],[Date]]="","",IFERROR(INDEX(tblProducts[Takt time (s)],MATCH(tblBoard[[#This Row],[Product]],tblProducts[Product],0)),""))</f>
        <v>30</v>
      </c>
      <c r="K14" s="38">
        <f>IF(tblBoard[[#This Row],[Date]]="","",IF(OR(tblBoard[[#This Row],[Takt (s)]]="",tblBoard[[#This Row],[Available (min)]]=""),"",INT(tblBoard[[#This Row],[Available (min)]]*60/tblBoard[[#This Row],[Takt (s)]])))</f>
        <v>120</v>
      </c>
      <c r="L14" s="38">
        <f>IF(tblBoard[[#This Row],[Date]]="","",IF(tblBoard[[#This Row],[Target (units)]]="","",tblBoard[[#This Row],[Actual (units)]]-tblBoard[[#This Row],[Target (units)]]))</f>
        <v>-18</v>
      </c>
      <c r="M14" s="38">
        <f>IF(tblBoard[[#This Row],[Date]]="","",IF(tblBoard[[#This Row],[Target (units)]]="","",MAX(0,tblBoard[[#This Row],[Target (units)]]-tblBoard[[#This Row],[Actual (units)]])))</f>
        <v>18</v>
      </c>
      <c r="N14" s="39">
        <f>IF(tblBoard[[#This Row],[Date]]="","",IF(N(tblBoard[[#This Row],[Target (units)]])&gt;0,tblBoard[[#This Row],[Actual (units)]]/tblBoard[[#This Row],[Target (units)]],""))</f>
        <v>0.85</v>
      </c>
      <c r="O14" s="38">
        <f>IF(tblBoard[[#This Row],[Date]]="","",IF(N(tblBoard[[#This Row],[Target (units)]])&gt;0,IF(tblBoard[[#This Row],[Actual (units)]]&gt;=tblBoard[[#This Row],[Target (units)]]*TargetHour,1,0),""))</f>
        <v>0</v>
      </c>
      <c r="P14" s="40" t="str">
        <f>IF(NOT(ISNUMBER(tblBoard[[#This Row],[Attainment]])),"",IF(tblBoard[[#This Row],[Attainment]]&gt;=TargetHour,"On target",IF(tblBoard[[#This Row],[Attainment]]&gt;=TargetHour*(1-0.05),"Near target","Below target")))</f>
        <v>Below target</v>
      </c>
      <c r="Q14" s="38">
        <f>IF(tblBoard[[#This Row],[Date]]="","",IF(tblBoard[[#This Row],[Hour]]="","",SUMIFS(tblBoard[Target (units)],tblBoard[Date],tblBoard[[#This Row],[Date]],tblBoard[Shift],tblBoard[[#This Row],[Shift]],tblBoard[Line],tblBoard[[#This Row],[Line]],tblBoard[Hour],"&lt;="&amp;tblBoard[[#This Row],[Hour]])))</f>
        <v>120</v>
      </c>
      <c r="R14" s="38">
        <f>IF(tblBoard[[#This Row],[Date]]="","",IF(tblBoard[[#This Row],[Hour]]="","",SUMIFS(tblBoard[Actual (units)],tblBoard[Date],tblBoard[[#This Row],[Date]],tblBoard[Shift],tblBoard[[#This Row],[Shift]],tblBoard[Line],tblBoard[[#This Row],[Line]],tblBoard[Hour],"&lt;="&amp;tblBoard[[#This Row],[Hour]])))</f>
        <v>102</v>
      </c>
      <c r="S14" s="38">
        <f>IF(tblBoard[[#This Row],[Date]]="","",IF(tblBoard[[#This Row],[Cum. target]]="","",tblBoard[[#This Row],[Cum. actual]]-tblBoard[[#This Row],[Cum. target]]))</f>
        <v>-18</v>
      </c>
      <c r="T14" s="41">
        <f>IF(tblBoard[[#This Row],[Date]]="","",IF(AND(tblBoard[[#This Row],[Date]]&gt;=FFrom,tblBoard[[#This Row],[Date]]&lt;=FTo,OR(DashLine="",tblBoard[[#This Row],[Line]]=DashLine)),tblBoard[[#This Row],[Date]],""))</f>
        <v>46300</v>
      </c>
      <c r="U1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 s="43" t="s">
        <v>144</v>
      </c>
    </row>
    <row r="15" spans="1:22" x14ac:dyDescent="0.25">
      <c r="B15" s="36">
        <v>46300</v>
      </c>
      <c r="C15" s="28" t="s">
        <v>91</v>
      </c>
      <c r="D15" s="28" t="s">
        <v>88</v>
      </c>
      <c r="E15" s="33">
        <v>2</v>
      </c>
      <c r="F15" s="28" t="s">
        <v>107</v>
      </c>
      <c r="G15" s="33">
        <v>60</v>
      </c>
      <c r="H15" s="33">
        <v>124</v>
      </c>
      <c r="I15" s="28"/>
      <c r="J15" s="37">
        <f>IF(tblBoard[[#This Row],[Date]]="","",IFERROR(INDEX(tblProducts[Takt time (s)],MATCH(tblBoard[[#This Row],[Product]],tblProducts[Product],0)),""))</f>
        <v>30</v>
      </c>
      <c r="K15" s="38">
        <f>IF(tblBoard[[#This Row],[Date]]="","",IF(OR(tblBoard[[#This Row],[Takt (s)]]="",tblBoard[[#This Row],[Available (min)]]=""),"",INT(tblBoard[[#This Row],[Available (min)]]*60/tblBoard[[#This Row],[Takt (s)]])))</f>
        <v>120</v>
      </c>
      <c r="L15" s="38">
        <f>IF(tblBoard[[#This Row],[Date]]="","",IF(tblBoard[[#This Row],[Target (units)]]="","",tblBoard[[#This Row],[Actual (units)]]-tblBoard[[#This Row],[Target (units)]]))</f>
        <v>4</v>
      </c>
      <c r="M15" s="38">
        <f>IF(tblBoard[[#This Row],[Date]]="","",IF(tblBoard[[#This Row],[Target (units)]]="","",MAX(0,tblBoard[[#This Row],[Target (units)]]-tblBoard[[#This Row],[Actual (units)]])))</f>
        <v>0</v>
      </c>
      <c r="N15" s="39">
        <f>IF(tblBoard[[#This Row],[Date]]="","",IF(N(tblBoard[[#This Row],[Target (units)]])&gt;0,tblBoard[[#This Row],[Actual (units)]]/tblBoard[[#This Row],[Target (units)]],""))</f>
        <v>1.03333333333333</v>
      </c>
      <c r="O15" s="38">
        <f>IF(tblBoard[[#This Row],[Date]]="","",IF(N(tblBoard[[#This Row],[Target (units)]])&gt;0,IF(tblBoard[[#This Row],[Actual (units)]]&gt;=tblBoard[[#This Row],[Target (units)]]*TargetHour,1,0),""))</f>
        <v>1</v>
      </c>
      <c r="P15" s="40" t="str">
        <f>IF(NOT(ISNUMBER(tblBoard[[#This Row],[Attainment]])),"",IF(tblBoard[[#This Row],[Attainment]]&gt;=TargetHour,"On target",IF(tblBoard[[#This Row],[Attainment]]&gt;=TargetHour*(1-0.05),"Near target","Below target")))</f>
        <v>On target</v>
      </c>
      <c r="Q15" s="38">
        <f>IF(tblBoard[[#This Row],[Date]]="","",IF(tblBoard[[#This Row],[Hour]]="","",SUMIFS(tblBoard[Target (units)],tblBoard[Date],tblBoard[[#This Row],[Date]],tblBoard[Shift],tblBoard[[#This Row],[Shift]],tblBoard[Line],tblBoard[[#This Row],[Line]],tblBoard[Hour],"&lt;="&amp;tblBoard[[#This Row],[Hour]])))</f>
        <v>240</v>
      </c>
      <c r="R15" s="38">
        <f>IF(tblBoard[[#This Row],[Date]]="","",IF(tblBoard[[#This Row],[Hour]]="","",SUMIFS(tblBoard[Actual (units)],tblBoard[Date],tblBoard[[#This Row],[Date]],tblBoard[Shift],tblBoard[[#This Row],[Shift]],tblBoard[Line],tblBoard[[#This Row],[Line]],tblBoard[Hour],"&lt;="&amp;tblBoard[[#This Row],[Hour]])))</f>
        <v>226</v>
      </c>
      <c r="S15" s="38">
        <f>IF(tblBoard[[#This Row],[Date]]="","",IF(tblBoard[[#This Row],[Cum. target]]="","",tblBoard[[#This Row],[Cum. actual]]-tblBoard[[#This Row],[Cum. target]]))</f>
        <v>-14</v>
      </c>
      <c r="T15" s="41">
        <f>IF(tblBoard[[#This Row],[Date]]="","",IF(AND(tblBoard[[#This Row],[Date]]&gt;=FFrom,tblBoard[[#This Row],[Date]]&lt;=FTo,OR(DashLine="",tblBoard[[#This Row],[Line]]=DashLine)),tblBoard[[#This Row],[Date]],""))</f>
        <v>46300</v>
      </c>
      <c r="U1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 s="43" t="s">
        <v>97</v>
      </c>
    </row>
    <row r="16" spans="1:22" x14ac:dyDescent="0.25">
      <c r="B16" s="36">
        <v>46300</v>
      </c>
      <c r="C16" s="28" t="s">
        <v>91</v>
      </c>
      <c r="D16" s="28" t="s">
        <v>88</v>
      </c>
      <c r="E16" s="33">
        <v>3</v>
      </c>
      <c r="F16" s="28" t="s">
        <v>107</v>
      </c>
      <c r="G16" s="33">
        <v>50</v>
      </c>
      <c r="H16" s="33">
        <v>44</v>
      </c>
      <c r="I16" s="28" t="s">
        <v>112</v>
      </c>
      <c r="J16" s="37">
        <f>IF(tblBoard[[#This Row],[Date]]="","",IFERROR(INDEX(tblProducts[Takt time (s)],MATCH(tblBoard[[#This Row],[Product]],tblProducts[Product],0)),""))</f>
        <v>30</v>
      </c>
      <c r="K16" s="38">
        <f>IF(tblBoard[[#This Row],[Date]]="","",IF(OR(tblBoard[[#This Row],[Takt (s)]]="",tblBoard[[#This Row],[Available (min)]]=""),"",INT(tblBoard[[#This Row],[Available (min)]]*60/tblBoard[[#This Row],[Takt (s)]])))</f>
        <v>100</v>
      </c>
      <c r="L16" s="38">
        <f>IF(tblBoard[[#This Row],[Date]]="","",IF(tblBoard[[#This Row],[Target (units)]]="","",tblBoard[[#This Row],[Actual (units)]]-tblBoard[[#This Row],[Target (units)]]))</f>
        <v>-56</v>
      </c>
      <c r="M16" s="38">
        <f>IF(tblBoard[[#This Row],[Date]]="","",IF(tblBoard[[#This Row],[Target (units)]]="","",MAX(0,tblBoard[[#This Row],[Target (units)]]-tblBoard[[#This Row],[Actual (units)]])))</f>
        <v>56</v>
      </c>
      <c r="N16" s="39">
        <f>IF(tblBoard[[#This Row],[Date]]="","",IF(N(tblBoard[[#This Row],[Target (units)]])&gt;0,tblBoard[[#This Row],[Actual (units)]]/tblBoard[[#This Row],[Target (units)]],""))</f>
        <v>0.44</v>
      </c>
      <c r="O16" s="38">
        <f>IF(tblBoard[[#This Row],[Date]]="","",IF(N(tblBoard[[#This Row],[Target (units)]])&gt;0,IF(tblBoard[[#This Row],[Actual (units)]]&gt;=tblBoard[[#This Row],[Target (units)]]*TargetHour,1,0),""))</f>
        <v>0</v>
      </c>
      <c r="P16" s="40" t="str">
        <f>IF(NOT(ISNUMBER(tblBoard[[#This Row],[Attainment]])),"",IF(tblBoard[[#This Row],[Attainment]]&gt;=TargetHour,"On target",IF(tblBoard[[#This Row],[Attainment]]&gt;=TargetHour*(1-0.05),"Near target","Below target")))</f>
        <v>Below target</v>
      </c>
      <c r="Q16" s="38">
        <f>IF(tblBoard[[#This Row],[Date]]="","",IF(tblBoard[[#This Row],[Hour]]="","",SUMIFS(tblBoard[Target (units)],tblBoard[Date],tblBoard[[#This Row],[Date]],tblBoard[Shift],tblBoard[[#This Row],[Shift]],tblBoard[Line],tblBoard[[#This Row],[Line]],tblBoard[Hour],"&lt;="&amp;tblBoard[[#This Row],[Hour]])))</f>
        <v>340</v>
      </c>
      <c r="R16" s="38">
        <f>IF(tblBoard[[#This Row],[Date]]="","",IF(tblBoard[[#This Row],[Hour]]="","",SUMIFS(tblBoard[Actual (units)],tblBoard[Date],tblBoard[[#This Row],[Date]],tblBoard[Shift],tblBoard[[#This Row],[Shift]],tblBoard[Line],tblBoard[[#This Row],[Line]],tblBoard[Hour],"&lt;="&amp;tblBoard[[#This Row],[Hour]])))</f>
        <v>270</v>
      </c>
      <c r="S16" s="38">
        <f>IF(tblBoard[[#This Row],[Date]]="","",IF(tblBoard[[#This Row],[Cum. target]]="","",tblBoard[[#This Row],[Cum. actual]]-tblBoard[[#This Row],[Cum. target]]))</f>
        <v>-70</v>
      </c>
      <c r="T16" s="41">
        <f>IF(tblBoard[[#This Row],[Date]]="","",IF(AND(tblBoard[[#This Row],[Date]]&gt;=FFrom,tblBoard[[#This Row],[Date]]&lt;=FTo,OR(DashLine="",tblBoard[[#This Row],[Line]]=DashLine)),tblBoard[[#This Row],[Date]],""))</f>
        <v>46300</v>
      </c>
      <c r="U1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 s="43" t="s">
        <v>145</v>
      </c>
    </row>
    <row r="17" spans="2:22" x14ac:dyDescent="0.25">
      <c r="B17" s="36">
        <v>46300</v>
      </c>
      <c r="C17" s="28" t="s">
        <v>91</v>
      </c>
      <c r="D17" s="28" t="s">
        <v>88</v>
      </c>
      <c r="E17" s="33">
        <v>4</v>
      </c>
      <c r="F17" s="28" t="s">
        <v>107</v>
      </c>
      <c r="G17" s="33">
        <v>60</v>
      </c>
      <c r="H17" s="33">
        <v>122</v>
      </c>
      <c r="I17" s="28"/>
      <c r="J17" s="37">
        <f>IF(tblBoard[[#This Row],[Date]]="","",IFERROR(INDEX(tblProducts[Takt time (s)],MATCH(tblBoard[[#This Row],[Product]],tblProducts[Product],0)),""))</f>
        <v>30</v>
      </c>
      <c r="K17" s="38">
        <f>IF(tblBoard[[#This Row],[Date]]="","",IF(OR(tblBoard[[#This Row],[Takt (s)]]="",tblBoard[[#This Row],[Available (min)]]=""),"",INT(tblBoard[[#This Row],[Available (min)]]*60/tblBoard[[#This Row],[Takt (s)]])))</f>
        <v>120</v>
      </c>
      <c r="L17" s="38">
        <f>IF(tblBoard[[#This Row],[Date]]="","",IF(tblBoard[[#This Row],[Target (units)]]="","",tblBoard[[#This Row],[Actual (units)]]-tblBoard[[#This Row],[Target (units)]]))</f>
        <v>2</v>
      </c>
      <c r="M17" s="38">
        <f>IF(tblBoard[[#This Row],[Date]]="","",IF(tblBoard[[#This Row],[Target (units)]]="","",MAX(0,tblBoard[[#This Row],[Target (units)]]-tblBoard[[#This Row],[Actual (units)]])))</f>
        <v>0</v>
      </c>
      <c r="N17" s="39">
        <f>IF(tblBoard[[#This Row],[Date]]="","",IF(N(tblBoard[[#This Row],[Target (units)]])&gt;0,tblBoard[[#This Row],[Actual (units)]]/tblBoard[[#This Row],[Target (units)]],""))</f>
        <v>1.01666666666667</v>
      </c>
      <c r="O17" s="38">
        <f>IF(tblBoard[[#This Row],[Date]]="","",IF(N(tblBoard[[#This Row],[Target (units)]])&gt;0,IF(tblBoard[[#This Row],[Actual (units)]]&gt;=tblBoard[[#This Row],[Target (units)]]*TargetHour,1,0),""))</f>
        <v>1</v>
      </c>
      <c r="P17" s="40" t="str">
        <f>IF(NOT(ISNUMBER(tblBoard[[#This Row],[Attainment]])),"",IF(tblBoard[[#This Row],[Attainment]]&gt;=TargetHour,"On target",IF(tblBoard[[#This Row],[Attainment]]&gt;=TargetHour*(1-0.05),"Near target","Below target")))</f>
        <v>On target</v>
      </c>
      <c r="Q17" s="38">
        <f>IF(tblBoard[[#This Row],[Date]]="","",IF(tblBoard[[#This Row],[Hour]]="","",SUMIFS(tblBoard[Target (units)],tblBoard[Date],tblBoard[[#This Row],[Date]],tblBoard[Shift],tblBoard[[#This Row],[Shift]],tblBoard[Line],tblBoard[[#This Row],[Line]],tblBoard[Hour],"&lt;="&amp;tblBoard[[#This Row],[Hour]])))</f>
        <v>460</v>
      </c>
      <c r="R17" s="38">
        <f>IF(tblBoard[[#This Row],[Date]]="","",IF(tblBoard[[#This Row],[Hour]]="","",SUMIFS(tblBoard[Actual (units)],tblBoard[Date],tblBoard[[#This Row],[Date]],tblBoard[Shift],tblBoard[[#This Row],[Shift]],tblBoard[Line],tblBoard[[#This Row],[Line]],tblBoard[Hour],"&lt;="&amp;tblBoard[[#This Row],[Hour]])))</f>
        <v>392</v>
      </c>
      <c r="S17" s="38">
        <f>IF(tblBoard[[#This Row],[Date]]="","",IF(tblBoard[[#This Row],[Cum. target]]="","",tblBoard[[#This Row],[Cum. actual]]-tblBoard[[#This Row],[Cum. target]]))</f>
        <v>-68</v>
      </c>
      <c r="T17" s="41">
        <f>IF(tblBoard[[#This Row],[Date]]="","",IF(AND(tblBoard[[#This Row],[Date]]&gt;=FFrom,tblBoard[[#This Row],[Date]]&lt;=FTo,OR(DashLine="",tblBoard[[#This Row],[Line]]=DashLine)),tblBoard[[#This Row],[Date]],""))</f>
        <v>46300</v>
      </c>
      <c r="U1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 s="43" t="s">
        <v>97</v>
      </c>
    </row>
    <row r="18" spans="2:22" x14ac:dyDescent="0.25">
      <c r="B18" s="36">
        <v>46300</v>
      </c>
      <c r="C18" s="28" t="s">
        <v>91</v>
      </c>
      <c r="D18" s="28" t="s">
        <v>88</v>
      </c>
      <c r="E18" s="33">
        <v>5</v>
      </c>
      <c r="F18" s="28" t="s">
        <v>107</v>
      </c>
      <c r="G18" s="33">
        <v>30</v>
      </c>
      <c r="H18" s="33">
        <v>62</v>
      </c>
      <c r="I18" s="28"/>
      <c r="J18" s="37">
        <f>IF(tblBoard[[#This Row],[Date]]="","",IFERROR(INDEX(tblProducts[Takt time (s)],MATCH(tblBoard[[#This Row],[Product]],tblProducts[Product],0)),""))</f>
        <v>30</v>
      </c>
      <c r="K18" s="38">
        <f>IF(tblBoard[[#This Row],[Date]]="","",IF(OR(tblBoard[[#This Row],[Takt (s)]]="",tblBoard[[#This Row],[Available (min)]]=""),"",INT(tblBoard[[#This Row],[Available (min)]]*60/tblBoard[[#This Row],[Takt (s)]])))</f>
        <v>60</v>
      </c>
      <c r="L18" s="38">
        <f>IF(tblBoard[[#This Row],[Date]]="","",IF(tblBoard[[#This Row],[Target (units)]]="","",tblBoard[[#This Row],[Actual (units)]]-tblBoard[[#This Row],[Target (units)]]))</f>
        <v>2</v>
      </c>
      <c r="M18" s="38">
        <f>IF(tblBoard[[#This Row],[Date]]="","",IF(tblBoard[[#This Row],[Target (units)]]="","",MAX(0,tblBoard[[#This Row],[Target (units)]]-tblBoard[[#This Row],[Actual (units)]])))</f>
        <v>0</v>
      </c>
      <c r="N18" s="39">
        <f>IF(tblBoard[[#This Row],[Date]]="","",IF(N(tblBoard[[#This Row],[Target (units)]])&gt;0,tblBoard[[#This Row],[Actual (units)]]/tblBoard[[#This Row],[Target (units)]],""))</f>
        <v>1.03333333333333</v>
      </c>
      <c r="O18" s="38">
        <f>IF(tblBoard[[#This Row],[Date]]="","",IF(N(tblBoard[[#This Row],[Target (units)]])&gt;0,IF(tblBoard[[#This Row],[Actual (units)]]&gt;=tblBoard[[#This Row],[Target (units)]]*TargetHour,1,0),""))</f>
        <v>1</v>
      </c>
      <c r="P18" s="40" t="str">
        <f>IF(NOT(ISNUMBER(tblBoard[[#This Row],[Attainment]])),"",IF(tblBoard[[#This Row],[Attainment]]&gt;=TargetHour,"On target",IF(tblBoard[[#This Row],[Attainment]]&gt;=TargetHour*(1-0.05),"Near target","Below target")))</f>
        <v>On target</v>
      </c>
      <c r="Q18" s="38">
        <f>IF(tblBoard[[#This Row],[Date]]="","",IF(tblBoard[[#This Row],[Hour]]="","",SUMIFS(tblBoard[Target (units)],tblBoard[Date],tblBoard[[#This Row],[Date]],tblBoard[Shift],tblBoard[[#This Row],[Shift]],tblBoard[Line],tblBoard[[#This Row],[Line]],tblBoard[Hour],"&lt;="&amp;tblBoard[[#This Row],[Hour]])))</f>
        <v>520</v>
      </c>
      <c r="R18" s="38">
        <f>IF(tblBoard[[#This Row],[Date]]="","",IF(tblBoard[[#This Row],[Hour]]="","",SUMIFS(tblBoard[Actual (units)],tblBoard[Date],tblBoard[[#This Row],[Date]],tblBoard[Shift],tblBoard[[#This Row],[Shift]],tblBoard[Line],tblBoard[[#This Row],[Line]],tblBoard[Hour],"&lt;="&amp;tblBoard[[#This Row],[Hour]])))</f>
        <v>454</v>
      </c>
      <c r="S18" s="38">
        <f>IF(tblBoard[[#This Row],[Date]]="","",IF(tblBoard[[#This Row],[Cum. target]]="","",tblBoard[[#This Row],[Cum. actual]]-tblBoard[[#This Row],[Cum. target]]))</f>
        <v>-66</v>
      </c>
      <c r="T18" s="41">
        <f>IF(tblBoard[[#This Row],[Date]]="","",IF(AND(tblBoard[[#This Row],[Date]]&gt;=FFrom,tblBoard[[#This Row],[Date]]&lt;=FTo,OR(DashLine="",tblBoard[[#This Row],[Line]]=DashLine)),tblBoard[[#This Row],[Date]],""))</f>
        <v>46300</v>
      </c>
      <c r="U1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 s="43" t="s">
        <v>97</v>
      </c>
    </row>
    <row r="19" spans="2:22" x14ac:dyDescent="0.25">
      <c r="B19" s="36">
        <v>46300</v>
      </c>
      <c r="C19" s="28" t="s">
        <v>91</v>
      </c>
      <c r="D19" s="28" t="s">
        <v>88</v>
      </c>
      <c r="E19" s="33">
        <v>6</v>
      </c>
      <c r="F19" s="28" t="s">
        <v>107</v>
      </c>
      <c r="G19" s="33">
        <v>60</v>
      </c>
      <c r="H19" s="33">
        <v>118</v>
      </c>
      <c r="I19" s="28" t="s">
        <v>114</v>
      </c>
      <c r="J19" s="37">
        <f>IF(tblBoard[[#This Row],[Date]]="","",IFERROR(INDEX(tblProducts[Takt time (s)],MATCH(tblBoard[[#This Row],[Product]],tblProducts[Product],0)),""))</f>
        <v>30</v>
      </c>
      <c r="K19" s="38">
        <f>IF(tblBoard[[#This Row],[Date]]="","",IF(OR(tblBoard[[#This Row],[Takt (s)]]="",tblBoard[[#This Row],[Available (min)]]=""),"",INT(tblBoard[[#This Row],[Available (min)]]*60/tblBoard[[#This Row],[Takt (s)]])))</f>
        <v>120</v>
      </c>
      <c r="L19" s="38">
        <f>IF(tblBoard[[#This Row],[Date]]="","",IF(tblBoard[[#This Row],[Target (units)]]="","",tblBoard[[#This Row],[Actual (units)]]-tblBoard[[#This Row],[Target (units)]]))</f>
        <v>-2</v>
      </c>
      <c r="M19" s="38">
        <f>IF(tblBoard[[#This Row],[Date]]="","",IF(tblBoard[[#This Row],[Target (units)]]="","",MAX(0,tblBoard[[#This Row],[Target (units)]]-tblBoard[[#This Row],[Actual (units)]])))</f>
        <v>2</v>
      </c>
      <c r="N19" s="39">
        <f>IF(tblBoard[[#This Row],[Date]]="","",IF(N(tblBoard[[#This Row],[Target (units)]])&gt;0,tblBoard[[#This Row],[Actual (units)]]/tblBoard[[#This Row],[Target (units)]],""))</f>
        <v>0.983333333333333</v>
      </c>
      <c r="O19" s="38">
        <f>IF(tblBoard[[#This Row],[Date]]="","",IF(N(tblBoard[[#This Row],[Target (units)]])&gt;0,IF(tblBoard[[#This Row],[Actual (units)]]&gt;=tblBoard[[#This Row],[Target (units)]]*TargetHour,1,0),""))</f>
        <v>0</v>
      </c>
      <c r="P19" s="40" t="str">
        <f>IF(NOT(ISNUMBER(tblBoard[[#This Row],[Attainment]])),"",IF(tblBoard[[#This Row],[Attainment]]&gt;=TargetHour,"On target",IF(tblBoard[[#This Row],[Attainment]]&gt;=TargetHour*(1-0.05),"Near target","Below target")))</f>
        <v>Near target</v>
      </c>
      <c r="Q19" s="38">
        <f>IF(tblBoard[[#This Row],[Date]]="","",IF(tblBoard[[#This Row],[Hour]]="","",SUMIFS(tblBoard[Target (units)],tblBoard[Date],tblBoard[[#This Row],[Date]],tblBoard[Shift],tblBoard[[#This Row],[Shift]],tblBoard[Line],tblBoard[[#This Row],[Line]],tblBoard[Hour],"&lt;="&amp;tblBoard[[#This Row],[Hour]])))</f>
        <v>640</v>
      </c>
      <c r="R19" s="38">
        <f>IF(tblBoard[[#This Row],[Date]]="","",IF(tblBoard[[#This Row],[Hour]]="","",SUMIFS(tblBoard[Actual (units)],tblBoard[Date],tblBoard[[#This Row],[Date]],tblBoard[Shift],tblBoard[[#This Row],[Shift]],tblBoard[Line],tblBoard[[#This Row],[Line]],tblBoard[Hour],"&lt;="&amp;tblBoard[[#This Row],[Hour]])))</f>
        <v>572</v>
      </c>
      <c r="S19" s="38">
        <f>IF(tblBoard[[#This Row],[Date]]="","",IF(tblBoard[[#This Row],[Cum. target]]="","",tblBoard[[#This Row],[Cum. actual]]-tblBoard[[#This Row],[Cum. target]]))</f>
        <v>-68</v>
      </c>
      <c r="T19" s="41">
        <f>IF(tblBoard[[#This Row],[Date]]="","",IF(AND(tblBoard[[#This Row],[Date]]&gt;=FFrom,tblBoard[[#This Row],[Date]]&lt;=FTo,OR(DashLine="",tblBoard[[#This Row],[Line]]=DashLine)),tblBoard[[#This Row],[Date]],""))</f>
        <v>46300</v>
      </c>
      <c r="U1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 s="43" t="s">
        <v>97</v>
      </c>
    </row>
    <row r="20" spans="2:22" x14ac:dyDescent="0.25">
      <c r="B20" s="36">
        <v>46300</v>
      </c>
      <c r="C20" s="28" t="s">
        <v>91</v>
      </c>
      <c r="D20" s="28" t="s">
        <v>88</v>
      </c>
      <c r="E20" s="33">
        <v>7</v>
      </c>
      <c r="F20" s="28" t="s">
        <v>107</v>
      </c>
      <c r="G20" s="33">
        <v>50</v>
      </c>
      <c r="H20" s="33">
        <v>103</v>
      </c>
      <c r="I20" s="28"/>
      <c r="J20" s="37">
        <f>IF(tblBoard[[#This Row],[Date]]="","",IFERROR(INDEX(tblProducts[Takt time (s)],MATCH(tblBoard[[#This Row],[Product]],tblProducts[Product],0)),""))</f>
        <v>30</v>
      </c>
      <c r="K20" s="38">
        <f>IF(tblBoard[[#This Row],[Date]]="","",IF(OR(tblBoard[[#This Row],[Takt (s)]]="",tblBoard[[#This Row],[Available (min)]]=""),"",INT(tblBoard[[#This Row],[Available (min)]]*60/tblBoard[[#This Row],[Takt (s)]])))</f>
        <v>100</v>
      </c>
      <c r="L20" s="38">
        <f>IF(tblBoard[[#This Row],[Date]]="","",IF(tblBoard[[#This Row],[Target (units)]]="","",tblBoard[[#This Row],[Actual (units)]]-tblBoard[[#This Row],[Target (units)]]))</f>
        <v>3</v>
      </c>
      <c r="M20" s="38">
        <f>IF(tblBoard[[#This Row],[Date]]="","",IF(tblBoard[[#This Row],[Target (units)]]="","",MAX(0,tblBoard[[#This Row],[Target (units)]]-tblBoard[[#This Row],[Actual (units)]])))</f>
        <v>0</v>
      </c>
      <c r="N20" s="39">
        <f>IF(tblBoard[[#This Row],[Date]]="","",IF(N(tblBoard[[#This Row],[Target (units)]])&gt;0,tblBoard[[#This Row],[Actual (units)]]/tblBoard[[#This Row],[Target (units)]],""))</f>
        <v>1.03</v>
      </c>
      <c r="O20" s="38">
        <f>IF(tblBoard[[#This Row],[Date]]="","",IF(N(tblBoard[[#This Row],[Target (units)]])&gt;0,IF(tblBoard[[#This Row],[Actual (units)]]&gt;=tblBoard[[#This Row],[Target (units)]]*TargetHour,1,0),""))</f>
        <v>1</v>
      </c>
      <c r="P20" s="40" t="str">
        <f>IF(NOT(ISNUMBER(tblBoard[[#This Row],[Attainment]])),"",IF(tblBoard[[#This Row],[Attainment]]&gt;=TargetHour,"On target",IF(tblBoard[[#This Row],[Attainment]]&gt;=TargetHour*(1-0.05),"Near target","Below target")))</f>
        <v>On target</v>
      </c>
      <c r="Q20" s="38">
        <f>IF(tblBoard[[#This Row],[Date]]="","",IF(tblBoard[[#This Row],[Hour]]="","",SUMIFS(tblBoard[Target (units)],tblBoard[Date],tblBoard[[#This Row],[Date]],tblBoard[Shift],tblBoard[[#This Row],[Shift]],tblBoard[Line],tblBoard[[#This Row],[Line]],tblBoard[Hour],"&lt;="&amp;tblBoard[[#This Row],[Hour]])))</f>
        <v>740</v>
      </c>
      <c r="R20" s="38">
        <f>IF(tblBoard[[#This Row],[Date]]="","",IF(tblBoard[[#This Row],[Hour]]="","",SUMIFS(tblBoard[Actual (units)],tblBoard[Date],tblBoard[[#This Row],[Date]],tblBoard[Shift],tblBoard[[#This Row],[Shift]],tblBoard[Line],tblBoard[[#This Row],[Line]],tblBoard[Hour],"&lt;="&amp;tblBoard[[#This Row],[Hour]])))</f>
        <v>675</v>
      </c>
      <c r="S20" s="38">
        <f>IF(tblBoard[[#This Row],[Date]]="","",IF(tblBoard[[#This Row],[Cum. target]]="","",tblBoard[[#This Row],[Cum. actual]]-tblBoard[[#This Row],[Cum. target]]))</f>
        <v>-65</v>
      </c>
      <c r="T20" s="41">
        <f>IF(tblBoard[[#This Row],[Date]]="","",IF(AND(tblBoard[[#This Row],[Date]]&gt;=FFrom,tblBoard[[#This Row],[Date]]&lt;=FTo,OR(DashLine="",tblBoard[[#This Row],[Line]]=DashLine)),tblBoard[[#This Row],[Date]],""))</f>
        <v>46300</v>
      </c>
      <c r="U2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 s="43" t="s">
        <v>97</v>
      </c>
    </row>
    <row r="21" spans="2:22" x14ac:dyDescent="0.25">
      <c r="B21" s="36">
        <v>46300</v>
      </c>
      <c r="C21" s="28" t="s">
        <v>91</v>
      </c>
      <c r="D21" s="28" t="s">
        <v>88</v>
      </c>
      <c r="E21" s="33">
        <v>8</v>
      </c>
      <c r="F21" s="28" t="s">
        <v>107</v>
      </c>
      <c r="G21" s="33">
        <v>50</v>
      </c>
      <c r="H21" s="33">
        <v>100</v>
      </c>
      <c r="I21" s="28"/>
      <c r="J21" s="37">
        <f>IF(tblBoard[[#This Row],[Date]]="","",IFERROR(INDEX(tblProducts[Takt time (s)],MATCH(tblBoard[[#This Row],[Product]],tblProducts[Product],0)),""))</f>
        <v>30</v>
      </c>
      <c r="K21" s="38">
        <f>IF(tblBoard[[#This Row],[Date]]="","",IF(OR(tblBoard[[#This Row],[Takt (s)]]="",tblBoard[[#This Row],[Available (min)]]=""),"",INT(tblBoard[[#This Row],[Available (min)]]*60/tblBoard[[#This Row],[Takt (s)]])))</f>
        <v>100</v>
      </c>
      <c r="L21" s="38">
        <f>IF(tblBoard[[#This Row],[Date]]="","",IF(tblBoard[[#This Row],[Target (units)]]="","",tblBoard[[#This Row],[Actual (units)]]-tblBoard[[#This Row],[Target (units)]]))</f>
        <v>0</v>
      </c>
      <c r="M21" s="38">
        <f>IF(tblBoard[[#This Row],[Date]]="","",IF(tblBoard[[#This Row],[Target (units)]]="","",MAX(0,tblBoard[[#This Row],[Target (units)]]-tblBoard[[#This Row],[Actual (units)]])))</f>
        <v>0</v>
      </c>
      <c r="N21" s="39">
        <f>IF(tblBoard[[#This Row],[Date]]="","",IF(N(tblBoard[[#This Row],[Target (units)]])&gt;0,tblBoard[[#This Row],[Actual (units)]]/tblBoard[[#This Row],[Target (units)]],""))</f>
        <v>1</v>
      </c>
      <c r="O21" s="38">
        <f>IF(tblBoard[[#This Row],[Date]]="","",IF(N(tblBoard[[#This Row],[Target (units)]])&gt;0,IF(tblBoard[[#This Row],[Actual (units)]]&gt;=tblBoard[[#This Row],[Target (units)]]*TargetHour,1,0),""))</f>
        <v>1</v>
      </c>
      <c r="P21" s="40" t="str">
        <f>IF(NOT(ISNUMBER(tblBoard[[#This Row],[Attainment]])),"",IF(tblBoard[[#This Row],[Attainment]]&gt;=TargetHour,"On target",IF(tblBoard[[#This Row],[Attainment]]&gt;=TargetHour*(1-0.05),"Near target","Below target")))</f>
        <v>On target</v>
      </c>
      <c r="Q21" s="38">
        <f>IF(tblBoard[[#This Row],[Date]]="","",IF(tblBoard[[#This Row],[Hour]]="","",SUMIFS(tblBoard[Target (units)],tblBoard[Date],tblBoard[[#This Row],[Date]],tblBoard[Shift],tblBoard[[#This Row],[Shift]],tblBoard[Line],tblBoard[[#This Row],[Line]],tblBoard[Hour],"&lt;="&amp;tblBoard[[#This Row],[Hour]])))</f>
        <v>840</v>
      </c>
      <c r="R21" s="38">
        <f>IF(tblBoard[[#This Row],[Date]]="","",IF(tblBoard[[#This Row],[Hour]]="","",SUMIFS(tblBoard[Actual (units)],tblBoard[Date],tblBoard[[#This Row],[Date]],tblBoard[Shift],tblBoard[[#This Row],[Shift]],tblBoard[Line],tblBoard[[#This Row],[Line]],tblBoard[Hour],"&lt;="&amp;tblBoard[[#This Row],[Hour]])))</f>
        <v>775</v>
      </c>
      <c r="S21" s="38">
        <f>IF(tblBoard[[#This Row],[Date]]="","",IF(tblBoard[[#This Row],[Cum. target]]="","",tblBoard[[#This Row],[Cum. actual]]-tblBoard[[#This Row],[Cum. target]]))</f>
        <v>-65</v>
      </c>
      <c r="T21" s="41">
        <f>IF(tblBoard[[#This Row],[Date]]="","",IF(AND(tblBoard[[#This Row],[Date]]&gt;=FFrom,tblBoard[[#This Row],[Date]]&lt;=FTo,OR(DashLine="",tblBoard[[#This Row],[Line]]=DashLine)),tblBoard[[#This Row],[Date]],""))</f>
        <v>46300</v>
      </c>
      <c r="U2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 s="43" t="s">
        <v>97</v>
      </c>
    </row>
    <row r="22" spans="2:22" x14ac:dyDescent="0.25">
      <c r="B22" s="36">
        <v>46300</v>
      </c>
      <c r="C22" s="28" t="s">
        <v>93</v>
      </c>
      <c r="D22" s="28" t="s">
        <v>85</v>
      </c>
      <c r="E22" s="33">
        <v>1</v>
      </c>
      <c r="F22" s="28" t="s">
        <v>103</v>
      </c>
      <c r="G22" s="33">
        <v>60</v>
      </c>
      <c r="H22" s="33">
        <v>78</v>
      </c>
      <c r="I22" s="28" t="s">
        <v>110</v>
      </c>
      <c r="J22" s="37">
        <f>IF(tblBoard[[#This Row],[Date]]="","",IFERROR(INDEX(tblProducts[Takt time (s)],MATCH(tblBoard[[#This Row],[Product]],tblProducts[Product],0)),""))</f>
        <v>40</v>
      </c>
      <c r="K22" s="38">
        <f>IF(tblBoard[[#This Row],[Date]]="","",IF(OR(tblBoard[[#This Row],[Takt (s)]]="",tblBoard[[#This Row],[Available (min)]]=""),"",INT(tblBoard[[#This Row],[Available (min)]]*60/tblBoard[[#This Row],[Takt (s)]])))</f>
        <v>90</v>
      </c>
      <c r="L22" s="38">
        <f>IF(tblBoard[[#This Row],[Date]]="","",IF(tblBoard[[#This Row],[Target (units)]]="","",tblBoard[[#This Row],[Actual (units)]]-tblBoard[[#This Row],[Target (units)]]))</f>
        <v>-12</v>
      </c>
      <c r="M22" s="38">
        <f>IF(tblBoard[[#This Row],[Date]]="","",IF(tblBoard[[#This Row],[Target (units)]]="","",MAX(0,tblBoard[[#This Row],[Target (units)]]-tblBoard[[#This Row],[Actual (units)]])))</f>
        <v>12</v>
      </c>
      <c r="N22" s="39">
        <f>IF(tblBoard[[#This Row],[Date]]="","",IF(N(tblBoard[[#This Row],[Target (units)]])&gt;0,tblBoard[[#This Row],[Actual (units)]]/tblBoard[[#This Row],[Target (units)]],""))</f>
        <v>0.866666666666667</v>
      </c>
      <c r="O22" s="38">
        <f>IF(tblBoard[[#This Row],[Date]]="","",IF(N(tblBoard[[#This Row],[Target (units)]])&gt;0,IF(tblBoard[[#This Row],[Actual (units)]]&gt;=tblBoard[[#This Row],[Target (units)]]*TargetHour,1,0),""))</f>
        <v>0</v>
      </c>
      <c r="P22" s="40" t="str">
        <f>IF(NOT(ISNUMBER(tblBoard[[#This Row],[Attainment]])),"",IF(tblBoard[[#This Row],[Attainment]]&gt;=TargetHour,"On target",IF(tblBoard[[#This Row],[Attainment]]&gt;=TargetHour*(1-0.05),"Near target","Below target")))</f>
        <v>Below target</v>
      </c>
      <c r="Q22" s="38">
        <f>IF(tblBoard[[#This Row],[Date]]="","",IF(tblBoard[[#This Row],[Hour]]="","",SUMIFS(tblBoard[Target (units)],tblBoard[Date],tblBoard[[#This Row],[Date]],tblBoard[Shift],tblBoard[[#This Row],[Shift]],tblBoard[Line],tblBoard[[#This Row],[Line]],tblBoard[Hour],"&lt;="&amp;tblBoard[[#This Row],[Hour]])))</f>
        <v>90</v>
      </c>
      <c r="R22" s="38">
        <f>IF(tblBoard[[#This Row],[Date]]="","",IF(tblBoard[[#This Row],[Hour]]="","",SUMIFS(tblBoard[Actual (units)],tblBoard[Date],tblBoard[[#This Row],[Date]],tblBoard[Shift],tblBoard[[#This Row],[Shift]],tblBoard[Line],tblBoard[[#This Row],[Line]],tblBoard[Hour],"&lt;="&amp;tblBoard[[#This Row],[Hour]])))</f>
        <v>78</v>
      </c>
      <c r="S22" s="38">
        <f>IF(tblBoard[[#This Row],[Date]]="","",IF(tblBoard[[#This Row],[Cum. target]]="","",tblBoard[[#This Row],[Cum. actual]]-tblBoard[[#This Row],[Cum. target]]))</f>
        <v>-12</v>
      </c>
      <c r="T22" s="41">
        <f>IF(tblBoard[[#This Row],[Date]]="","",IF(AND(tblBoard[[#This Row],[Date]]&gt;=FFrom,tblBoard[[#This Row],[Date]]&lt;=FTo,OR(DashLine="",tblBoard[[#This Row],[Line]]=DashLine)),tblBoard[[#This Row],[Date]],""))</f>
        <v>46300</v>
      </c>
      <c r="U2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 s="43" t="s">
        <v>97</v>
      </c>
    </row>
    <row r="23" spans="2:22" x14ac:dyDescent="0.25">
      <c r="B23" s="36">
        <v>46300</v>
      </c>
      <c r="C23" s="28" t="s">
        <v>93</v>
      </c>
      <c r="D23" s="28" t="s">
        <v>85</v>
      </c>
      <c r="E23" s="33">
        <v>2</v>
      </c>
      <c r="F23" s="28" t="s">
        <v>103</v>
      </c>
      <c r="G23" s="33">
        <v>60</v>
      </c>
      <c r="H23" s="33">
        <v>89</v>
      </c>
      <c r="I23" s="28" t="s">
        <v>114</v>
      </c>
      <c r="J23" s="37">
        <f>IF(tblBoard[[#This Row],[Date]]="","",IFERROR(INDEX(tblProducts[Takt time (s)],MATCH(tblBoard[[#This Row],[Product]],tblProducts[Product],0)),""))</f>
        <v>40</v>
      </c>
      <c r="K23" s="38">
        <f>IF(tblBoard[[#This Row],[Date]]="","",IF(OR(tblBoard[[#This Row],[Takt (s)]]="",tblBoard[[#This Row],[Available (min)]]=""),"",INT(tblBoard[[#This Row],[Available (min)]]*60/tblBoard[[#This Row],[Takt (s)]])))</f>
        <v>90</v>
      </c>
      <c r="L23" s="38">
        <f>IF(tblBoard[[#This Row],[Date]]="","",IF(tblBoard[[#This Row],[Target (units)]]="","",tblBoard[[#This Row],[Actual (units)]]-tblBoard[[#This Row],[Target (units)]]))</f>
        <v>-1</v>
      </c>
      <c r="M23" s="38">
        <f>IF(tblBoard[[#This Row],[Date]]="","",IF(tblBoard[[#This Row],[Target (units)]]="","",MAX(0,tblBoard[[#This Row],[Target (units)]]-tblBoard[[#This Row],[Actual (units)]])))</f>
        <v>1</v>
      </c>
      <c r="N23" s="39">
        <f>IF(tblBoard[[#This Row],[Date]]="","",IF(N(tblBoard[[#This Row],[Target (units)]])&gt;0,tblBoard[[#This Row],[Actual (units)]]/tblBoard[[#This Row],[Target (units)]],""))</f>
        <v>0.988888888888889</v>
      </c>
      <c r="O23" s="38">
        <f>IF(tblBoard[[#This Row],[Date]]="","",IF(N(tblBoard[[#This Row],[Target (units)]])&gt;0,IF(tblBoard[[#This Row],[Actual (units)]]&gt;=tblBoard[[#This Row],[Target (units)]]*TargetHour,1,0),""))</f>
        <v>0</v>
      </c>
      <c r="P23" s="40" t="str">
        <f>IF(NOT(ISNUMBER(tblBoard[[#This Row],[Attainment]])),"",IF(tblBoard[[#This Row],[Attainment]]&gt;=TargetHour,"On target",IF(tblBoard[[#This Row],[Attainment]]&gt;=TargetHour*(1-0.05),"Near target","Below target")))</f>
        <v>Near target</v>
      </c>
      <c r="Q23" s="38">
        <f>IF(tblBoard[[#This Row],[Date]]="","",IF(tblBoard[[#This Row],[Hour]]="","",SUMIFS(tblBoard[Target (units)],tblBoard[Date],tblBoard[[#This Row],[Date]],tblBoard[Shift],tblBoard[[#This Row],[Shift]],tblBoard[Line],tblBoard[[#This Row],[Line]],tblBoard[Hour],"&lt;="&amp;tblBoard[[#This Row],[Hour]])))</f>
        <v>180</v>
      </c>
      <c r="R23" s="38">
        <f>IF(tblBoard[[#This Row],[Date]]="","",IF(tblBoard[[#This Row],[Hour]]="","",SUMIFS(tblBoard[Actual (units)],tblBoard[Date],tblBoard[[#This Row],[Date]],tblBoard[Shift],tblBoard[[#This Row],[Shift]],tblBoard[Line],tblBoard[[#This Row],[Line]],tblBoard[Hour],"&lt;="&amp;tblBoard[[#This Row],[Hour]])))</f>
        <v>167</v>
      </c>
      <c r="S23" s="38">
        <f>IF(tblBoard[[#This Row],[Date]]="","",IF(tblBoard[[#This Row],[Cum. target]]="","",tblBoard[[#This Row],[Cum. actual]]-tblBoard[[#This Row],[Cum. target]]))</f>
        <v>-13</v>
      </c>
      <c r="T23" s="41">
        <f>IF(tblBoard[[#This Row],[Date]]="","",IF(AND(tblBoard[[#This Row],[Date]]&gt;=FFrom,tblBoard[[#This Row],[Date]]&lt;=FTo,OR(DashLine="",tblBoard[[#This Row],[Line]]=DashLine)),tblBoard[[#This Row],[Date]],""))</f>
        <v>46300</v>
      </c>
      <c r="U2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 s="43" t="s">
        <v>97</v>
      </c>
    </row>
    <row r="24" spans="2:22" x14ac:dyDescent="0.25">
      <c r="B24" s="36">
        <v>46300</v>
      </c>
      <c r="C24" s="28" t="s">
        <v>93</v>
      </c>
      <c r="D24" s="28" t="s">
        <v>85</v>
      </c>
      <c r="E24" s="33">
        <v>3</v>
      </c>
      <c r="F24" s="28" t="s">
        <v>103</v>
      </c>
      <c r="G24" s="33">
        <v>50</v>
      </c>
      <c r="H24" s="33">
        <v>79</v>
      </c>
      <c r="I24" s="28"/>
      <c r="J24" s="37">
        <f>IF(tblBoard[[#This Row],[Date]]="","",IFERROR(INDEX(tblProducts[Takt time (s)],MATCH(tblBoard[[#This Row],[Product]],tblProducts[Product],0)),""))</f>
        <v>40</v>
      </c>
      <c r="K24" s="38">
        <f>IF(tblBoard[[#This Row],[Date]]="","",IF(OR(tblBoard[[#This Row],[Takt (s)]]="",tblBoard[[#This Row],[Available (min)]]=""),"",INT(tblBoard[[#This Row],[Available (min)]]*60/tblBoard[[#This Row],[Takt (s)]])))</f>
        <v>75</v>
      </c>
      <c r="L24" s="38">
        <f>IF(tblBoard[[#This Row],[Date]]="","",IF(tblBoard[[#This Row],[Target (units)]]="","",tblBoard[[#This Row],[Actual (units)]]-tblBoard[[#This Row],[Target (units)]]))</f>
        <v>4</v>
      </c>
      <c r="M24" s="38">
        <f>IF(tblBoard[[#This Row],[Date]]="","",IF(tblBoard[[#This Row],[Target (units)]]="","",MAX(0,tblBoard[[#This Row],[Target (units)]]-tblBoard[[#This Row],[Actual (units)]])))</f>
        <v>0</v>
      </c>
      <c r="N24" s="39">
        <f>IF(tblBoard[[#This Row],[Date]]="","",IF(N(tblBoard[[#This Row],[Target (units)]])&gt;0,tblBoard[[#This Row],[Actual (units)]]/tblBoard[[#This Row],[Target (units)]],""))</f>
        <v>1.05333333333333</v>
      </c>
      <c r="O24" s="38">
        <f>IF(tblBoard[[#This Row],[Date]]="","",IF(N(tblBoard[[#This Row],[Target (units)]])&gt;0,IF(tblBoard[[#This Row],[Actual (units)]]&gt;=tblBoard[[#This Row],[Target (units)]]*TargetHour,1,0),""))</f>
        <v>1</v>
      </c>
      <c r="P24" s="40" t="str">
        <f>IF(NOT(ISNUMBER(tblBoard[[#This Row],[Attainment]])),"",IF(tblBoard[[#This Row],[Attainment]]&gt;=TargetHour,"On target",IF(tblBoard[[#This Row],[Attainment]]&gt;=TargetHour*(1-0.05),"Near target","Below target")))</f>
        <v>On target</v>
      </c>
      <c r="Q24" s="38">
        <f>IF(tblBoard[[#This Row],[Date]]="","",IF(tblBoard[[#This Row],[Hour]]="","",SUMIFS(tblBoard[Target (units)],tblBoard[Date],tblBoard[[#This Row],[Date]],tblBoard[Shift],tblBoard[[#This Row],[Shift]],tblBoard[Line],tblBoard[[#This Row],[Line]],tblBoard[Hour],"&lt;="&amp;tblBoard[[#This Row],[Hour]])))</f>
        <v>255</v>
      </c>
      <c r="R24" s="38">
        <f>IF(tblBoard[[#This Row],[Date]]="","",IF(tblBoard[[#This Row],[Hour]]="","",SUMIFS(tblBoard[Actual (units)],tblBoard[Date],tblBoard[[#This Row],[Date]],tblBoard[Shift],tblBoard[[#This Row],[Shift]],tblBoard[Line],tblBoard[[#This Row],[Line]],tblBoard[Hour],"&lt;="&amp;tblBoard[[#This Row],[Hour]])))</f>
        <v>246</v>
      </c>
      <c r="S24" s="38">
        <f>IF(tblBoard[[#This Row],[Date]]="","",IF(tblBoard[[#This Row],[Cum. target]]="","",tblBoard[[#This Row],[Cum. actual]]-tblBoard[[#This Row],[Cum. target]]))</f>
        <v>-9</v>
      </c>
      <c r="T24" s="41">
        <f>IF(tblBoard[[#This Row],[Date]]="","",IF(AND(tblBoard[[#This Row],[Date]]&gt;=FFrom,tblBoard[[#This Row],[Date]]&lt;=FTo,OR(DashLine="",tblBoard[[#This Row],[Line]]=DashLine)),tblBoard[[#This Row],[Date]],""))</f>
        <v>46300</v>
      </c>
      <c r="U2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 s="43" t="s">
        <v>97</v>
      </c>
    </row>
    <row r="25" spans="2:22" x14ac:dyDescent="0.25">
      <c r="B25" s="36">
        <v>46300</v>
      </c>
      <c r="C25" s="28" t="s">
        <v>93</v>
      </c>
      <c r="D25" s="28" t="s">
        <v>85</v>
      </c>
      <c r="E25" s="33">
        <v>4</v>
      </c>
      <c r="F25" s="28" t="s">
        <v>103</v>
      </c>
      <c r="G25" s="33">
        <v>60</v>
      </c>
      <c r="H25" s="33">
        <v>85</v>
      </c>
      <c r="I25" s="28" t="s">
        <v>114</v>
      </c>
      <c r="J25" s="37">
        <f>IF(tblBoard[[#This Row],[Date]]="","",IFERROR(INDEX(tblProducts[Takt time (s)],MATCH(tblBoard[[#This Row],[Product]],tblProducts[Product],0)),""))</f>
        <v>40</v>
      </c>
      <c r="K25" s="38">
        <f>IF(tblBoard[[#This Row],[Date]]="","",IF(OR(tblBoard[[#This Row],[Takt (s)]]="",tblBoard[[#This Row],[Available (min)]]=""),"",INT(tblBoard[[#This Row],[Available (min)]]*60/tblBoard[[#This Row],[Takt (s)]])))</f>
        <v>90</v>
      </c>
      <c r="L25" s="38">
        <f>IF(tblBoard[[#This Row],[Date]]="","",IF(tblBoard[[#This Row],[Target (units)]]="","",tblBoard[[#This Row],[Actual (units)]]-tblBoard[[#This Row],[Target (units)]]))</f>
        <v>-5</v>
      </c>
      <c r="M25" s="38">
        <f>IF(tblBoard[[#This Row],[Date]]="","",IF(tblBoard[[#This Row],[Target (units)]]="","",MAX(0,tblBoard[[#This Row],[Target (units)]]-tblBoard[[#This Row],[Actual (units)]])))</f>
        <v>5</v>
      </c>
      <c r="N25" s="39">
        <f>IF(tblBoard[[#This Row],[Date]]="","",IF(N(tblBoard[[#This Row],[Target (units)]])&gt;0,tblBoard[[#This Row],[Actual (units)]]/tblBoard[[#This Row],[Target (units)]],""))</f>
        <v>0.944444444444444</v>
      </c>
      <c r="O25" s="38">
        <f>IF(tblBoard[[#This Row],[Date]]="","",IF(N(tblBoard[[#This Row],[Target (units)]])&gt;0,IF(tblBoard[[#This Row],[Actual (units)]]&gt;=tblBoard[[#This Row],[Target (units)]]*TargetHour,1,0),""))</f>
        <v>0</v>
      </c>
      <c r="P25" s="40" t="str">
        <f>IF(NOT(ISNUMBER(tblBoard[[#This Row],[Attainment]])),"",IF(tblBoard[[#This Row],[Attainment]]&gt;=TargetHour,"On target",IF(tblBoard[[#This Row],[Attainment]]&gt;=TargetHour*(1-0.05),"Near target","Below target")))</f>
        <v>Below target</v>
      </c>
      <c r="Q25" s="38">
        <f>IF(tblBoard[[#This Row],[Date]]="","",IF(tblBoard[[#This Row],[Hour]]="","",SUMIFS(tblBoard[Target (units)],tblBoard[Date],tblBoard[[#This Row],[Date]],tblBoard[Shift],tblBoard[[#This Row],[Shift]],tblBoard[Line],tblBoard[[#This Row],[Line]],tblBoard[Hour],"&lt;="&amp;tblBoard[[#This Row],[Hour]])))</f>
        <v>345</v>
      </c>
      <c r="R25" s="38">
        <f>IF(tblBoard[[#This Row],[Date]]="","",IF(tblBoard[[#This Row],[Hour]]="","",SUMIFS(tblBoard[Actual (units)],tblBoard[Date],tblBoard[[#This Row],[Date]],tblBoard[Shift],tblBoard[[#This Row],[Shift]],tblBoard[Line],tblBoard[[#This Row],[Line]],tblBoard[Hour],"&lt;="&amp;tblBoard[[#This Row],[Hour]])))</f>
        <v>331</v>
      </c>
      <c r="S25" s="38">
        <f>IF(tblBoard[[#This Row],[Date]]="","",IF(tblBoard[[#This Row],[Cum. target]]="","",tblBoard[[#This Row],[Cum. actual]]-tblBoard[[#This Row],[Cum. target]]))</f>
        <v>-14</v>
      </c>
      <c r="T25" s="41">
        <f>IF(tblBoard[[#This Row],[Date]]="","",IF(AND(tblBoard[[#This Row],[Date]]&gt;=FFrom,tblBoard[[#This Row],[Date]]&lt;=FTo,OR(DashLine="",tblBoard[[#This Row],[Line]]=DashLine)),tblBoard[[#This Row],[Date]],""))</f>
        <v>46300</v>
      </c>
      <c r="U2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 s="43" t="s">
        <v>97</v>
      </c>
    </row>
    <row r="26" spans="2:22" x14ac:dyDescent="0.25">
      <c r="B26" s="36">
        <v>46300</v>
      </c>
      <c r="C26" s="28" t="s">
        <v>93</v>
      </c>
      <c r="D26" s="28" t="s">
        <v>85</v>
      </c>
      <c r="E26" s="33">
        <v>5</v>
      </c>
      <c r="F26" s="28" t="s">
        <v>103</v>
      </c>
      <c r="G26" s="33">
        <v>30</v>
      </c>
      <c r="H26" s="33">
        <v>43</v>
      </c>
      <c r="I26" s="28" t="s">
        <v>118</v>
      </c>
      <c r="J26" s="37">
        <f>IF(tblBoard[[#This Row],[Date]]="","",IFERROR(INDEX(tblProducts[Takt time (s)],MATCH(tblBoard[[#This Row],[Product]],tblProducts[Product],0)),""))</f>
        <v>40</v>
      </c>
      <c r="K26" s="38">
        <f>IF(tblBoard[[#This Row],[Date]]="","",IF(OR(tblBoard[[#This Row],[Takt (s)]]="",tblBoard[[#This Row],[Available (min)]]=""),"",INT(tblBoard[[#This Row],[Available (min)]]*60/tblBoard[[#This Row],[Takt (s)]])))</f>
        <v>45</v>
      </c>
      <c r="L26" s="38">
        <f>IF(tblBoard[[#This Row],[Date]]="","",IF(tblBoard[[#This Row],[Target (units)]]="","",tblBoard[[#This Row],[Actual (units)]]-tblBoard[[#This Row],[Target (units)]]))</f>
        <v>-2</v>
      </c>
      <c r="M26" s="38">
        <f>IF(tblBoard[[#This Row],[Date]]="","",IF(tblBoard[[#This Row],[Target (units)]]="","",MAX(0,tblBoard[[#This Row],[Target (units)]]-tblBoard[[#This Row],[Actual (units)]])))</f>
        <v>2</v>
      </c>
      <c r="N26" s="39">
        <f>IF(tblBoard[[#This Row],[Date]]="","",IF(N(tblBoard[[#This Row],[Target (units)]])&gt;0,tblBoard[[#This Row],[Actual (units)]]/tblBoard[[#This Row],[Target (units)]],""))</f>
        <v>0.955555555555556</v>
      </c>
      <c r="O26" s="38">
        <f>IF(tblBoard[[#This Row],[Date]]="","",IF(N(tblBoard[[#This Row],[Target (units)]])&gt;0,IF(tblBoard[[#This Row],[Actual (units)]]&gt;=tblBoard[[#This Row],[Target (units)]]*TargetHour,1,0),""))</f>
        <v>0</v>
      </c>
      <c r="P26" s="40" t="str">
        <f>IF(NOT(ISNUMBER(tblBoard[[#This Row],[Attainment]])),"",IF(tblBoard[[#This Row],[Attainment]]&gt;=TargetHour,"On target",IF(tblBoard[[#This Row],[Attainment]]&gt;=TargetHour*(1-0.05),"Near target","Below target")))</f>
        <v>Near target</v>
      </c>
      <c r="Q26" s="38">
        <f>IF(tblBoard[[#This Row],[Date]]="","",IF(tblBoard[[#This Row],[Hour]]="","",SUMIFS(tblBoard[Target (units)],tblBoard[Date],tblBoard[[#This Row],[Date]],tblBoard[Shift],tblBoard[[#This Row],[Shift]],tblBoard[Line],tblBoard[[#This Row],[Line]],tblBoard[Hour],"&lt;="&amp;tblBoard[[#This Row],[Hour]])))</f>
        <v>390</v>
      </c>
      <c r="R26" s="38">
        <f>IF(tblBoard[[#This Row],[Date]]="","",IF(tblBoard[[#This Row],[Hour]]="","",SUMIFS(tblBoard[Actual (units)],tblBoard[Date],tblBoard[[#This Row],[Date]],tblBoard[Shift],tblBoard[[#This Row],[Shift]],tblBoard[Line],tblBoard[[#This Row],[Line]],tblBoard[Hour],"&lt;="&amp;tblBoard[[#This Row],[Hour]])))</f>
        <v>374</v>
      </c>
      <c r="S26" s="38">
        <f>IF(tblBoard[[#This Row],[Date]]="","",IF(tblBoard[[#This Row],[Cum. target]]="","",tblBoard[[#This Row],[Cum. actual]]-tblBoard[[#This Row],[Cum. target]]))</f>
        <v>-16</v>
      </c>
      <c r="T26" s="41">
        <f>IF(tblBoard[[#This Row],[Date]]="","",IF(AND(tblBoard[[#This Row],[Date]]&gt;=FFrom,tblBoard[[#This Row],[Date]]&lt;=FTo,OR(DashLine="",tblBoard[[#This Row],[Line]]=DashLine)),tblBoard[[#This Row],[Date]],""))</f>
        <v>46300</v>
      </c>
      <c r="U2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 s="43" t="s">
        <v>97</v>
      </c>
    </row>
    <row r="27" spans="2:22" x14ac:dyDescent="0.25">
      <c r="B27" s="36">
        <v>46300</v>
      </c>
      <c r="C27" s="28" t="s">
        <v>93</v>
      </c>
      <c r="D27" s="28" t="s">
        <v>85</v>
      </c>
      <c r="E27" s="33">
        <v>6</v>
      </c>
      <c r="F27" s="28" t="s">
        <v>103</v>
      </c>
      <c r="G27" s="33">
        <v>60</v>
      </c>
      <c r="H27" s="33">
        <v>87</v>
      </c>
      <c r="I27" s="28" t="s">
        <v>118</v>
      </c>
      <c r="J27" s="37">
        <f>IF(tblBoard[[#This Row],[Date]]="","",IFERROR(INDEX(tblProducts[Takt time (s)],MATCH(tblBoard[[#This Row],[Product]],tblProducts[Product],0)),""))</f>
        <v>40</v>
      </c>
      <c r="K27" s="38">
        <f>IF(tblBoard[[#This Row],[Date]]="","",IF(OR(tblBoard[[#This Row],[Takt (s)]]="",tblBoard[[#This Row],[Available (min)]]=""),"",INT(tblBoard[[#This Row],[Available (min)]]*60/tblBoard[[#This Row],[Takt (s)]])))</f>
        <v>90</v>
      </c>
      <c r="L27" s="38">
        <f>IF(tblBoard[[#This Row],[Date]]="","",IF(tblBoard[[#This Row],[Target (units)]]="","",tblBoard[[#This Row],[Actual (units)]]-tblBoard[[#This Row],[Target (units)]]))</f>
        <v>-3</v>
      </c>
      <c r="M27" s="38">
        <f>IF(tblBoard[[#This Row],[Date]]="","",IF(tblBoard[[#This Row],[Target (units)]]="","",MAX(0,tblBoard[[#This Row],[Target (units)]]-tblBoard[[#This Row],[Actual (units)]])))</f>
        <v>3</v>
      </c>
      <c r="N27" s="39">
        <f>IF(tblBoard[[#This Row],[Date]]="","",IF(N(tblBoard[[#This Row],[Target (units)]])&gt;0,tblBoard[[#This Row],[Actual (units)]]/tblBoard[[#This Row],[Target (units)]],""))</f>
        <v>0.966666666666667</v>
      </c>
      <c r="O27" s="38">
        <f>IF(tblBoard[[#This Row],[Date]]="","",IF(N(tblBoard[[#This Row],[Target (units)]])&gt;0,IF(tblBoard[[#This Row],[Actual (units)]]&gt;=tblBoard[[#This Row],[Target (units)]]*TargetHour,1,0),""))</f>
        <v>0</v>
      </c>
      <c r="P27" s="40" t="str">
        <f>IF(NOT(ISNUMBER(tblBoard[[#This Row],[Attainment]])),"",IF(tblBoard[[#This Row],[Attainment]]&gt;=TargetHour,"On target",IF(tblBoard[[#This Row],[Attainment]]&gt;=TargetHour*(1-0.05),"Near target","Below target")))</f>
        <v>Near target</v>
      </c>
      <c r="Q27" s="38">
        <f>IF(tblBoard[[#This Row],[Date]]="","",IF(tblBoard[[#This Row],[Hour]]="","",SUMIFS(tblBoard[Target (units)],tblBoard[Date],tblBoard[[#This Row],[Date]],tblBoard[Shift],tblBoard[[#This Row],[Shift]],tblBoard[Line],tblBoard[[#This Row],[Line]],tblBoard[Hour],"&lt;="&amp;tblBoard[[#This Row],[Hour]])))</f>
        <v>480</v>
      </c>
      <c r="R27" s="38">
        <f>IF(tblBoard[[#This Row],[Date]]="","",IF(tblBoard[[#This Row],[Hour]]="","",SUMIFS(tblBoard[Actual (units)],tblBoard[Date],tblBoard[[#This Row],[Date]],tblBoard[Shift],tblBoard[[#This Row],[Shift]],tblBoard[Line],tblBoard[[#This Row],[Line]],tblBoard[Hour],"&lt;="&amp;tblBoard[[#This Row],[Hour]])))</f>
        <v>461</v>
      </c>
      <c r="S27" s="38">
        <f>IF(tblBoard[[#This Row],[Date]]="","",IF(tblBoard[[#This Row],[Cum. target]]="","",tblBoard[[#This Row],[Cum. actual]]-tblBoard[[#This Row],[Cum. target]]))</f>
        <v>-19</v>
      </c>
      <c r="T27" s="41">
        <f>IF(tblBoard[[#This Row],[Date]]="","",IF(AND(tblBoard[[#This Row],[Date]]&gt;=FFrom,tblBoard[[#This Row],[Date]]&lt;=FTo,OR(DashLine="",tblBoard[[#This Row],[Line]]=DashLine)),tblBoard[[#This Row],[Date]],""))</f>
        <v>46300</v>
      </c>
      <c r="U2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 s="43" t="s">
        <v>97</v>
      </c>
    </row>
    <row r="28" spans="2:22" x14ac:dyDescent="0.25">
      <c r="B28" s="36">
        <v>46300</v>
      </c>
      <c r="C28" s="28" t="s">
        <v>93</v>
      </c>
      <c r="D28" s="28" t="s">
        <v>85</v>
      </c>
      <c r="E28" s="33">
        <v>7</v>
      </c>
      <c r="F28" s="28" t="s">
        <v>103</v>
      </c>
      <c r="G28" s="33">
        <v>50</v>
      </c>
      <c r="H28" s="33">
        <v>76</v>
      </c>
      <c r="I28" s="28"/>
      <c r="J28" s="37">
        <f>IF(tblBoard[[#This Row],[Date]]="","",IFERROR(INDEX(tblProducts[Takt time (s)],MATCH(tblBoard[[#This Row],[Product]],tblProducts[Product],0)),""))</f>
        <v>40</v>
      </c>
      <c r="K28" s="38">
        <f>IF(tblBoard[[#This Row],[Date]]="","",IF(OR(tblBoard[[#This Row],[Takt (s)]]="",tblBoard[[#This Row],[Available (min)]]=""),"",INT(tblBoard[[#This Row],[Available (min)]]*60/tblBoard[[#This Row],[Takt (s)]])))</f>
        <v>75</v>
      </c>
      <c r="L28" s="38">
        <f>IF(tblBoard[[#This Row],[Date]]="","",IF(tblBoard[[#This Row],[Target (units)]]="","",tblBoard[[#This Row],[Actual (units)]]-tblBoard[[#This Row],[Target (units)]]))</f>
        <v>1</v>
      </c>
      <c r="M28" s="38">
        <f>IF(tblBoard[[#This Row],[Date]]="","",IF(tblBoard[[#This Row],[Target (units)]]="","",MAX(0,tblBoard[[#This Row],[Target (units)]]-tblBoard[[#This Row],[Actual (units)]])))</f>
        <v>0</v>
      </c>
      <c r="N28" s="39">
        <f>IF(tblBoard[[#This Row],[Date]]="","",IF(N(tblBoard[[#This Row],[Target (units)]])&gt;0,tblBoard[[#This Row],[Actual (units)]]/tblBoard[[#This Row],[Target (units)]],""))</f>
        <v>1.01333333333333</v>
      </c>
      <c r="O28" s="38">
        <f>IF(tblBoard[[#This Row],[Date]]="","",IF(N(tblBoard[[#This Row],[Target (units)]])&gt;0,IF(tblBoard[[#This Row],[Actual (units)]]&gt;=tblBoard[[#This Row],[Target (units)]]*TargetHour,1,0),""))</f>
        <v>1</v>
      </c>
      <c r="P28" s="40" t="str">
        <f>IF(NOT(ISNUMBER(tblBoard[[#This Row],[Attainment]])),"",IF(tblBoard[[#This Row],[Attainment]]&gt;=TargetHour,"On target",IF(tblBoard[[#This Row],[Attainment]]&gt;=TargetHour*(1-0.05),"Near target","Below target")))</f>
        <v>On target</v>
      </c>
      <c r="Q28" s="38">
        <f>IF(tblBoard[[#This Row],[Date]]="","",IF(tblBoard[[#This Row],[Hour]]="","",SUMIFS(tblBoard[Target (units)],tblBoard[Date],tblBoard[[#This Row],[Date]],tblBoard[Shift],tblBoard[[#This Row],[Shift]],tblBoard[Line],tblBoard[[#This Row],[Line]],tblBoard[Hour],"&lt;="&amp;tblBoard[[#This Row],[Hour]])))</f>
        <v>555</v>
      </c>
      <c r="R28" s="38">
        <f>IF(tblBoard[[#This Row],[Date]]="","",IF(tblBoard[[#This Row],[Hour]]="","",SUMIFS(tblBoard[Actual (units)],tblBoard[Date],tblBoard[[#This Row],[Date]],tblBoard[Shift],tblBoard[[#This Row],[Shift]],tblBoard[Line],tblBoard[[#This Row],[Line]],tblBoard[Hour],"&lt;="&amp;tblBoard[[#This Row],[Hour]])))</f>
        <v>537</v>
      </c>
      <c r="S28" s="38">
        <f>IF(tblBoard[[#This Row],[Date]]="","",IF(tblBoard[[#This Row],[Cum. target]]="","",tblBoard[[#This Row],[Cum. actual]]-tblBoard[[#This Row],[Cum. target]]))</f>
        <v>-18</v>
      </c>
      <c r="T28" s="41">
        <f>IF(tblBoard[[#This Row],[Date]]="","",IF(AND(tblBoard[[#This Row],[Date]]&gt;=FFrom,tblBoard[[#This Row],[Date]]&lt;=FTo,OR(DashLine="",tblBoard[[#This Row],[Line]]=DashLine)),tblBoard[[#This Row],[Date]],""))</f>
        <v>46300</v>
      </c>
      <c r="U2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 s="43" t="s">
        <v>97</v>
      </c>
    </row>
    <row r="29" spans="2:22" x14ac:dyDescent="0.25">
      <c r="B29" s="36">
        <v>46300</v>
      </c>
      <c r="C29" s="28" t="s">
        <v>93</v>
      </c>
      <c r="D29" s="28" t="s">
        <v>85</v>
      </c>
      <c r="E29" s="33">
        <v>8</v>
      </c>
      <c r="F29" s="28" t="s">
        <v>103</v>
      </c>
      <c r="G29" s="33">
        <v>50</v>
      </c>
      <c r="H29" s="33">
        <v>75</v>
      </c>
      <c r="I29" s="28"/>
      <c r="J29" s="37">
        <f>IF(tblBoard[[#This Row],[Date]]="","",IFERROR(INDEX(tblProducts[Takt time (s)],MATCH(tblBoard[[#This Row],[Product]],tblProducts[Product],0)),""))</f>
        <v>40</v>
      </c>
      <c r="K29" s="38">
        <f>IF(tblBoard[[#This Row],[Date]]="","",IF(OR(tblBoard[[#This Row],[Takt (s)]]="",tblBoard[[#This Row],[Available (min)]]=""),"",INT(tblBoard[[#This Row],[Available (min)]]*60/tblBoard[[#This Row],[Takt (s)]])))</f>
        <v>75</v>
      </c>
      <c r="L29" s="38">
        <f>IF(tblBoard[[#This Row],[Date]]="","",IF(tblBoard[[#This Row],[Target (units)]]="","",tblBoard[[#This Row],[Actual (units)]]-tblBoard[[#This Row],[Target (units)]]))</f>
        <v>0</v>
      </c>
      <c r="M29" s="38">
        <f>IF(tblBoard[[#This Row],[Date]]="","",IF(tblBoard[[#This Row],[Target (units)]]="","",MAX(0,tblBoard[[#This Row],[Target (units)]]-tblBoard[[#This Row],[Actual (units)]])))</f>
        <v>0</v>
      </c>
      <c r="N29" s="39">
        <f>IF(tblBoard[[#This Row],[Date]]="","",IF(N(tblBoard[[#This Row],[Target (units)]])&gt;0,tblBoard[[#This Row],[Actual (units)]]/tblBoard[[#This Row],[Target (units)]],""))</f>
        <v>1</v>
      </c>
      <c r="O29" s="38">
        <f>IF(tblBoard[[#This Row],[Date]]="","",IF(N(tblBoard[[#This Row],[Target (units)]])&gt;0,IF(tblBoard[[#This Row],[Actual (units)]]&gt;=tblBoard[[#This Row],[Target (units)]]*TargetHour,1,0),""))</f>
        <v>1</v>
      </c>
      <c r="P29" s="40" t="str">
        <f>IF(NOT(ISNUMBER(tblBoard[[#This Row],[Attainment]])),"",IF(tblBoard[[#This Row],[Attainment]]&gt;=TargetHour,"On target",IF(tblBoard[[#This Row],[Attainment]]&gt;=TargetHour*(1-0.05),"Near target","Below target")))</f>
        <v>On target</v>
      </c>
      <c r="Q29" s="38">
        <f>IF(tblBoard[[#This Row],[Date]]="","",IF(tblBoard[[#This Row],[Hour]]="","",SUMIFS(tblBoard[Target (units)],tblBoard[Date],tblBoard[[#This Row],[Date]],tblBoard[Shift],tblBoard[[#This Row],[Shift]],tblBoard[Line],tblBoard[[#This Row],[Line]],tblBoard[Hour],"&lt;="&amp;tblBoard[[#This Row],[Hour]])))</f>
        <v>630</v>
      </c>
      <c r="R29" s="38">
        <f>IF(tblBoard[[#This Row],[Date]]="","",IF(tblBoard[[#This Row],[Hour]]="","",SUMIFS(tblBoard[Actual (units)],tblBoard[Date],tblBoard[[#This Row],[Date]],tblBoard[Shift],tblBoard[[#This Row],[Shift]],tblBoard[Line],tblBoard[[#This Row],[Line]],tblBoard[Hour],"&lt;="&amp;tblBoard[[#This Row],[Hour]])))</f>
        <v>612</v>
      </c>
      <c r="S29" s="38">
        <f>IF(tblBoard[[#This Row],[Date]]="","",IF(tblBoard[[#This Row],[Cum. target]]="","",tblBoard[[#This Row],[Cum. actual]]-tblBoard[[#This Row],[Cum. target]]))</f>
        <v>-18</v>
      </c>
      <c r="T29" s="41">
        <f>IF(tblBoard[[#This Row],[Date]]="","",IF(AND(tblBoard[[#This Row],[Date]]&gt;=FFrom,tblBoard[[#This Row],[Date]]&lt;=FTo,OR(DashLine="",tblBoard[[#This Row],[Line]]=DashLine)),tblBoard[[#This Row],[Date]],""))</f>
        <v>46300</v>
      </c>
      <c r="U2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 s="43" t="s">
        <v>97</v>
      </c>
    </row>
    <row r="30" spans="2:22" x14ac:dyDescent="0.25">
      <c r="B30" s="36">
        <v>46300</v>
      </c>
      <c r="C30" s="28" t="s">
        <v>93</v>
      </c>
      <c r="D30" s="28" t="s">
        <v>88</v>
      </c>
      <c r="E30" s="33">
        <v>1</v>
      </c>
      <c r="F30" s="28" t="s">
        <v>107</v>
      </c>
      <c r="G30" s="33">
        <v>60</v>
      </c>
      <c r="H30" s="33">
        <v>106</v>
      </c>
      <c r="I30" s="28" t="s">
        <v>110</v>
      </c>
      <c r="J30" s="37">
        <f>IF(tblBoard[[#This Row],[Date]]="","",IFERROR(INDEX(tblProducts[Takt time (s)],MATCH(tblBoard[[#This Row],[Product]],tblProducts[Product],0)),""))</f>
        <v>30</v>
      </c>
      <c r="K30" s="38">
        <f>IF(tblBoard[[#This Row],[Date]]="","",IF(OR(tblBoard[[#This Row],[Takt (s)]]="",tblBoard[[#This Row],[Available (min)]]=""),"",INT(tblBoard[[#This Row],[Available (min)]]*60/tblBoard[[#This Row],[Takt (s)]])))</f>
        <v>120</v>
      </c>
      <c r="L30" s="38">
        <f>IF(tblBoard[[#This Row],[Date]]="","",IF(tblBoard[[#This Row],[Target (units)]]="","",tblBoard[[#This Row],[Actual (units)]]-tblBoard[[#This Row],[Target (units)]]))</f>
        <v>-14</v>
      </c>
      <c r="M30" s="38">
        <f>IF(tblBoard[[#This Row],[Date]]="","",IF(tblBoard[[#This Row],[Target (units)]]="","",MAX(0,tblBoard[[#This Row],[Target (units)]]-tblBoard[[#This Row],[Actual (units)]])))</f>
        <v>14</v>
      </c>
      <c r="N30" s="39">
        <f>IF(tblBoard[[#This Row],[Date]]="","",IF(N(tblBoard[[#This Row],[Target (units)]])&gt;0,tblBoard[[#This Row],[Actual (units)]]/tblBoard[[#This Row],[Target (units)]],""))</f>
        <v>0.883333333333333</v>
      </c>
      <c r="O30" s="38">
        <f>IF(tblBoard[[#This Row],[Date]]="","",IF(N(tblBoard[[#This Row],[Target (units)]])&gt;0,IF(tblBoard[[#This Row],[Actual (units)]]&gt;=tblBoard[[#This Row],[Target (units)]]*TargetHour,1,0),""))</f>
        <v>0</v>
      </c>
      <c r="P30" s="40" t="str">
        <f>IF(NOT(ISNUMBER(tblBoard[[#This Row],[Attainment]])),"",IF(tblBoard[[#This Row],[Attainment]]&gt;=TargetHour,"On target",IF(tblBoard[[#This Row],[Attainment]]&gt;=TargetHour*(1-0.05),"Near target","Below target")))</f>
        <v>Below target</v>
      </c>
      <c r="Q30" s="38">
        <f>IF(tblBoard[[#This Row],[Date]]="","",IF(tblBoard[[#This Row],[Hour]]="","",SUMIFS(tblBoard[Target (units)],tblBoard[Date],tblBoard[[#This Row],[Date]],tblBoard[Shift],tblBoard[[#This Row],[Shift]],tblBoard[Line],tblBoard[[#This Row],[Line]],tblBoard[Hour],"&lt;="&amp;tblBoard[[#This Row],[Hour]])))</f>
        <v>120</v>
      </c>
      <c r="R30" s="38">
        <f>IF(tblBoard[[#This Row],[Date]]="","",IF(tblBoard[[#This Row],[Hour]]="","",SUMIFS(tblBoard[Actual (units)],tblBoard[Date],tblBoard[[#This Row],[Date]],tblBoard[Shift],tblBoard[[#This Row],[Shift]],tblBoard[Line],tblBoard[[#This Row],[Line]],tblBoard[Hour],"&lt;="&amp;tblBoard[[#This Row],[Hour]])))</f>
        <v>106</v>
      </c>
      <c r="S30" s="38">
        <f>IF(tblBoard[[#This Row],[Date]]="","",IF(tblBoard[[#This Row],[Cum. target]]="","",tblBoard[[#This Row],[Cum. actual]]-tblBoard[[#This Row],[Cum. target]]))</f>
        <v>-14</v>
      </c>
      <c r="T30" s="41">
        <f>IF(tblBoard[[#This Row],[Date]]="","",IF(AND(tblBoard[[#This Row],[Date]]&gt;=FFrom,tblBoard[[#This Row],[Date]]&lt;=FTo,OR(DashLine="",tblBoard[[#This Row],[Line]]=DashLine)),tblBoard[[#This Row],[Date]],""))</f>
        <v>46300</v>
      </c>
      <c r="U3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 s="43" t="s">
        <v>97</v>
      </c>
    </row>
    <row r="31" spans="2:22" x14ac:dyDescent="0.25">
      <c r="B31" s="36">
        <v>46300</v>
      </c>
      <c r="C31" s="28" t="s">
        <v>93</v>
      </c>
      <c r="D31" s="28" t="s">
        <v>88</v>
      </c>
      <c r="E31" s="33">
        <v>2</v>
      </c>
      <c r="F31" s="28" t="s">
        <v>107</v>
      </c>
      <c r="G31" s="33">
        <v>60</v>
      </c>
      <c r="H31" s="33">
        <v>53</v>
      </c>
      <c r="I31" s="28" t="s">
        <v>112</v>
      </c>
      <c r="J31" s="37">
        <f>IF(tblBoard[[#This Row],[Date]]="","",IFERROR(INDEX(tblProducts[Takt time (s)],MATCH(tblBoard[[#This Row],[Product]],tblProducts[Product],0)),""))</f>
        <v>30</v>
      </c>
      <c r="K31" s="38">
        <f>IF(tblBoard[[#This Row],[Date]]="","",IF(OR(tblBoard[[#This Row],[Takt (s)]]="",tblBoard[[#This Row],[Available (min)]]=""),"",INT(tblBoard[[#This Row],[Available (min)]]*60/tblBoard[[#This Row],[Takt (s)]])))</f>
        <v>120</v>
      </c>
      <c r="L31" s="38">
        <f>IF(tblBoard[[#This Row],[Date]]="","",IF(tblBoard[[#This Row],[Target (units)]]="","",tblBoard[[#This Row],[Actual (units)]]-tblBoard[[#This Row],[Target (units)]]))</f>
        <v>-67</v>
      </c>
      <c r="M31" s="38">
        <f>IF(tblBoard[[#This Row],[Date]]="","",IF(tblBoard[[#This Row],[Target (units)]]="","",MAX(0,tblBoard[[#This Row],[Target (units)]]-tblBoard[[#This Row],[Actual (units)]])))</f>
        <v>67</v>
      </c>
      <c r="N31" s="39">
        <f>IF(tblBoard[[#This Row],[Date]]="","",IF(N(tblBoard[[#This Row],[Target (units)]])&gt;0,tblBoard[[#This Row],[Actual (units)]]/tblBoard[[#This Row],[Target (units)]],""))</f>
        <v>0.441666666666667</v>
      </c>
      <c r="O31" s="38">
        <f>IF(tblBoard[[#This Row],[Date]]="","",IF(N(tblBoard[[#This Row],[Target (units)]])&gt;0,IF(tblBoard[[#This Row],[Actual (units)]]&gt;=tblBoard[[#This Row],[Target (units)]]*TargetHour,1,0),""))</f>
        <v>0</v>
      </c>
      <c r="P31" s="40" t="str">
        <f>IF(NOT(ISNUMBER(tblBoard[[#This Row],[Attainment]])),"",IF(tblBoard[[#This Row],[Attainment]]&gt;=TargetHour,"On target",IF(tblBoard[[#This Row],[Attainment]]&gt;=TargetHour*(1-0.05),"Near target","Below target")))</f>
        <v>Below target</v>
      </c>
      <c r="Q31" s="38">
        <f>IF(tblBoard[[#This Row],[Date]]="","",IF(tblBoard[[#This Row],[Hour]]="","",SUMIFS(tblBoard[Target (units)],tblBoard[Date],tblBoard[[#This Row],[Date]],tblBoard[Shift],tblBoard[[#This Row],[Shift]],tblBoard[Line],tblBoard[[#This Row],[Line]],tblBoard[Hour],"&lt;="&amp;tblBoard[[#This Row],[Hour]])))</f>
        <v>240</v>
      </c>
      <c r="R31" s="38">
        <f>IF(tblBoard[[#This Row],[Date]]="","",IF(tblBoard[[#This Row],[Hour]]="","",SUMIFS(tblBoard[Actual (units)],tblBoard[Date],tblBoard[[#This Row],[Date]],tblBoard[Shift],tblBoard[[#This Row],[Shift]],tblBoard[Line],tblBoard[[#This Row],[Line]],tblBoard[Hour],"&lt;="&amp;tblBoard[[#This Row],[Hour]])))</f>
        <v>159</v>
      </c>
      <c r="S31" s="38">
        <f>IF(tblBoard[[#This Row],[Date]]="","",IF(tblBoard[[#This Row],[Cum. target]]="","",tblBoard[[#This Row],[Cum. actual]]-tblBoard[[#This Row],[Cum. target]]))</f>
        <v>-81</v>
      </c>
      <c r="T31" s="41">
        <f>IF(tblBoard[[#This Row],[Date]]="","",IF(AND(tblBoard[[#This Row],[Date]]&gt;=FFrom,tblBoard[[#This Row],[Date]]&lt;=FTo,OR(DashLine="",tblBoard[[#This Row],[Line]]=DashLine)),tblBoard[[#This Row],[Date]],""))</f>
        <v>46300</v>
      </c>
      <c r="U3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 s="43" t="s">
        <v>145</v>
      </c>
    </row>
    <row r="32" spans="2:22" x14ac:dyDescent="0.25">
      <c r="B32" s="36">
        <v>46300</v>
      </c>
      <c r="C32" s="28" t="s">
        <v>93</v>
      </c>
      <c r="D32" s="28" t="s">
        <v>88</v>
      </c>
      <c r="E32" s="33">
        <v>3</v>
      </c>
      <c r="F32" s="28" t="s">
        <v>107</v>
      </c>
      <c r="G32" s="33">
        <v>50</v>
      </c>
      <c r="H32" s="33">
        <v>105</v>
      </c>
      <c r="I32" s="28"/>
      <c r="J32" s="37">
        <f>IF(tblBoard[[#This Row],[Date]]="","",IFERROR(INDEX(tblProducts[Takt time (s)],MATCH(tblBoard[[#This Row],[Product]],tblProducts[Product],0)),""))</f>
        <v>30</v>
      </c>
      <c r="K32" s="38">
        <f>IF(tblBoard[[#This Row],[Date]]="","",IF(OR(tblBoard[[#This Row],[Takt (s)]]="",tblBoard[[#This Row],[Available (min)]]=""),"",INT(tblBoard[[#This Row],[Available (min)]]*60/tblBoard[[#This Row],[Takt (s)]])))</f>
        <v>100</v>
      </c>
      <c r="L32" s="38">
        <f>IF(tblBoard[[#This Row],[Date]]="","",IF(tblBoard[[#This Row],[Target (units)]]="","",tblBoard[[#This Row],[Actual (units)]]-tblBoard[[#This Row],[Target (units)]]))</f>
        <v>5</v>
      </c>
      <c r="M32" s="38">
        <f>IF(tblBoard[[#This Row],[Date]]="","",IF(tblBoard[[#This Row],[Target (units)]]="","",MAX(0,tblBoard[[#This Row],[Target (units)]]-tblBoard[[#This Row],[Actual (units)]])))</f>
        <v>0</v>
      </c>
      <c r="N32" s="39">
        <f>IF(tblBoard[[#This Row],[Date]]="","",IF(N(tblBoard[[#This Row],[Target (units)]])&gt;0,tblBoard[[#This Row],[Actual (units)]]/tblBoard[[#This Row],[Target (units)]],""))</f>
        <v>1.05</v>
      </c>
      <c r="O32" s="38">
        <f>IF(tblBoard[[#This Row],[Date]]="","",IF(N(tblBoard[[#This Row],[Target (units)]])&gt;0,IF(tblBoard[[#This Row],[Actual (units)]]&gt;=tblBoard[[#This Row],[Target (units)]]*TargetHour,1,0),""))</f>
        <v>1</v>
      </c>
      <c r="P32" s="40" t="str">
        <f>IF(NOT(ISNUMBER(tblBoard[[#This Row],[Attainment]])),"",IF(tblBoard[[#This Row],[Attainment]]&gt;=TargetHour,"On target",IF(tblBoard[[#This Row],[Attainment]]&gt;=TargetHour*(1-0.05),"Near target","Below target")))</f>
        <v>On target</v>
      </c>
      <c r="Q32" s="38">
        <f>IF(tblBoard[[#This Row],[Date]]="","",IF(tblBoard[[#This Row],[Hour]]="","",SUMIFS(tblBoard[Target (units)],tblBoard[Date],tblBoard[[#This Row],[Date]],tblBoard[Shift],tblBoard[[#This Row],[Shift]],tblBoard[Line],tblBoard[[#This Row],[Line]],tblBoard[Hour],"&lt;="&amp;tblBoard[[#This Row],[Hour]])))</f>
        <v>340</v>
      </c>
      <c r="R32" s="38">
        <f>IF(tblBoard[[#This Row],[Date]]="","",IF(tblBoard[[#This Row],[Hour]]="","",SUMIFS(tblBoard[Actual (units)],tblBoard[Date],tblBoard[[#This Row],[Date]],tblBoard[Shift],tblBoard[[#This Row],[Shift]],tblBoard[Line],tblBoard[[#This Row],[Line]],tblBoard[Hour],"&lt;="&amp;tblBoard[[#This Row],[Hour]])))</f>
        <v>264</v>
      </c>
      <c r="S32" s="38">
        <f>IF(tblBoard[[#This Row],[Date]]="","",IF(tblBoard[[#This Row],[Cum. target]]="","",tblBoard[[#This Row],[Cum. actual]]-tblBoard[[#This Row],[Cum. target]]))</f>
        <v>-76</v>
      </c>
      <c r="T32" s="41">
        <f>IF(tblBoard[[#This Row],[Date]]="","",IF(AND(tblBoard[[#This Row],[Date]]&gt;=FFrom,tblBoard[[#This Row],[Date]]&lt;=FTo,OR(DashLine="",tblBoard[[#This Row],[Line]]=DashLine)),tblBoard[[#This Row],[Date]],""))</f>
        <v>46300</v>
      </c>
      <c r="U3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2" s="43" t="s">
        <v>97</v>
      </c>
    </row>
    <row r="33" spans="2:22" x14ac:dyDescent="0.25">
      <c r="B33" s="36">
        <v>46300</v>
      </c>
      <c r="C33" s="28" t="s">
        <v>93</v>
      </c>
      <c r="D33" s="28" t="s">
        <v>88</v>
      </c>
      <c r="E33" s="33">
        <v>4</v>
      </c>
      <c r="F33" s="28" t="s">
        <v>107</v>
      </c>
      <c r="G33" s="33">
        <v>60</v>
      </c>
      <c r="H33" s="33">
        <v>117</v>
      </c>
      <c r="I33" s="28" t="s">
        <v>118</v>
      </c>
      <c r="J33" s="37">
        <f>IF(tblBoard[[#This Row],[Date]]="","",IFERROR(INDEX(tblProducts[Takt time (s)],MATCH(tblBoard[[#This Row],[Product]],tblProducts[Product],0)),""))</f>
        <v>30</v>
      </c>
      <c r="K33" s="38">
        <f>IF(tblBoard[[#This Row],[Date]]="","",IF(OR(tblBoard[[#This Row],[Takt (s)]]="",tblBoard[[#This Row],[Available (min)]]=""),"",INT(tblBoard[[#This Row],[Available (min)]]*60/tblBoard[[#This Row],[Takt (s)]])))</f>
        <v>120</v>
      </c>
      <c r="L33" s="38">
        <f>IF(tblBoard[[#This Row],[Date]]="","",IF(tblBoard[[#This Row],[Target (units)]]="","",tblBoard[[#This Row],[Actual (units)]]-tblBoard[[#This Row],[Target (units)]]))</f>
        <v>-3</v>
      </c>
      <c r="M33" s="38">
        <f>IF(tblBoard[[#This Row],[Date]]="","",IF(tblBoard[[#This Row],[Target (units)]]="","",MAX(0,tblBoard[[#This Row],[Target (units)]]-tblBoard[[#This Row],[Actual (units)]])))</f>
        <v>3</v>
      </c>
      <c r="N33" s="39">
        <f>IF(tblBoard[[#This Row],[Date]]="","",IF(N(tblBoard[[#This Row],[Target (units)]])&gt;0,tblBoard[[#This Row],[Actual (units)]]/tblBoard[[#This Row],[Target (units)]],""))</f>
        <v>0.975</v>
      </c>
      <c r="O33" s="38">
        <f>IF(tblBoard[[#This Row],[Date]]="","",IF(N(tblBoard[[#This Row],[Target (units)]])&gt;0,IF(tblBoard[[#This Row],[Actual (units)]]&gt;=tblBoard[[#This Row],[Target (units)]]*TargetHour,1,0),""))</f>
        <v>0</v>
      </c>
      <c r="P33" s="40" t="str">
        <f>IF(NOT(ISNUMBER(tblBoard[[#This Row],[Attainment]])),"",IF(tblBoard[[#This Row],[Attainment]]&gt;=TargetHour,"On target",IF(tblBoard[[#This Row],[Attainment]]&gt;=TargetHour*(1-0.05),"Near target","Below target")))</f>
        <v>Near target</v>
      </c>
      <c r="Q33" s="38">
        <f>IF(tblBoard[[#This Row],[Date]]="","",IF(tblBoard[[#This Row],[Hour]]="","",SUMIFS(tblBoard[Target (units)],tblBoard[Date],tblBoard[[#This Row],[Date]],tblBoard[Shift],tblBoard[[#This Row],[Shift]],tblBoard[Line],tblBoard[[#This Row],[Line]],tblBoard[Hour],"&lt;="&amp;tblBoard[[#This Row],[Hour]])))</f>
        <v>460</v>
      </c>
      <c r="R33" s="38">
        <f>IF(tblBoard[[#This Row],[Date]]="","",IF(tblBoard[[#This Row],[Hour]]="","",SUMIFS(tblBoard[Actual (units)],tblBoard[Date],tblBoard[[#This Row],[Date]],tblBoard[Shift],tblBoard[[#This Row],[Shift]],tblBoard[Line],tblBoard[[#This Row],[Line]],tblBoard[Hour],"&lt;="&amp;tblBoard[[#This Row],[Hour]])))</f>
        <v>381</v>
      </c>
      <c r="S33" s="38">
        <f>IF(tblBoard[[#This Row],[Date]]="","",IF(tblBoard[[#This Row],[Cum. target]]="","",tblBoard[[#This Row],[Cum. actual]]-tblBoard[[#This Row],[Cum. target]]))</f>
        <v>-79</v>
      </c>
      <c r="T33" s="41">
        <f>IF(tblBoard[[#This Row],[Date]]="","",IF(AND(tblBoard[[#This Row],[Date]]&gt;=FFrom,tblBoard[[#This Row],[Date]]&lt;=FTo,OR(DashLine="",tblBoard[[#This Row],[Line]]=DashLine)),tblBoard[[#This Row],[Date]],""))</f>
        <v>46300</v>
      </c>
      <c r="U3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3" s="43" t="s">
        <v>97</v>
      </c>
    </row>
    <row r="34" spans="2:22" x14ac:dyDescent="0.25">
      <c r="B34" s="36">
        <v>46300</v>
      </c>
      <c r="C34" s="28" t="s">
        <v>93</v>
      </c>
      <c r="D34" s="28" t="s">
        <v>88</v>
      </c>
      <c r="E34" s="33">
        <v>5</v>
      </c>
      <c r="F34" s="28" t="s">
        <v>107</v>
      </c>
      <c r="G34" s="33">
        <v>30</v>
      </c>
      <c r="H34" s="33">
        <v>58</v>
      </c>
      <c r="I34" s="28" t="s">
        <v>114</v>
      </c>
      <c r="J34" s="37">
        <f>IF(tblBoard[[#This Row],[Date]]="","",IFERROR(INDEX(tblProducts[Takt time (s)],MATCH(tblBoard[[#This Row],[Product]],tblProducts[Product],0)),""))</f>
        <v>30</v>
      </c>
      <c r="K34" s="38">
        <f>IF(tblBoard[[#This Row],[Date]]="","",IF(OR(tblBoard[[#This Row],[Takt (s)]]="",tblBoard[[#This Row],[Available (min)]]=""),"",INT(tblBoard[[#This Row],[Available (min)]]*60/tblBoard[[#This Row],[Takt (s)]])))</f>
        <v>60</v>
      </c>
      <c r="L34" s="38">
        <f>IF(tblBoard[[#This Row],[Date]]="","",IF(tblBoard[[#This Row],[Target (units)]]="","",tblBoard[[#This Row],[Actual (units)]]-tblBoard[[#This Row],[Target (units)]]))</f>
        <v>-2</v>
      </c>
      <c r="M34" s="38">
        <f>IF(tblBoard[[#This Row],[Date]]="","",IF(tblBoard[[#This Row],[Target (units)]]="","",MAX(0,tblBoard[[#This Row],[Target (units)]]-tblBoard[[#This Row],[Actual (units)]])))</f>
        <v>2</v>
      </c>
      <c r="N34" s="39">
        <f>IF(tblBoard[[#This Row],[Date]]="","",IF(N(tblBoard[[#This Row],[Target (units)]])&gt;0,tblBoard[[#This Row],[Actual (units)]]/tblBoard[[#This Row],[Target (units)]],""))</f>
        <v>0.966666666666667</v>
      </c>
      <c r="O34" s="38">
        <f>IF(tblBoard[[#This Row],[Date]]="","",IF(N(tblBoard[[#This Row],[Target (units)]])&gt;0,IF(tblBoard[[#This Row],[Actual (units)]]&gt;=tblBoard[[#This Row],[Target (units)]]*TargetHour,1,0),""))</f>
        <v>0</v>
      </c>
      <c r="P34" s="40" t="str">
        <f>IF(NOT(ISNUMBER(tblBoard[[#This Row],[Attainment]])),"",IF(tblBoard[[#This Row],[Attainment]]&gt;=TargetHour,"On target",IF(tblBoard[[#This Row],[Attainment]]&gt;=TargetHour*(1-0.05),"Near target","Below target")))</f>
        <v>Near target</v>
      </c>
      <c r="Q34" s="38">
        <f>IF(tblBoard[[#This Row],[Date]]="","",IF(tblBoard[[#This Row],[Hour]]="","",SUMIFS(tblBoard[Target (units)],tblBoard[Date],tblBoard[[#This Row],[Date]],tblBoard[Shift],tblBoard[[#This Row],[Shift]],tblBoard[Line],tblBoard[[#This Row],[Line]],tblBoard[Hour],"&lt;="&amp;tblBoard[[#This Row],[Hour]])))</f>
        <v>520</v>
      </c>
      <c r="R34" s="38">
        <f>IF(tblBoard[[#This Row],[Date]]="","",IF(tblBoard[[#This Row],[Hour]]="","",SUMIFS(tblBoard[Actual (units)],tblBoard[Date],tblBoard[[#This Row],[Date]],tblBoard[Shift],tblBoard[[#This Row],[Shift]],tblBoard[Line],tblBoard[[#This Row],[Line]],tblBoard[Hour],"&lt;="&amp;tblBoard[[#This Row],[Hour]])))</f>
        <v>439</v>
      </c>
      <c r="S34" s="38">
        <f>IF(tblBoard[[#This Row],[Date]]="","",IF(tblBoard[[#This Row],[Cum. target]]="","",tblBoard[[#This Row],[Cum. actual]]-tblBoard[[#This Row],[Cum. target]]))</f>
        <v>-81</v>
      </c>
      <c r="T34" s="41">
        <f>IF(tblBoard[[#This Row],[Date]]="","",IF(AND(tblBoard[[#This Row],[Date]]&gt;=FFrom,tblBoard[[#This Row],[Date]]&lt;=FTo,OR(DashLine="",tblBoard[[#This Row],[Line]]=DashLine)),tblBoard[[#This Row],[Date]],""))</f>
        <v>46300</v>
      </c>
      <c r="U3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4" s="43" t="s">
        <v>97</v>
      </c>
    </row>
    <row r="35" spans="2:22" x14ac:dyDescent="0.25">
      <c r="B35" s="36">
        <v>46300</v>
      </c>
      <c r="C35" s="28" t="s">
        <v>93</v>
      </c>
      <c r="D35" s="28" t="s">
        <v>88</v>
      </c>
      <c r="E35" s="33">
        <v>6</v>
      </c>
      <c r="F35" s="28" t="s">
        <v>107</v>
      </c>
      <c r="G35" s="33">
        <v>60</v>
      </c>
      <c r="H35" s="33">
        <v>112</v>
      </c>
      <c r="I35" s="28" t="s">
        <v>114</v>
      </c>
      <c r="J35" s="37">
        <f>IF(tblBoard[[#This Row],[Date]]="","",IFERROR(INDEX(tblProducts[Takt time (s)],MATCH(tblBoard[[#This Row],[Product]],tblProducts[Product],0)),""))</f>
        <v>30</v>
      </c>
      <c r="K35" s="38">
        <f>IF(tblBoard[[#This Row],[Date]]="","",IF(OR(tblBoard[[#This Row],[Takt (s)]]="",tblBoard[[#This Row],[Available (min)]]=""),"",INT(tblBoard[[#This Row],[Available (min)]]*60/tblBoard[[#This Row],[Takt (s)]])))</f>
        <v>120</v>
      </c>
      <c r="L35" s="38">
        <f>IF(tblBoard[[#This Row],[Date]]="","",IF(tblBoard[[#This Row],[Target (units)]]="","",tblBoard[[#This Row],[Actual (units)]]-tblBoard[[#This Row],[Target (units)]]))</f>
        <v>-8</v>
      </c>
      <c r="M35" s="38">
        <f>IF(tblBoard[[#This Row],[Date]]="","",IF(tblBoard[[#This Row],[Target (units)]]="","",MAX(0,tblBoard[[#This Row],[Target (units)]]-tblBoard[[#This Row],[Actual (units)]])))</f>
        <v>8</v>
      </c>
      <c r="N35" s="39">
        <f>IF(tblBoard[[#This Row],[Date]]="","",IF(N(tblBoard[[#This Row],[Target (units)]])&gt;0,tblBoard[[#This Row],[Actual (units)]]/tblBoard[[#This Row],[Target (units)]],""))</f>
        <v>0.933333333333333</v>
      </c>
      <c r="O35" s="38">
        <f>IF(tblBoard[[#This Row],[Date]]="","",IF(N(tblBoard[[#This Row],[Target (units)]])&gt;0,IF(tblBoard[[#This Row],[Actual (units)]]&gt;=tblBoard[[#This Row],[Target (units)]]*TargetHour,1,0),""))</f>
        <v>0</v>
      </c>
      <c r="P35" s="40" t="str">
        <f>IF(NOT(ISNUMBER(tblBoard[[#This Row],[Attainment]])),"",IF(tblBoard[[#This Row],[Attainment]]&gt;=TargetHour,"On target",IF(tblBoard[[#This Row],[Attainment]]&gt;=TargetHour*(1-0.05),"Near target","Below target")))</f>
        <v>Below target</v>
      </c>
      <c r="Q35" s="38">
        <f>IF(tblBoard[[#This Row],[Date]]="","",IF(tblBoard[[#This Row],[Hour]]="","",SUMIFS(tblBoard[Target (units)],tblBoard[Date],tblBoard[[#This Row],[Date]],tblBoard[Shift],tblBoard[[#This Row],[Shift]],tblBoard[Line],tblBoard[[#This Row],[Line]],tblBoard[Hour],"&lt;="&amp;tblBoard[[#This Row],[Hour]])))</f>
        <v>640</v>
      </c>
      <c r="R35" s="38">
        <f>IF(tblBoard[[#This Row],[Date]]="","",IF(tblBoard[[#This Row],[Hour]]="","",SUMIFS(tblBoard[Actual (units)],tblBoard[Date],tblBoard[[#This Row],[Date]],tblBoard[Shift],tblBoard[[#This Row],[Shift]],tblBoard[Line],tblBoard[[#This Row],[Line]],tblBoard[Hour],"&lt;="&amp;tblBoard[[#This Row],[Hour]])))</f>
        <v>551</v>
      </c>
      <c r="S35" s="38">
        <f>IF(tblBoard[[#This Row],[Date]]="","",IF(tblBoard[[#This Row],[Cum. target]]="","",tblBoard[[#This Row],[Cum. actual]]-tblBoard[[#This Row],[Cum. target]]))</f>
        <v>-89</v>
      </c>
      <c r="T35" s="41">
        <f>IF(tblBoard[[#This Row],[Date]]="","",IF(AND(tblBoard[[#This Row],[Date]]&gt;=FFrom,tblBoard[[#This Row],[Date]]&lt;=FTo,OR(DashLine="",tblBoard[[#This Row],[Line]]=DashLine)),tblBoard[[#This Row],[Date]],""))</f>
        <v>46300</v>
      </c>
      <c r="U3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5" s="43" t="s">
        <v>97</v>
      </c>
    </row>
    <row r="36" spans="2:22" x14ac:dyDescent="0.25">
      <c r="B36" s="36">
        <v>46300</v>
      </c>
      <c r="C36" s="28" t="s">
        <v>93</v>
      </c>
      <c r="D36" s="28" t="s">
        <v>88</v>
      </c>
      <c r="E36" s="33">
        <v>7</v>
      </c>
      <c r="F36" s="28" t="s">
        <v>107</v>
      </c>
      <c r="G36" s="33">
        <v>50</v>
      </c>
      <c r="H36" s="33">
        <v>105</v>
      </c>
      <c r="I36" s="28"/>
      <c r="J36" s="37">
        <f>IF(tblBoard[[#This Row],[Date]]="","",IFERROR(INDEX(tblProducts[Takt time (s)],MATCH(tblBoard[[#This Row],[Product]],tblProducts[Product],0)),""))</f>
        <v>30</v>
      </c>
      <c r="K36" s="38">
        <f>IF(tblBoard[[#This Row],[Date]]="","",IF(OR(tblBoard[[#This Row],[Takt (s)]]="",tblBoard[[#This Row],[Available (min)]]=""),"",INT(tblBoard[[#This Row],[Available (min)]]*60/tblBoard[[#This Row],[Takt (s)]])))</f>
        <v>100</v>
      </c>
      <c r="L36" s="38">
        <f>IF(tblBoard[[#This Row],[Date]]="","",IF(tblBoard[[#This Row],[Target (units)]]="","",tblBoard[[#This Row],[Actual (units)]]-tblBoard[[#This Row],[Target (units)]]))</f>
        <v>5</v>
      </c>
      <c r="M36" s="38">
        <f>IF(tblBoard[[#This Row],[Date]]="","",IF(tblBoard[[#This Row],[Target (units)]]="","",MAX(0,tblBoard[[#This Row],[Target (units)]]-tblBoard[[#This Row],[Actual (units)]])))</f>
        <v>0</v>
      </c>
      <c r="N36" s="39">
        <f>IF(tblBoard[[#This Row],[Date]]="","",IF(N(tblBoard[[#This Row],[Target (units)]])&gt;0,tblBoard[[#This Row],[Actual (units)]]/tblBoard[[#This Row],[Target (units)]],""))</f>
        <v>1.05</v>
      </c>
      <c r="O36" s="38">
        <f>IF(tblBoard[[#This Row],[Date]]="","",IF(N(tblBoard[[#This Row],[Target (units)]])&gt;0,IF(tblBoard[[#This Row],[Actual (units)]]&gt;=tblBoard[[#This Row],[Target (units)]]*TargetHour,1,0),""))</f>
        <v>1</v>
      </c>
      <c r="P36" s="40" t="str">
        <f>IF(NOT(ISNUMBER(tblBoard[[#This Row],[Attainment]])),"",IF(tblBoard[[#This Row],[Attainment]]&gt;=TargetHour,"On target",IF(tblBoard[[#This Row],[Attainment]]&gt;=TargetHour*(1-0.05),"Near target","Below target")))</f>
        <v>On target</v>
      </c>
      <c r="Q36" s="38">
        <f>IF(tblBoard[[#This Row],[Date]]="","",IF(tblBoard[[#This Row],[Hour]]="","",SUMIFS(tblBoard[Target (units)],tblBoard[Date],tblBoard[[#This Row],[Date]],tblBoard[Shift],tblBoard[[#This Row],[Shift]],tblBoard[Line],tblBoard[[#This Row],[Line]],tblBoard[Hour],"&lt;="&amp;tblBoard[[#This Row],[Hour]])))</f>
        <v>740</v>
      </c>
      <c r="R36" s="38">
        <f>IF(tblBoard[[#This Row],[Date]]="","",IF(tblBoard[[#This Row],[Hour]]="","",SUMIFS(tblBoard[Actual (units)],tblBoard[Date],tblBoard[[#This Row],[Date]],tblBoard[Shift],tblBoard[[#This Row],[Shift]],tblBoard[Line],tblBoard[[#This Row],[Line]],tblBoard[Hour],"&lt;="&amp;tblBoard[[#This Row],[Hour]])))</f>
        <v>656</v>
      </c>
      <c r="S36" s="38">
        <f>IF(tblBoard[[#This Row],[Date]]="","",IF(tblBoard[[#This Row],[Cum. target]]="","",tblBoard[[#This Row],[Cum. actual]]-tblBoard[[#This Row],[Cum. target]]))</f>
        <v>-84</v>
      </c>
      <c r="T36" s="41">
        <f>IF(tblBoard[[#This Row],[Date]]="","",IF(AND(tblBoard[[#This Row],[Date]]&gt;=FFrom,tblBoard[[#This Row],[Date]]&lt;=FTo,OR(DashLine="",tblBoard[[#This Row],[Line]]=DashLine)),tblBoard[[#This Row],[Date]],""))</f>
        <v>46300</v>
      </c>
      <c r="U3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6" s="43" t="s">
        <v>97</v>
      </c>
    </row>
    <row r="37" spans="2:22" x14ac:dyDescent="0.25">
      <c r="B37" s="36">
        <v>46300</v>
      </c>
      <c r="C37" s="28" t="s">
        <v>93</v>
      </c>
      <c r="D37" s="28" t="s">
        <v>88</v>
      </c>
      <c r="E37" s="33">
        <v>8</v>
      </c>
      <c r="F37" s="28" t="s">
        <v>107</v>
      </c>
      <c r="G37" s="33">
        <v>50</v>
      </c>
      <c r="H37" s="33">
        <v>94</v>
      </c>
      <c r="I37" s="28" t="s">
        <v>118</v>
      </c>
      <c r="J37" s="37">
        <f>IF(tblBoard[[#This Row],[Date]]="","",IFERROR(INDEX(tblProducts[Takt time (s)],MATCH(tblBoard[[#This Row],[Product]],tblProducts[Product],0)),""))</f>
        <v>30</v>
      </c>
      <c r="K37" s="38">
        <f>IF(tblBoard[[#This Row],[Date]]="","",IF(OR(tblBoard[[#This Row],[Takt (s)]]="",tblBoard[[#This Row],[Available (min)]]=""),"",INT(tblBoard[[#This Row],[Available (min)]]*60/tblBoard[[#This Row],[Takt (s)]])))</f>
        <v>100</v>
      </c>
      <c r="L37" s="38">
        <f>IF(tblBoard[[#This Row],[Date]]="","",IF(tblBoard[[#This Row],[Target (units)]]="","",tblBoard[[#This Row],[Actual (units)]]-tblBoard[[#This Row],[Target (units)]]))</f>
        <v>-6</v>
      </c>
      <c r="M37" s="38">
        <f>IF(tblBoard[[#This Row],[Date]]="","",IF(tblBoard[[#This Row],[Target (units)]]="","",MAX(0,tblBoard[[#This Row],[Target (units)]]-tblBoard[[#This Row],[Actual (units)]])))</f>
        <v>6</v>
      </c>
      <c r="N37" s="39">
        <f>IF(tblBoard[[#This Row],[Date]]="","",IF(N(tblBoard[[#This Row],[Target (units)]])&gt;0,tblBoard[[#This Row],[Actual (units)]]/tblBoard[[#This Row],[Target (units)]],""))</f>
        <v>0.94</v>
      </c>
      <c r="O37" s="38">
        <f>IF(tblBoard[[#This Row],[Date]]="","",IF(N(tblBoard[[#This Row],[Target (units)]])&gt;0,IF(tblBoard[[#This Row],[Actual (units)]]&gt;=tblBoard[[#This Row],[Target (units)]]*TargetHour,1,0),""))</f>
        <v>0</v>
      </c>
      <c r="P37" s="40" t="str">
        <f>IF(NOT(ISNUMBER(tblBoard[[#This Row],[Attainment]])),"",IF(tblBoard[[#This Row],[Attainment]]&gt;=TargetHour,"On target",IF(tblBoard[[#This Row],[Attainment]]&gt;=TargetHour*(1-0.05),"Near target","Below target")))</f>
        <v>Below target</v>
      </c>
      <c r="Q37" s="38">
        <f>IF(tblBoard[[#This Row],[Date]]="","",IF(tblBoard[[#This Row],[Hour]]="","",SUMIFS(tblBoard[Target (units)],tblBoard[Date],tblBoard[[#This Row],[Date]],tblBoard[Shift],tblBoard[[#This Row],[Shift]],tblBoard[Line],tblBoard[[#This Row],[Line]],tblBoard[Hour],"&lt;="&amp;tblBoard[[#This Row],[Hour]])))</f>
        <v>840</v>
      </c>
      <c r="R37" s="38">
        <f>IF(tblBoard[[#This Row],[Date]]="","",IF(tblBoard[[#This Row],[Hour]]="","",SUMIFS(tblBoard[Actual (units)],tblBoard[Date],tblBoard[[#This Row],[Date]],tblBoard[Shift],tblBoard[[#This Row],[Shift]],tblBoard[Line],tblBoard[[#This Row],[Line]],tblBoard[Hour],"&lt;="&amp;tblBoard[[#This Row],[Hour]])))</f>
        <v>750</v>
      </c>
      <c r="S37" s="38">
        <f>IF(tblBoard[[#This Row],[Date]]="","",IF(tblBoard[[#This Row],[Cum. target]]="","",tblBoard[[#This Row],[Cum. actual]]-tblBoard[[#This Row],[Cum. target]]))</f>
        <v>-90</v>
      </c>
      <c r="T37" s="41">
        <f>IF(tblBoard[[#This Row],[Date]]="","",IF(AND(tblBoard[[#This Row],[Date]]&gt;=FFrom,tblBoard[[#This Row],[Date]]&lt;=FTo,OR(DashLine="",tblBoard[[#This Row],[Line]]=DashLine)),tblBoard[[#This Row],[Date]],""))</f>
        <v>46300</v>
      </c>
      <c r="U3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7" s="43" t="s">
        <v>97</v>
      </c>
    </row>
    <row r="38" spans="2:22" x14ac:dyDescent="0.25">
      <c r="B38" s="36">
        <v>46301</v>
      </c>
      <c r="C38" s="28" t="s">
        <v>91</v>
      </c>
      <c r="D38" s="28" t="s">
        <v>85</v>
      </c>
      <c r="E38" s="33">
        <v>1</v>
      </c>
      <c r="F38" s="28" t="s">
        <v>105</v>
      </c>
      <c r="G38" s="33">
        <v>60</v>
      </c>
      <c r="H38" s="33">
        <v>71</v>
      </c>
      <c r="I38" s="28" t="s">
        <v>110</v>
      </c>
      <c r="J38" s="37">
        <f>IF(tblBoard[[#This Row],[Date]]="","",IFERROR(INDEX(tblProducts[Takt time (s)],MATCH(tblBoard[[#This Row],[Product]],tblProducts[Product],0)),""))</f>
        <v>48</v>
      </c>
      <c r="K38" s="38">
        <f>IF(tblBoard[[#This Row],[Date]]="","",IF(OR(tblBoard[[#This Row],[Takt (s)]]="",tblBoard[[#This Row],[Available (min)]]=""),"",INT(tblBoard[[#This Row],[Available (min)]]*60/tblBoard[[#This Row],[Takt (s)]])))</f>
        <v>75</v>
      </c>
      <c r="L38" s="38">
        <f>IF(tblBoard[[#This Row],[Date]]="","",IF(tblBoard[[#This Row],[Target (units)]]="","",tblBoard[[#This Row],[Actual (units)]]-tblBoard[[#This Row],[Target (units)]]))</f>
        <v>-4</v>
      </c>
      <c r="M38" s="38">
        <f>IF(tblBoard[[#This Row],[Date]]="","",IF(tblBoard[[#This Row],[Target (units)]]="","",MAX(0,tblBoard[[#This Row],[Target (units)]]-tblBoard[[#This Row],[Actual (units)]])))</f>
        <v>4</v>
      </c>
      <c r="N38" s="39">
        <f>IF(tblBoard[[#This Row],[Date]]="","",IF(N(tblBoard[[#This Row],[Target (units)]])&gt;0,tblBoard[[#This Row],[Actual (units)]]/tblBoard[[#This Row],[Target (units)]],""))</f>
        <v>0.946666666666667</v>
      </c>
      <c r="O38" s="38">
        <f>IF(tblBoard[[#This Row],[Date]]="","",IF(N(tblBoard[[#This Row],[Target (units)]])&gt;0,IF(tblBoard[[#This Row],[Actual (units)]]&gt;=tblBoard[[#This Row],[Target (units)]]*TargetHour,1,0),""))</f>
        <v>0</v>
      </c>
      <c r="P38" s="40" t="str">
        <f>IF(NOT(ISNUMBER(tblBoard[[#This Row],[Attainment]])),"",IF(tblBoard[[#This Row],[Attainment]]&gt;=TargetHour,"On target",IF(tblBoard[[#This Row],[Attainment]]&gt;=TargetHour*(1-0.05),"Near target","Below target")))</f>
        <v>Below target</v>
      </c>
      <c r="Q38" s="38">
        <f>IF(tblBoard[[#This Row],[Date]]="","",IF(tblBoard[[#This Row],[Hour]]="","",SUMIFS(tblBoard[Target (units)],tblBoard[Date],tblBoard[[#This Row],[Date]],tblBoard[Shift],tblBoard[[#This Row],[Shift]],tblBoard[Line],tblBoard[[#This Row],[Line]],tblBoard[Hour],"&lt;="&amp;tblBoard[[#This Row],[Hour]])))</f>
        <v>75</v>
      </c>
      <c r="R38" s="38">
        <f>IF(tblBoard[[#This Row],[Date]]="","",IF(tblBoard[[#This Row],[Hour]]="","",SUMIFS(tblBoard[Actual (units)],tblBoard[Date],tblBoard[[#This Row],[Date]],tblBoard[Shift],tblBoard[[#This Row],[Shift]],tblBoard[Line],tblBoard[[#This Row],[Line]],tblBoard[Hour],"&lt;="&amp;tblBoard[[#This Row],[Hour]])))</f>
        <v>71</v>
      </c>
      <c r="S38" s="38">
        <f>IF(tblBoard[[#This Row],[Date]]="","",IF(tblBoard[[#This Row],[Cum. target]]="","",tblBoard[[#This Row],[Cum. actual]]-tblBoard[[#This Row],[Cum. target]]))</f>
        <v>-4</v>
      </c>
      <c r="T38" s="41">
        <f>IF(tblBoard[[#This Row],[Date]]="","",IF(AND(tblBoard[[#This Row],[Date]]&gt;=FFrom,tblBoard[[#This Row],[Date]]&lt;=FTo,OR(DashLine="",tblBoard[[#This Row],[Line]]=DashLine)),tblBoard[[#This Row],[Date]],""))</f>
        <v>46301</v>
      </c>
      <c r="U3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8" s="43" t="s">
        <v>97</v>
      </c>
    </row>
    <row r="39" spans="2:22" x14ac:dyDescent="0.25">
      <c r="B39" s="36">
        <v>46301</v>
      </c>
      <c r="C39" s="28" t="s">
        <v>91</v>
      </c>
      <c r="D39" s="28" t="s">
        <v>85</v>
      </c>
      <c r="E39" s="33">
        <v>2</v>
      </c>
      <c r="F39" s="28" t="s">
        <v>105</v>
      </c>
      <c r="G39" s="33">
        <v>60</v>
      </c>
      <c r="H39" s="33">
        <v>73</v>
      </c>
      <c r="I39" s="28" t="s">
        <v>116</v>
      </c>
      <c r="J39" s="37">
        <f>IF(tblBoard[[#This Row],[Date]]="","",IFERROR(INDEX(tblProducts[Takt time (s)],MATCH(tblBoard[[#This Row],[Product]],tblProducts[Product],0)),""))</f>
        <v>48</v>
      </c>
      <c r="K39" s="38">
        <f>IF(tblBoard[[#This Row],[Date]]="","",IF(OR(tblBoard[[#This Row],[Takt (s)]]="",tblBoard[[#This Row],[Available (min)]]=""),"",INT(tblBoard[[#This Row],[Available (min)]]*60/tblBoard[[#This Row],[Takt (s)]])))</f>
        <v>75</v>
      </c>
      <c r="L39" s="38">
        <f>IF(tblBoard[[#This Row],[Date]]="","",IF(tblBoard[[#This Row],[Target (units)]]="","",tblBoard[[#This Row],[Actual (units)]]-tblBoard[[#This Row],[Target (units)]]))</f>
        <v>-2</v>
      </c>
      <c r="M39" s="38">
        <f>IF(tblBoard[[#This Row],[Date]]="","",IF(tblBoard[[#This Row],[Target (units)]]="","",MAX(0,tblBoard[[#This Row],[Target (units)]]-tblBoard[[#This Row],[Actual (units)]])))</f>
        <v>2</v>
      </c>
      <c r="N39" s="39">
        <f>IF(tblBoard[[#This Row],[Date]]="","",IF(N(tblBoard[[#This Row],[Target (units)]])&gt;0,tblBoard[[#This Row],[Actual (units)]]/tblBoard[[#This Row],[Target (units)]],""))</f>
        <v>0.973333333333333</v>
      </c>
      <c r="O39" s="38">
        <f>IF(tblBoard[[#This Row],[Date]]="","",IF(N(tblBoard[[#This Row],[Target (units)]])&gt;0,IF(tblBoard[[#This Row],[Actual (units)]]&gt;=tblBoard[[#This Row],[Target (units)]]*TargetHour,1,0),""))</f>
        <v>0</v>
      </c>
      <c r="P39" s="40" t="str">
        <f>IF(NOT(ISNUMBER(tblBoard[[#This Row],[Attainment]])),"",IF(tblBoard[[#This Row],[Attainment]]&gt;=TargetHour,"On target",IF(tblBoard[[#This Row],[Attainment]]&gt;=TargetHour*(1-0.05),"Near target","Below target")))</f>
        <v>Near target</v>
      </c>
      <c r="Q39" s="38">
        <f>IF(tblBoard[[#This Row],[Date]]="","",IF(tblBoard[[#This Row],[Hour]]="","",SUMIFS(tblBoard[Target (units)],tblBoard[Date],tblBoard[[#This Row],[Date]],tblBoard[Shift],tblBoard[[#This Row],[Shift]],tblBoard[Line],tblBoard[[#This Row],[Line]],tblBoard[Hour],"&lt;="&amp;tblBoard[[#This Row],[Hour]])))</f>
        <v>150</v>
      </c>
      <c r="R39" s="38">
        <f>IF(tblBoard[[#This Row],[Date]]="","",IF(tblBoard[[#This Row],[Hour]]="","",SUMIFS(tblBoard[Actual (units)],tblBoard[Date],tblBoard[[#This Row],[Date]],tblBoard[Shift],tblBoard[[#This Row],[Shift]],tblBoard[Line],tblBoard[[#This Row],[Line]],tblBoard[Hour],"&lt;="&amp;tblBoard[[#This Row],[Hour]])))</f>
        <v>144</v>
      </c>
      <c r="S39" s="38">
        <f>IF(tblBoard[[#This Row],[Date]]="","",IF(tblBoard[[#This Row],[Cum. target]]="","",tblBoard[[#This Row],[Cum. actual]]-tblBoard[[#This Row],[Cum. target]]))</f>
        <v>-6</v>
      </c>
      <c r="T39" s="41">
        <f>IF(tblBoard[[#This Row],[Date]]="","",IF(AND(tblBoard[[#This Row],[Date]]&gt;=FFrom,tblBoard[[#This Row],[Date]]&lt;=FTo,OR(DashLine="",tblBoard[[#This Row],[Line]]=DashLine)),tblBoard[[#This Row],[Date]],""))</f>
        <v>46301</v>
      </c>
      <c r="U3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9" s="43" t="s">
        <v>146</v>
      </c>
    </row>
    <row r="40" spans="2:22" x14ac:dyDescent="0.25">
      <c r="B40" s="36">
        <v>46301</v>
      </c>
      <c r="C40" s="28" t="s">
        <v>91</v>
      </c>
      <c r="D40" s="28" t="s">
        <v>85</v>
      </c>
      <c r="E40" s="33">
        <v>3</v>
      </c>
      <c r="F40" s="28" t="s">
        <v>105</v>
      </c>
      <c r="G40" s="33">
        <v>50</v>
      </c>
      <c r="H40" s="33">
        <v>65</v>
      </c>
      <c r="I40" s="28"/>
      <c r="J40" s="37">
        <f>IF(tblBoard[[#This Row],[Date]]="","",IFERROR(INDEX(tblProducts[Takt time (s)],MATCH(tblBoard[[#This Row],[Product]],tblProducts[Product],0)),""))</f>
        <v>48</v>
      </c>
      <c r="K40" s="38">
        <f>IF(tblBoard[[#This Row],[Date]]="","",IF(OR(tblBoard[[#This Row],[Takt (s)]]="",tblBoard[[#This Row],[Available (min)]]=""),"",INT(tblBoard[[#This Row],[Available (min)]]*60/tblBoard[[#This Row],[Takt (s)]])))</f>
        <v>62</v>
      </c>
      <c r="L40" s="38">
        <f>IF(tblBoard[[#This Row],[Date]]="","",IF(tblBoard[[#This Row],[Target (units)]]="","",tblBoard[[#This Row],[Actual (units)]]-tblBoard[[#This Row],[Target (units)]]))</f>
        <v>3</v>
      </c>
      <c r="M40" s="38">
        <f>IF(tblBoard[[#This Row],[Date]]="","",IF(tblBoard[[#This Row],[Target (units)]]="","",MAX(0,tblBoard[[#This Row],[Target (units)]]-tblBoard[[#This Row],[Actual (units)]])))</f>
        <v>0</v>
      </c>
      <c r="N40" s="39">
        <f>IF(tblBoard[[#This Row],[Date]]="","",IF(N(tblBoard[[#This Row],[Target (units)]])&gt;0,tblBoard[[#This Row],[Actual (units)]]/tblBoard[[#This Row],[Target (units)]],""))</f>
        <v>1.04838709677419</v>
      </c>
      <c r="O40" s="38">
        <f>IF(tblBoard[[#This Row],[Date]]="","",IF(N(tblBoard[[#This Row],[Target (units)]])&gt;0,IF(tblBoard[[#This Row],[Actual (units)]]&gt;=tblBoard[[#This Row],[Target (units)]]*TargetHour,1,0),""))</f>
        <v>1</v>
      </c>
      <c r="P40" s="40" t="str">
        <f>IF(NOT(ISNUMBER(tblBoard[[#This Row],[Attainment]])),"",IF(tblBoard[[#This Row],[Attainment]]&gt;=TargetHour,"On target",IF(tblBoard[[#This Row],[Attainment]]&gt;=TargetHour*(1-0.05),"Near target","Below target")))</f>
        <v>On target</v>
      </c>
      <c r="Q40" s="38">
        <f>IF(tblBoard[[#This Row],[Date]]="","",IF(tblBoard[[#This Row],[Hour]]="","",SUMIFS(tblBoard[Target (units)],tblBoard[Date],tblBoard[[#This Row],[Date]],tblBoard[Shift],tblBoard[[#This Row],[Shift]],tblBoard[Line],tblBoard[[#This Row],[Line]],tblBoard[Hour],"&lt;="&amp;tblBoard[[#This Row],[Hour]])))</f>
        <v>212</v>
      </c>
      <c r="R40" s="38">
        <f>IF(tblBoard[[#This Row],[Date]]="","",IF(tblBoard[[#This Row],[Hour]]="","",SUMIFS(tblBoard[Actual (units)],tblBoard[Date],tblBoard[[#This Row],[Date]],tblBoard[Shift],tblBoard[[#This Row],[Shift]],tblBoard[Line],tblBoard[[#This Row],[Line]],tblBoard[Hour],"&lt;="&amp;tblBoard[[#This Row],[Hour]])))</f>
        <v>209</v>
      </c>
      <c r="S40" s="38">
        <f>IF(tblBoard[[#This Row],[Date]]="","",IF(tblBoard[[#This Row],[Cum. target]]="","",tblBoard[[#This Row],[Cum. actual]]-tblBoard[[#This Row],[Cum. target]]))</f>
        <v>-3</v>
      </c>
      <c r="T40" s="41">
        <f>IF(tblBoard[[#This Row],[Date]]="","",IF(AND(tblBoard[[#This Row],[Date]]&gt;=FFrom,tblBoard[[#This Row],[Date]]&lt;=FTo,OR(DashLine="",tblBoard[[#This Row],[Line]]=DashLine)),tblBoard[[#This Row],[Date]],""))</f>
        <v>46301</v>
      </c>
      <c r="U4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40" s="43" t="s">
        <v>97</v>
      </c>
    </row>
    <row r="41" spans="2:22" x14ac:dyDescent="0.25">
      <c r="B41" s="36">
        <v>46301</v>
      </c>
      <c r="C41" s="28" t="s">
        <v>91</v>
      </c>
      <c r="D41" s="28" t="s">
        <v>85</v>
      </c>
      <c r="E41" s="33">
        <v>4</v>
      </c>
      <c r="F41" s="28" t="s">
        <v>105</v>
      </c>
      <c r="G41" s="33">
        <v>60</v>
      </c>
      <c r="H41" s="33">
        <v>76</v>
      </c>
      <c r="I41" s="28"/>
      <c r="J41" s="37">
        <f>IF(tblBoard[[#This Row],[Date]]="","",IFERROR(INDEX(tblProducts[Takt time (s)],MATCH(tblBoard[[#This Row],[Product]],tblProducts[Product],0)),""))</f>
        <v>48</v>
      </c>
      <c r="K41" s="38">
        <f>IF(tblBoard[[#This Row],[Date]]="","",IF(OR(tblBoard[[#This Row],[Takt (s)]]="",tblBoard[[#This Row],[Available (min)]]=""),"",INT(tblBoard[[#This Row],[Available (min)]]*60/tblBoard[[#This Row],[Takt (s)]])))</f>
        <v>75</v>
      </c>
      <c r="L41" s="38">
        <f>IF(tblBoard[[#This Row],[Date]]="","",IF(tblBoard[[#This Row],[Target (units)]]="","",tblBoard[[#This Row],[Actual (units)]]-tblBoard[[#This Row],[Target (units)]]))</f>
        <v>1</v>
      </c>
      <c r="M41" s="38">
        <f>IF(tblBoard[[#This Row],[Date]]="","",IF(tblBoard[[#This Row],[Target (units)]]="","",MAX(0,tblBoard[[#This Row],[Target (units)]]-tblBoard[[#This Row],[Actual (units)]])))</f>
        <v>0</v>
      </c>
      <c r="N41" s="39">
        <f>IF(tblBoard[[#This Row],[Date]]="","",IF(N(tblBoard[[#This Row],[Target (units)]])&gt;0,tblBoard[[#This Row],[Actual (units)]]/tblBoard[[#This Row],[Target (units)]],""))</f>
        <v>1.01333333333333</v>
      </c>
      <c r="O41" s="38">
        <f>IF(tblBoard[[#This Row],[Date]]="","",IF(N(tblBoard[[#This Row],[Target (units)]])&gt;0,IF(tblBoard[[#This Row],[Actual (units)]]&gt;=tblBoard[[#This Row],[Target (units)]]*TargetHour,1,0),""))</f>
        <v>1</v>
      </c>
      <c r="P41" s="40" t="str">
        <f>IF(NOT(ISNUMBER(tblBoard[[#This Row],[Attainment]])),"",IF(tblBoard[[#This Row],[Attainment]]&gt;=TargetHour,"On target",IF(tblBoard[[#This Row],[Attainment]]&gt;=TargetHour*(1-0.05),"Near target","Below target")))</f>
        <v>On target</v>
      </c>
      <c r="Q41" s="38">
        <f>IF(tblBoard[[#This Row],[Date]]="","",IF(tblBoard[[#This Row],[Hour]]="","",SUMIFS(tblBoard[Target (units)],tblBoard[Date],tblBoard[[#This Row],[Date]],tblBoard[Shift],tblBoard[[#This Row],[Shift]],tblBoard[Line],tblBoard[[#This Row],[Line]],tblBoard[Hour],"&lt;="&amp;tblBoard[[#This Row],[Hour]])))</f>
        <v>287</v>
      </c>
      <c r="R41" s="38">
        <f>IF(tblBoard[[#This Row],[Date]]="","",IF(tblBoard[[#This Row],[Hour]]="","",SUMIFS(tblBoard[Actual (units)],tblBoard[Date],tblBoard[[#This Row],[Date]],tblBoard[Shift],tblBoard[[#This Row],[Shift]],tblBoard[Line],tblBoard[[#This Row],[Line]],tblBoard[Hour],"&lt;="&amp;tblBoard[[#This Row],[Hour]])))</f>
        <v>285</v>
      </c>
      <c r="S41" s="38">
        <f>IF(tblBoard[[#This Row],[Date]]="","",IF(tblBoard[[#This Row],[Cum. target]]="","",tblBoard[[#This Row],[Cum. actual]]-tblBoard[[#This Row],[Cum. target]]))</f>
        <v>-2</v>
      </c>
      <c r="T41" s="41">
        <f>IF(tblBoard[[#This Row],[Date]]="","",IF(AND(tblBoard[[#This Row],[Date]]&gt;=FFrom,tblBoard[[#This Row],[Date]]&lt;=FTo,OR(DashLine="",tblBoard[[#This Row],[Line]]=DashLine)),tblBoard[[#This Row],[Date]],""))</f>
        <v>46301</v>
      </c>
      <c r="U4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41" s="43" t="s">
        <v>97</v>
      </c>
    </row>
    <row r="42" spans="2:22" x14ac:dyDescent="0.25">
      <c r="B42" s="36">
        <v>46301</v>
      </c>
      <c r="C42" s="28" t="s">
        <v>91</v>
      </c>
      <c r="D42" s="28" t="s">
        <v>85</v>
      </c>
      <c r="E42" s="33">
        <v>5</v>
      </c>
      <c r="F42" s="28" t="s">
        <v>105</v>
      </c>
      <c r="G42" s="33">
        <v>30</v>
      </c>
      <c r="H42" s="33">
        <v>36</v>
      </c>
      <c r="I42" s="28" t="s">
        <v>118</v>
      </c>
      <c r="J42" s="37">
        <f>IF(tblBoard[[#This Row],[Date]]="","",IFERROR(INDEX(tblProducts[Takt time (s)],MATCH(tblBoard[[#This Row],[Product]],tblProducts[Product],0)),""))</f>
        <v>48</v>
      </c>
      <c r="K42" s="38">
        <f>IF(tblBoard[[#This Row],[Date]]="","",IF(OR(tblBoard[[#This Row],[Takt (s)]]="",tblBoard[[#This Row],[Available (min)]]=""),"",INT(tblBoard[[#This Row],[Available (min)]]*60/tblBoard[[#This Row],[Takt (s)]])))</f>
        <v>37</v>
      </c>
      <c r="L42" s="38">
        <f>IF(tblBoard[[#This Row],[Date]]="","",IF(tblBoard[[#This Row],[Target (units)]]="","",tblBoard[[#This Row],[Actual (units)]]-tblBoard[[#This Row],[Target (units)]]))</f>
        <v>-1</v>
      </c>
      <c r="M42" s="38">
        <f>IF(tblBoard[[#This Row],[Date]]="","",IF(tblBoard[[#This Row],[Target (units)]]="","",MAX(0,tblBoard[[#This Row],[Target (units)]]-tblBoard[[#This Row],[Actual (units)]])))</f>
        <v>1</v>
      </c>
      <c r="N42" s="39">
        <f>IF(tblBoard[[#This Row],[Date]]="","",IF(N(tblBoard[[#This Row],[Target (units)]])&gt;0,tblBoard[[#This Row],[Actual (units)]]/tblBoard[[#This Row],[Target (units)]],""))</f>
        <v>0.972972972972973</v>
      </c>
      <c r="O42" s="38">
        <f>IF(tblBoard[[#This Row],[Date]]="","",IF(N(tblBoard[[#This Row],[Target (units)]])&gt;0,IF(tblBoard[[#This Row],[Actual (units)]]&gt;=tblBoard[[#This Row],[Target (units)]]*TargetHour,1,0),""))</f>
        <v>0</v>
      </c>
      <c r="P42" s="40" t="str">
        <f>IF(NOT(ISNUMBER(tblBoard[[#This Row],[Attainment]])),"",IF(tblBoard[[#This Row],[Attainment]]&gt;=TargetHour,"On target",IF(tblBoard[[#This Row],[Attainment]]&gt;=TargetHour*(1-0.05),"Near target","Below target")))</f>
        <v>Near target</v>
      </c>
      <c r="Q42" s="38">
        <f>IF(tblBoard[[#This Row],[Date]]="","",IF(tblBoard[[#This Row],[Hour]]="","",SUMIFS(tblBoard[Target (units)],tblBoard[Date],tblBoard[[#This Row],[Date]],tblBoard[Shift],tblBoard[[#This Row],[Shift]],tblBoard[Line],tblBoard[[#This Row],[Line]],tblBoard[Hour],"&lt;="&amp;tblBoard[[#This Row],[Hour]])))</f>
        <v>324</v>
      </c>
      <c r="R42" s="38">
        <f>IF(tblBoard[[#This Row],[Date]]="","",IF(tblBoard[[#This Row],[Hour]]="","",SUMIFS(tblBoard[Actual (units)],tblBoard[Date],tblBoard[[#This Row],[Date]],tblBoard[Shift],tblBoard[[#This Row],[Shift]],tblBoard[Line],tblBoard[[#This Row],[Line]],tblBoard[Hour],"&lt;="&amp;tblBoard[[#This Row],[Hour]])))</f>
        <v>321</v>
      </c>
      <c r="S42" s="38">
        <f>IF(tblBoard[[#This Row],[Date]]="","",IF(tblBoard[[#This Row],[Cum. target]]="","",tblBoard[[#This Row],[Cum. actual]]-tblBoard[[#This Row],[Cum. target]]))</f>
        <v>-3</v>
      </c>
      <c r="T42" s="41">
        <f>IF(tblBoard[[#This Row],[Date]]="","",IF(AND(tblBoard[[#This Row],[Date]]&gt;=FFrom,tblBoard[[#This Row],[Date]]&lt;=FTo,OR(DashLine="",tblBoard[[#This Row],[Line]]=DashLine)),tblBoard[[#This Row],[Date]],""))</f>
        <v>46301</v>
      </c>
      <c r="U4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42" s="43" t="s">
        <v>97</v>
      </c>
    </row>
    <row r="43" spans="2:22" x14ac:dyDescent="0.25">
      <c r="B43" s="36">
        <v>46301</v>
      </c>
      <c r="C43" s="28" t="s">
        <v>91</v>
      </c>
      <c r="D43" s="28" t="s">
        <v>85</v>
      </c>
      <c r="E43" s="33">
        <v>6</v>
      </c>
      <c r="F43" s="28" t="s">
        <v>105</v>
      </c>
      <c r="G43" s="33">
        <v>60</v>
      </c>
      <c r="H43" s="33">
        <v>72</v>
      </c>
      <c r="I43" s="28" t="s">
        <v>116</v>
      </c>
      <c r="J43" s="37">
        <f>IF(tblBoard[[#This Row],[Date]]="","",IFERROR(INDEX(tblProducts[Takt time (s)],MATCH(tblBoard[[#This Row],[Product]],tblProducts[Product],0)),""))</f>
        <v>48</v>
      </c>
      <c r="K43" s="38">
        <f>IF(tblBoard[[#This Row],[Date]]="","",IF(OR(tblBoard[[#This Row],[Takt (s)]]="",tblBoard[[#This Row],[Available (min)]]=""),"",INT(tblBoard[[#This Row],[Available (min)]]*60/tblBoard[[#This Row],[Takt (s)]])))</f>
        <v>75</v>
      </c>
      <c r="L43" s="38">
        <f>IF(tblBoard[[#This Row],[Date]]="","",IF(tblBoard[[#This Row],[Target (units)]]="","",tblBoard[[#This Row],[Actual (units)]]-tblBoard[[#This Row],[Target (units)]]))</f>
        <v>-3</v>
      </c>
      <c r="M43" s="38">
        <f>IF(tblBoard[[#This Row],[Date]]="","",IF(tblBoard[[#This Row],[Target (units)]]="","",MAX(0,tblBoard[[#This Row],[Target (units)]]-tblBoard[[#This Row],[Actual (units)]])))</f>
        <v>3</v>
      </c>
      <c r="N43" s="39">
        <f>IF(tblBoard[[#This Row],[Date]]="","",IF(N(tblBoard[[#This Row],[Target (units)]])&gt;0,tblBoard[[#This Row],[Actual (units)]]/tblBoard[[#This Row],[Target (units)]],""))</f>
        <v>0.96</v>
      </c>
      <c r="O43" s="38">
        <f>IF(tblBoard[[#This Row],[Date]]="","",IF(N(tblBoard[[#This Row],[Target (units)]])&gt;0,IF(tblBoard[[#This Row],[Actual (units)]]&gt;=tblBoard[[#This Row],[Target (units)]]*TargetHour,1,0),""))</f>
        <v>0</v>
      </c>
      <c r="P43" s="40" t="str">
        <f>IF(NOT(ISNUMBER(tblBoard[[#This Row],[Attainment]])),"",IF(tblBoard[[#This Row],[Attainment]]&gt;=TargetHour,"On target",IF(tblBoard[[#This Row],[Attainment]]&gt;=TargetHour*(1-0.05),"Near target","Below target")))</f>
        <v>Near target</v>
      </c>
      <c r="Q43" s="38">
        <f>IF(tblBoard[[#This Row],[Date]]="","",IF(tblBoard[[#This Row],[Hour]]="","",SUMIFS(tblBoard[Target (units)],tblBoard[Date],tblBoard[[#This Row],[Date]],tblBoard[Shift],tblBoard[[#This Row],[Shift]],tblBoard[Line],tblBoard[[#This Row],[Line]],tblBoard[Hour],"&lt;="&amp;tblBoard[[#This Row],[Hour]])))</f>
        <v>399</v>
      </c>
      <c r="R43" s="38">
        <f>IF(tblBoard[[#This Row],[Date]]="","",IF(tblBoard[[#This Row],[Hour]]="","",SUMIFS(tblBoard[Actual (units)],tblBoard[Date],tblBoard[[#This Row],[Date]],tblBoard[Shift],tblBoard[[#This Row],[Shift]],tblBoard[Line],tblBoard[[#This Row],[Line]],tblBoard[Hour],"&lt;="&amp;tblBoard[[#This Row],[Hour]])))</f>
        <v>393</v>
      </c>
      <c r="S43" s="38">
        <f>IF(tblBoard[[#This Row],[Date]]="","",IF(tblBoard[[#This Row],[Cum. target]]="","",tblBoard[[#This Row],[Cum. actual]]-tblBoard[[#This Row],[Cum. target]]))</f>
        <v>-6</v>
      </c>
      <c r="T43" s="41">
        <f>IF(tblBoard[[#This Row],[Date]]="","",IF(AND(tblBoard[[#This Row],[Date]]&gt;=FFrom,tblBoard[[#This Row],[Date]]&lt;=FTo,OR(DashLine="",tblBoard[[#This Row],[Line]]=DashLine)),tblBoard[[#This Row],[Date]],""))</f>
        <v>46301</v>
      </c>
      <c r="U4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43" s="43" t="s">
        <v>146</v>
      </c>
    </row>
    <row r="44" spans="2:22" x14ac:dyDescent="0.25">
      <c r="B44" s="36">
        <v>46301</v>
      </c>
      <c r="C44" s="28" t="s">
        <v>91</v>
      </c>
      <c r="D44" s="28" t="s">
        <v>85</v>
      </c>
      <c r="E44" s="33">
        <v>7</v>
      </c>
      <c r="F44" s="28" t="s">
        <v>105</v>
      </c>
      <c r="G44" s="33">
        <v>50</v>
      </c>
      <c r="H44" s="33">
        <v>65</v>
      </c>
      <c r="I44" s="28"/>
      <c r="J44" s="37">
        <f>IF(tblBoard[[#This Row],[Date]]="","",IFERROR(INDEX(tblProducts[Takt time (s)],MATCH(tblBoard[[#This Row],[Product]],tblProducts[Product],0)),""))</f>
        <v>48</v>
      </c>
      <c r="K44" s="38">
        <f>IF(tblBoard[[#This Row],[Date]]="","",IF(OR(tblBoard[[#This Row],[Takt (s)]]="",tblBoard[[#This Row],[Available (min)]]=""),"",INT(tblBoard[[#This Row],[Available (min)]]*60/tblBoard[[#This Row],[Takt (s)]])))</f>
        <v>62</v>
      </c>
      <c r="L44" s="38">
        <f>IF(tblBoard[[#This Row],[Date]]="","",IF(tblBoard[[#This Row],[Target (units)]]="","",tblBoard[[#This Row],[Actual (units)]]-tblBoard[[#This Row],[Target (units)]]))</f>
        <v>3</v>
      </c>
      <c r="M44" s="38">
        <f>IF(tblBoard[[#This Row],[Date]]="","",IF(tblBoard[[#This Row],[Target (units)]]="","",MAX(0,tblBoard[[#This Row],[Target (units)]]-tblBoard[[#This Row],[Actual (units)]])))</f>
        <v>0</v>
      </c>
      <c r="N44" s="39">
        <f>IF(tblBoard[[#This Row],[Date]]="","",IF(N(tblBoard[[#This Row],[Target (units)]])&gt;0,tblBoard[[#This Row],[Actual (units)]]/tblBoard[[#This Row],[Target (units)]],""))</f>
        <v>1.04838709677419</v>
      </c>
      <c r="O44" s="38">
        <f>IF(tblBoard[[#This Row],[Date]]="","",IF(N(tblBoard[[#This Row],[Target (units)]])&gt;0,IF(tblBoard[[#This Row],[Actual (units)]]&gt;=tblBoard[[#This Row],[Target (units)]]*TargetHour,1,0),""))</f>
        <v>1</v>
      </c>
      <c r="P44" s="40" t="str">
        <f>IF(NOT(ISNUMBER(tblBoard[[#This Row],[Attainment]])),"",IF(tblBoard[[#This Row],[Attainment]]&gt;=TargetHour,"On target",IF(tblBoard[[#This Row],[Attainment]]&gt;=TargetHour*(1-0.05),"Near target","Below target")))</f>
        <v>On target</v>
      </c>
      <c r="Q44" s="38">
        <f>IF(tblBoard[[#This Row],[Date]]="","",IF(tblBoard[[#This Row],[Hour]]="","",SUMIFS(tblBoard[Target (units)],tblBoard[Date],tblBoard[[#This Row],[Date]],tblBoard[Shift],tblBoard[[#This Row],[Shift]],tblBoard[Line],tblBoard[[#This Row],[Line]],tblBoard[Hour],"&lt;="&amp;tblBoard[[#This Row],[Hour]])))</f>
        <v>461</v>
      </c>
      <c r="R44" s="38">
        <f>IF(tblBoard[[#This Row],[Date]]="","",IF(tblBoard[[#This Row],[Hour]]="","",SUMIFS(tblBoard[Actual (units)],tblBoard[Date],tblBoard[[#This Row],[Date]],tblBoard[Shift],tblBoard[[#This Row],[Shift]],tblBoard[Line],tblBoard[[#This Row],[Line]],tblBoard[Hour],"&lt;="&amp;tblBoard[[#This Row],[Hour]])))</f>
        <v>458</v>
      </c>
      <c r="S44" s="38">
        <f>IF(tblBoard[[#This Row],[Date]]="","",IF(tblBoard[[#This Row],[Cum. target]]="","",tblBoard[[#This Row],[Cum. actual]]-tblBoard[[#This Row],[Cum. target]]))</f>
        <v>-3</v>
      </c>
      <c r="T44" s="41">
        <f>IF(tblBoard[[#This Row],[Date]]="","",IF(AND(tblBoard[[#This Row],[Date]]&gt;=FFrom,tblBoard[[#This Row],[Date]]&lt;=FTo,OR(DashLine="",tblBoard[[#This Row],[Line]]=DashLine)),tblBoard[[#This Row],[Date]],""))</f>
        <v>46301</v>
      </c>
      <c r="U4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44" s="43" t="s">
        <v>97</v>
      </c>
    </row>
    <row r="45" spans="2:22" x14ac:dyDescent="0.25">
      <c r="B45" s="36">
        <v>46301</v>
      </c>
      <c r="C45" s="28" t="s">
        <v>91</v>
      </c>
      <c r="D45" s="28" t="s">
        <v>85</v>
      </c>
      <c r="E45" s="33">
        <v>8</v>
      </c>
      <c r="F45" s="28" t="s">
        <v>105</v>
      </c>
      <c r="G45" s="33">
        <v>50</v>
      </c>
      <c r="H45" s="33">
        <v>63</v>
      </c>
      <c r="I45" s="28"/>
      <c r="J45" s="37">
        <f>IF(tblBoard[[#This Row],[Date]]="","",IFERROR(INDEX(tblProducts[Takt time (s)],MATCH(tblBoard[[#This Row],[Product]],tblProducts[Product],0)),""))</f>
        <v>48</v>
      </c>
      <c r="K45" s="38">
        <f>IF(tblBoard[[#This Row],[Date]]="","",IF(OR(tblBoard[[#This Row],[Takt (s)]]="",tblBoard[[#This Row],[Available (min)]]=""),"",INT(tblBoard[[#This Row],[Available (min)]]*60/tblBoard[[#This Row],[Takt (s)]])))</f>
        <v>62</v>
      </c>
      <c r="L45" s="38">
        <f>IF(tblBoard[[#This Row],[Date]]="","",IF(tblBoard[[#This Row],[Target (units)]]="","",tblBoard[[#This Row],[Actual (units)]]-tblBoard[[#This Row],[Target (units)]]))</f>
        <v>1</v>
      </c>
      <c r="M45" s="38">
        <f>IF(tblBoard[[#This Row],[Date]]="","",IF(tblBoard[[#This Row],[Target (units)]]="","",MAX(0,tblBoard[[#This Row],[Target (units)]]-tblBoard[[#This Row],[Actual (units)]])))</f>
        <v>0</v>
      </c>
      <c r="N45" s="39">
        <f>IF(tblBoard[[#This Row],[Date]]="","",IF(N(tblBoard[[#This Row],[Target (units)]])&gt;0,tblBoard[[#This Row],[Actual (units)]]/tblBoard[[#This Row],[Target (units)]],""))</f>
        <v>1.01612903225806</v>
      </c>
      <c r="O45" s="38">
        <f>IF(tblBoard[[#This Row],[Date]]="","",IF(N(tblBoard[[#This Row],[Target (units)]])&gt;0,IF(tblBoard[[#This Row],[Actual (units)]]&gt;=tblBoard[[#This Row],[Target (units)]]*TargetHour,1,0),""))</f>
        <v>1</v>
      </c>
      <c r="P45" s="40" t="str">
        <f>IF(NOT(ISNUMBER(tblBoard[[#This Row],[Attainment]])),"",IF(tblBoard[[#This Row],[Attainment]]&gt;=TargetHour,"On target",IF(tblBoard[[#This Row],[Attainment]]&gt;=TargetHour*(1-0.05),"Near target","Below target")))</f>
        <v>On target</v>
      </c>
      <c r="Q45" s="38">
        <f>IF(tblBoard[[#This Row],[Date]]="","",IF(tblBoard[[#This Row],[Hour]]="","",SUMIFS(tblBoard[Target (units)],tblBoard[Date],tblBoard[[#This Row],[Date]],tblBoard[Shift],tblBoard[[#This Row],[Shift]],tblBoard[Line],tblBoard[[#This Row],[Line]],tblBoard[Hour],"&lt;="&amp;tblBoard[[#This Row],[Hour]])))</f>
        <v>523</v>
      </c>
      <c r="R45" s="38">
        <f>IF(tblBoard[[#This Row],[Date]]="","",IF(tblBoard[[#This Row],[Hour]]="","",SUMIFS(tblBoard[Actual (units)],tblBoard[Date],tblBoard[[#This Row],[Date]],tblBoard[Shift],tblBoard[[#This Row],[Shift]],tblBoard[Line],tblBoard[[#This Row],[Line]],tblBoard[Hour],"&lt;="&amp;tblBoard[[#This Row],[Hour]])))</f>
        <v>521</v>
      </c>
      <c r="S45" s="38">
        <f>IF(tblBoard[[#This Row],[Date]]="","",IF(tblBoard[[#This Row],[Cum. target]]="","",tblBoard[[#This Row],[Cum. actual]]-tblBoard[[#This Row],[Cum. target]]))</f>
        <v>-2</v>
      </c>
      <c r="T45" s="41">
        <f>IF(tblBoard[[#This Row],[Date]]="","",IF(AND(tblBoard[[#This Row],[Date]]&gt;=FFrom,tblBoard[[#This Row],[Date]]&lt;=FTo,OR(DashLine="",tblBoard[[#This Row],[Line]]=DashLine)),tblBoard[[#This Row],[Date]],""))</f>
        <v>46301</v>
      </c>
      <c r="U4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45" s="43" t="s">
        <v>97</v>
      </c>
    </row>
    <row r="46" spans="2:22" x14ac:dyDescent="0.25">
      <c r="B46" s="36">
        <v>46301</v>
      </c>
      <c r="C46" s="28" t="s">
        <v>91</v>
      </c>
      <c r="D46" s="28" t="s">
        <v>88</v>
      </c>
      <c r="E46" s="33">
        <v>1</v>
      </c>
      <c r="F46" s="28" t="s">
        <v>107</v>
      </c>
      <c r="G46" s="33">
        <v>60</v>
      </c>
      <c r="H46" s="33">
        <v>102</v>
      </c>
      <c r="I46" s="28" t="s">
        <v>110</v>
      </c>
      <c r="J46" s="37">
        <f>IF(tblBoard[[#This Row],[Date]]="","",IFERROR(INDEX(tblProducts[Takt time (s)],MATCH(tblBoard[[#This Row],[Product]],tblProducts[Product],0)),""))</f>
        <v>30</v>
      </c>
      <c r="K46" s="38">
        <f>IF(tblBoard[[#This Row],[Date]]="","",IF(OR(tblBoard[[#This Row],[Takt (s)]]="",tblBoard[[#This Row],[Available (min)]]=""),"",INT(tblBoard[[#This Row],[Available (min)]]*60/tblBoard[[#This Row],[Takt (s)]])))</f>
        <v>120</v>
      </c>
      <c r="L46" s="38">
        <f>IF(tblBoard[[#This Row],[Date]]="","",IF(tblBoard[[#This Row],[Target (units)]]="","",tblBoard[[#This Row],[Actual (units)]]-tblBoard[[#This Row],[Target (units)]]))</f>
        <v>-18</v>
      </c>
      <c r="M46" s="38">
        <f>IF(tblBoard[[#This Row],[Date]]="","",IF(tblBoard[[#This Row],[Target (units)]]="","",MAX(0,tblBoard[[#This Row],[Target (units)]]-tblBoard[[#This Row],[Actual (units)]])))</f>
        <v>18</v>
      </c>
      <c r="N46" s="39">
        <f>IF(tblBoard[[#This Row],[Date]]="","",IF(N(tblBoard[[#This Row],[Target (units)]])&gt;0,tblBoard[[#This Row],[Actual (units)]]/tblBoard[[#This Row],[Target (units)]],""))</f>
        <v>0.85</v>
      </c>
      <c r="O46" s="38">
        <f>IF(tblBoard[[#This Row],[Date]]="","",IF(N(tblBoard[[#This Row],[Target (units)]])&gt;0,IF(tblBoard[[#This Row],[Actual (units)]]&gt;=tblBoard[[#This Row],[Target (units)]]*TargetHour,1,0),""))</f>
        <v>0</v>
      </c>
      <c r="P46" s="40" t="str">
        <f>IF(NOT(ISNUMBER(tblBoard[[#This Row],[Attainment]])),"",IF(tblBoard[[#This Row],[Attainment]]&gt;=TargetHour,"On target",IF(tblBoard[[#This Row],[Attainment]]&gt;=TargetHour*(1-0.05),"Near target","Below target")))</f>
        <v>Below target</v>
      </c>
      <c r="Q46" s="38">
        <f>IF(tblBoard[[#This Row],[Date]]="","",IF(tblBoard[[#This Row],[Hour]]="","",SUMIFS(tblBoard[Target (units)],tblBoard[Date],tblBoard[[#This Row],[Date]],tblBoard[Shift],tblBoard[[#This Row],[Shift]],tblBoard[Line],tblBoard[[#This Row],[Line]],tblBoard[Hour],"&lt;="&amp;tblBoard[[#This Row],[Hour]])))</f>
        <v>120</v>
      </c>
      <c r="R46" s="38">
        <f>IF(tblBoard[[#This Row],[Date]]="","",IF(tblBoard[[#This Row],[Hour]]="","",SUMIFS(tblBoard[Actual (units)],tblBoard[Date],tblBoard[[#This Row],[Date]],tblBoard[Shift],tblBoard[[#This Row],[Shift]],tblBoard[Line],tblBoard[[#This Row],[Line]],tblBoard[Hour],"&lt;="&amp;tblBoard[[#This Row],[Hour]])))</f>
        <v>102</v>
      </c>
      <c r="S46" s="38">
        <f>IF(tblBoard[[#This Row],[Date]]="","",IF(tblBoard[[#This Row],[Cum. target]]="","",tblBoard[[#This Row],[Cum. actual]]-tblBoard[[#This Row],[Cum. target]]))</f>
        <v>-18</v>
      </c>
      <c r="T46" s="41">
        <f>IF(tblBoard[[#This Row],[Date]]="","",IF(AND(tblBoard[[#This Row],[Date]]&gt;=FFrom,tblBoard[[#This Row],[Date]]&lt;=FTo,OR(DashLine="",tblBoard[[#This Row],[Line]]=DashLine)),tblBoard[[#This Row],[Date]],""))</f>
        <v>46301</v>
      </c>
      <c r="U4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46" s="43" t="s">
        <v>144</v>
      </c>
    </row>
    <row r="47" spans="2:22" x14ac:dyDescent="0.25">
      <c r="B47" s="36">
        <v>46301</v>
      </c>
      <c r="C47" s="28" t="s">
        <v>91</v>
      </c>
      <c r="D47" s="28" t="s">
        <v>88</v>
      </c>
      <c r="E47" s="33">
        <v>2</v>
      </c>
      <c r="F47" s="28" t="s">
        <v>107</v>
      </c>
      <c r="G47" s="33">
        <v>60</v>
      </c>
      <c r="H47" s="33">
        <v>116</v>
      </c>
      <c r="I47" s="28" t="s">
        <v>116</v>
      </c>
      <c r="J47" s="37">
        <f>IF(tblBoard[[#This Row],[Date]]="","",IFERROR(INDEX(tblProducts[Takt time (s)],MATCH(tblBoard[[#This Row],[Product]],tblProducts[Product],0)),""))</f>
        <v>30</v>
      </c>
      <c r="K47" s="38">
        <f>IF(tblBoard[[#This Row],[Date]]="","",IF(OR(tblBoard[[#This Row],[Takt (s)]]="",tblBoard[[#This Row],[Available (min)]]=""),"",INT(tblBoard[[#This Row],[Available (min)]]*60/tblBoard[[#This Row],[Takt (s)]])))</f>
        <v>120</v>
      </c>
      <c r="L47" s="38">
        <f>IF(tblBoard[[#This Row],[Date]]="","",IF(tblBoard[[#This Row],[Target (units)]]="","",tblBoard[[#This Row],[Actual (units)]]-tblBoard[[#This Row],[Target (units)]]))</f>
        <v>-4</v>
      </c>
      <c r="M47" s="38">
        <f>IF(tblBoard[[#This Row],[Date]]="","",IF(tblBoard[[#This Row],[Target (units)]]="","",MAX(0,tblBoard[[#This Row],[Target (units)]]-tblBoard[[#This Row],[Actual (units)]])))</f>
        <v>4</v>
      </c>
      <c r="N47" s="39">
        <f>IF(tblBoard[[#This Row],[Date]]="","",IF(N(tblBoard[[#This Row],[Target (units)]])&gt;0,tblBoard[[#This Row],[Actual (units)]]/tblBoard[[#This Row],[Target (units)]],""))</f>
        <v>0.966666666666667</v>
      </c>
      <c r="O47" s="38">
        <f>IF(tblBoard[[#This Row],[Date]]="","",IF(N(tblBoard[[#This Row],[Target (units)]])&gt;0,IF(tblBoard[[#This Row],[Actual (units)]]&gt;=tblBoard[[#This Row],[Target (units)]]*TargetHour,1,0),""))</f>
        <v>0</v>
      </c>
      <c r="P47" s="40" t="str">
        <f>IF(NOT(ISNUMBER(tblBoard[[#This Row],[Attainment]])),"",IF(tblBoard[[#This Row],[Attainment]]&gt;=TargetHour,"On target",IF(tblBoard[[#This Row],[Attainment]]&gt;=TargetHour*(1-0.05),"Near target","Below target")))</f>
        <v>Near target</v>
      </c>
      <c r="Q47" s="38">
        <f>IF(tblBoard[[#This Row],[Date]]="","",IF(tblBoard[[#This Row],[Hour]]="","",SUMIFS(tblBoard[Target (units)],tblBoard[Date],tblBoard[[#This Row],[Date]],tblBoard[Shift],tblBoard[[#This Row],[Shift]],tblBoard[Line],tblBoard[[#This Row],[Line]],tblBoard[Hour],"&lt;="&amp;tblBoard[[#This Row],[Hour]])))</f>
        <v>240</v>
      </c>
      <c r="R47" s="38">
        <f>IF(tblBoard[[#This Row],[Date]]="","",IF(tblBoard[[#This Row],[Hour]]="","",SUMIFS(tblBoard[Actual (units)],tblBoard[Date],tblBoard[[#This Row],[Date]],tblBoard[Shift],tblBoard[[#This Row],[Shift]],tblBoard[Line],tblBoard[[#This Row],[Line]],tblBoard[Hour],"&lt;="&amp;tblBoard[[#This Row],[Hour]])))</f>
        <v>218</v>
      </c>
      <c r="S47" s="38">
        <f>IF(tblBoard[[#This Row],[Date]]="","",IF(tblBoard[[#This Row],[Cum. target]]="","",tblBoard[[#This Row],[Cum. actual]]-tblBoard[[#This Row],[Cum. target]]))</f>
        <v>-22</v>
      </c>
      <c r="T47" s="41">
        <f>IF(tblBoard[[#This Row],[Date]]="","",IF(AND(tblBoard[[#This Row],[Date]]&gt;=FFrom,tblBoard[[#This Row],[Date]]&lt;=FTo,OR(DashLine="",tblBoard[[#This Row],[Line]]=DashLine)),tblBoard[[#This Row],[Date]],""))</f>
        <v>46301</v>
      </c>
      <c r="U4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47" s="43" t="s">
        <v>146</v>
      </c>
    </row>
    <row r="48" spans="2:22" x14ac:dyDescent="0.25">
      <c r="B48" s="36">
        <v>46301</v>
      </c>
      <c r="C48" s="28" t="s">
        <v>91</v>
      </c>
      <c r="D48" s="28" t="s">
        <v>88</v>
      </c>
      <c r="E48" s="33">
        <v>3</v>
      </c>
      <c r="F48" s="28" t="s">
        <v>107</v>
      </c>
      <c r="G48" s="33">
        <v>50</v>
      </c>
      <c r="H48" s="33">
        <v>104</v>
      </c>
      <c r="I48" s="28"/>
      <c r="J48" s="37">
        <f>IF(tblBoard[[#This Row],[Date]]="","",IFERROR(INDEX(tblProducts[Takt time (s)],MATCH(tblBoard[[#This Row],[Product]],tblProducts[Product],0)),""))</f>
        <v>30</v>
      </c>
      <c r="K48" s="38">
        <f>IF(tblBoard[[#This Row],[Date]]="","",IF(OR(tblBoard[[#This Row],[Takt (s)]]="",tblBoard[[#This Row],[Available (min)]]=""),"",INT(tblBoard[[#This Row],[Available (min)]]*60/tblBoard[[#This Row],[Takt (s)]])))</f>
        <v>100</v>
      </c>
      <c r="L48" s="38">
        <f>IF(tblBoard[[#This Row],[Date]]="","",IF(tblBoard[[#This Row],[Target (units)]]="","",tblBoard[[#This Row],[Actual (units)]]-tblBoard[[#This Row],[Target (units)]]))</f>
        <v>4</v>
      </c>
      <c r="M48" s="38">
        <f>IF(tblBoard[[#This Row],[Date]]="","",IF(tblBoard[[#This Row],[Target (units)]]="","",MAX(0,tblBoard[[#This Row],[Target (units)]]-tblBoard[[#This Row],[Actual (units)]])))</f>
        <v>0</v>
      </c>
      <c r="N48" s="39">
        <f>IF(tblBoard[[#This Row],[Date]]="","",IF(N(tblBoard[[#This Row],[Target (units)]])&gt;0,tblBoard[[#This Row],[Actual (units)]]/tblBoard[[#This Row],[Target (units)]],""))</f>
        <v>1.04</v>
      </c>
      <c r="O48" s="38">
        <f>IF(tblBoard[[#This Row],[Date]]="","",IF(N(tblBoard[[#This Row],[Target (units)]])&gt;0,IF(tblBoard[[#This Row],[Actual (units)]]&gt;=tblBoard[[#This Row],[Target (units)]]*TargetHour,1,0),""))</f>
        <v>1</v>
      </c>
      <c r="P48" s="40" t="str">
        <f>IF(NOT(ISNUMBER(tblBoard[[#This Row],[Attainment]])),"",IF(tblBoard[[#This Row],[Attainment]]&gt;=TargetHour,"On target",IF(tblBoard[[#This Row],[Attainment]]&gt;=TargetHour*(1-0.05),"Near target","Below target")))</f>
        <v>On target</v>
      </c>
      <c r="Q48" s="38">
        <f>IF(tblBoard[[#This Row],[Date]]="","",IF(tblBoard[[#This Row],[Hour]]="","",SUMIFS(tblBoard[Target (units)],tblBoard[Date],tblBoard[[#This Row],[Date]],tblBoard[Shift],tblBoard[[#This Row],[Shift]],tblBoard[Line],tblBoard[[#This Row],[Line]],tblBoard[Hour],"&lt;="&amp;tblBoard[[#This Row],[Hour]])))</f>
        <v>340</v>
      </c>
      <c r="R48" s="38">
        <f>IF(tblBoard[[#This Row],[Date]]="","",IF(tblBoard[[#This Row],[Hour]]="","",SUMIFS(tblBoard[Actual (units)],tblBoard[Date],tblBoard[[#This Row],[Date]],tblBoard[Shift],tblBoard[[#This Row],[Shift]],tblBoard[Line],tblBoard[[#This Row],[Line]],tblBoard[Hour],"&lt;="&amp;tblBoard[[#This Row],[Hour]])))</f>
        <v>322</v>
      </c>
      <c r="S48" s="38">
        <f>IF(tblBoard[[#This Row],[Date]]="","",IF(tblBoard[[#This Row],[Cum. target]]="","",tblBoard[[#This Row],[Cum. actual]]-tblBoard[[#This Row],[Cum. target]]))</f>
        <v>-18</v>
      </c>
      <c r="T48" s="41">
        <f>IF(tblBoard[[#This Row],[Date]]="","",IF(AND(tblBoard[[#This Row],[Date]]&gt;=FFrom,tblBoard[[#This Row],[Date]]&lt;=FTo,OR(DashLine="",tblBoard[[#This Row],[Line]]=DashLine)),tblBoard[[#This Row],[Date]],""))</f>
        <v>46301</v>
      </c>
      <c r="U4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48" s="43" t="s">
        <v>97</v>
      </c>
    </row>
    <row r="49" spans="2:22" x14ac:dyDescent="0.25">
      <c r="B49" s="36">
        <v>46301</v>
      </c>
      <c r="C49" s="28" t="s">
        <v>91</v>
      </c>
      <c r="D49" s="28" t="s">
        <v>88</v>
      </c>
      <c r="E49" s="33">
        <v>4</v>
      </c>
      <c r="F49" s="28" t="s">
        <v>107</v>
      </c>
      <c r="G49" s="33">
        <v>60</v>
      </c>
      <c r="H49" s="33">
        <v>119</v>
      </c>
      <c r="I49" s="28" t="s">
        <v>114</v>
      </c>
      <c r="J49" s="37">
        <f>IF(tblBoard[[#This Row],[Date]]="","",IFERROR(INDEX(tblProducts[Takt time (s)],MATCH(tblBoard[[#This Row],[Product]],tblProducts[Product],0)),""))</f>
        <v>30</v>
      </c>
      <c r="K49" s="38">
        <f>IF(tblBoard[[#This Row],[Date]]="","",IF(OR(tblBoard[[#This Row],[Takt (s)]]="",tblBoard[[#This Row],[Available (min)]]=""),"",INT(tblBoard[[#This Row],[Available (min)]]*60/tblBoard[[#This Row],[Takt (s)]])))</f>
        <v>120</v>
      </c>
      <c r="L49" s="38">
        <f>IF(tblBoard[[#This Row],[Date]]="","",IF(tblBoard[[#This Row],[Target (units)]]="","",tblBoard[[#This Row],[Actual (units)]]-tblBoard[[#This Row],[Target (units)]]))</f>
        <v>-1</v>
      </c>
      <c r="M49" s="38">
        <f>IF(tblBoard[[#This Row],[Date]]="","",IF(tblBoard[[#This Row],[Target (units)]]="","",MAX(0,tblBoard[[#This Row],[Target (units)]]-tblBoard[[#This Row],[Actual (units)]])))</f>
        <v>1</v>
      </c>
      <c r="N49" s="39">
        <f>IF(tblBoard[[#This Row],[Date]]="","",IF(N(tblBoard[[#This Row],[Target (units)]])&gt;0,tblBoard[[#This Row],[Actual (units)]]/tblBoard[[#This Row],[Target (units)]],""))</f>
        <v>0.991666666666667</v>
      </c>
      <c r="O49" s="38">
        <f>IF(tblBoard[[#This Row],[Date]]="","",IF(N(tblBoard[[#This Row],[Target (units)]])&gt;0,IF(tblBoard[[#This Row],[Actual (units)]]&gt;=tblBoard[[#This Row],[Target (units)]]*TargetHour,1,0),""))</f>
        <v>0</v>
      </c>
      <c r="P49" s="40" t="str">
        <f>IF(NOT(ISNUMBER(tblBoard[[#This Row],[Attainment]])),"",IF(tblBoard[[#This Row],[Attainment]]&gt;=TargetHour,"On target",IF(tblBoard[[#This Row],[Attainment]]&gt;=TargetHour*(1-0.05),"Near target","Below target")))</f>
        <v>Near target</v>
      </c>
      <c r="Q49" s="38">
        <f>IF(tblBoard[[#This Row],[Date]]="","",IF(tblBoard[[#This Row],[Hour]]="","",SUMIFS(tblBoard[Target (units)],tblBoard[Date],tblBoard[[#This Row],[Date]],tblBoard[Shift],tblBoard[[#This Row],[Shift]],tblBoard[Line],tblBoard[[#This Row],[Line]],tblBoard[Hour],"&lt;="&amp;tblBoard[[#This Row],[Hour]])))</f>
        <v>460</v>
      </c>
      <c r="R49" s="38">
        <f>IF(tblBoard[[#This Row],[Date]]="","",IF(tblBoard[[#This Row],[Hour]]="","",SUMIFS(tblBoard[Actual (units)],tblBoard[Date],tblBoard[[#This Row],[Date]],tblBoard[Shift],tblBoard[[#This Row],[Shift]],tblBoard[Line],tblBoard[[#This Row],[Line]],tblBoard[Hour],"&lt;="&amp;tblBoard[[#This Row],[Hour]])))</f>
        <v>441</v>
      </c>
      <c r="S49" s="38">
        <f>IF(tblBoard[[#This Row],[Date]]="","",IF(tblBoard[[#This Row],[Cum. target]]="","",tblBoard[[#This Row],[Cum. actual]]-tblBoard[[#This Row],[Cum. target]]))</f>
        <v>-19</v>
      </c>
      <c r="T49" s="41">
        <f>IF(tblBoard[[#This Row],[Date]]="","",IF(AND(tblBoard[[#This Row],[Date]]&gt;=FFrom,tblBoard[[#This Row],[Date]]&lt;=FTo,OR(DashLine="",tblBoard[[#This Row],[Line]]=DashLine)),tblBoard[[#This Row],[Date]],""))</f>
        <v>46301</v>
      </c>
      <c r="U4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49" s="43" t="s">
        <v>97</v>
      </c>
    </row>
    <row r="50" spans="2:22" x14ac:dyDescent="0.25">
      <c r="B50" s="36">
        <v>46301</v>
      </c>
      <c r="C50" s="28" t="s">
        <v>91</v>
      </c>
      <c r="D50" s="28" t="s">
        <v>88</v>
      </c>
      <c r="E50" s="33">
        <v>5</v>
      </c>
      <c r="F50" s="28" t="s">
        <v>107</v>
      </c>
      <c r="G50" s="33">
        <v>30</v>
      </c>
      <c r="H50" s="33">
        <v>60</v>
      </c>
      <c r="I50" s="28"/>
      <c r="J50" s="37">
        <f>IF(tblBoard[[#This Row],[Date]]="","",IFERROR(INDEX(tblProducts[Takt time (s)],MATCH(tblBoard[[#This Row],[Product]],tblProducts[Product],0)),""))</f>
        <v>30</v>
      </c>
      <c r="K50" s="38">
        <f>IF(tblBoard[[#This Row],[Date]]="","",IF(OR(tblBoard[[#This Row],[Takt (s)]]="",tblBoard[[#This Row],[Available (min)]]=""),"",INT(tblBoard[[#This Row],[Available (min)]]*60/tblBoard[[#This Row],[Takt (s)]])))</f>
        <v>60</v>
      </c>
      <c r="L50" s="38">
        <f>IF(tblBoard[[#This Row],[Date]]="","",IF(tblBoard[[#This Row],[Target (units)]]="","",tblBoard[[#This Row],[Actual (units)]]-tblBoard[[#This Row],[Target (units)]]))</f>
        <v>0</v>
      </c>
      <c r="M50" s="38">
        <f>IF(tblBoard[[#This Row],[Date]]="","",IF(tblBoard[[#This Row],[Target (units)]]="","",MAX(0,tblBoard[[#This Row],[Target (units)]]-tblBoard[[#This Row],[Actual (units)]])))</f>
        <v>0</v>
      </c>
      <c r="N50" s="39">
        <f>IF(tblBoard[[#This Row],[Date]]="","",IF(N(tblBoard[[#This Row],[Target (units)]])&gt;0,tblBoard[[#This Row],[Actual (units)]]/tblBoard[[#This Row],[Target (units)]],""))</f>
        <v>1</v>
      </c>
      <c r="O50" s="38">
        <f>IF(tblBoard[[#This Row],[Date]]="","",IF(N(tblBoard[[#This Row],[Target (units)]])&gt;0,IF(tblBoard[[#This Row],[Actual (units)]]&gt;=tblBoard[[#This Row],[Target (units)]]*TargetHour,1,0),""))</f>
        <v>1</v>
      </c>
      <c r="P50" s="40" t="str">
        <f>IF(NOT(ISNUMBER(tblBoard[[#This Row],[Attainment]])),"",IF(tblBoard[[#This Row],[Attainment]]&gt;=TargetHour,"On target",IF(tblBoard[[#This Row],[Attainment]]&gt;=TargetHour*(1-0.05),"Near target","Below target")))</f>
        <v>On target</v>
      </c>
      <c r="Q50" s="38">
        <f>IF(tblBoard[[#This Row],[Date]]="","",IF(tblBoard[[#This Row],[Hour]]="","",SUMIFS(tblBoard[Target (units)],tblBoard[Date],tblBoard[[#This Row],[Date]],tblBoard[Shift],tblBoard[[#This Row],[Shift]],tblBoard[Line],tblBoard[[#This Row],[Line]],tblBoard[Hour],"&lt;="&amp;tblBoard[[#This Row],[Hour]])))</f>
        <v>520</v>
      </c>
      <c r="R50" s="38">
        <f>IF(tblBoard[[#This Row],[Date]]="","",IF(tblBoard[[#This Row],[Hour]]="","",SUMIFS(tblBoard[Actual (units)],tblBoard[Date],tblBoard[[#This Row],[Date]],tblBoard[Shift],tblBoard[[#This Row],[Shift]],tblBoard[Line],tblBoard[[#This Row],[Line]],tblBoard[Hour],"&lt;="&amp;tblBoard[[#This Row],[Hour]])))</f>
        <v>501</v>
      </c>
      <c r="S50" s="38">
        <f>IF(tblBoard[[#This Row],[Date]]="","",IF(tblBoard[[#This Row],[Cum. target]]="","",tblBoard[[#This Row],[Cum. actual]]-tblBoard[[#This Row],[Cum. target]]))</f>
        <v>-19</v>
      </c>
      <c r="T50" s="41">
        <f>IF(tblBoard[[#This Row],[Date]]="","",IF(AND(tblBoard[[#This Row],[Date]]&gt;=FFrom,tblBoard[[#This Row],[Date]]&lt;=FTo,OR(DashLine="",tblBoard[[#This Row],[Line]]=DashLine)),tblBoard[[#This Row],[Date]],""))</f>
        <v>46301</v>
      </c>
      <c r="U5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50" s="43" t="s">
        <v>97</v>
      </c>
    </row>
    <row r="51" spans="2:22" x14ac:dyDescent="0.25">
      <c r="B51" s="36">
        <v>46301</v>
      </c>
      <c r="C51" s="28" t="s">
        <v>91</v>
      </c>
      <c r="D51" s="28" t="s">
        <v>88</v>
      </c>
      <c r="E51" s="33">
        <v>6</v>
      </c>
      <c r="F51" s="28" t="s">
        <v>107</v>
      </c>
      <c r="G51" s="33">
        <v>60</v>
      </c>
      <c r="H51" s="33">
        <v>118</v>
      </c>
      <c r="I51" s="28" t="s">
        <v>122</v>
      </c>
      <c r="J51" s="37">
        <f>IF(tblBoard[[#This Row],[Date]]="","",IFERROR(INDEX(tblProducts[Takt time (s)],MATCH(tblBoard[[#This Row],[Product]],tblProducts[Product],0)),""))</f>
        <v>30</v>
      </c>
      <c r="K51" s="38">
        <f>IF(tblBoard[[#This Row],[Date]]="","",IF(OR(tblBoard[[#This Row],[Takt (s)]]="",tblBoard[[#This Row],[Available (min)]]=""),"",INT(tblBoard[[#This Row],[Available (min)]]*60/tblBoard[[#This Row],[Takt (s)]])))</f>
        <v>120</v>
      </c>
      <c r="L51" s="38">
        <f>IF(tblBoard[[#This Row],[Date]]="","",IF(tblBoard[[#This Row],[Target (units)]]="","",tblBoard[[#This Row],[Actual (units)]]-tblBoard[[#This Row],[Target (units)]]))</f>
        <v>-2</v>
      </c>
      <c r="M51" s="38">
        <f>IF(tblBoard[[#This Row],[Date]]="","",IF(tblBoard[[#This Row],[Target (units)]]="","",MAX(0,tblBoard[[#This Row],[Target (units)]]-tblBoard[[#This Row],[Actual (units)]])))</f>
        <v>2</v>
      </c>
      <c r="N51" s="39">
        <f>IF(tblBoard[[#This Row],[Date]]="","",IF(N(tblBoard[[#This Row],[Target (units)]])&gt;0,tblBoard[[#This Row],[Actual (units)]]/tblBoard[[#This Row],[Target (units)]],""))</f>
        <v>0.983333333333333</v>
      </c>
      <c r="O51" s="38">
        <f>IF(tblBoard[[#This Row],[Date]]="","",IF(N(tblBoard[[#This Row],[Target (units)]])&gt;0,IF(tblBoard[[#This Row],[Actual (units)]]&gt;=tblBoard[[#This Row],[Target (units)]]*TargetHour,1,0),""))</f>
        <v>0</v>
      </c>
      <c r="P51" s="40" t="str">
        <f>IF(NOT(ISNUMBER(tblBoard[[#This Row],[Attainment]])),"",IF(tblBoard[[#This Row],[Attainment]]&gt;=TargetHour,"On target",IF(tblBoard[[#This Row],[Attainment]]&gt;=TargetHour*(1-0.05),"Near target","Below target")))</f>
        <v>Near target</v>
      </c>
      <c r="Q51" s="38">
        <f>IF(tblBoard[[#This Row],[Date]]="","",IF(tblBoard[[#This Row],[Hour]]="","",SUMIFS(tblBoard[Target (units)],tblBoard[Date],tblBoard[[#This Row],[Date]],tblBoard[Shift],tblBoard[[#This Row],[Shift]],tblBoard[Line],tblBoard[[#This Row],[Line]],tblBoard[Hour],"&lt;="&amp;tblBoard[[#This Row],[Hour]])))</f>
        <v>640</v>
      </c>
      <c r="R51" s="38">
        <f>IF(tblBoard[[#This Row],[Date]]="","",IF(tblBoard[[#This Row],[Hour]]="","",SUMIFS(tblBoard[Actual (units)],tblBoard[Date],tblBoard[[#This Row],[Date]],tblBoard[Shift],tblBoard[[#This Row],[Shift]],tblBoard[Line],tblBoard[[#This Row],[Line]],tblBoard[Hour],"&lt;="&amp;tblBoard[[#This Row],[Hour]])))</f>
        <v>619</v>
      </c>
      <c r="S51" s="38">
        <f>IF(tblBoard[[#This Row],[Date]]="","",IF(tblBoard[[#This Row],[Cum. target]]="","",tblBoard[[#This Row],[Cum. actual]]-tblBoard[[#This Row],[Cum. target]]))</f>
        <v>-21</v>
      </c>
      <c r="T51" s="41">
        <f>IF(tblBoard[[#This Row],[Date]]="","",IF(AND(tblBoard[[#This Row],[Date]]&gt;=FFrom,tblBoard[[#This Row],[Date]]&lt;=FTo,OR(DashLine="",tblBoard[[#This Row],[Line]]=DashLine)),tblBoard[[#This Row],[Date]],""))</f>
        <v>46301</v>
      </c>
      <c r="U5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51" s="43" t="s">
        <v>97</v>
      </c>
    </row>
    <row r="52" spans="2:22" x14ac:dyDescent="0.25">
      <c r="B52" s="36">
        <v>46301</v>
      </c>
      <c r="C52" s="28" t="s">
        <v>91</v>
      </c>
      <c r="D52" s="28" t="s">
        <v>88</v>
      </c>
      <c r="E52" s="33">
        <v>7</v>
      </c>
      <c r="F52" s="28" t="s">
        <v>107</v>
      </c>
      <c r="G52" s="33">
        <v>50</v>
      </c>
      <c r="H52" s="33">
        <v>105</v>
      </c>
      <c r="I52" s="28"/>
      <c r="J52" s="37">
        <f>IF(tblBoard[[#This Row],[Date]]="","",IFERROR(INDEX(tblProducts[Takt time (s)],MATCH(tblBoard[[#This Row],[Product]],tblProducts[Product],0)),""))</f>
        <v>30</v>
      </c>
      <c r="K52" s="38">
        <f>IF(tblBoard[[#This Row],[Date]]="","",IF(OR(tblBoard[[#This Row],[Takt (s)]]="",tblBoard[[#This Row],[Available (min)]]=""),"",INT(tblBoard[[#This Row],[Available (min)]]*60/tblBoard[[#This Row],[Takt (s)]])))</f>
        <v>100</v>
      </c>
      <c r="L52" s="38">
        <f>IF(tblBoard[[#This Row],[Date]]="","",IF(tblBoard[[#This Row],[Target (units)]]="","",tblBoard[[#This Row],[Actual (units)]]-tblBoard[[#This Row],[Target (units)]]))</f>
        <v>5</v>
      </c>
      <c r="M52" s="38">
        <f>IF(tblBoard[[#This Row],[Date]]="","",IF(tblBoard[[#This Row],[Target (units)]]="","",MAX(0,tblBoard[[#This Row],[Target (units)]]-tblBoard[[#This Row],[Actual (units)]])))</f>
        <v>0</v>
      </c>
      <c r="N52" s="39">
        <f>IF(tblBoard[[#This Row],[Date]]="","",IF(N(tblBoard[[#This Row],[Target (units)]])&gt;0,tblBoard[[#This Row],[Actual (units)]]/tblBoard[[#This Row],[Target (units)]],""))</f>
        <v>1.05</v>
      </c>
      <c r="O52" s="38">
        <f>IF(tblBoard[[#This Row],[Date]]="","",IF(N(tblBoard[[#This Row],[Target (units)]])&gt;0,IF(tblBoard[[#This Row],[Actual (units)]]&gt;=tblBoard[[#This Row],[Target (units)]]*TargetHour,1,0),""))</f>
        <v>1</v>
      </c>
      <c r="P52" s="40" t="str">
        <f>IF(NOT(ISNUMBER(tblBoard[[#This Row],[Attainment]])),"",IF(tblBoard[[#This Row],[Attainment]]&gt;=TargetHour,"On target",IF(tblBoard[[#This Row],[Attainment]]&gt;=TargetHour*(1-0.05),"Near target","Below target")))</f>
        <v>On target</v>
      </c>
      <c r="Q52" s="38">
        <f>IF(tblBoard[[#This Row],[Date]]="","",IF(tblBoard[[#This Row],[Hour]]="","",SUMIFS(tblBoard[Target (units)],tblBoard[Date],tblBoard[[#This Row],[Date]],tblBoard[Shift],tblBoard[[#This Row],[Shift]],tblBoard[Line],tblBoard[[#This Row],[Line]],tblBoard[Hour],"&lt;="&amp;tblBoard[[#This Row],[Hour]])))</f>
        <v>740</v>
      </c>
      <c r="R52" s="38">
        <f>IF(tblBoard[[#This Row],[Date]]="","",IF(tblBoard[[#This Row],[Hour]]="","",SUMIFS(tblBoard[Actual (units)],tblBoard[Date],tblBoard[[#This Row],[Date]],tblBoard[Shift],tblBoard[[#This Row],[Shift]],tblBoard[Line],tblBoard[[#This Row],[Line]],tblBoard[Hour],"&lt;="&amp;tblBoard[[#This Row],[Hour]])))</f>
        <v>724</v>
      </c>
      <c r="S52" s="38">
        <f>IF(tblBoard[[#This Row],[Date]]="","",IF(tblBoard[[#This Row],[Cum. target]]="","",tblBoard[[#This Row],[Cum. actual]]-tblBoard[[#This Row],[Cum. target]]))</f>
        <v>-16</v>
      </c>
      <c r="T52" s="41">
        <f>IF(tblBoard[[#This Row],[Date]]="","",IF(AND(tblBoard[[#This Row],[Date]]&gt;=FFrom,tblBoard[[#This Row],[Date]]&lt;=FTo,OR(DashLine="",tblBoard[[#This Row],[Line]]=DashLine)),tblBoard[[#This Row],[Date]],""))</f>
        <v>46301</v>
      </c>
      <c r="U5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52" s="43" t="s">
        <v>97</v>
      </c>
    </row>
    <row r="53" spans="2:22" x14ac:dyDescent="0.25">
      <c r="B53" s="36">
        <v>46301</v>
      </c>
      <c r="C53" s="28" t="s">
        <v>91</v>
      </c>
      <c r="D53" s="28" t="s">
        <v>88</v>
      </c>
      <c r="E53" s="33">
        <v>8</v>
      </c>
      <c r="F53" s="28" t="s">
        <v>107</v>
      </c>
      <c r="G53" s="33">
        <v>50</v>
      </c>
      <c r="H53" s="33">
        <v>104</v>
      </c>
      <c r="I53" s="28"/>
      <c r="J53" s="37">
        <f>IF(tblBoard[[#This Row],[Date]]="","",IFERROR(INDEX(tblProducts[Takt time (s)],MATCH(tblBoard[[#This Row],[Product]],tblProducts[Product],0)),""))</f>
        <v>30</v>
      </c>
      <c r="K53" s="38">
        <f>IF(tblBoard[[#This Row],[Date]]="","",IF(OR(tblBoard[[#This Row],[Takt (s)]]="",tblBoard[[#This Row],[Available (min)]]=""),"",INT(tblBoard[[#This Row],[Available (min)]]*60/tblBoard[[#This Row],[Takt (s)]])))</f>
        <v>100</v>
      </c>
      <c r="L53" s="38">
        <f>IF(tblBoard[[#This Row],[Date]]="","",IF(tblBoard[[#This Row],[Target (units)]]="","",tblBoard[[#This Row],[Actual (units)]]-tblBoard[[#This Row],[Target (units)]]))</f>
        <v>4</v>
      </c>
      <c r="M53" s="38">
        <f>IF(tblBoard[[#This Row],[Date]]="","",IF(tblBoard[[#This Row],[Target (units)]]="","",MAX(0,tblBoard[[#This Row],[Target (units)]]-tblBoard[[#This Row],[Actual (units)]])))</f>
        <v>0</v>
      </c>
      <c r="N53" s="39">
        <f>IF(tblBoard[[#This Row],[Date]]="","",IF(N(tblBoard[[#This Row],[Target (units)]])&gt;0,tblBoard[[#This Row],[Actual (units)]]/tblBoard[[#This Row],[Target (units)]],""))</f>
        <v>1.04</v>
      </c>
      <c r="O53" s="38">
        <f>IF(tblBoard[[#This Row],[Date]]="","",IF(N(tblBoard[[#This Row],[Target (units)]])&gt;0,IF(tblBoard[[#This Row],[Actual (units)]]&gt;=tblBoard[[#This Row],[Target (units)]]*TargetHour,1,0),""))</f>
        <v>1</v>
      </c>
      <c r="P53" s="40" t="str">
        <f>IF(NOT(ISNUMBER(tblBoard[[#This Row],[Attainment]])),"",IF(tblBoard[[#This Row],[Attainment]]&gt;=TargetHour,"On target",IF(tblBoard[[#This Row],[Attainment]]&gt;=TargetHour*(1-0.05),"Near target","Below target")))</f>
        <v>On target</v>
      </c>
      <c r="Q53" s="38">
        <f>IF(tblBoard[[#This Row],[Date]]="","",IF(tblBoard[[#This Row],[Hour]]="","",SUMIFS(tblBoard[Target (units)],tblBoard[Date],tblBoard[[#This Row],[Date]],tblBoard[Shift],tblBoard[[#This Row],[Shift]],tblBoard[Line],tblBoard[[#This Row],[Line]],tblBoard[Hour],"&lt;="&amp;tblBoard[[#This Row],[Hour]])))</f>
        <v>840</v>
      </c>
      <c r="R53" s="38">
        <f>IF(tblBoard[[#This Row],[Date]]="","",IF(tblBoard[[#This Row],[Hour]]="","",SUMIFS(tblBoard[Actual (units)],tblBoard[Date],tblBoard[[#This Row],[Date]],tblBoard[Shift],tblBoard[[#This Row],[Shift]],tblBoard[Line],tblBoard[[#This Row],[Line]],tblBoard[Hour],"&lt;="&amp;tblBoard[[#This Row],[Hour]])))</f>
        <v>828</v>
      </c>
      <c r="S53" s="38">
        <f>IF(tblBoard[[#This Row],[Date]]="","",IF(tblBoard[[#This Row],[Cum. target]]="","",tblBoard[[#This Row],[Cum. actual]]-tblBoard[[#This Row],[Cum. target]]))</f>
        <v>-12</v>
      </c>
      <c r="T53" s="41">
        <f>IF(tblBoard[[#This Row],[Date]]="","",IF(AND(tblBoard[[#This Row],[Date]]&gt;=FFrom,tblBoard[[#This Row],[Date]]&lt;=FTo,OR(DashLine="",tblBoard[[#This Row],[Line]]=DashLine)),tblBoard[[#This Row],[Date]],""))</f>
        <v>46301</v>
      </c>
      <c r="U5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53" s="43" t="s">
        <v>97</v>
      </c>
    </row>
    <row r="54" spans="2:22" x14ac:dyDescent="0.25">
      <c r="B54" s="36">
        <v>46301</v>
      </c>
      <c r="C54" s="28" t="s">
        <v>93</v>
      </c>
      <c r="D54" s="28" t="s">
        <v>85</v>
      </c>
      <c r="E54" s="33">
        <v>1</v>
      </c>
      <c r="F54" s="28" t="s">
        <v>103</v>
      </c>
      <c r="G54" s="33">
        <v>60</v>
      </c>
      <c r="H54" s="33">
        <v>84</v>
      </c>
      <c r="I54" s="28" t="s">
        <v>110</v>
      </c>
      <c r="J54" s="37">
        <f>IF(tblBoard[[#This Row],[Date]]="","",IFERROR(INDEX(tblProducts[Takt time (s)],MATCH(tblBoard[[#This Row],[Product]],tblProducts[Product],0)),""))</f>
        <v>40</v>
      </c>
      <c r="K54" s="38">
        <f>IF(tblBoard[[#This Row],[Date]]="","",IF(OR(tblBoard[[#This Row],[Takt (s)]]="",tblBoard[[#This Row],[Available (min)]]=""),"",INT(tblBoard[[#This Row],[Available (min)]]*60/tblBoard[[#This Row],[Takt (s)]])))</f>
        <v>90</v>
      </c>
      <c r="L54" s="38">
        <f>IF(tblBoard[[#This Row],[Date]]="","",IF(tblBoard[[#This Row],[Target (units)]]="","",tblBoard[[#This Row],[Actual (units)]]-tblBoard[[#This Row],[Target (units)]]))</f>
        <v>-6</v>
      </c>
      <c r="M54" s="38">
        <f>IF(tblBoard[[#This Row],[Date]]="","",IF(tblBoard[[#This Row],[Target (units)]]="","",MAX(0,tblBoard[[#This Row],[Target (units)]]-tblBoard[[#This Row],[Actual (units)]])))</f>
        <v>6</v>
      </c>
      <c r="N54" s="39">
        <f>IF(tblBoard[[#This Row],[Date]]="","",IF(N(tblBoard[[#This Row],[Target (units)]])&gt;0,tblBoard[[#This Row],[Actual (units)]]/tblBoard[[#This Row],[Target (units)]],""))</f>
        <v>0.933333333333333</v>
      </c>
      <c r="O54" s="38">
        <f>IF(tblBoard[[#This Row],[Date]]="","",IF(N(tblBoard[[#This Row],[Target (units)]])&gt;0,IF(tblBoard[[#This Row],[Actual (units)]]&gt;=tblBoard[[#This Row],[Target (units)]]*TargetHour,1,0),""))</f>
        <v>0</v>
      </c>
      <c r="P54" s="40" t="str">
        <f>IF(NOT(ISNUMBER(tblBoard[[#This Row],[Attainment]])),"",IF(tblBoard[[#This Row],[Attainment]]&gt;=TargetHour,"On target",IF(tblBoard[[#This Row],[Attainment]]&gt;=TargetHour*(1-0.05),"Near target","Below target")))</f>
        <v>Below target</v>
      </c>
      <c r="Q54" s="38">
        <f>IF(tblBoard[[#This Row],[Date]]="","",IF(tblBoard[[#This Row],[Hour]]="","",SUMIFS(tblBoard[Target (units)],tblBoard[Date],tblBoard[[#This Row],[Date]],tblBoard[Shift],tblBoard[[#This Row],[Shift]],tblBoard[Line],tblBoard[[#This Row],[Line]],tblBoard[Hour],"&lt;="&amp;tblBoard[[#This Row],[Hour]])))</f>
        <v>90</v>
      </c>
      <c r="R54" s="38">
        <f>IF(tblBoard[[#This Row],[Date]]="","",IF(tblBoard[[#This Row],[Hour]]="","",SUMIFS(tblBoard[Actual (units)],tblBoard[Date],tblBoard[[#This Row],[Date]],tblBoard[Shift],tblBoard[[#This Row],[Shift]],tblBoard[Line],tblBoard[[#This Row],[Line]],tblBoard[Hour],"&lt;="&amp;tblBoard[[#This Row],[Hour]])))</f>
        <v>84</v>
      </c>
      <c r="S54" s="38">
        <f>IF(tblBoard[[#This Row],[Date]]="","",IF(tblBoard[[#This Row],[Cum. target]]="","",tblBoard[[#This Row],[Cum. actual]]-tblBoard[[#This Row],[Cum. target]]))</f>
        <v>-6</v>
      </c>
      <c r="T54" s="41">
        <f>IF(tblBoard[[#This Row],[Date]]="","",IF(AND(tblBoard[[#This Row],[Date]]&gt;=FFrom,tblBoard[[#This Row],[Date]]&lt;=FTo,OR(DashLine="",tblBoard[[#This Row],[Line]]=DashLine)),tblBoard[[#This Row],[Date]],""))</f>
        <v>46301</v>
      </c>
      <c r="U5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54" s="43" t="s">
        <v>97</v>
      </c>
    </row>
    <row r="55" spans="2:22" x14ac:dyDescent="0.25">
      <c r="B55" s="36">
        <v>46301</v>
      </c>
      <c r="C55" s="28" t="s">
        <v>93</v>
      </c>
      <c r="D55" s="28" t="s">
        <v>85</v>
      </c>
      <c r="E55" s="33">
        <v>2</v>
      </c>
      <c r="F55" s="28" t="s">
        <v>103</v>
      </c>
      <c r="G55" s="33">
        <v>60</v>
      </c>
      <c r="H55" s="33">
        <v>89</v>
      </c>
      <c r="I55" s="28" t="s">
        <v>114</v>
      </c>
      <c r="J55" s="37">
        <f>IF(tblBoard[[#This Row],[Date]]="","",IFERROR(INDEX(tblProducts[Takt time (s)],MATCH(tblBoard[[#This Row],[Product]],tblProducts[Product],0)),""))</f>
        <v>40</v>
      </c>
      <c r="K55" s="38">
        <f>IF(tblBoard[[#This Row],[Date]]="","",IF(OR(tblBoard[[#This Row],[Takt (s)]]="",tblBoard[[#This Row],[Available (min)]]=""),"",INT(tblBoard[[#This Row],[Available (min)]]*60/tblBoard[[#This Row],[Takt (s)]])))</f>
        <v>90</v>
      </c>
      <c r="L55" s="38">
        <f>IF(tblBoard[[#This Row],[Date]]="","",IF(tblBoard[[#This Row],[Target (units)]]="","",tblBoard[[#This Row],[Actual (units)]]-tblBoard[[#This Row],[Target (units)]]))</f>
        <v>-1</v>
      </c>
      <c r="M55" s="38">
        <f>IF(tblBoard[[#This Row],[Date]]="","",IF(tblBoard[[#This Row],[Target (units)]]="","",MAX(0,tblBoard[[#This Row],[Target (units)]]-tblBoard[[#This Row],[Actual (units)]])))</f>
        <v>1</v>
      </c>
      <c r="N55" s="39">
        <f>IF(tblBoard[[#This Row],[Date]]="","",IF(N(tblBoard[[#This Row],[Target (units)]])&gt;0,tblBoard[[#This Row],[Actual (units)]]/tblBoard[[#This Row],[Target (units)]],""))</f>
        <v>0.988888888888889</v>
      </c>
      <c r="O55" s="38">
        <f>IF(tblBoard[[#This Row],[Date]]="","",IF(N(tblBoard[[#This Row],[Target (units)]])&gt;0,IF(tblBoard[[#This Row],[Actual (units)]]&gt;=tblBoard[[#This Row],[Target (units)]]*TargetHour,1,0),""))</f>
        <v>0</v>
      </c>
      <c r="P55" s="40" t="str">
        <f>IF(NOT(ISNUMBER(tblBoard[[#This Row],[Attainment]])),"",IF(tblBoard[[#This Row],[Attainment]]&gt;=TargetHour,"On target",IF(tblBoard[[#This Row],[Attainment]]&gt;=TargetHour*(1-0.05),"Near target","Below target")))</f>
        <v>Near target</v>
      </c>
      <c r="Q55" s="38">
        <f>IF(tblBoard[[#This Row],[Date]]="","",IF(tblBoard[[#This Row],[Hour]]="","",SUMIFS(tblBoard[Target (units)],tblBoard[Date],tblBoard[[#This Row],[Date]],tblBoard[Shift],tblBoard[[#This Row],[Shift]],tblBoard[Line],tblBoard[[#This Row],[Line]],tblBoard[Hour],"&lt;="&amp;tblBoard[[#This Row],[Hour]])))</f>
        <v>180</v>
      </c>
      <c r="R55" s="38">
        <f>IF(tblBoard[[#This Row],[Date]]="","",IF(tblBoard[[#This Row],[Hour]]="","",SUMIFS(tblBoard[Actual (units)],tblBoard[Date],tblBoard[[#This Row],[Date]],tblBoard[Shift],tblBoard[[#This Row],[Shift]],tblBoard[Line],tblBoard[[#This Row],[Line]],tblBoard[Hour],"&lt;="&amp;tblBoard[[#This Row],[Hour]])))</f>
        <v>173</v>
      </c>
      <c r="S55" s="38">
        <f>IF(tblBoard[[#This Row],[Date]]="","",IF(tblBoard[[#This Row],[Cum. target]]="","",tblBoard[[#This Row],[Cum. actual]]-tblBoard[[#This Row],[Cum. target]]))</f>
        <v>-7</v>
      </c>
      <c r="T55" s="41">
        <f>IF(tblBoard[[#This Row],[Date]]="","",IF(AND(tblBoard[[#This Row],[Date]]&gt;=FFrom,tblBoard[[#This Row],[Date]]&lt;=FTo,OR(DashLine="",tblBoard[[#This Row],[Line]]=DashLine)),tblBoard[[#This Row],[Date]],""))</f>
        <v>46301</v>
      </c>
      <c r="U5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55" s="43" t="s">
        <v>97</v>
      </c>
    </row>
    <row r="56" spans="2:22" x14ac:dyDescent="0.25">
      <c r="B56" s="36">
        <v>46301</v>
      </c>
      <c r="C56" s="28" t="s">
        <v>93</v>
      </c>
      <c r="D56" s="28" t="s">
        <v>85</v>
      </c>
      <c r="E56" s="33">
        <v>3</v>
      </c>
      <c r="F56" s="28" t="s">
        <v>103</v>
      </c>
      <c r="G56" s="33">
        <v>50</v>
      </c>
      <c r="H56" s="33">
        <v>73</v>
      </c>
      <c r="I56" s="28" t="s">
        <v>114</v>
      </c>
      <c r="J56" s="37">
        <f>IF(tblBoard[[#This Row],[Date]]="","",IFERROR(INDEX(tblProducts[Takt time (s)],MATCH(tblBoard[[#This Row],[Product]],tblProducts[Product],0)),""))</f>
        <v>40</v>
      </c>
      <c r="K56" s="38">
        <f>IF(tblBoard[[#This Row],[Date]]="","",IF(OR(tblBoard[[#This Row],[Takt (s)]]="",tblBoard[[#This Row],[Available (min)]]=""),"",INT(tblBoard[[#This Row],[Available (min)]]*60/tblBoard[[#This Row],[Takt (s)]])))</f>
        <v>75</v>
      </c>
      <c r="L56" s="38">
        <f>IF(tblBoard[[#This Row],[Date]]="","",IF(tblBoard[[#This Row],[Target (units)]]="","",tblBoard[[#This Row],[Actual (units)]]-tblBoard[[#This Row],[Target (units)]]))</f>
        <v>-2</v>
      </c>
      <c r="M56" s="38">
        <f>IF(tblBoard[[#This Row],[Date]]="","",IF(tblBoard[[#This Row],[Target (units)]]="","",MAX(0,tblBoard[[#This Row],[Target (units)]]-tblBoard[[#This Row],[Actual (units)]])))</f>
        <v>2</v>
      </c>
      <c r="N56" s="39">
        <f>IF(tblBoard[[#This Row],[Date]]="","",IF(N(tblBoard[[#This Row],[Target (units)]])&gt;0,tblBoard[[#This Row],[Actual (units)]]/tblBoard[[#This Row],[Target (units)]],""))</f>
        <v>0.973333333333333</v>
      </c>
      <c r="O56" s="38">
        <f>IF(tblBoard[[#This Row],[Date]]="","",IF(N(tblBoard[[#This Row],[Target (units)]])&gt;0,IF(tblBoard[[#This Row],[Actual (units)]]&gt;=tblBoard[[#This Row],[Target (units)]]*TargetHour,1,0),""))</f>
        <v>0</v>
      </c>
      <c r="P56" s="40" t="str">
        <f>IF(NOT(ISNUMBER(tblBoard[[#This Row],[Attainment]])),"",IF(tblBoard[[#This Row],[Attainment]]&gt;=TargetHour,"On target",IF(tblBoard[[#This Row],[Attainment]]&gt;=TargetHour*(1-0.05),"Near target","Below target")))</f>
        <v>Near target</v>
      </c>
      <c r="Q56" s="38">
        <f>IF(tblBoard[[#This Row],[Date]]="","",IF(tblBoard[[#This Row],[Hour]]="","",SUMIFS(tblBoard[Target (units)],tblBoard[Date],tblBoard[[#This Row],[Date]],tblBoard[Shift],tblBoard[[#This Row],[Shift]],tblBoard[Line],tblBoard[[#This Row],[Line]],tblBoard[Hour],"&lt;="&amp;tblBoard[[#This Row],[Hour]])))</f>
        <v>255</v>
      </c>
      <c r="R56" s="38">
        <f>IF(tblBoard[[#This Row],[Date]]="","",IF(tblBoard[[#This Row],[Hour]]="","",SUMIFS(tblBoard[Actual (units)],tblBoard[Date],tblBoard[[#This Row],[Date]],tblBoard[Shift],tblBoard[[#This Row],[Shift]],tblBoard[Line],tblBoard[[#This Row],[Line]],tblBoard[Hour],"&lt;="&amp;tblBoard[[#This Row],[Hour]])))</f>
        <v>246</v>
      </c>
      <c r="S56" s="38">
        <f>IF(tblBoard[[#This Row],[Date]]="","",IF(tblBoard[[#This Row],[Cum. target]]="","",tblBoard[[#This Row],[Cum. actual]]-tblBoard[[#This Row],[Cum. target]]))</f>
        <v>-9</v>
      </c>
      <c r="T56" s="41">
        <f>IF(tblBoard[[#This Row],[Date]]="","",IF(AND(tblBoard[[#This Row],[Date]]&gt;=FFrom,tblBoard[[#This Row],[Date]]&lt;=FTo,OR(DashLine="",tblBoard[[#This Row],[Line]]=DashLine)),tblBoard[[#This Row],[Date]],""))</f>
        <v>46301</v>
      </c>
      <c r="U5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56" s="43" t="s">
        <v>97</v>
      </c>
    </row>
    <row r="57" spans="2:22" x14ac:dyDescent="0.25">
      <c r="B57" s="36">
        <v>46301</v>
      </c>
      <c r="C57" s="28" t="s">
        <v>93</v>
      </c>
      <c r="D57" s="28" t="s">
        <v>85</v>
      </c>
      <c r="E57" s="33">
        <v>4</v>
      </c>
      <c r="F57" s="28" t="s">
        <v>103</v>
      </c>
      <c r="G57" s="33">
        <v>60</v>
      </c>
      <c r="H57" s="33">
        <v>90</v>
      </c>
      <c r="I57" s="28"/>
      <c r="J57" s="37">
        <f>IF(tblBoard[[#This Row],[Date]]="","",IFERROR(INDEX(tblProducts[Takt time (s)],MATCH(tblBoard[[#This Row],[Product]],tblProducts[Product],0)),""))</f>
        <v>40</v>
      </c>
      <c r="K57" s="38">
        <f>IF(tblBoard[[#This Row],[Date]]="","",IF(OR(tblBoard[[#This Row],[Takt (s)]]="",tblBoard[[#This Row],[Available (min)]]=""),"",INT(tblBoard[[#This Row],[Available (min)]]*60/tblBoard[[#This Row],[Takt (s)]])))</f>
        <v>90</v>
      </c>
      <c r="L57" s="38">
        <f>IF(tblBoard[[#This Row],[Date]]="","",IF(tblBoard[[#This Row],[Target (units)]]="","",tblBoard[[#This Row],[Actual (units)]]-tblBoard[[#This Row],[Target (units)]]))</f>
        <v>0</v>
      </c>
      <c r="M57" s="38">
        <f>IF(tblBoard[[#This Row],[Date]]="","",IF(tblBoard[[#This Row],[Target (units)]]="","",MAX(0,tblBoard[[#This Row],[Target (units)]]-tblBoard[[#This Row],[Actual (units)]])))</f>
        <v>0</v>
      </c>
      <c r="N57" s="39">
        <f>IF(tblBoard[[#This Row],[Date]]="","",IF(N(tblBoard[[#This Row],[Target (units)]])&gt;0,tblBoard[[#This Row],[Actual (units)]]/tblBoard[[#This Row],[Target (units)]],""))</f>
        <v>1</v>
      </c>
      <c r="O57" s="38">
        <f>IF(tblBoard[[#This Row],[Date]]="","",IF(N(tblBoard[[#This Row],[Target (units)]])&gt;0,IF(tblBoard[[#This Row],[Actual (units)]]&gt;=tblBoard[[#This Row],[Target (units)]]*TargetHour,1,0),""))</f>
        <v>1</v>
      </c>
      <c r="P57" s="40" t="str">
        <f>IF(NOT(ISNUMBER(tblBoard[[#This Row],[Attainment]])),"",IF(tblBoard[[#This Row],[Attainment]]&gt;=TargetHour,"On target",IF(tblBoard[[#This Row],[Attainment]]&gt;=TargetHour*(1-0.05),"Near target","Below target")))</f>
        <v>On target</v>
      </c>
      <c r="Q57" s="38">
        <f>IF(tblBoard[[#This Row],[Date]]="","",IF(tblBoard[[#This Row],[Hour]]="","",SUMIFS(tblBoard[Target (units)],tblBoard[Date],tblBoard[[#This Row],[Date]],tblBoard[Shift],tblBoard[[#This Row],[Shift]],tblBoard[Line],tblBoard[[#This Row],[Line]],tblBoard[Hour],"&lt;="&amp;tblBoard[[#This Row],[Hour]])))</f>
        <v>345</v>
      </c>
      <c r="R57" s="38">
        <f>IF(tblBoard[[#This Row],[Date]]="","",IF(tblBoard[[#This Row],[Hour]]="","",SUMIFS(tblBoard[Actual (units)],tblBoard[Date],tblBoard[[#This Row],[Date]],tblBoard[Shift],tblBoard[[#This Row],[Shift]],tblBoard[Line],tblBoard[[#This Row],[Line]],tblBoard[Hour],"&lt;="&amp;tblBoard[[#This Row],[Hour]])))</f>
        <v>336</v>
      </c>
      <c r="S57" s="38">
        <f>IF(tblBoard[[#This Row],[Date]]="","",IF(tblBoard[[#This Row],[Cum. target]]="","",tblBoard[[#This Row],[Cum. actual]]-tblBoard[[#This Row],[Cum. target]]))</f>
        <v>-9</v>
      </c>
      <c r="T57" s="41">
        <f>IF(tblBoard[[#This Row],[Date]]="","",IF(AND(tblBoard[[#This Row],[Date]]&gt;=FFrom,tblBoard[[#This Row],[Date]]&lt;=FTo,OR(DashLine="",tblBoard[[#This Row],[Line]]=DashLine)),tblBoard[[#This Row],[Date]],""))</f>
        <v>46301</v>
      </c>
      <c r="U5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57" s="43" t="s">
        <v>97</v>
      </c>
    </row>
    <row r="58" spans="2:22" x14ac:dyDescent="0.25">
      <c r="B58" s="36">
        <v>46301</v>
      </c>
      <c r="C58" s="28" t="s">
        <v>93</v>
      </c>
      <c r="D58" s="28" t="s">
        <v>85</v>
      </c>
      <c r="E58" s="33">
        <v>5</v>
      </c>
      <c r="F58" s="28" t="s">
        <v>103</v>
      </c>
      <c r="G58" s="33">
        <v>30</v>
      </c>
      <c r="H58" s="33">
        <v>46</v>
      </c>
      <c r="I58" s="28"/>
      <c r="J58" s="37">
        <f>IF(tblBoard[[#This Row],[Date]]="","",IFERROR(INDEX(tblProducts[Takt time (s)],MATCH(tblBoard[[#This Row],[Product]],tblProducts[Product],0)),""))</f>
        <v>40</v>
      </c>
      <c r="K58" s="38">
        <f>IF(tblBoard[[#This Row],[Date]]="","",IF(OR(tblBoard[[#This Row],[Takt (s)]]="",tblBoard[[#This Row],[Available (min)]]=""),"",INT(tblBoard[[#This Row],[Available (min)]]*60/tblBoard[[#This Row],[Takt (s)]])))</f>
        <v>45</v>
      </c>
      <c r="L58" s="38">
        <f>IF(tblBoard[[#This Row],[Date]]="","",IF(tblBoard[[#This Row],[Target (units)]]="","",tblBoard[[#This Row],[Actual (units)]]-tblBoard[[#This Row],[Target (units)]]))</f>
        <v>1</v>
      </c>
      <c r="M58" s="38">
        <f>IF(tblBoard[[#This Row],[Date]]="","",IF(tblBoard[[#This Row],[Target (units)]]="","",MAX(0,tblBoard[[#This Row],[Target (units)]]-tblBoard[[#This Row],[Actual (units)]])))</f>
        <v>0</v>
      </c>
      <c r="N58" s="39">
        <f>IF(tblBoard[[#This Row],[Date]]="","",IF(N(tblBoard[[#This Row],[Target (units)]])&gt;0,tblBoard[[#This Row],[Actual (units)]]/tblBoard[[#This Row],[Target (units)]],""))</f>
        <v>1.02222222222222</v>
      </c>
      <c r="O58" s="38">
        <f>IF(tblBoard[[#This Row],[Date]]="","",IF(N(tblBoard[[#This Row],[Target (units)]])&gt;0,IF(tblBoard[[#This Row],[Actual (units)]]&gt;=tblBoard[[#This Row],[Target (units)]]*TargetHour,1,0),""))</f>
        <v>1</v>
      </c>
      <c r="P58" s="40" t="str">
        <f>IF(NOT(ISNUMBER(tblBoard[[#This Row],[Attainment]])),"",IF(tblBoard[[#This Row],[Attainment]]&gt;=TargetHour,"On target",IF(tblBoard[[#This Row],[Attainment]]&gt;=TargetHour*(1-0.05),"Near target","Below target")))</f>
        <v>On target</v>
      </c>
      <c r="Q58" s="38">
        <f>IF(tblBoard[[#This Row],[Date]]="","",IF(tblBoard[[#This Row],[Hour]]="","",SUMIFS(tblBoard[Target (units)],tblBoard[Date],tblBoard[[#This Row],[Date]],tblBoard[Shift],tblBoard[[#This Row],[Shift]],tblBoard[Line],tblBoard[[#This Row],[Line]],tblBoard[Hour],"&lt;="&amp;tblBoard[[#This Row],[Hour]])))</f>
        <v>390</v>
      </c>
      <c r="R58" s="38">
        <f>IF(tblBoard[[#This Row],[Date]]="","",IF(tblBoard[[#This Row],[Hour]]="","",SUMIFS(tblBoard[Actual (units)],tblBoard[Date],tblBoard[[#This Row],[Date]],tblBoard[Shift],tblBoard[[#This Row],[Shift]],tblBoard[Line],tblBoard[[#This Row],[Line]],tblBoard[Hour],"&lt;="&amp;tblBoard[[#This Row],[Hour]])))</f>
        <v>382</v>
      </c>
      <c r="S58" s="38">
        <f>IF(tblBoard[[#This Row],[Date]]="","",IF(tblBoard[[#This Row],[Cum. target]]="","",tblBoard[[#This Row],[Cum. actual]]-tblBoard[[#This Row],[Cum. target]]))</f>
        <v>-8</v>
      </c>
      <c r="T58" s="41">
        <f>IF(tblBoard[[#This Row],[Date]]="","",IF(AND(tblBoard[[#This Row],[Date]]&gt;=FFrom,tblBoard[[#This Row],[Date]]&lt;=FTo,OR(DashLine="",tblBoard[[#This Row],[Line]]=DashLine)),tblBoard[[#This Row],[Date]],""))</f>
        <v>46301</v>
      </c>
      <c r="U5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58" s="43" t="s">
        <v>97</v>
      </c>
    </row>
    <row r="59" spans="2:22" x14ac:dyDescent="0.25">
      <c r="B59" s="36">
        <v>46301</v>
      </c>
      <c r="C59" s="28" t="s">
        <v>93</v>
      </c>
      <c r="D59" s="28" t="s">
        <v>85</v>
      </c>
      <c r="E59" s="33">
        <v>6</v>
      </c>
      <c r="F59" s="28" t="s">
        <v>103</v>
      </c>
      <c r="G59" s="33">
        <v>60</v>
      </c>
      <c r="H59" s="33">
        <v>91</v>
      </c>
      <c r="I59" s="28"/>
      <c r="J59" s="37">
        <f>IF(tblBoard[[#This Row],[Date]]="","",IFERROR(INDEX(tblProducts[Takt time (s)],MATCH(tblBoard[[#This Row],[Product]],tblProducts[Product],0)),""))</f>
        <v>40</v>
      </c>
      <c r="K59" s="38">
        <f>IF(tblBoard[[#This Row],[Date]]="","",IF(OR(tblBoard[[#This Row],[Takt (s)]]="",tblBoard[[#This Row],[Available (min)]]=""),"",INT(tblBoard[[#This Row],[Available (min)]]*60/tblBoard[[#This Row],[Takt (s)]])))</f>
        <v>90</v>
      </c>
      <c r="L59" s="38">
        <f>IF(tblBoard[[#This Row],[Date]]="","",IF(tblBoard[[#This Row],[Target (units)]]="","",tblBoard[[#This Row],[Actual (units)]]-tblBoard[[#This Row],[Target (units)]]))</f>
        <v>1</v>
      </c>
      <c r="M59" s="38">
        <f>IF(tblBoard[[#This Row],[Date]]="","",IF(tblBoard[[#This Row],[Target (units)]]="","",MAX(0,tblBoard[[#This Row],[Target (units)]]-tblBoard[[#This Row],[Actual (units)]])))</f>
        <v>0</v>
      </c>
      <c r="N59" s="39">
        <f>IF(tblBoard[[#This Row],[Date]]="","",IF(N(tblBoard[[#This Row],[Target (units)]])&gt;0,tblBoard[[#This Row],[Actual (units)]]/tblBoard[[#This Row],[Target (units)]],""))</f>
        <v>1.01111111111111</v>
      </c>
      <c r="O59" s="38">
        <f>IF(tblBoard[[#This Row],[Date]]="","",IF(N(tblBoard[[#This Row],[Target (units)]])&gt;0,IF(tblBoard[[#This Row],[Actual (units)]]&gt;=tblBoard[[#This Row],[Target (units)]]*TargetHour,1,0),""))</f>
        <v>1</v>
      </c>
      <c r="P59" s="40" t="str">
        <f>IF(NOT(ISNUMBER(tblBoard[[#This Row],[Attainment]])),"",IF(tblBoard[[#This Row],[Attainment]]&gt;=TargetHour,"On target",IF(tblBoard[[#This Row],[Attainment]]&gt;=TargetHour*(1-0.05),"Near target","Below target")))</f>
        <v>On target</v>
      </c>
      <c r="Q59" s="38">
        <f>IF(tblBoard[[#This Row],[Date]]="","",IF(tblBoard[[#This Row],[Hour]]="","",SUMIFS(tblBoard[Target (units)],tblBoard[Date],tblBoard[[#This Row],[Date]],tblBoard[Shift],tblBoard[[#This Row],[Shift]],tblBoard[Line],tblBoard[[#This Row],[Line]],tblBoard[Hour],"&lt;="&amp;tblBoard[[#This Row],[Hour]])))</f>
        <v>480</v>
      </c>
      <c r="R59" s="38">
        <f>IF(tblBoard[[#This Row],[Date]]="","",IF(tblBoard[[#This Row],[Hour]]="","",SUMIFS(tblBoard[Actual (units)],tblBoard[Date],tblBoard[[#This Row],[Date]],tblBoard[Shift],tblBoard[[#This Row],[Shift]],tblBoard[Line],tblBoard[[#This Row],[Line]],tblBoard[Hour],"&lt;="&amp;tblBoard[[#This Row],[Hour]])))</f>
        <v>473</v>
      </c>
      <c r="S59" s="38">
        <f>IF(tblBoard[[#This Row],[Date]]="","",IF(tblBoard[[#This Row],[Cum. target]]="","",tblBoard[[#This Row],[Cum. actual]]-tblBoard[[#This Row],[Cum. target]]))</f>
        <v>-7</v>
      </c>
      <c r="T59" s="41">
        <f>IF(tblBoard[[#This Row],[Date]]="","",IF(AND(tblBoard[[#This Row],[Date]]&gt;=FFrom,tblBoard[[#This Row],[Date]]&lt;=FTo,OR(DashLine="",tblBoard[[#This Row],[Line]]=DashLine)),tblBoard[[#This Row],[Date]],""))</f>
        <v>46301</v>
      </c>
      <c r="U5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59" s="43" t="s">
        <v>97</v>
      </c>
    </row>
    <row r="60" spans="2:22" x14ac:dyDescent="0.25">
      <c r="B60" s="36">
        <v>46301</v>
      </c>
      <c r="C60" s="28" t="s">
        <v>93</v>
      </c>
      <c r="D60" s="28" t="s">
        <v>85</v>
      </c>
      <c r="E60" s="33">
        <v>7</v>
      </c>
      <c r="F60" s="28" t="s">
        <v>103</v>
      </c>
      <c r="G60" s="33">
        <v>50</v>
      </c>
      <c r="H60" s="33">
        <v>72</v>
      </c>
      <c r="I60" s="28" t="s">
        <v>118</v>
      </c>
      <c r="J60" s="37">
        <f>IF(tblBoard[[#This Row],[Date]]="","",IFERROR(INDEX(tblProducts[Takt time (s)],MATCH(tblBoard[[#This Row],[Product]],tblProducts[Product],0)),""))</f>
        <v>40</v>
      </c>
      <c r="K60" s="38">
        <f>IF(tblBoard[[#This Row],[Date]]="","",IF(OR(tblBoard[[#This Row],[Takt (s)]]="",tblBoard[[#This Row],[Available (min)]]=""),"",INT(tblBoard[[#This Row],[Available (min)]]*60/tblBoard[[#This Row],[Takt (s)]])))</f>
        <v>75</v>
      </c>
      <c r="L60" s="38">
        <f>IF(tblBoard[[#This Row],[Date]]="","",IF(tblBoard[[#This Row],[Target (units)]]="","",tblBoard[[#This Row],[Actual (units)]]-tblBoard[[#This Row],[Target (units)]]))</f>
        <v>-3</v>
      </c>
      <c r="M60" s="38">
        <f>IF(tblBoard[[#This Row],[Date]]="","",IF(tblBoard[[#This Row],[Target (units)]]="","",MAX(0,tblBoard[[#This Row],[Target (units)]]-tblBoard[[#This Row],[Actual (units)]])))</f>
        <v>3</v>
      </c>
      <c r="N60" s="39">
        <f>IF(tblBoard[[#This Row],[Date]]="","",IF(N(tblBoard[[#This Row],[Target (units)]])&gt;0,tblBoard[[#This Row],[Actual (units)]]/tblBoard[[#This Row],[Target (units)]],""))</f>
        <v>0.96</v>
      </c>
      <c r="O60" s="38">
        <f>IF(tblBoard[[#This Row],[Date]]="","",IF(N(tblBoard[[#This Row],[Target (units)]])&gt;0,IF(tblBoard[[#This Row],[Actual (units)]]&gt;=tblBoard[[#This Row],[Target (units)]]*TargetHour,1,0),""))</f>
        <v>0</v>
      </c>
      <c r="P60" s="40" t="str">
        <f>IF(NOT(ISNUMBER(tblBoard[[#This Row],[Attainment]])),"",IF(tblBoard[[#This Row],[Attainment]]&gt;=TargetHour,"On target",IF(tblBoard[[#This Row],[Attainment]]&gt;=TargetHour*(1-0.05),"Near target","Below target")))</f>
        <v>Near target</v>
      </c>
      <c r="Q60" s="38">
        <f>IF(tblBoard[[#This Row],[Date]]="","",IF(tblBoard[[#This Row],[Hour]]="","",SUMIFS(tblBoard[Target (units)],tblBoard[Date],tblBoard[[#This Row],[Date]],tblBoard[Shift],tblBoard[[#This Row],[Shift]],tblBoard[Line],tblBoard[[#This Row],[Line]],tblBoard[Hour],"&lt;="&amp;tblBoard[[#This Row],[Hour]])))</f>
        <v>555</v>
      </c>
      <c r="R60" s="38">
        <f>IF(tblBoard[[#This Row],[Date]]="","",IF(tblBoard[[#This Row],[Hour]]="","",SUMIFS(tblBoard[Actual (units)],tblBoard[Date],tblBoard[[#This Row],[Date]],tblBoard[Shift],tblBoard[[#This Row],[Shift]],tblBoard[Line],tblBoard[[#This Row],[Line]],tblBoard[Hour],"&lt;="&amp;tblBoard[[#This Row],[Hour]])))</f>
        <v>545</v>
      </c>
      <c r="S60" s="38">
        <f>IF(tblBoard[[#This Row],[Date]]="","",IF(tblBoard[[#This Row],[Cum. target]]="","",tblBoard[[#This Row],[Cum. actual]]-tblBoard[[#This Row],[Cum. target]]))</f>
        <v>-10</v>
      </c>
      <c r="T60" s="41">
        <f>IF(tblBoard[[#This Row],[Date]]="","",IF(AND(tblBoard[[#This Row],[Date]]&gt;=FFrom,tblBoard[[#This Row],[Date]]&lt;=FTo,OR(DashLine="",tblBoard[[#This Row],[Line]]=DashLine)),tblBoard[[#This Row],[Date]],""))</f>
        <v>46301</v>
      </c>
      <c r="U6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0" s="43" t="s">
        <v>97</v>
      </c>
    </row>
    <row r="61" spans="2:22" x14ac:dyDescent="0.25">
      <c r="B61" s="36">
        <v>46301</v>
      </c>
      <c r="C61" s="28" t="s">
        <v>93</v>
      </c>
      <c r="D61" s="28" t="s">
        <v>85</v>
      </c>
      <c r="E61" s="33">
        <v>8</v>
      </c>
      <c r="F61" s="28" t="s">
        <v>103</v>
      </c>
      <c r="G61" s="33">
        <v>50</v>
      </c>
      <c r="H61" s="33">
        <v>78</v>
      </c>
      <c r="I61" s="28"/>
      <c r="J61" s="37">
        <f>IF(tblBoard[[#This Row],[Date]]="","",IFERROR(INDEX(tblProducts[Takt time (s)],MATCH(tblBoard[[#This Row],[Product]],tblProducts[Product],0)),""))</f>
        <v>40</v>
      </c>
      <c r="K61" s="38">
        <f>IF(tblBoard[[#This Row],[Date]]="","",IF(OR(tblBoard[[#This Row],[Takt (s)]]="",tblBoard[[#This Row],[Available (min)]]=""),"",INT(tblBoard[[#This Row],[Available (min)]]*60/tblBoard[[#This Row],[Takt (s)]])))</f>
        <v>75</v>
      </c>
      <c r="L61" s="38">
        <f>IF(tblBoard[[#This Row],[Date]]="","",IF(tblBoard[[#This Row],[Target (units)]]="","",tblBoard[[#This Row],[Actual (units)]]-tblBoard[[#This Row],[Target (units)]]))</f>
        <v>3</v>
      </c>
      <c r="M61" s="38">
        <f>IF(tblBoard[[#This Row],[Date]]="","",IF(tblBoard[[#This Row],[Target (units)]]="","",MAX(0,tblBoard[[#This Row],[Target (units)]]-tblBoard[[#This Row],[Actual (units)]])))</f>
        <v>0</v>
      </c>
      <c r="N61" s="39">
        <f>IF(tblBoard[[#This Row],[Date]]="","",IF(N(tblBoard[[#This Row],[Target (units)]])&gt;0,tblBoard[[#This Row],[Actual (units)]]/tblBoard[[#This Row],[Target (units)]],""))</f>
        <v>1.04</v>
      </c>
      <c r="O61" s="38">
        <f>IF(tblBoard[[#This Row],[Date]]="","",IF(N(tblBoard[[#This Row],[Target (units)]])&gt;0,IF(tblBoard[[#This Row],[Actual (units)]]&gt;=tblBoard[[#This Row],[Target (units)]]*TargetHour,1,0),""))</f>
        <v>1</v>
      </c>
      <c r="P61" s="40" t="str">
        <f>IF(NOT(ISNUMBER(tblBoard[[#This Row],[Attainment]])),"",IF(tblBoard[[#This Row],[Attainment]]&gt;=TargetHour,"On target",IF(tblBoard[[#This Row],[Attainment]]&gt;=TargetHour*(1-0.05),"Near target","Below target")))</f>
        <v>On target</v>
      </c>
      <c r="Q61" s="38">
        <f>IF(tblBoard[[#This Row],[Date]]="","",IF(tblBoard[[#This Row],[Hour]]="","",SUMIFS(tblBoard[Target (units)],tblBoard[Date],tblBoard[[#This Row],[Date]],tblBoard[Shift],tblBoard[[#This Row],[Shift]],tblBoard[Line],tblBoard[[#This Row],[Line]],tblBoard[Hour],"&lt;="&amp;tblBoard[[#This Row],[Hour]])))</f>
        <v>630</v>
      </c>
      <c r="R61" s="38">
        <f>IF(tblBoard[[#This Row],[Date]]="","",IF(tblBoard[[#This Row],[Hour]]="","",SUMIFS(tblBoard[Actual (units)],tblBoard[Date],tblBoard[[#This Row],[Date]],tblBoard[Shift],tblBoard[[#This Row],[Shift]],tblBoard[Line],tblBoard[[#This Row],[Line]],tblBoard[Hour],"&lt;="&amp;tblBoard[[#This Row],[Hour]])))</f>
        <v>623</v>
      </c>
      <c r="S61" s="38">
        <f>IF(tblBoard[[#This Row],[Date]]="","",IF(tblBoard[[#This Row],[Cum. target]]="","",tblBoard[[#This Row],[Cum. actual]]-tblBoard[[#This Row],[Cum. target]]))</f>
        <v>-7</v>
      </c>
      <c r="T61" s="41">
        <f>IF(tblBoard[[#This Row],[Date]]="","",IF(AND(tblBoard[[#This Row],[Date]]&gt;=FFrom,tblBoard[[#This Row],[Date]]&lt;=FTo,OR(DashLine="",tblBoard[[#This Row],[Line]]=DashLine)),tblBoard[[#This Row],[Date]],""))</f>
        <v>46301</v>
      </c>
      <c r="U6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1" s="43" t="s">
        <v>97</v>
      </c>
    </row>
    <row r="62" spans="2:22" x14ac:dyDescent="0.25">
      <c r="B62" s="36">
        <v>46301</v>
      </c>
      <c r="C62" s="28" t="s">
        <v>93</v>
      </c>
      <c r="D62" s="28" t="s">
        <v>88</v>
      </c>
      <c r="E62" s="33">
        <v>1</v>
      </c>
      <c r="F62" s="28" t="s">
        <v>107</v>
      </c>
      <c r="G62" s="33">
        <v>60</v>
      </c>
      <c r="H62" s="33">
        <v>110</v>
      </c>
      <c r="I62" s="28" t="s">
        <v>110</v>
      </c>
      <c r="J62" s="37">
        <f>IF(tblBoard[[#This Row],[Date]]="","",IFERROR(INDEX(tblProducts[Takt time (s)],MATCH(tblBoard[[#This Row],[Product]],tblProducts[Product],0)),""))</f>
        <v>30</v>
      </c>
      <c r="K62" s="38">
        <f>IF(tblBoard[[#This Row],[Date]]="","",IF(OR(tblBoard[[#This Row],[Takt (s)]]="",tblBoard[[#This Row],[Available (min)]]=""),"",INT(tblBoard[[#This Row],[Available (min)]]*60/tblBoard[[#This Row],[Takt (s)]])))</f>
        <v>120</v>
      </c>
      <c r="L62" s="38">
        <f>IF(tblBoard[[#This Row],[Date]]="","",IF(tblBoard[[#This Row],[Target (units)]]="","",tblBoard[[#This Row],[Actual (units)]]-tblBoard[[#This Row],[Target (units)]]))</f>
        <v>-10</v>
      </c>
      <c r="M62" s="38">
        <f>IF(tblBoard[[#This Row],[Date]]="","",IF(tblBoard[[#This Row],[Target (units)]]="","",MAX(0,tblBoard[[#This Row],[Target (units)]]-tblBoard[[#This Row],[Actual (units)]])))</f>
        <v>10</v>
      </c>
      <c r="N62" s="39">
        <f>IF(tblBoard[[#This Row],[Date]]="","",IF(N(tblBoard[[#This Row],[Target (units)]])&gt;0,tblBoard[[#This Row],[Actual (units)]]/tblBoard[[#This Row],[Target (units)]],""))</f>
        <v>0.916666666666667</v>
      </c>
      <c r="O62" s="38">
        <f>IF(tblBoard[[#This Row],[Date]]="","",IF(N(tblBoard[[#This Row],[Target (units)]])&gt;0,IF(tblBoard[[#This Row],[Actual (units)]]&gt;=tblBoard[[#This Row],[Target (units)]]*TargetHour,1,0),""))</f>
        <v>0</v>
      </c>
      <c r="P62" s="40" t="str">
        <f>IF(NOT(ISNUMBER(tblBoard[[#This Row],[Attainment]])),"",IF(tblBoard[[#This Row],[Attainment]]&gt;=TargetHour,"On target",IF(tblBoard[[#This Row],[Attainment]]&gt;=TargetHour*(1-0.05),"Near target","Below target")))</f>
        <v>Below target</v>
      </c>
      <c r="Q62" s="38">
        <f>IF(tblBoard[[#This Row],[Date]]="","",IF(tblBoard[[#This Row],[Hour]]="","",SUMIFS(tblBoard[Target (units)],tblBoard[Date],tblBoard[[#This Row],[Date]],tblBoard[Shift],tblBoard[[#This Row],[Shift]],tblBoard[Line],tblBoard[[#This Row],[Line]],tblBoard[Hour],"&lt;="&amp;tblBoard[[#This Row],[Hour]])))</f>
        <v>120</v>
      </c>
      <c r="R62" s="38">
        <f>IF(tblBoard[[#This Row],[Date]]="","",IF(tblBoard[[#This Row],[Hour]]="","",SUMIFS(tblBoard[Actual (units)],tblBoard[Date],tblBoard[[#This Row],[Date]],tblBoard[Shift],tblBoard[[#This Row],[Shift]],tblBoard[Line],tblBoard[[#This Row],[Line]],tblBoard[Hour],"&lt;="&amp;tblBoard[[#This Row],[Hour]])))</f>
        <v>110</v>
      </c>
      <c r="S62" s="38">
        <f>IF(tblBoard[[#This Row],[Date]]="","",IF(tblBoard[[#This Row],[Cum. target]]="","",tblBoard[[#This Row],[Cum. actual]]-tblBoard[[#This Row],[Cum. target]]))</f>
        <v>-10</v>
      </c>
      <c r="T62" s="41">
        <f>IF(tblBoard[[#This Row],[Date]]="","",IF(AND(tblBoard[[#This Row],[Date]]&gt;=FFrom,tblBoard[[#This Row],[Date]]&lt;=FTo,OR(DashLine="",tblBoard[[#This Row],[Line]]=DashLine)),tblBoard[[#This Row],[Date]],""))</f>
        <v>46301</v>
      </c>
      <c r="U6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2" s="43" t="s">
        <v>97</v>
      </c>
    </row>
    <row r="63" spans="2:22" x14ac:dyDescent="0.25">
      <c r="B63" s="36">
        <v>46301</v>
      </c>
      <c r="C63" s="28" t="s">
        <v>93</v>
      </c>
      <c r="D63" s="28" t="s">
        <v>88</v>
      </c>
      <c r="E63" s="33">
        <v>2</v>
      </c>
      <c r="F63" s="28" t="s">
        <v>107</v>
      </c>
      <c r="G63" s="33">
        <v>60</v>
      </c>
      <c r="H63" s="33">
        <v>119</v>
      </c>
      <c r="I63" s="28" t="s">
        <v>116</v>
      </c>
      <c r="J63" s="37">
        <f>IF(tblBoard[[#This Row],[Date]]="","",IFERROR(INDEX(tblProducts[Takt time (s)],MATCH(tblBoard[[#This Row],[Product]],tblProducts[Product],0)),""))</f>
        <v>30</v>
      </c>
      <c r="K63" s="38">
        <f>IF(tblBoard[[#This Row],[Date]]="","",IF(OR(tblBoard[[#This Row],[Takt (s)]]="",tblBoard[[#This Row],[Available (min)]]=""),"",INT(tblBoard[[#This Row],[Available (min)]]*60/tblBoard[[#This Row],[Takt (s)]])))</f>
        <v>120</v>
      </c>
      <c r="L63" s="38">
        <f>IF(tblBoard[[#This Row],[Date]]="","",IF(tblBoard[[#This Row],[Target (units)]]="","",tblBoard[[#This Row],[Actual (units)]]-tblBoard[[#This Row],[Target (units)]]))</f>
        <v>-1</v>
      </c>
      <c r="M63" s="38">
        <f>IF(tblBoard[[#This Row],[Date]]="","",IF(tblBoard[[#This Row],[Target (units)]]="","",MAX(0,tblBoard[[#This Row],[Target (units)]]-tblBoard[[#This Row],[Actual (units)]])))</f>
        <v>1</v>
      </c>
      <c r="N63" s="39">
        <f>IF(tblBoard[[#This Row],[Date]]="","",IF(N(tblBoard[[#This Row],[Target (units)]])&gt;0,tblBoard[[#This Row],[Actual (units)]]/tblBoard[[#This Row],[Target (units)]],""))</f>
        <v>0.991666666666667</v>
      </c>
      <c r="O63" s="38">
        <f>IF(tblBoard[[#This Row],[Date]]="","",IF(N(tblBoard[[#This Row],[Target (units)]])&gt;0,IF(tblBoard[[#This Row],[Actual (units)]]&gt;=tblBoard[[#This Row],[Target (units)]]*TargetHour,1,0),""))</f>
        <v>0</v>
      </c>
      <c r="P63" s="40" t="str">
        <f>IF(NOT(ISNUMBER(tblBoard[[#This Row],[Attainment]])),"",IF(tblBoard[[#This Row],[Attainment]]&gt;=TargetHour,"On target",IF(tblBoard[[#This Row],[Attainment]]&gt;=TargetHour*(1-0.05),"Near target","Below target")))</f>
        <v>Near target</v>
      </c>
      <c r="Q63" s="38">
        <f>IF(tblBoard[[#This Row],[Date]]="","",IF(tblBoard[[#This Row],[Hour]]="","",SUMIFS(tblBoard[Target (units)],tblBoard[Date],tblBoard[[#This Row],[Date]],tblBoard[Shift],tblBoard[[#This Row],[Shift]],tblBoard[Line],tblBoard[[#This Row],[Line]],tblBoard[Hour],"&lt;="&amp;tblBoard[[#This Row],[Hour]])))</f>
        <v>240</v>
      </c>
      <c r="R63" s="38">
        <f>IF(tblBoard[[#This Row],[Date]]="","",IF(tblBoard[[#This Row],[Hour]]="","",SUMIFS(tblBoard[Actual (units)],tblBoard[Date],tblBoard[[#This Row],[Date]],tblBoard[Shift],tblBoard[[#This Row],[Shift]],tblBoard[Line],tblBoard[[#This Row],[Line]],tblBoard[Hour],"&lt;="&amp;tblBoard[[#This Row],[Hour]])))</f>
        <v>229</v>
      </c>
      <c r="S63" s="38">
        <f>IF(tblBoard[[#This Row],[Date]]="","",IF(tblBoard[[#This Row],[Cum. target]]="","",tblBoard[[#This Row],[Cum. actual]]-tblBoard[[#This Row],[Cum. target]]))</f>
        <v>-11</v>
      </c>
      <c r="T63" s="41">
        <f>IF(tblBoard[[#This Row],[Date]]="","",IF(AND(tblBoard[[#This Row],[Date]]&gt;=FFrom,tblBoard[[#This Row],[Date]]&lt;=FTo,OR(DashLine="",tblBoard[[#This Row],[Line]]=DashLine)),tblBoard[[#This Row],[Date]],""))</f>
        <v>46301</v>
      </c>
      <c r="U6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3" s="43" t="s">
        <v>146</v>
      </c>
    </row>
    <row r="64" spans="2:22" x14ac:dyDescent="0.25">
      <c r="B64" s="36">
        <v>46301</v>
      </c>
      <c r="C64" s="28" t="s">
        <v>93</v>
      </c>
      <c r="D64" s="28" t="s">
        <v>88</v>
      </c>
      <c r="E64" s="33">
        <v>3</v>
      </c>
      <c r="F64" s="28" t="s">
        <v>107</v>
      </c>
      <c r="G64" s="33">
        <v>50</v>
      </c>
      <c r="H64" s="33">
        <v>94</v>
      </c>
      <c r="I64" s="28" t="s">
        <v>114</v>
      </c>
      <c r="J64" s="37">
        <f>IF(tblBoard[[#This Row],[Date]]="","",IFERROR(INDEX(tblProducts[Takt time (s)],MATCH(tblBoard[[#This Row],[Product]],tblProducts[Product],0)),""))</f>
        <v>30</v>
      </c>
      <c r="K64" s="38">
        <f>IF(tblBoard[[#This Row],[Date]]="","",IF(OR(tblBoard[[#This Row],[Takt (s)]]="",tblBoard[[#This Row],[Available (min)]]=""),"",INT(tblBoard[[#This Row],[Available (min)]]*60/tblBoard[[#This Row],[Takt (s)]])))</f>
        <v>100</v>
      </c>
      <c r="L64" s="38">
        <f>IF(tblBoard[[#This Row],[Date]]="","",IF(tblBoard[[#This Row],[Target (units)]]="","",tblBoard[[#This Row],[Actual (units)]]-tblBoard[[#This Row],[Target (units)]]))</f>
        <v>-6</v>
      </c>
      <c r="M64" s="38">
        <f>IF(tblBoard[[#This Row],[Date]]="","",IF(tblBoard[[#This Row],[Target (units)]]="","",MAX(0,tblBoard[[#This Row],[Target (units)]]-tblBoard[[#This Row],[Actual (units)]])))</f>
        <v>6</v>
      </c>
      <c r="N64" s="39">
        <f>IF(tblBoard[[#This Row],[Date]]="","",IF(N(tblBoard[[#This Row],[Target (units)]])&gt;0,tblBoard[[#This Row],[Actual (units)]]/tblBoard[[#This Row],[Target (units)]],""))</f>
        <v>0.94</v>
      </c>
      <c r="O64" s="38">
        <f>IF(tblBoard[[#This Row],[Date]]="","",IF(N(tblBoard[[#This Row],[Target (units)]])&gt;0,IF(tblBoard[[#This Row],[Actual (units)]]&gt;=tblBoard[[#This Row],[Target (units)]]*TargetHour,1,0),""))</f>
        <v>0</v>
      </c>
      <c r="P64" s="40" t="str">
        <f>IF(NOT(ISNUMBER(tblBoard[[#This Row],[Attainment]])),"",IF(tblBoard[[#This Row],[Attainment]]&gt;=TargetHour,"On target",IF(tblBoard[[#This Row],[Attainment]]&gt;=TargetHour*(1-0.05),"Near target","Below target")))</f>
        <v>Below target</v>
      </c>
      <c r="Q64" s="38">
        <f>IF(tblBoard[[#This Row],[Date]]="","",IF(tblBoard[[#This Row],[Hour]]="","",SUMIFS(tblBoard[Target (units)],tblBoard[Date],tblBoard[[#This Row],[Date]],tblBoard[Shift],tblBoard[[#This Row],[Shift]],tblBoard[Line],tblBoard[[#This Row],[Line]],tblBoard[Hour],"&lt;="&amp;tblBoard[[#This Row],[Hour]])))</f>
        <v>340</v>
      </c>
      <c r="R64" s="38">
        <f>IF(tblBoard[[#This Row],[Date]]="","",IF(tblBoard[[#This Row],[Hour]]="","",SUMIFS(tblBoard[Actual (units)],tblBoard[Date],tblBoard[[#This Row],[Date]],tblBoard[Shift],tblBoard[[#This Row],[Shift]],tblBoard[Line],tblBoard[[#This Row],[Line]],tblBoard[Hour],"&lt;="&amp;tblBoard[[#This Row],[Hour]])))</f>
        <v>323</v>
      </c>
      <c r="S64" s="38">
        <f>IF(tblBoard[[#This Row],[Date]]="","",IF(tblBoard[[#This Row],[Cum. target]]="","",tblBoard[[#This Row],[Cum. actual]]-tblBoard[[#This Row],[Cum. target]]))</f>
        <v>-17</v>
      </c>
      <c r="T64" s="41">
        <f>IF(tblBoard[[#This Row],[Date]]="","",IF(AND(tblBoard[[#This Row],[Date]]&gt;=FFrom,tblBoard[[#This Row],[Date]]&lt;=FTo,OR(DashLine="",tblBoard[[#This Row],[Line]]=DashLine)),tblBoard[[#This Row],[Date]],""))</f>
        <v>46301</v>
      </c>
      <c r="U6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4" s="43" t="s">
        <v>97</v>
      </c>
    </row>
    <row r="65" spans="2:22" x14ac:dyDescent="0.25">
      <c r="B65" s="36">
        <v>46301</v>
      </c>
      <c r="C65" s="28" t="s">
        <v>93</v>
      </c>
      <c r="D65" s="28" t="s">
        <v>88</v>
      </c>
      <c r="E65" s="33">
        <v>4</v>
      </c>
      <c r="F65" s="28" t="s">
        <v>107</v>
      </c>
      <c r="G65" s="33">
        <v>60</v>
      </c>
      <c r="H65" s="33">
        <v>114</v>
      </c>
      <c r="I65" s="28" t="s">
        <v>122</v>
      </c>
      <c r="J65" s="37">
        <f>IF(tblBoard[[#This Row],[Date]]="","",IFERROR(INDEX(tblProducts[Takt time (s)],MATCH(tblBoard[[#This Row],[Product]],tblProducts[Product],0)),""))</f>
        <v>30</v>
      </c>
      <c r="K65" s="38">
        <f>IF(tblBoard[[#This Row],[Date]]="","",IF(OR(tblBoard[[#This Row],[Takt (s)]]="",tblBoard[[#This Row],[Available (min)]]=""),"",INT(tblBoard[[#This Row],[Available (min)]]*60/tblBoard[[#This Row],[Takt (s)]])))</f>
        <v>120</v>
      </c>
      <c r="L65" s="38">
        <f>IF(tblBoard[[#This Row],[Date]]="","",IF(tblBoard[[#This Row],[Target (units)]]="","",tblBoard[[#This Row],[Actual (units)]]-tblBoard[[#This Row],[Target (units)]]))</f>
        <v>-6</v>
      </c>
      <c r="M65" s="38">
        <f>IF(tblBoard[[#This Row],[Date]]="","",IF(tblBoard[[#This Row],[Target (units)]]="","",MAX(0,tblBoard[[#This Row],[Target (units)]]-tblBoard[[#This Row],[Actual (units)]])))</f>
        <v>6</v>
      </c>
      <c r="N65" s="39">
        <f>IF(tblBoard[[#This Row],[Date]]="","",IF(N(tblBoard[[#This Row],[Target (units)]])&gt;0,tblBoard[[#This Row],[Actual (units)]]/tblBoard[[#This Row],[Target (units)]],""))</f>
        <v>0.95</v>
      </c>
      <c r="O65" s="38">
        <f>IF(tblBoard[[#This Row],[Date]]="","",IF(N(tblBoard[[#This Row],[Target (units)]])&gt;0,IF(tblBoard[[#This Row],[Actual (units)]]&gt;=tblBoard[[#This Row],[Target (units)]]*TargetHour,1,0),""))</f>
        <v>0</v>
      </c>
      <c r="P65" s="40" t="str">
        <f>IF(NOT(ISNUMBER(tblBoard[[#This Row],[Attainment]])),"",IF(tblBoard[[#This Row],[Attainment]]&gt;=TargetHour,"On target",IF(tblBoard[[#This Row],[Attainment]]&gt;=TargetHour*(1-0.05),"Near target","Below target")))</f>
        <v>Near target</v>
      </c>
      <c r="Q65" s="38">
        <f>IF(tblBoard[[#This Row],[Date]]="","",IF(tblBoard[[#This Row],[Hour]]="","",SUMIFS(tblBoard[Target (units)],tblBoard[Date],tblBoard[[#This Row],[Date]],tblBoard[Shift],tblBoard[[#This Row],[Shift]],tblBoard[Line],tblBoard[[#This Row],[Line]],tblBoard[Hour],"&lt;="&amp;tblBoard[[#This Row],[Hour]])))</f>
        <v>460</v>
      </c>
      <c r="R65" s="38">
        <f>IF(tblBoard[[#This Row],[Date]]="","",IF(tblBoard[[#This Row],[Hour]]="","",SUMIFS(tblBoard[Actual (units)],tblBoard[Date],tblBoard[[#This Row],[Date]],tblBoard[Shift],tblBoard[[#This Row],[Shift]],tblBoard[Line],tblBoard[[#This Row],[Line]],tblBoard[Hour],"&lt;="&amp;tblBoard[[#This Row],[Hour]])))</f>
        <v>437</v>
      </c>
      <c r="S65" s="38">
        <f>IF(tblBoard[[#This Row],[Date]]="","",IF(tblBoard[[#This Row],[Cum. target]]="","",tblBoard[[#This Row],[Cum. actual]]-tblBoard[[#This Row],[Cum. target]]))</f>
        <v>-23</v>
      </c>
      <c r="T65" s="41">
        <f>IF(tblBoard[[#This Row],[Date]]="","",IF(AND(tblBoard[[#This Row],[Date]]&gt;=FFrom,tblBoard[[#This Row],[Date]]&lt;=FTo,OR(DashLine="",tblBoard[[#This Row],[Line]]=DashLine)),tblBoard[[#This Row],[Date]],""))</f>
        <v>46301</v>
      </c>
      <c r="U6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5" s="43" t="s">
        <v>97</v>
      </c>
    </row>
    <row r="66" spans="2:22" x14ac:dyDescent="0.25">
      <c r="B66" s="36">
        <v>46301</v>
      </c>
      <c r="C66" s="28" t="s">
        <v>93</v>
      </c>
      <c r="D66" s="28" t="s">
        <v>88</v>
      </c>
      <c r="E66" s="33">
        <v>5</v>
      </c>
      <c r="F66" s="28" t="s">
        <v>107</v>
      </c>
      <c r="G66" s="33">
        <v>30</v>
      </c>
      <c r="H66" s="33">
        <v>60</v>
      </c>
      <c r="I66" s="28"/>
      <c r="J66" s="37">
        <f>IF(tblBoard[[#This Row],[Date]]="","",IFERROR(INDEX(tblProducts[Takt time (s)],MATCH(tblBoard[[#This Row],[Product]],tblProducts[Product],0)),""))</f>
        <v>30</v>
      </c>
      <c r="K66" s="38">
        <f>IF(tblBoard[[#This Row],[Date]]="","",IF(OR(tblBoard[[#This Row],[Takt (s)]]="",tblBoard[[#This Row],[Available (min)]]=""),"",INT(tblBoard[[#This Row],[Available (min)]]*60/tblBoard[[#This Row],[Takt (s)]])))</f>
        <v>60</v>
      </c>
      <c r="L66" s="38">
        <f>IF(tblBoard[[#This Row],[Date]]="","",IF(tblBoard[[#This Row],[Target (units)]]="","",tblBoard[[#This Row],[Actual (units)]]-tblBoard[[#This Row],[Target (units)]]))</f>
        <v>0</v>
      </c>
      <c r="M66" s="38">
        <f>IF(tblBoard[[#This Row],[Date]]="","",IF(tblBoard[[#This Row],[Target (units)]]="","",MAX(0,tblBoard[[#This Row],[Target (units)]]-tblBoard[[#This Row],[Actual (units)]])))</f>
        <v>0</v>
      </c>
      <c r="N66" s="39">
        <f>IF(tblBoard[[#This Row],[Date]]="","",IF(N(tblBoard[[#This Row],[Target (units)]])&gt;0,tblBoard[[#This Row],[Actual (units)]]/tblBoard[[#This Row],[Target (units)]],""))</f>
        <v>1</v>
      </c>
      <c r="O66" s="38">
        <f>IF(tblBoard[[#This Row],[Date]]="","",IF(N(tblBoard[[#This Row],[Target (units)]])&gt;0,IF(tblBoard[[#This Row],[Actual (units)]]&gt;=tblBoard[[#This Row],[Target (units)]]*TargetHour,1,0),""))</f>
        <v>1</v>
      </c>
      <c r="P66" s="40" t="str">
        <f>IF(NOT(ISNUMBER(tblBoard[[#This Row],[Attainment]])),"",IF(tblBoard[[#This Row],[Attainment]]&gt;=TargetHour,"On target",IF(tblBoard[[#This Row],[Attainment]]&gt;=TargetHour*(1-0.05),"Near target","Below target")))</f>
        <v>On target</v>
      </c>
      <c r="Q66" s="38">
        <f>IF(tblBoard[[#This Row],[Date]]="","",IF(tblBoard[[#This Row],[Hour]]="","",SUMIFS(tblBoard[Target (units)],tblBoard[Date],tblBoard[[#This Row],[Date]],tblBoard[Shift],tblBoard[[#This Row],[Shift]],tblBoard[Line],tblBoard[[#This Row],[Line]],tblBoard[Hour],"&lt;="&amp;tblBoard[[#This Row],[Hour]])))</f>
        <v>520</v>
      </c>
      <c r="R66" s="38">
        <f>IF(tblBoard[[#This Row],[Date]]="","",IF(tblBoard[[#This Row],[Hour]]="","",SUMIFS(tblBoard[Actual (units)],tblBoard[Date],tblBoard[[#This Row],[Date]],tblBoard[Shift],tblBoard[[#This Row],[Shift]],tblBoard[Line],tblBoard[[#This Row],[Line]],tblBoard[Hour],"&lt;="&amp;tblBoard[[#This Row],[Hour]])))</f>
        <v>497</v>
      </c>
      <c r="S66" s="38">
        <f>IF(tblBoard[[#This Row],[Date]]="","",IF(tblBoard[[#This Row],[Cum. target]]="","",tblBoard[[#This Row],[Cum. actual]]-tblBoard[[#This Row],[Cum. target]]))</f>
        <v>-23</v>
      </c>
      <c r="T66" s="41">
        <f>IF(tblBoard[[#This Row],[Date]]="","",IF(AND(tblBoard[[#This Row],[Date]]&gt;=FFrom,tblBoard[[#This Row],[Date]]&lt;=FTo,OR(DashLine="",tblBoard[[#This Row],[Line]]=DashLine)),tblBoard[[#This Row],[Date]],""))</f>
        <v>46301</v>
      </c>
      <c r="U6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6" s="43" t="s">
        <v>97</v>
      </c>
    </row>
    <row r="67" spans="2:22" x14ac:dyDescent="0.25">
      <c r="B67" s="36">
        <v>46301</v>
      </c>
      <c r="C67" s="28" t="s">
        <v>93</v>
      </c>
      <c r="D67" s="28" t="s">
        <v>88</v>
      </c>
      <c r="E67" s="33">
        <v>6</v>
      </c>
      <c r="F67" s="28" t="s">
        <v>107</v>
      </c>
      <c r="G67" s="33">
        <v>60</v>
      </c>
      <c r="H67" s="33">
        <v>44</v>
      </c>
      <c r="I67" s="28" t="s">
        <v>112</v>
      </c>
      <c r="J67" s="37">
        <f>IF(tblBoard[[#This Row],[Date]]="","",IFERROR(INDEX(tblProducts[Takt time (s)],MATCH(tblBoard[[#This Row],[Product]],tblProducts[Product],0)),""))</f>
        <v>30</v>
      </c>
      <c r="K67" s="38">
        <f>IF(tblBoard[[#This Row],[Date]]="","",IF(OR(tblBoard[[#This Row],[Takt (s)]]="",tblBoard[[#This Row],[Available (min)]]=""),"",INT(tblBoard[[#This Row],[Available (min)]]*60/tblBoard[[#This Row],[Takt (s)]])))</f>
        <v>120</v>
      </c>
      <c r="L67" s="38">
        <f>IF(tblBoard[[#This Row],[Date]]="","",IF(tblBoard[[#This Row],[Target (units)]]="","",tblBoard[[#This Row],[Actual (units)]]-tblBoard[[#This Row],[Target (units)]]))</f>
        <v>-76</v>
      </c>
      <c r="M67" s="38">
        <f>IF(tblBoard[[#This Row],[Date]]="","",IF(tblBoard[[#This Row],[Target (units)]]="","",MAX(0,tblBoard[[#This Row],[Target (units)]]-tblBoard[[#This Row],[Actual (units)]])))</f>
        <v>76</v>
      </c>
      <c r="N67" s="39">
        <f>IF(tblBoard[[#This Row],[Date]]="","",IF(N(tblBoard[[#This Row],[Target (units)]])&gt;0,tblBoard[[#This Row],[Actual (units)]]/tblBoard[[#This Row],[Target (units)]],""))</f>
        <v>0.366666666666667</v>
      </c>
      <c r="O67" s="38">
        <f>IF(tblBoard[[#This Row],[Date]]="","",IF(N(tblBoard[[#This Row],[Target (units)]])&gt;0,IF(tblBoard[[#This Row],[Actual (units)]]&gt;=tblBoard[[#This Row],[Target (units)]]*TargetHour,1,0),""))</f>
        <v>0</v>
      </c>
      <c r="P67" s="40" t="str">
        <f>IF(NOT(ISNUMBER(tblBoard[[#This Row],[Attainment]])),"",IF(tblBoard[[#This Row],[Attainment]]&gt;=TargetHour,"On target",IF(tblBoard[[#This Row],[Attainment]]&gt;=TargetHour*(1-0.05),"Near target","Below target")))</f>
        <v>Below target</v>
      </c>
      <c r="Q67" s="38">
        <f>IF(tblBoard[[#This Row],[Date]]="","",IF(tblBoard[[#This Row],[Hour]]="","",SUMIFS(tblBoard[Target (units)],tblBoard[Date],tblBoard[[#This Row],[Date]],tblBoard[Shift],tblBoard[[#This Row],[Shift]],tblBoard[Line],tblBoard[[#This Row],[Line]],tblBoard[Hour],"&lt;="&amp;tblBoard[[#This Row],[Hour]])))</f>
        <v>640</v>
      </c>
      <c r="R67" s="38">
        <f>IF(tblBoard[[#This Row],[Date]]="","",IF(tblBoard[[#This Row],[Hour]]="","",SUMIFS(tblBoard[Actual (units)],tblBoard[Date],tblBoard[[#This Row],[Date]],tblBoard[Shift],tblBoard[[#This Row],[Shift]],tblBoard[Line],tblBoard[[#This Row],[Line]],tblBoard[Hour],"&lt;="&amp;tblBoard[[#This Row],[Hour]])))</f>
        <v>541</v>
      </c>
      <c r="S67" s="38">
        <f>IF(tblBoard[[#This Row],[Date]]="","",IF(tblBoard[[#This Row],[Cum. target]]="","",tblBoard[[#This Row],[Cum. actual]]-tblBoard[[#This Row],[Cum. target]]))</f>
        <v>-99</v>
      </c>
      <c r="T67" s="41">
        <f>IF(tblBoard[[#This Row],[Date]]="","",IF(AND(tblBoard[[#This Row],[Date]]&gt;=FFrom,tblBoard[[#This Row],[Date]]&lt;=FTo,OR(DashLine="",tblBoard[[#This Row],[Line]]=DashLine)),tblBoard[[#This Row],[Date]],""))</f>
        <v>46301</v>
      </c>
      <c r="U6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7" s="43" t="s">
        <v>145</v>
      </c>
    </row>
    <row r="68" spans="2:22" x14ac:dyDescent="0.25">
      <c r="B68" s="36">
        <v>46301</v>
      </c>
      <c r="C68" s="28" t="s">
        <v>93</v>
      </c>
      <c r="D68" s="28" t="s">
        <v>88</v>
      </c>
      <c r="E68" s="33">
        <v>7</v>
      </c>
      <c r="F68" s="28" t="s">
        <v>107</v>
      </c>
      <c r="G68" s="33">
        <v>50</v>
      </c>
      <c r="H68" s="33">
        <v>95</v>
      </c>
      <c r="I68" s="28" t="s">
        <v>114</v>
      </c>
      <c r="J68" s="37">
        <f>IF(tblBoard[[#This Row],[Date]]="","",IFERROR(INDEX(tblProducts[Takt time (s)],MATCH(tblBoard[[#This Row],[Product]],tblProducts[Product],0)),""))</f>
        <v>30</v>
      </c>
      <c r="K68" s="38">
        <f>IF(tblBoard[[#This Row],[Date]]="","",IF(OR(tblBoard[[#This Row],[Takt (s)]]="",tblBoard[[#This Row],[Available (min)]]=""),"",INT(tblBoard[[#This Row],[Available (min)]]*60/tblBoard[[#This Row],[Takt (s)]])))</f>
        <v>100</v>
      </c>
      <c r="L68" s="38">
        <f>IF(tblBoard[[#This Row],[Date]]="","",IF(tblBoard[[#This Row],[Target (units)]]="","",tblBoard[[#This Row],[Actual (units)]]-tblBoard[[#This Row],[Target (units)]]))</f>
        <v>-5</v>
      </c>
      <c r="M68" s="38">
        <f>IF(tblBoard[[#This Row],[Date]]="","",IF(tblBoard[[#This Row],[Target (units)]]="","",MAX(0,tblBoard[[#This Row],[Target (units)]]-tblBoard[[#This Row],[Actual (units)]])))</f>
        <v>5</v>
      </c>
      <c r="N68" s="39">
        <f>IF(tblBoard[[#This Row],[Date]]="","",IF(N(tblBoard[[#This Row],[Target (units)]])&gt;0,tblBoard[[#This Row],[Actual (units)]]/tblBoard[[#This Row],[Target (units)]],""))</f>
        <v>0.95</v>
      </c>
      <c r="O68" s="38">
        <f>IF(tblBoard[[#This Row],[Date]]="","",IF(N(tblBoard[[#This Row],[Target (units)]])&gt;0,IF(tblBoard[[#This Row],[Actual (units)]]&gt;=tblBoard[[#This Row],[Target (units)]]*TargetHour,1,0),""))</f>
        <v>0</v>
      </c>
      <c r="P68" s="40" t="str">
        <f>IF(NOT(ISNUMBER(tblBoard[[#This Row],[Attainment]])),"",IF(tblBoard[[#This Row],[Attainment]]&gt;=TargetHour,"On target",IF(tblBoard[[#This Row],[Attainment]]&gt;=TargetHour*(1-0.05),"Near target","Below target")))</f>
        <v>Near target</v>
      </c>
      <c r="Q68" s="38">
        <f>IF(tblBoard[[#This Row],[Date]]="","",IF(tblBoard[[#This Row],[Hour]]="","",SUMIFS(tblBoard[Target (units)],tblBoard[Date],tblBoard[[#This Row],[Date]],tblBoard[Shift],tblBoard[[#This Row],[Shift]],tblBoard[Line],tblBoard[[#This Row],[Line]],tblBoard[Hour],"&lt;="&amp;tblBoard[[#This Row],[Hour]])))</f>
        <v>740</v>
      </c>
      <c r="R68" s="38">
        <f>IF(tblBoard[[#This Row],[Date]]="","",IF(tblBoard[[#This Row],[Hour]]="","",SUMIFS(tblBoard[Actual (units)],tblBoard[Date],tblBoard[[#This Row],[Date]],tblBoard[Shift],tblBoard[[#This Row],[Shift]],tblBoard[Line],tblBoard[[#This Row],[Line]],tblBoard[Hour],"&lt;="&amp;tblBoard[[#This Row],[Hour]])))</f>
        <v>636</v>
      </c>
      <c r="S68" s="38">
        <f>IF(tblBoard[[#This Row],[Date]]="","",IF(tblBoard[[#This Row],[Cum. target]]="","",tblBoard[[#This Row],[Cum. actual]]-tblBoard[[#This Row],[Cum. target]]))</f>
        <v>-104</v>
      </c>
      <c r="T68" s="41">
        <f>IF(tblBoard[[#This Row],[Date]]="","",IF(AND(tblBoard[[#This Row],[Date]]&gt;=FFrom,tblBoard[[#This Row],[Date]]&lt;=FTo,OR(DashLine="",tblBoard[[#This Row],[Line]]=DashLine)),tblBoard[[#This Row],[Date]],""))</f>
        <v>46301</v>
      </c>
      <c r="U6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8" s="43" t="s">
        <v>97</v>
      </c>
    </row>
    <row r="69" spans="2:22" x14ac:dyDescent="0.25">
      <c r="B69" s="36">
        <v>46301</v>
      </c>
      <c r="C69" s="28" t="s">
        <v>93</v>
      </c>
      <c r="D69" s="28" t="s">
        <v>88</v>
      </c>
      <c r="E69" s="33">
        <v>8</v>
      </c>
      <c r="F69" s="28" t="s">
        <v>107</v>
      </c>
      <c r="G69" s="33">
        <v>50</v>
      </c>
      <c r="H69" s="33">
        <v>99</v>
      </c>
      <c r="I69" s="28" t="s">
        <v>114</v>
      </c>
      <c r="J69" s="37">
        <f>IF(tblBoard[[#This Row],[Date]]="","",IFERROR(INDEX(tblProducts[Takt time (s)],MATCH(tblBoard[[#This Row],[Product]],tblProducts[Product],0)),""))</f>
        <v>30</v>
      </c>
      <c r="K69" s="38">
        <f>IF(tblBoard[[#This Row],[Date]]="","",IF(OR(tblBoard[[#This Row],[Takt (s)]]="",tblBoard[[#This Row],[Available (min)]]=""),"",INT(tblBoard[[#This Row],[Available (min)]]*60/tblBoard[[#This Row],[Takt (s)]])))</f>
        <v>100</v>
      </c>
      <c r="L69" s="38">
        <f>IF(tblBoard[[#This Row],[Date]]="","",IF(tblBoard[[#This Row],[Target (units)]]="","",tblBoard[[#This Row],[Actual (units)]]-tblBoard[[#This Row],[Target (units)]]))</f>
        <v>-1</v>
      </c>
      <c r="M69" s="38">
        <f>IF(tblBoard[[#This Row],[Date]]="","",IF(tblBoard[[#This Row],[Target (units)]]="","",MAX(0,tblBoard[[#This Row],[Target (units)]]-tblBoard[[#This Row],[Actual (units)]])))</f>
        <v>1</v>
      </c>
      <c r="N69" s="39">
        <f>IF(tblBoard[[#This Row],[Date]]="","",IF(N(tblBoard[[#This Row],[Target (units)]])&gt;0,tblBoard[[#This Row],[Actual (units)]]/tblBoard[[#This Row],[Target (units)]],""))</f>
        <v>0.99</v>
      </c>
      <c r="O69" s="38">
        <f>IF(tblBoard[[#This Row],[Date]]="","",IF(N(tblBoard[[#This Row],[Target (units)]])&gt;0,IF(tblBoard[[#This Row],[Actual (units)]]&gt;=tblBoard[[#This Row],[Target (units)]]*TargetHour,1,0),""))</f>
        <v>0</v>
      </c>
      <c r="P69" s="40" t="str">
        <f>IF(NOT(ISNUMBER(tblBoard[[#This Row],[Attainment]])),"",IF(tblBoard[[#This Row],[Attainment]]&gt;=TargetHour,"On target",IF(tblBoard[[#This Row],[Attainment]]&gt;=TargetHour*(1-0.05),"Near target","Below target")))</f>
        <v>Near target</v>
      </c>
      <c r="Q69" s="38">
        <f>IF(tblBoard[[#This Row],[Date]]="","",IF(tblBoard[[#This Row],[Hour]]="","",SUMIFS(tblBoard[Target (units)],tblBoard[Date],tblBoard[[#This Row],[Date]],tblBoard[Shift],tblBoard[[#This Row],[Shift]],tblBoard[Line],tblBoard[[#This Row],[Line]],tblBoard[Hour],"&lt;="&amp;tblBoard[[#This Row],[Hour]])))</f>
        <v>840</v>
      </c>
      <c r="R69" s="38">
        <f>IF(tblBoard[[#This Row],[Date]]="","",IF(tblBoard[[#This Row],[Hour]]="","",SUMIFS(tblBoard[Actual (units)],tblBoard[Date],tblBoard[[#This Row],[Date]],tblBoard[Shift],tblBoard[[#This Row],[Shift]],tblBoard[Line],tblBoard[[#This Row],[Line]],tblBoard[Hour],"&lt;="&amp;tblBoard[[#This Row],[Hour]])))</f>
        <v>735</v>
      </c>
      <c r="S69" s="38">
        <f>IF(tblBoard[[#This Row],[Date]]="","",IF(tblBoard[[#This Row],[Cum. target]]="","",tblBoard[[#This Row],[Cum. actual]]-tblBoard[[#This Row],[Cum. target]]))</f>
        <v>-105</v>
      </c>
      <c r="T69" s="41">
        <f>IF(tblBoard[[#This Row],[Date]]="","",IF(AND(tblBoard[[#This Row],[Date]]&gt;=FFrom,tblBoard[[#This Row],[Date]]&lt;=FTo,OR(DashLine="",tblBoard[[#This Row],[Line]]=DashLine)),tblBoard[[#This Row],[Date]],""))</f>
        <v>46301</v>
      </c>
      <c r="U6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69" s="43" t="s">
        <v>97</v>
      </c>
    </row>
    <row r="70" spans="2:22" x14ac:dyDescent="0.25">
      <c r="B70" s="36">
        <v>46302</v>
      </c>
      <c r="C70" s="28" t="s">
        <v>91</v>
      </c>
      <c r="D70" s="28" t="s">
        <v>85</v>
      </c>
      <c r="E70" s="33">
        <v>1</v>
      </c>
      <c r="F70" s="28" t="s">
        <v>103</v>
      </c>
      <c r="G70" s="33">
        <v>60</v>
      </c>
      <c r="H70" s="33">
        <v>76</v>
      </c>
      <c r="I70" s="28" t="s">
        <v>110</v>
      </c>
      <c r="J70" s="37">
        <f>IF(tblBoard[[#This Row],[Date]]="","",IFERROR(INDEX(tblProducts[Takt time (s)],MATCH(tblBoard[[#This Row],[Product]],tblProducts[Product],0)),""))</f>
        <v>40</v>
      </c>
      <c r="K70" s="38">
        <f>IF(tblBoard[[#This Row],[Date]]="","",IF(OR(tblBoard[[#This Row],[Takt (s)]]="",tblBoard[[#This Row],[Available (min)]]=""),"",INT(tblBoard[[#This Row],[Available (min)]]*60/tblBoard[[#This Row],[Takt (s)]])))</f>
        <v>90</v>
      </c>
      <c r="L70" s="38">
        <f>IF(tblBoard[[#This Row],[Date]]="","",IF(tblBoard[[#This Row],[Target (units)]]="","",tblBoard[[#This Row],[Actual (units)]]-tblBoard[[#This Row],[Target (units)]]))</f>
        <v>-14</v>
      </c>
      <c r="M70" s="38">
        <f>IF(tblBoard[[#This Row],[Date]]="","",IF(tblBoard[[#This Row],[Target (units)]]="","",MAX(0,tblBoard[[#This Row],[Target (units)]]-tblBoard[[#This Row],[Actual (units)]])))</f>
        <v>14</v>
      </c>
      <c r="N70" s="39">
        <f>IF(tblBoard[[#This Row],[Date]]="","",IF(N(tblBoard[[#This Row],[Target (units)]])&gt;0,tblBoard[[#This Row],[Actual (units)]]/tblBoard[[#This Row],[Target (units)]],""))</f>
        <v>0.844444444444444</v>
      </c>
      <c r="O70" s="38">
        <f>IF(tblBoard[[#This Row],[Date]]="","",IF(N(tblBoard[[#This Row],[Target (units)]])&gt;0,IF(tblBoard[[#This Row],[Actual (units)]]&gt;=tblBoard[[#This Row],[Target (units)]]*TargetHour,1,0),""))</f>
        <v>0</v>
      </c>
      <c r="P70" s="40" t="str">
        <f>IF(NOT(ISNUMBER(tblBoard[[#This Row],[Attainment]])),"",IF(tblBoard[[#This Row],[Attainment]]&gt;=TargetHour,"On target",IF(tblBoard[[#This Row],[Attainment]]&gt;=TargetHour*(1-0.05),"Near target","Below target")))</f>
        <v>Below target</v>
      </c>
      <c r="Q70" s="38">
        <f>IF(tblBoard[[#This Row],[Date]]="","",IF(tblBoard[[#This Row],[Hour]]="","",SUMIFS(tblBoard[Target (units)],tblBoard[Date],tblBoard[[#This Row],[Date]],tblBoard[Shift],tblBoard[[#This Row],[Shift]],tblBoard[Line],tblBoard[[#This Row],[Line]],tblBoard[Hour],"&lt;="&amp;tblBoard[[#This Row],[Hour]])))</f>
        <v>90</v>
      </c>
      <c r="R70" s="38">
        <f>IF(tblBoard[[#This Row],[Date]]="","",IF(tblBoard[[#This Row],[Hour]]="","",SUMIFS(tblBoard[Actual (units)],tblBoard[Date],tblBoard[[#This Row],[Date]],tblBoard[Shift],tblBoard[[#This Row],[Shift]],tblBoard[Line],tblBoard[[#This Row],[Line]],tblBoard[Hour],"&lt;="&amp;tblBoard[[#This Row],[Hour]])))</f>
        <v>76</v>
      </c>
      <c r="S70" s="38">
        <f>IF(tblBoard[[#This Row],[Date]]="","",IF(tblBoard[[#This Row],[Cum. target]]="","",tblBoard[[#This Row],[Cum. actual]]-tblBoard[[#This Row],[Cum. target]]))</f>
        <v>-14</v>
      </c>
      <c r="T70" s="41">
        <f>IF(tblBoard[[#This Row],[Date]]="","",IF(AND(tblBoard[[#This Row],[Date]]&gt;=FFrom,tblBoard[[#This Row],[Date]]&lt;=FTo,OR(DashLine="",tblBoard[[#This Row],[Line]]=DashLine)),tblBoard[[#This Row],[Date]],""))</f>
        <v>46302</v>
      </c>
      <c r="U7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0" s="43" t="s">
        <v>144</v>
      </c>
    </row>
    <row r="71" spans="2:22" x14ac:dyDescent="0.25">
      <c r="B71" s="36">
        <v>46302</v>
      </c>
      <c r="C71" s="28" t="s">
        <v>91</v>
      </c>
      <c r="D71" s="28" t="s">
        <v>85</v>
      </c>
      <c r="E71" s="33">
        <v>2</v>
      </c>
      <c r="F71" s="28" t="s">
        <v>103</v>
      </c>
      <c r="G71" s="33">
        <v>60</v>
      </c>
      <c r="H71" s="33">
        <v>92</v>
      </c>
      <c r="I71" s="28"/>
      <c r="J71" s="37">
        <f>IF(tblBoard[[#This Row],[Date]]="","",IFERROR(INDEX(tblProducts[Takt time (s)],MATCH(tblBoard[[#This Row],[Product]],tblProducts[Product],0)),""))</f>
        <v>40</v>
      </c>
      <c r="K71" s="38">
        <f>IF(tblBoard[[#This Row],[Date]]="","",IF(OR(tblBoard[[#This Row],[Takt (s)]]="",tblBoard[[#This Row],[Available (min)]]=""),"",INT(tblBoard[[#This Row],[Available (min)]]*60/tblBoard[[#This Row],[Takt (s)]])))</f>
        <v>90</v>
      </c>
      <c r="L71" s="38">
        <f>IF(tblBoard[[#This Row],[Date]]="","",IF(tblBoard[[#This Row],[Target (units)]]="","",tblBoard[[#This Row],[Actual (units)]]-tblBoard[[#This Row],[Target (units)]]))</f>
        <v>2</v>
      </c>
      <c r="M71" s="38">
        <f>IF(tblBoard[[#This Row],[Date]]="","",IF(tblBoard[[#This Row],[Target (units)]]="","",MAX(0,tblBoard[[#This Row],[Target (units)]]-tblBoard[[#This Row],[Actual (units)]])))</f>
        <v>0</v>
      </c>
      <c r="N71" s="39">
        <f>IF(tblBoard[[#This Row],[Date]]="","",IF(N(tblBoard[[#This Row],[Target (units)]])&gt;0,tblBoard[[#This Row],[Actual (units)]]/tblBoard[[#This Row],[Target (units)]],""))</f>
        <v>1.02222222222222</v>
      </c>
      <c r="O71" s="38">
        <f>IF(tblBoard[[#This Row],[Date]]="","",IF(N(tblBoard[[#This Row],[Target (units)]])&gt;0,IF(tblBoard[[#This Row],[Actual (units)]]&gt;=tblBoard[[#This Row],[Target (units)]]*TargetHour,1,0),""))</f>
        <v>1</v>
      </c>
      <c r="P71" s="40" t="str">
        <f>IF(NOT(ISNUMBER(tblBoard[[#This Row],[Attainment]])),"",IF(tblBoard[[#This Row],[Attainment]]&gt;=TargetHour,"On target",IF(tblBoard[[#This Row],[Attainment]]&gt;=TargetHour*(1-0.05),"Near target","Below target")))</f>
        <v>On target</v>
      </c>
      <c r="Q71" s="38">
        <f>IF(tblBoard[[#This Row],[Date]]="","",IF(tblBoard[[#This Row],[Hour]]="","",SUMIFS(tblBoard[Target (units)],tblBoard[Date],tblBoard[[#This Row],[Date]],tblBoard[Shift],tblBoard[[#This Row],[Shift]],tblBoard[Line],tblBoard[[#This Row],[Line]],tblBoard[Hour],"&lt;="&amp;tblBoard[[#This Row],[Hour]])))</f>
        <v>180</v>
      </c>
      <c r="R71" s="38">
        <f>IF(tblBoard[[#This Row],[Date]]="","",IF(tblBoard[[#This Row],[Hour]]="","",SUMIFS(tblBoard[Actual (units)],tblBoard[Date],tblBoard[[#This Row],[Date]],tblBoard[Shift],tblBoard[[#This Row],[Shift]],tblBoard[Line],tblBoard[[#This Row],[Line]],tblBoard[Hour],"&lt;="&amp;tblBoard[[#This Row],[Hour]])))</f>
        <v>168</v>
      </c>
      <c r="S71" s="38">
        <f>IF(tblBoard[[#This Row],[Date]]="","",IF(tblBoard[[#This Row],[Cum. target]]="","",tblBoard[[#This Row],[Cum. actual]]-tblBoard[[#This Row],[Cum. target]]))</f>
        <v>-12</v>
      </c>
      <c r="T71" s="41">
        <f>IF(tblBoard[[#This Row],[Date]]="","",IF(AND(tblBoard[[#This Row],[Date]]&gt;=FFrom,tblBoard[[#This Row],[Date]]&lt;=FTo,OR(DashLine="",tblBoard[[#This Row],[Line]]=DashLine)),tblBoard[[#This Row],[Date]],""))</f>
        <v>46302</v>
      </c>
      <c r="U7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1" s="43" t="s">
        <v>97</v>
      </c>
    </row>
    <row r="72" spans="2:22" x14ac:dyDescent="0.25">
      <c r="B72" s="36">
        <v>46302</v>
      </c>
      <c r="C72" s="28" t="s">
        <v>91</v>
      </c>
      <c r="D72" s="28" t="s">
        <v>85</v>
      </c>
      <c r="E72" s="33">
        <v>3</v>
      </c>
      <c r="F72" s="28" t="s">
        <v>103</v>
      </c>
      <c r="G72" s="33">
        <v>50</v>
      </c>
      <c r="H72" s="33">
        <v>74</v>
      </c>
      <c r="I72" s="28" t="s">
        <v>114</v>
      </c>
      <c r="J72" s="37">
        <f>IF(tblBoard[[#This Row],[Date]]="","",IFERROR(INDEX(tblProducts[Takt time (s)],MATCH(tblBoard[[#This Row],[Product]],tblProducts[Product],0)),""))</f>
        <v>40</v>
      </c>
      <c r="K72" s="38">
        <f>IF(tblBoard[[#This Row],[Date]]="","",IF(OR(tblBoard[[#This Row],[Takt (s)]]="",tblBoard[[#This Row],[Available (min)]]=""),"",INT(tblBoard[[#This Row],[Available (min)]]*60/tblBoard[[#This Row],[Takt (s)]])))</f>
        <v>75</v>
      </c>
      <c r="L72" s="38">
        <f>IF(tblBoard[[#This Row],[Date]]="","",IF(tblBoard[[#This Row],[Target (units)]]="","",tblBoard[[#This Row],[Actual (units)]]-tblBoard[[#This Row],[Target (units)]]))</f>
        <v>-1</v>
      </c>
      <c r="M72" s="38">
        <f>IF(tblBoard[[#This Row],[Date]]="","",IF(tblBoard[[#This Row],[Target (units)]]="","",MAX(0,tblBoard[[#This Row],[Target (units)]]-tblBoard[[#This Row],[Actual (units)]])))</f>
        <v>1</v>
      </c>
      <c r="N72" s="39">
        <f>IF(tblBoard[[#This Row],[Date]]="","",IF(N(tblBoard[[#This Row],[Target (units)]])&gt;0,tblBoard[[#This Row],[Actual (units)]]/tblBoard[[#This Row],[Target (units)]],""))</f>
        <v>0.986666666666667</v>
      </c>
      <c r="O72" s="38">
        <f>IF(tblBoard[[#This Row],[Date]]="","",IF(N(tblBoard[[#This Row],[Target (units)]])&gt;0,IF(tblBoard[[#This Row],[Actual (units)]]&gt;=tblBoard[[#This Row],[Target (units)]]*TargetHour,1,0),""))</f>
        <v>0</v>
      </c>
      <c r="P72" s="40" t="str">
        <f>IF(NOT(ISNUMBER(tblBoard[[#This Row],[Attainment]])),"",IF(tblBoard[[#This Row],[Attainment]]&gt;=TargetHour,"On target",IF(tblBoard[[#This Row],[Attainment]]&gt;=TargetHour*(1-0.05),"Near target","Below target")))</f>
        <v>Near target</v>
      </c>
      <c r="Q72" s="38">
        <f>IF(tblBoard[[#This Row],[Date]]="","",IF(tblBoard[[#This Row],[Hour]]="","",SUMIFS(tblBoard[Target (units)],tblBoard[Date],tblBoard[[#This Row],[Date]],tblBoard[Shift],tblBoard[[#This Row],[Shift]],tblBoard[Line],tblBoard[[#This Row],[Line]],tblBoard[Hour],"&lt;="&amp;tblBoard[[#This Row],[Hour]])))</f>
        <v>255</v>
      </c>
      <c r="R72" s="38">
        <f>IF(tblBoard[[#This Row],[Date]]="","",IF(tblBoard[[#This Row],[Hour]]="","",SUMIFS(tblBoard[Actual (units)],tblBoard[Date],tblBoard[[#This Row],[Date]],tblBoard[Shift],tblBoard[[#This Row],[Shift]],tblBoard[Line],tblBoard[[#This Row],[Line]],tblBoard[Hour],"&lt;="&amp;tblBoard[[#This Row],[Hour]])))</f>
        <v>242</v>
      </c>
      <c r="S72" s="38">
        <f>IF(tblBoard[[#This Row],[Date]]="","",IF(tblBoard[[#This Row],[Cum. target]]="","",tblBoard[[#This Row],[Cum. actual]]-tblBoard[[#This Row],[Cum. target]]))</f>
        <v>-13</v>
      </c>
      <c r="T72" s="41">
        <f>IF(tblBoard[[#This Row],[Date]]="","",IF(AND(tblBoard[[#This Row],[Date]]&gt;=FFrom,tblBoard[[#This Row],[Date]]&lt;=FTo,OR(DashLine="",tblBoard[[#This Row],[Line]]=DashLine)),tblBoard[[#This Row],[Date]],""))</f>
        <v>46302</v>
      </c>
      <c r="U7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2" s="43" t="s">
        <v>97</v>
      </c>
    </row>
    <row r="73" spans="2:22" x14ac:dyDescent="0.25">
      <c r="B73" s="36">
        <v>46302</v>
      </c>
      <c r="C73" s="28" t="s">
        <v>91</v>
      </c>
      <c r="D73" s="28" t="s">
        <v>85</v>
      </c>
      <c r="E73" s="33">
        <v>4</v>
      </c>
      <c r="F73" s="28" t="s">
        <v>103</v>
      </c>
      <c r="G73" s="33">
        <v>60</v>
      </c>
      <c r="H73" s="33">
        <v>90</v>
      </c>
      <c r="I73" s="28"/>
      <c r="J73" s="37">
        <f>IF(tblBoard[[#This Row],[Date]]="","",IFERROR(INDEX(tblProducts[Takt time (s)],MATCH(tblBoard[[#This Row],[Product]],tblProducts[Product],0)),""))</f>
        <v>40</v>
      </c>
      <c r="K73" s="38">
        <f>IF(tblBoard[[#This Row],[Date]]="","",IF(OR(tblBoard[[#This Row],[Takt (s)]]="",tblBoard[[#This Row],[Available (min)]]=""),"",INT(tblBoard[[#This Row],[Available (min)]]*60/tblBoard[[#This Row],[Takt (s)]])))</f>
        <v>90</v>
      </c>
      <c r="L73" s="38">
        <f>IF(tblBoard[[#This Row],[Date]]="","",IF(tblBoard[[#This Row],[Target (units)]]="","",tblBoard[[#This Row],[Actual (units)]]-tblBoard[[#This Row],[Target (units)]]))</f>
        <v>0</v>
      </c>
      <c r="M73" s="38">
        <f>IF(tblBoard[[#This Row],[Date]]="","",IF(tblBoard[[#This Row],[Target (units)]]="","",MAX(0,tblBoard[[#This Row],[Target (units)]]-tblBoard[[#This Row],[Actual (units)]])))</f>
        <v>0</v>
      </c>
      <c r="N73" s="39">
        <f>IF(tblBoard[[#This Row],[Date]]="","",IF(N(tblBoard[[#This Row],[Target (units)]])&gt;0,tblBoard[[#This Row],[Actual (units)]]/tblBoard[[#This Row],[Target (units)]],""))</f>
        <v>1</v>
      </c>
      <c r="O73" s="38">
        <f>IF(tblBoard[[#This Row],[Date]]="","",IF(N(tblBoard[[#This Row],[Target (units)]])&gt;0,IF(tblBoard[[#This Row],[Actual (units)]]&gt;=tblBoard[[#This Row],[Target (units)]]*TargetHour,1,0),""))</f>
        <v>1</v>
      </c>
      <c r="P73" s="40" t="str">
        <f>IF(NOT(ISNUMBER(tblBoard[[#This Row],[Attainment]])),"",IF(tblBoard[[#This Row],[Attainment]]&gt;=TargetHour,"On target",IF(tblBoard[[#This Row],[Attainment]]&gt;=TargetHour*(1-0.05),"Near target","Below target")))</f>
        <v>On target</v>
      </c>
      <c r="Q73" s="38">
        <f>IF(tblBoard[[#This Row],[Date]]="","",IF(tblBoard[[#This Row],[Hour]]="","",SUMIFS(tblBoard[Target (units)],tblBoard[Date],tblBoard[[#This Row],[Date]],tblBoard[Shift],tblBoard[[#This Row],[Shift]],tblBoard[Line],tblBoard[[#This Row],[Line]],tblBoard[Hour],"&lt;="&amp;tblBoard[[#This Row],[Hour]])))</f>
        <v>345</v>
      </c>
      <c r="R73" s="38">
        <f>IF(tblBoard[[#This Row],[Date]]="","",IF(tblBoard[[#This Row],[Hour]]="","",SUMIFS(tblBoard[Actual (units)],tblBoard[Date],tblBoard[[#This Row],[Date]],tblBoard[Shift],tblBoard[[#This Row],[Shift]],tblBoard[Line],tblBoard[[#This Row],[Line]],tblBoard[Hour],"&lt;="&amp;tblBoard[[#This Row],[Hour]])))</f>
        <v>332</v>
      </c>
      <c r="S73" s="38">
        <f>IF(tblBoard[[#This Row],[Date]]="","",IF(tblBoard[[#This Row],[Cum. target]]="","",tblBoard[[#This Row],[Cum. actual]]-tblBoard[[#This Row],[Cum. target]]))</f>
        <v>-13</v>
      </c>
      <c r="T73" s="41">
        <f>IF(tblBoard[[#This Row],[Date]]="","",IF(AND(tblBoard[[#This Row],[Date]]&gt;=FFrom,tblBoard[[#This Row],[Date]]&lt;=FTo,OR(DashLine="",tblBoard[[#This Row],[Line]]=DashLine)),tblBoard[[#This Row],[Date]],""))</f>
        <v>46302</v>
      </c>
      <c r="U7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3" s="43" t="s">
        <v>97</v>
      </c>
    </row>
    <row r="74" spans="2:22" x14ac:dyDescent="0.25">
      <c r="B74" s="36">
        <v>46302</v>
      </c>
      <c r="C74" s="28" t="s">
        <v>91</v>
      </c>
      <c r="D74" s="28" t="s">
        <v>85</v>
      </c>
      <c r="E74" s="33">
        <v>5</v>
      </c>
      <c r="F74" s="28" t="s">
        <v>103</v>
      </c>
      <c r="G74" s="33">
        <v>30</v>
      </c>
      <c r="H74" s="33">
        <v>45</v>
      </c>
      <c r="I74" s="28"/>
      <c r="J74" s="37">
        <f>IF(tblBoard[[#This Row],[Date]]="","",IFERROR(INDEX(tblProducts[Takt time (s)],MATCH(tblBoard[[#This Row],[Product]],tblProducts[Product],0)),""))</f>
        <v>40</v>
      </c>
      <c r="K74" s="38">
        <f>IF(tblBoard[[#This Row],[Date]]="","",IF(OR(tblBoard[[#This Row],[Takt (s)]]="",tblBoard[[#This Row],[Available (min)]]=""),"",INT(tblBoard[[#This Row],[Available (min)]]*60/tblBoard[[#This Row],[Takt (s)]])))</f>
        <v>45</v>
      </c>
      <c r="L74" s="38">
        <f>IF(tblBoard[[#This Row],[Date]]="","",IF(tblBoard[[#This Row],[Target (units)]]="","",tblBoard[[#This Row],[Actual (units)]]-tblBoard[[#This Row],[Target (units)]]))</f>
        <v>0</v>
      </c>
      <c r="M74" s="38">
        <f>IF(tblBoard[[#This Row],[Date]]="","",IF(tblBoard[[#This Row],[Target (units)]]="","",MAX(0,tblBoard[[#This Row],[Target (units)]]-tblBoard[[#This Row],[Actual (units)]])))</f>
        <v>0</v>
      </c>
      <c r="N74" s="39">
        <f>IF(tblBoard[[#This Row],[Date]]="","",IF(N(tblBoard[[#This Row],[Target (units)]])&gt;0,tblBoard[[#This Row],[Actual (units)]]/tblBoard[[#This Row],[Target (units)]],""))</f>
        <v>1</v>
      </c>
      <c r="O74" s="38">
        <f>IF(tblBoard[[#This Row],[Date]]="","",IF(N(tblBoard[[#This Row],[Target (units)]])&gt;0,IF(tblBoard[[#This Row],[Actual (units)]]&gt;=tblBoard[[#This Row],[Target (units)]]*TargetHour,1,0),""))</f>
        <v>1</v>
      </c>
      <c r="P74" s="40" t="str">
        <f>IF(NOT(ISNUMBER(tblBoard[[#This Row],[Attainment]])),"",IF(tblBoard[[#This Row],[Attainment]]&gt;=TargetHour,"On target",IF(tblBoard[[#This Row],[Attainment]]&gt;=TargetHour*(1-0.05),"Near target","Below target")))</f>
        <v>On target</v>
      </c>
      <c r="Q74" s="38">
        <f>IF(tblBoard[[#This Row],[Date]]="","",IF(tblBoard[[#This Row],[Hour]]="","",SUMIFS(tblBoard[Target (units)],tblBoard[Date],tblBoard[[#This Row],[Date]],tblBoard[Shift],tblBoard[[#This Row],[Shift]],tblBoard[Line],tblBoard[[#This Row],[Line]],tblBoard[Hour],"&lt;="&amp;tblBoard[[#This Row],[Hour]])))</f>
        <v>390</v>
      </c>
      <c r="R74" s="38">
        <f>IF(tblBoard[[#This Row],[Date]]="","",IF(tblBoard[[#This Row],[Hour]]="","",SUMIFS(tblBoard[Actual (units)],tblBoard[Date],tblBoard[[#This Row],[Date]],tblBoard[Shift],tblBoard[[#This Row],[Shift]],tblBoard[Line],tblBoard[[#This Row],[Line]],tblBoard[Hour],"&lt;="&amp;tblBoard[[#This Row],[Hour]])))</f>
        <v>377</v>
      </c>
      <c r="S74" s="38">
        <f>IF(tblBoard[[#This Row],[Date]]="","",IF(tblBoard[[#This Row],[Cum. target]]="","",tblBoard[[#This Row],[Cum. actual]]-tblBoard[[#This Row],[Cum. target]]))</f>
        <v>-13</v>
      </c>
      <c r="T74" s="41">
        <f>IF(tblBoard[[#This Row],[Date]]="","",IF(AND(tblBoard[[#This Row],[Date]]&gt;=FFrom,tblBoard[[#This Row],[Date]]&lt;=FTo,OR(DashLine="",tblBoard[[#This Row],[Line]]=DashLine)),tblBoard[[#This Row],[Date]],""))</f>
        <v>46302</v>
      </c>
      <c r="U7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4" s="43" t="s">
        <v>97</v>
      </c>
    </row>
    <row r="75" spans="2:22" x14ac:dyDescent="0.25">
      <c r="B75" s="36">
        <v>46302</v>
      </c>
      <c r="C75" s="28" t="s">
        <v>91</v>
      </c>
      <c r="D75" s="28" t="s">
        <v>85</v>
      </c>
      <c r="E75" s="33">
        <v>6</v>
      </c>
      <c r="F75" s="28" t="s">
        <v>103</v>
      </c>
      <c r="G75" s="33">
        <v>60</v>
      </c>
      <c r="H75" s="33">
        <v>86</v>
      </c>
      <c r="I75" s="28" t="s">
        <v>114</v>
      </c>
      <c r="J75" s="37">
        <f>IF(tblBoard[[#This Row],[Date]]="","",IFERROR(INDEX(tblProducts[Takt time (s)],MATCH(tblBoard[[#This Row],[Product]],tblProducts[Product],0)),""))</f>
        <v>40</v>
      </c>
      <c r="K75" s="38">
        <f>IF(tblBoard[[#This Row],[Date]]="","",IF(OR(tblBoard[[#This Row],[Takt (s)]]="",tblBoard[[#This Row],[Available (min)]]=""),"",INT(tblBoard[[#This Row],[Available (min)]]*60/tblBoard[[#This Row],[Takt (s)]])))</f>
        <v>90</v>
      </c>
      <c r="L75" s="38">
        <f>IF(tblBoard[[#This Row],[Date]]="","",IF(tblBoard[[#This Row],[Target (units)]]="","",tblBoard[[#This Row],[Actual (units)]]-tblBoard[[#This Row],[Target (units)]]))</f>
        <v>-4</v>
      </c>
      <c r="M75" s="38">
        <f>IF(tblBoard[[#This Row],[Date]]="","",IF(tblBoard[[#This Row],[Target (units)]]="","",MAX(0,tblBoard[[#This Row],[Target (units)]]-tblBoard[[#This Row],[Actual (units)]])))</f>
        <v>4</v>
      </c>
      <c r="N75" s="39">
        <f>IF(tblBoard[[#This Row],[Date]]="","",IF(N(tblBoard[[#This Row],[Target (units)]])&gt;0,tblBoard[[#This Row],[Actual (units)]]/tblBoard[[#This Row],[Target (units)]],""))</f>
        <v>0.955555555555556</v>
      </c>
      <c r="O75" s="38">
        <f>IF(tblBoard[[#This Row],[Date]]="","",IF(N(tblBoard[[#This Row],[Target (units)]])&gt;0,IF(tblBoard[[#This Row],[Actual (units)]]&gt;=tblBoard[[#This Row],[Target (units)]]*TargetHour,1,0),""))</f>
        <v>0</v>
      </c>
      <c r="P75" s="40" t="str">
        <f>IF(NOT(ISNUMBER(tblBoard[[#This Row],[Attainment]])),"",IF(tblBoard[[#This Row],[Attainment]]&gt;=TargetHour,"On target",IF(tblBoard[[#This Row],[Attainment]]&gt;=TargetHour*(1-0.05),"Near target","Below target")))</f>
        <v>Near target</v>
      </c>
      <c r="Q75" s="38">
        <f>IF(tblBoard[[#This Row],[Date]]="","",IF(tblBoard[[#This Row],[Hour]]="","",SUMIFS(tblBoard[Target (units)],tblBoard[Date],tblBoard[[#This Row],[Date]],tblBoard[Shift],tblBoard[[#This Row],[Shift]],tblBoard[Line],tblBoard[[#This Row],[Line]],tblBoard[Hour],"&lt;="&amp;tblBoard[[#This Row],[Hour]])))</f>
        <v>480</v>
      </c>
      <c r="R75" s="38">
        <f>IF(tblBoard[[#This Row],[Date]]="","",IF(tblBoard[[#This Row],[Hour]]="","",SUMIFS(tblBoard[Actual (units)],tblBoard[Date],tblBoard[[#This Row],[Date]],tblBoard[Shift],tblBoard[[#This Row],[Shift]],tblBoard[Line],tblBoard[[#This Row],[Line]],tblBoard[Hour],"&lt;="&amp;tblBoard[[#This Row],[Hour]])))</f>
        <v>463</v>
      </c>
      <c r="S75" s="38">
        <f>IF(tblBoard[[#This Row],[Date]]="","",IF(tblBoard[[#This Row],[Cum. target]]="","",tblBoard[[#This Row],[Cum. actual]]-tblBoard[[#This Row],[Cum. target]]))</f>
        <v>-17</v>
      </c>
      <c r="T75" s="41">
        <f>IF(tblBoard[[#This Row],[Date]]="","",IF(AND(tblBoard[[#This Row],[Date]]&gt;=FFrom,tblBoard[[#This Row],[Date]]&lt;=FTo,OR(DashLine="",tblBoard[[#This Row],[Line]]=DashLine)),tblBoard[[#This Row],[Date]],""))</f>
        <v>46302</v>
      </c>
      <c r="U7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5" s="43" t="s">
        <v>97</v>
      </c>
    </row>
    <row r="76" spans="2:22" x14ac:dyDescent="0.25">
      <c r="B76" s="36">
        <v>46302</v>
      </c>
      <c r="C76" s="28" t="s">
        <v>91</v>
      </c>
      <c r="D76" s="28" t="s">
        <v>85</v>
      </c>
      <c r="E76" s="33">
        <v>7</v>
      </c>
      <c r="F76" s="28" t="s">
        <v>103</v>
      </c>
      <c r="G76" s="33">
        <v>50</v>
      </c>
      <c r="H76" s="33">
        <v>76</v>
      </c>
      <c r="I76" s="28"/>
      <c r="J76" s="37">
        <f>IF(tblBoard[[#This Row],[Date]]="","",IFERROR(INDEX(tblProducts[Takt time (s)],MATCH(tblBoard[[#This Row],[Product]],tblProducts[Product],0)),""))</f>
        <v>40</v>
      </c>
      <c r="K76" s="38">
        <f>IF(tblBoard[[#This Row],[Date]]="","",IF(OR(tblBoard[[#This Row],[Takt (s)]]="",tblBoard[[#This Row],[Available (min)]]=""),"",INT(tblBoard[[#This Row],[Available (min)]]*60/tblBoard[[#This Row],[Takt (s)]])))</f>
        <v>75</v>
      </c>
      <c r="L76" s="38">
        <f>IF(tblBoard[[#This Row],[Date]]="","",IF(tblBoard[[#This Row],[Target (units)]]="","",tblBoard[[#This Row],[Actual (units)]]-tblBoard[[#This Row],[Target (units)]]))</f>
        <v>1</v>
      </c>
      <c r="M76" s="38">
        <f>IF(tblBoard[[#This Row],[Date]]="","",IF(tblBoard[[#This Row],[Target (units)]]="","",MAX(0,tblBoard[[#This Row],[Target (units)]]-tblBoard[[#This Row],[Actual (units)]])))</f>
        <v>0</v>
      </c>
      <c r="N76" s="39">
        <f>IF(tblBoard[[#This Row],[Date]]="","",IF(N(tblBoard[[#This Row],[Target (units)]])&gt;0,tblBoard[[#This Row],[Actual (units)]]/tblBoard[[#This Row],[Target (units)]],""))</f>
        <v>1.01333333333333</v>
      </c>
      <c r="O76" s="38">
        <f>IF(tblBoard[[#This Row],[Date]]="","",IF(N(tblBoard[[#This Row],[Target (units)]])&gt;0,IF(tblBoard[[#This Row],[Actual (units)]]&gt;=tblBoard[[#This Row],[Target (units)]]*TargetHour,1,0),""))</f>
        <v>1</v>
      </c>
      <c r="P76" s="40" t="str">
        <f>IF(NOT(ISNUMBER(tblBoard[[#This Row],[Attainment]])),"",IF(tblBoard[[#This Row],[Attainment]]&gt;=TargetHour,"On target",IF(tblBoard[[#This Row],[Attainment]]&gt;=TargetHour*(1-0.05),"Near target","Below target")))</f>
        <v>On target</v>
      </c>
      <c r="Q76" s="38">
        <f>IF(tblBoard[[#This Row],[Date]]="","",IF(tblBoard[[#This Row],[Hour]]="","",SUMIFS(tblBoard[Target (units)],tblBoard[Date],tblBoard[[#This Row],[Date]],tblBoard[Shift],tblBoard[[#This Row],[Shift]],tblBoard[Line],tblBoard[[#This Row],[Line]],tblBoard[Hour],"&lt;="&amp;tblBoard[[#This Row],[Hour]])))</f>
        <v>555</v>
      </c>
      <c r="R76" s="38">
        <f>IF(tblBoard[[#This Row],[Date]]="","",IF(tblBoard[[#This Row],[Hour]]="","",SUMIFS(tblBoard[Actual (units)],tblBoard[Date],tblBoard[[#This Row],[Date]],tblBoard[Shift],tblBoard[[#This Row],[Shift]],tblBoard[Line],tblBoard[[#This Row],[Line]],tblBoard[Hour],"&lt;="&amp;tblBoard[[#This Row],[Hour]])))</f>
        <v>539</v>
      </c>
      <c r="S76" s="38">
        <f>IF(tblBoard[[#This Row],[Date]]="","",IF(tblBoard[[#This Row],[Cum. target]]="","",tblBoard[[#This Row],[Cum. actual]]-tblBoard[[#This Row],[Cum. target]]))</f>
        <v>-16</v>
      </c>
      <c r="T76" s="41">
        <f>IF(tblBoard[[#This Row],[Date]]="","",IF(AND(tblBoard[[#This Row],[Date]]&gt;=FFrom,tblBoard[[#This Row],[Date]]&lt;=FTo,OR(DashLine="",tblBoard[[#This Row],[Line]]=DashLine)),tblBoard[[#This Row],[Date]],""))</f>
        <v>46302</v>
      </c>
      <c r="U7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6" s="43" t="s">
        <v>97</v>
      </c>
    </row>
    <row r="77" spans="2:22" x14ac:dyDescent="0.25">
      <c r="B77" s="36">
        <v>46302</v>
      </c>
      <c r="C77" s="28" t="s">
        <v>91</v>
      </c>
      <c r="D77" s="28" t="s">
        <v>85</v>
      </c>
      <c r="E77" s="33">
        <v>8</v>
      </c>
      <c r="F77" s="28" t="s">
        <v>103</v>
      </c>
      <c r="G77" s="33">
        <v>50</v>
      </c>
      <c r="H77" s="33">
        <v>79</v>
      </c>
      <c r="I77" s="28"/>
      <c r="J77" s="37">
        <f>IF(tblBoard[[#This Row],[Date]]="","",IFERROR(INDEX(tblProducts[Takt time (s)],MATCH(tblBoard[[#This Row],[Product]],tblProducts[Product],0)),""))</f>
        <v>40</v>
      </c>
      <c r="K77" s="38">
        <f>IF(tblBoard[[#This Row],[Date]]="","",IF(OR(tblBoard[[#This Row],[Takt (s)]]="",tblBoard[[#This Row],[Available (min)]]=""),"",INT(tblBoard[[#This Row],[Available (min)]]*60/tblBoard[[#This Row],[Takt (s)]])))</f>
        <v>75</v>
      </c>
      <c r="L77" s="38">
        <f>IF(tblBoard[[#This Row],[Date]]="","",IF(tblBoard[[#This Row],[Target (units)]]="","",tblBoard[[#This Row],[Actual (units)]]-tblBoard[[#This Row],[Target (units)]]))</f>
        <v>4</v>
      </c>
      <c r="M77" s="38">
        <f>IF(tblBoard[[#This Row],[Date]]="","",IF(tblBoard[[#This Row],[Target (units)]]="","",MAX(0,tblBoard[[#This Row],[Target (units)]]-tblBoard[[#This Row],[Actual (units)]])))</f>
        <v>0</v>
      </c>
      <c r="N77" s="39">
        <f>IF(tblBoard[[#This Row],[Date]]="","",IF(N(tblBoard[[#This Row],[Target (units)]])&gt;0,tblBoard[[#This Row],[Actual (units)]]/tblBoard[[#This Row],[Target (units)]],""))</f>
        <v>1.05333333333333</v>
      </c>
      <c r="O77" s="38">
        <f>IF(tblBoard[[#This Row],[Date]]="","",IF(N(tblBoard[[#This Row],[Target (units)]])&gt;0,IF(tblBoard[[#This Row],[Actual (units)]]&gt;=tblBoard[[#This Row],[Target (units)]]*TargetHour,1,0),""))</f>
        <v>1</v>
      </c>
      <c r="P77" s="40" t="str">
        <f>IF(NOT(ISNUMBER(tblBoard[[#This Row],[Attainment]])),"",IF(tblBoard[[#This Row],[Attainment]]&gt;=TargetHour,"On target",IF(tblBoard[[#This Row],[Attainment]]&gt;=TargetHour*(1-0.05),"Near target","Below target")))</f>
        <v>On target</v>
      </c>
      <c r="Q77" s="38">
        <f>IF(tblBoard[[#This Row],[Date]]="","",IF(tblBoard[[#This Row],[Hour]]="","",SUMIFS(tblBoard[Target (units)],tblBoard[Date],tblBoard[[#This Row],[Date]],tblBoard[Shift],tblBoard[[#This Row],[Shift]],tblBoard[Line],tblBoard[[#This Row],[Line]],tblBoard[Hour],"&lt;="&amp;tblBoard[[#This Row],[Hour]])))</f>
        <v>630</v>
      </c>
      <c r="R77" s="38">
        <f>IF(tblBoard[[#This Row],[Date]]="","",IF(tblBoard[[#This Row],[Hour]]="","",SUMIFS(tblBoard[Actual (units)],tblBoard[Date],tblBoard[[#This Row],[Date]],tblBoard[Shift],tblBoard[[#This Row],[Shift]],tblBoard[Line],tblBoard[[#This Row],[Line]],tblBoard[Hour],"&lt;="&amp;tblBoard[[#This Row],[Hour]])))</f>
        <v>618</v>
      </c>
      <c r="S77" s="38">
        <f>IF(tblBoard[[#This Row],[Date]]="","",IF(tblBoard[[#This Row],[Cum. target]]="","",tblBoard[[#This Row],[Cum. actual]]-tblBoard[[#This Row],[Cum. target]]))</f>
        <v>-12</v>
      </c>
      <c r="T77" s="41">
        <f>IF(tblBoard[[#This Row],[Date]]="","",IF(AND(tblBoard[[#This Row],[Date]]&gt;=FFrom,tblBoard[[#This Row],[Date]]&lt;=FTo,OR(DashLine="",tblBoard[[#This Row],[Line]]=DashLine)),tblBoard[[#This Row],[Date]],""))</f>
        <v>46302</v>
      </c>
      <c r="U7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7" s="43" t="s">
        <v>97</v>
      </c>
    </row>
    <row r="78" spans="2:22" x14ac:dyDescent="0.25">
      <c r="B78" s="36">
        <v>46302</v>
      </c>
      <c r="C78" s="28" t="s">
        <v>91</v>
      </c>
      <c r="D78" s="28" t="s">
        <v>88</v>
      </c>
      <c r="E78" s="33">
        <v>1</v>
      </c>
      <c r="F78" s="28" t="s">
        <v>105</v>
      </c>
      <c r="G78" s="33">
        <v>60</v>
      </c>
      <c r="H78" s="33">
        <v>68</v>
      </c>
      <c r="I78" s="28" t="s">
        <v>110</v>
      </c>
      <c r="J78" s="37">
        <f>IF(tblBoard[[#This Row],[Date]]="","",IFERROR(INDEX(tblProducts[Takt time (s)],MATCH(tblBoard[[#This Row],[Product]],tblProducts[Product],0)),""))</f>
        <v>48</v>
      </c>
      <c r="K78" s="38">
        <f>IF(tblBoard[[#This Row],[Date]]="","",IF(OR(tblBoard[[#This Row],[Takt (s)]]="",tblBoard[[#This Row],[Available (min)]]=""),"",INT(tblBoard[[#This Row],[Available (min)]]*60/tblBoard[[#This Row],[Takt (s)]])))</f>
        <v>75</v>
      </c>
      <c r="L78" s="38">
        <f>IF(tblBoard[[#This Row],[Date]]="","",IF(tblBoard[[#This Row],[Target (units)]]="","",tblBoard[[#This Row],[Actual (units)]]-tblBoard[[#This Row],[Target (units)]]))</f>
        <v>-7</v>
      </c>
      <c r="M78" s="38">
        <f>IF(tblBoard[[#This Row],[Date]]="","",IF(tblBoard[[#This Row],[Target (units)]]="","",MAX(0,tblBoard[[#This Row],[Target (units)]]-tblBoard[[#This Row],[Actual (units)]])))</f>
        <v>7</v>
      </c>
      <c r="N78" s="39">
        <f>IF(tblBoard[[#This Row],[Date]]="","",IF(N(tblBoard[[#This Row],[Target (units)]])&gt;0,tblBoard[[#This Row],[Actual (units)]]/tblBoard[[#This Row],[Target (units)]],""))</f>
        <v>0.906666666666667</v>
      </c>
      <c r="O78" s="38">
        <f>IF(tblBoard[[#This Row],[Date]]="","",IF(N(tblBoard[[#This Row],[Target (units)]])&gt;0,IF(tblBoard[[#This Row],[Actual (units)]]&gt;=tblBoard[[#This Row],[Target (units)]]*TargetHour,1,0),""))</f>
        <v>0</v>
      </c>
      <c r="P78" s="40" t="str">
        <f>IF(NOT(ISNUMBER(tblBoard[[#This Row],[Attainment]])),"",IF(tblBoard[[#This Row],[Attainment]]&gt;=TargetHour,"On target",IF(tblBoard[[#This Row],[Attainment]]&gt;=TargetHour*(1-0.05),"Near target","Below target")))</f>
        <v>Below target</v>
      </c>
      <c r="Q78" s="38">
        <f>IF(tblBoard[[#This Row],[Date]]="","",IF(tblBoard[[#This Row],[Hour]]="","",SUMIFS(tblBoard[Target (units)],tblBoard[Date],tblBoard[[#This Row],[Date]],tblBoard[Shift],tblBoard[[#This Row],[Shift]],tblBoard[Line],tblBoard[[#This Row],[Line]],tblBoard[Hour],"&lt;="&amp;tblBoard[[#This Row],[Hour]])))</f>
        <v>75</v>
      </c>
      <c r="R78" s="38">
        <f>IF(tblBoard[[#This Row],[Date]]="","",IF(tblBoard[[#This Row],[Hour]]="","",SUMIFS(tblBoard[Actual (units)],tblBoard[Date],tblBoard[[#This Row],[Date]],tblBoard[Shift],tblBoard[[#This Row],[Shift]],tblBoard[Line],tblBoard[[#This Row],[Line]],tblBoard[Hour],"&lt;="&amp;tblBoard[[#This Row],[Hour]])))</f>
        <v>68</v>
      </c>
      <c r="S78" s="38">
        <f>IF(tblBoard[[#This Row],[Date]]="","",IF(tblBoard[[#This Row],[Cum. target]]="","",tblBoard[[#This Row],[Cum. actual]]-tblBoard[[#This Row],[Cum. target]]))</f>
        <v>-7</v>
      </c>
      <c r="T78" s="41">
        <f>IF(tblBoard[[#This Row],[Date]]="","",IF(AND(tblBoard[[#This Row],[Date]]&gt;=FFrom,tblBoard[[#This Row],[Date]]&lt;=FTo,OR(DashLine="",tblBoard[[#This Row],[Line]]=DashLine)),tblBoard[[#This Row],[Date]],""))</f>
        <v>46302</v>
      </c>
      <c r="U7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8" s="43" t="s">
        <v>97</v>
      </c>
    </row>
    <row r="79" spans="2:22" x14ac:dyDescent="0.25">
      <c r="B79" s="36">
        <v>46302</v>
      </c>
      <c r="C79" s="28" t="s">
        <v>91</v>
      </c>
      <c r="D79" s="28" t="s">
        <v>88</v>
      </c>
      <c r="E79" s="33">
        <v>2</v>
      </c>
      <c r="F79" s="28" t="s">
        <v>105</v>
      </c>
      <c r="G79" s="33">
        <v>60</v>
      </c>
      <c r="H79" s="33">
        <v>73</v>
      </c>
      <c r="I79" s="28" t="s">
        <v>114</v>
      </c>
      <c r="J79" s="37">
        <f>IF(tblBoard[[#This Row],[Date]]="","",IFERROR(INDEX(tblProducts[Takt time (s)],MATCH(tblBoard[[#This Row],[Product]],tblProducts[Product],0)),""))</f>
        <v>48</v>
      </c>
      <c r="K79" s="38">
        <f>IF(tblBoard[[#This Row],[Date]]="","",IF(OR(tblBoard[[#This Row],[Takt (s)]]="",tblBoard[[#This Row],[Available (min)]]=""),"",INT(tblBoard[[#This Row],[Available (min)]]*60/tblBoard[[#This Row],[Takt (s)]])))</f>
        <v>75</v>
      </c>
      <c r="L79" s="38">
        <f>IF(tblBoard[[#This Row],[Date]]="","",IF(tblBoard[[#This Row],[Target (units)]]="","",tblBoard[[#This Row],[Actual (units)]]-tblBoard[[#This Row],[Target (units)]]))</f>
        <v>-2</v>
      </c>
      <c r="M79" s="38">
        <f>IF(tblBoard[[#This Row],[Date]]="","",IF(tblBoard[[#This Row],[Target (units)]]="","",MAX(0,tblBoard[[#This Row],[Target (units)]]-tblBoard[[#This Row],[Actual (units)]])))</f>
        <v>2</v>
      </c>
      <c r="N79" s="39">
        <f>IF(tblBoard[[#This Row],[Date]]="","",IF(N(tblBoard[[#This Row],[Target (units)]])&gt;0,tblBoard[[#This Row],[Actual (units)]]/tblBoard[[#This Row],[Target (units)]],""))</f>
        <v>0.973333333333333</v>
      </c>
      <c r="O79" s="38">
        <f>IF(tblBoard[[#This Row],[Date]]="","",IF(N(tblBoard[[#This Row],[Target (units)]])&gt;0,IF(tblBoard[[#This Row],[Actual (units)]]&gt;=tblBoard[[#This Row],[Target (units)]]*TargetHour,1,0),""))</f>
        <v>0</v>
      </c>
      <c r="P79" s="40" t="str">
        <f>IF(NOT(ISNUMBER(tblBoard[[#This Row],[Attainment]])),"",IF(tblBoard[[#This Row],[Attainment]]&gt;=TargetHour,"On target",IF(tblBoard[[#This Row],[Attainment]]&gt;=TargetHour*(1-0.05),"Near target","Below target")))</f>
        <v>Near target</v>
      </c>
      <c r="Q79" s="38">
        <f>IF(tblBoard[[#This Row],[Date]]="","",IF(tblBoard[[#This Row],[Hour]]="","",SUMIFS(tblBoard[Target (units)],tblBoard[Date],tblBoard[[#This Row],[Date]],tblBoard[Shift],tblBoard[[#This Row],[Shift]],tblBoard[Line],tblBoard[[#This Row],[Line]],tblBoard[Hour],"&lt;="&amp;tblBoard[[#This Row],[Hour]])))</f>
        <v>150</v>
      </c>
      <c r="R79" s="38">
        <f>IF(tblBoard[[#This Row],[Date]]="","",IF(tblBoard[[#This Row],[Hour]]="","",SUMIFS(tblBoard[Actual (units)],tblBoard[Date],tblBoard[[#This Row],[Date]],tblBoard[Shift],tblBoard[[#This Row],[Shift]],tblBoard[Line],tblBoard[[#This Row],[Line]],tblBoard[Hour],"&lt;="&amp;tblBoard[[#This Row],[Hour]])))</f>
        <v>141</v>
      </c>
      <c r="S79" s="38">
        <f>IF(tblBoard[[#This Row],[Date]]="","",IF(tblBoard[[#This Row],[Cum. target]]="","",tblBoard[[#This Row],[Cum. actual]]-tblBoard[[#This Row],[Cum. target]]))</f>
        <v>-9</v>
      </c>
      <c r="T79" s="41">
        <f>IF(tblBoard[[#This Row],[Date]]="","",IF(AND(tblBoard[[#This Row],[Date]]&gt;=FFrom,tblBoard[[#This Row],[Date]]&lt;=FTo,OR(DashLine="",tblBoard[[#This Row],[Line]]=DashLine)),tblBoard[[#This Row],[Date]],""))</f>
        <v>46302</v>
      </c>
      <c r="U7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79" s="43" t="s">
        <v>97</v>
      </c>
    </row>
    <row r="80" spans="2:22" x14ac:dyDescent="0.25">
      <c r="B80" s="36">
        <v>46302</v>
      </c>
      <c r="C80" s="28" t="s">
        <v>91</v>
      </c>
      <c r="D80" s="28" t="s">
        <v>88</v>
      </c>
      <c r="E80" s="33">
        <v>3</v>
      </c>
      <c r="F80" s="28" t="s">
        <v>105</v>
      </c>
      <c r="G80" s="33">
        <v>50</v>
      </c>
      <c r="H80" s="33">
        <v>61</v>
      </c>
      <c r="I80" s="28" t="s">
        <v>122</v>
      </c>
      <c r="J80" s="37">
        <f>IF(tblBoard[[#This Row],[Date]]="","",IFERROR(INDEX(tblProducts[Takt time (s)],MATCH(tblBoard[[#This Row],[Product]],tblProducts[Product],0)),""))</f>
        <v>48</v>
      </c>
      <c r="K80" s="38">
        <f>IF(tblBoard[[#This Row],[Date]]="","",IF(OR(tblBoard[[#This Row],[Takt (s)]]="",tblBoard[[#This Row],[Available (min)]]=""),"",INT(tblBoard[[#This Row],[Available (min)]]*60/tblBoard[[#This Row],[Takt (s)]])))</f>
        <v>62</v>
      </c>
      <c r="L80" s="38">
        <f>IF(tblBoard[[#This Row],[Date]]="","",IF(tblBoard[[#This Row],[Target (units)]]="","",tblBoard[[#This Row],[Actual (units)]]-tblBoard[[#This Row],[Target (units)]]))</f>
        <v>-1</v>
      </c>
      <c r="M80" s="38">
        <f>IF(tblBoard[[#This Row],[Date]]="","",IF(tblBoard[[#This Row],[Target (units)]]="","",MAX(0,tblBoard[[#This Row],[Target (units)]]-tblBoard[[#This Row],[Actual (units)]])))</f>
        <v>1</v>
      </c>
      <c r="N80" s="39">
        <f>IF(tblBoard[[#This Row],[Date]]="","",IF(N(tblBoard[[#This Row],[Target (units)]])&gt;0,tblBoard[[#This Row],[Actual (units)]]/tblBoard[[#This Row],[Target (units)]],""))</f>
        <v>0.983870967741936</v>
      </c>
      <c r="O80" s="38">
        <f>IF(tblBoard[[#This Row],[Date]]="","",IF(N(tblBoard[[#This Row],[Target (units)]])&gt;0,IF(tblBoard[[#This Row],[Actual (units)]]&gt;=tblBoard[[#This Row],[Target (units)]]*TargetHour,1,0),""))</f>
        <v>0</v>
      </c>
      <c r="P80" s="40" t="str">
        <f>IF(NOT(ISNUMBER(tblBoard[[#This Row],[Attainment]])),"",IF(tblBoard[[#This Row],[Attainment]]&gt;=TargetHour,"On target",IF(tblBoard[[#This Row],[Attainment]]&gt;=TargetHour*(1-0.05),"Near target","Below target")))</f>
        <v>Near target</v>
      </c>
      <c r="Q80" s="38">
        <f>IF(tblBoard[[#This Row],[Date]]="","",IF(tblBoard[[#This Row],[Hour]]="","",SUMIFS(tblBoard[Target (units)],tblBoard[Date],tblBoard[[#This Row],[Date]],tblBoard[Shift],tblBoard[[#This Row],[Shift]],tblBoard[Line],tblBoard[[#This Row],[Line]],tblBoard[Hour],"&lt;="&amp;tblBoard[[#This Row],[Hour]])))</f>
        <v>212</v>
      </c>
      <c r="R80" s="38">
        <f>IF(tblBoard[[#This Row],[Date]]="","",IF(tblBoard[[#This Row],[Hour]]="","",SUMIFS(tblBoard[Actual (units)],tblBoard[Date],tblBoard[[#This Row],[Date]],tblBoard[Shift],tblBoard[[#This Row],[Shift]],tblBoard[Line],tblBoard[[#This Row],[Line]],tblBoard[Hour],"&lt;="&amp;tblBoard[[#This Row],[Hour]])))</f>
        <v>202</v>
      </c>
      <c r="S80" s="38">
        <f>IF(tblBoard[[#This Row],[Date]]="","",IF(tblBoard[[#This Row],[Cum. target]]="","",tblBoard[[#This Row],[Cum. actual]]-tblBoard[[#This Row],[Cum. target]]))</f>
        <v>-10</v>
      </c>
      <c r="T80" s="41">
        <f>IF(tblBoard[[#This Row],[Date]]="","",IF(AND(tblBoard[[#This Row],[Date]]&gt;=FFrom,tblBoard[[#This Row],[Date]]&lt;=FTo,OR(DashLine="",tblBoard[[#This Row],[Line]]=DashLine)),tblBoard[[#This Row],[Date]],""))</f>
        <v>46302</v>
      </c>
      <c r="U8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0" s="43" t="s">
        <v>97</v>
      </c>
    </row>
    <row r="81" spans="2:22" x14ac:dyDescent="0.25">
      <c r="B81" s="36">
        <v>46302</v>
      </c>
      <c r="C81" s="28" t="s">
        <v>91</v>
      </c>
      <c r="D81" s="28" t="s">
        <v>88</v>
      </c>
      <c r="E81" s="33">
        <v>4</v>
      </c>
      <c r="F81" s="28" t="s">
        <v>105</v>
      </c>
      <c r="G81" s="33">
        <v>60</v>
      </c>
      <c r="H81" s="33">
        <v>79</v>
      </c>
      <c r="I81" s="28"/>
      <c r="J81" s="37">
        <f>IF(tblBoard[[#This Row],[Date]]="","",IFERROR(INDEX(tblProducts[Takt time (s)],MATCH(tblBoard[[#This Row],[Product]],tblProducts[Product],0)),""))</f>
        <v>48</v>
      </c>
      <c r="K81" s="38">
        <f>IF(tblBoard[[#This Row],[Date]]="","",IF(OR(tblBoard[[#This Row],[Takt (s)]]="",tblBoard[[#This Row],[Available (min)]]=""),"",INT(tblBoard[[#This Row],[Available (min)]]*60/tblBoard[[#This Row],[Takt (s)]])))</f>
        <v>75</v>
      </c>
      <c r="L81" s="38">
        <f>IF(tblBoard[[#This Row],[Date]]="","",IF(tblBoard[[#This Row],[Target (units)]]="","",tblBoard[[#This Row],[Actual (units)]]-tblBoard[[#This Row],[Target (units)]]))</f>
        <v>4</v>
      </c>
      <c r="M81" s="38">
        <f>IF(tblBoard[[#This Row],[Date]]="","",IF(tblBoard[[#This Row],[Target (units)]]="","",MAX(0,tblBoard[[#This Row],[Target (units)]]-tblBoard[[#This Row],[Actual (units)]])))</f>
        <v>0</v>
      </c>
      <c r="N81" s="39">
        <f>IF(tblBoard[[#This Row],[Date]]="","",IF(N(tblBoard[[#This Row],[Target (units)]])&gt;0,tblBoard[[#This Row],[Actual (units)]]/tblBoard[[#This Row],[Target (units)]],""))</f>
        <v>1.05333333333333</v>
      </c>
      <c r="O81" s="38">
        <f>IF(tblBoard[[#This Row],[Date]]="","",IF(N(tblBoard[[#This Row],[Target (units)]])&gt;0,IF(tblBoard[[#This Row],[Actual (units)]]&gt;=tblBoard[[#This Row],[Target (units)]]*TargetHour,1,0),""))</f>
        <v>1</v>
      </c>
      <c r="P81" s="40" t="str">
        <f>IF(NOT(ISNUMBER(tblBoard[[#This Row],[Attainment]])),"",IF(tblBoard[[#This Row],[Attainment]]&gt;=TargetHour,"On target",IF(tblBoard[[#This Row],[Attainment]]&gt;=TargetHour*(1-0.05),"Near target","Below target")))</f>
        <v>On target</v>
      </c>
      <c r="Q81" s="38">
        <f>IF(tblBoard[[#This Row],[Date]]="","",IF(tblBoard[[#This Row],[Hour]]="","",SUMIFS(tblBoard[Target (units)],tblBoard[Date],tblBoard[[#This Row],[Date]],tblBoard[Shift],tblBoard[[#This Row],[Shift]],tblBoard[Line],tblBoard[[#This Row],[Line]],tblBoard[Hour],"&lt;="&amp;tblBoard[[#This Row],[Hour]])))</f>
        <v>287</v>
      </c>
      <c r="R81" s="38">
        <f>IF(tblBoard[[#This Row],[Date]]="","",IF(tblBoard[[#This Row],[Hour]]="","",SUMIFS(tblBoard[Actual (units)],tblBoard[Date],tblBoard[[#This Row],[Date]],tblBoard[Shift],tblBoard[[#This Row],[Shift]],tblBoard[Line],tblBoard[[#This Row],[Line]],tblBoard[Hour],"&lt;="&amp;tblBoard[[#This Row],[Hour]])))</f>
        <v>281</v>
      </c>
      <c r="S81" s="38">
        <f>IF(tblBoard[[#This Row],[Date]]="","",IF(tblBoard[[#This Row],[Cum. target]]="","",tblBoard[[#This Row],[Cum. actual]]-tblBoard[[#This Row],[Cum. target]]))</f>
        <v>-6</v>
      </c>
      <c r="T81" s="41">
        <f>IF(tblBoard[[#This Row],[Date]]="","",IF(AND(tblBoard[[#This Row],[Date]]&gt;=FFrom,tblBoard[[#This Row],[Date]]&lt;=FTo,OR(DashLine="",tblBoard[[#This Row],[Line]]=DashLine)),tblBoard[[#This Row],[Date]],""))</f>
        <v>46302</v>
      </c>
      <c r="U8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1" s="43" t="s">
        <v>97</v>
      </c>
    </row>
    <row r="82" spans="2:22" x14ac:dyDescent="0.25">
      <c r="B82" s="36">
        <v>46302</v>
      </c>
      <c r="C82" s="28" t="s">
        <v>91</v>
      </c>
      <c r="D82" s="28" t="s">
        <v>88</v>
      </c>
      <c r="E82" s="33">
        <v>5</v>
      </c>
      <c r="F82" s="28" t="s">
        <v>105</v>
      </c>
      <c r="G82" s="33">
        <v>30</v>
      </c>
      <c r="H82" s="33">
        <v>39</v>
      </c>
      <c r="I82" s="28"/>
      <c r="J82" s="37">
        <f>IF(tblBoard[[#This Row],[Date]]="","",IFERROR(INDEX(tblProducts[Takt time (s)],MATCH(tblBoard[[#This Row],[Product]],tblProducts[Product],0)),""))</f>
        <v>48</v>
      </c>
      <c r="K82" s="38">
        <f>IF(tblBoard[[#This Row],[Date]]="","",IF(OR(tblBoard[[#This Row],[Takt (s)]]="",tblBoard[[#This Row],[Available (min)]]=""),"",INT(tblBoard[[#This Row],[Available (min)]]*60/tblBoard[[#This Row],[Takt (s)]])))</f>
        <v>37</v>
      </c>
      <c r="L82" s="38">
        <f>IF(tblBoard[[#This Row],[Date]]="","",IF(tblBoard[[#This Row],[Target (units)]]="","",tblBoard[[#This Row],[Actual (units)]]-tblBoard[[#This Row],[Target (units)]]))</f>
        <v>2</v>
      </c>
      <c r="M82" s="38">
        <f>IF(tblBoard[[#This Row],[Date]]="","",IF(tblBoard[[#This Row],[Target (units)]]="","",MAX(0,tblBoard[[#This Row],[Target (units)]]-tblBoard[[#This Row],[Actual (units)]])))</f>
        <v>0</v>
      </c>
      <c r="N82" s="39">
        <f>IF(tblBoard[[#This Row],[Date]]="","",IF(N(tblBoard[[#This Row],[Target (units)]])&gt;0,tblBoard[[#This Row],[Actual (units)]]/tblBoard[[#This Row],[Target (units)]],""))</f>
        <v>1.05405405405405</v>
      </c>
      <c r="O82" s="38">
        <f>IF(tblBoard[[#This Row],[Date]]="","",IF(N(tblBoard[[#This Row],[Target (units)]])&gt;0,IF(tblBoard[[#This Row],[Actual (units)]]&gt;=tblBoard[[#This Row],[Target (units)]]*TargetHour,1,0),""))</f>
        <v>1</v>
      </c>
      <c r="P82" s="40" t="str">
        <f>IF(NOT(ISNUMBER(tblBoard[[#This Row],[Attainment]])),"",IF(tblBoard[[#This Row],[Attainment]]&gt;=TargetHour,"On target",IF(tblBoard[[#This Row],[Attainment]]&gt;=TargetHour*(1-0.05),"Near target","Below target")))</f>
        <v>On target</v>
      </c>
      <c r="Q82" s="38">
        <f>IF(tblBoard[[#This Row],[Date]]="","",IF(tblBoard[[#This Row],[Hour]]="","",SUMIFS(tblBoard[Target (units)],tblBoard[Date],tblBoard[[#This Row],[Date]],tblBoard[Shift],tblBoard[[#This Row],[Shift]],tblBoard[Line],tblBoard[[#This Row],[Line]],tblBoard[Hour],"&lt;="&amp;tblBoard[[#This Row],[Hour]])))</f>
        <v>324</v>
      </c>
      <c r="R82" s="38">
        <f>IF(tblBoard[[#This Row],[Date]]="","",IF(tblBoard[[#This Row],[Hour]]="","",SUMIFS(tblBoard[Actual (units)],tblBoard[Date],tblBoard[[#This Row],[Date]],tblBoard[Shift],tblBoard[[#This Row],[Shift]],tblBoard[Line],tblBoard[[#This Row],[Line]],tblBoard[Hour],"&lt;="&amp;tblBoard[[#This Row],[Hour]])))</f>
        <v>320</v>
      </c>
      <c r="S82" s="38">
        <f>IF(tblBoard[[#This Row],[Date]]="","",IF(tblBoard[[#This Row],[Cum. target]]="","",tblBoard[[#This Row],[Cum. actual]]-tblBoard[[#This Row],[Cum. target]]))</f>
        <v>-4</v>
      </c>
      <c r="T82" s="41">
        <f>IF(tblBoard[[#This Row],[Date]]="","",IF(AND(tblBoard[[#This Row],[Date]]&gt;=FFrom,tblBoard[[#This Row],[Date]]&lt;=FTo,OR(DashLine="",tblBoard[[#This Row],[Line]]=DashLine)),tblBoard[[#This Row],[Date]],""))</f>
        <v>46302</v>
      </c>
      <c r="U8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2" s="43" t="s">
        <v>97</v>
      </c>
    </row>
    <row r="83" spans="2:22" x14ac:dyDescent="0.25">
      <c r="B83" s="36">
        <v>46302</v>
      </c>
      <c r="C83" s="28" t="s">
        <v>91</v>
      </c>
      <c r="D83" s="28" t="s">
        <v>88</v>
      </c>
      <c r="E83" s="33">
        <v>6</v>
      </c>
      <c r="F83" s="28" t="s">
        <v>105</v>
      </c>
      <c r="G83" s="33">
        <v>60</v>
      </c>
      <c r="H83" s="33">
        <v>73</v>
      </c>
      <c r="I83" s="28" t="s">
        <v>114</v>
      </c>
      <c r="J83" s="37">
        <f>IF(tblBoard[[#This Row],[Date]]="","",IFERROR(INDEX(tblProducts[Takt time (s)],MATCH(tblBoard[[#This Row],[Product]],tblProducts[Product],0)),""))</f>
        <v>48</v>
      </c>
      <c r="K83" s="38">
        <f>IF(tblBoard[[#This Row],[Date]]="","",IF(OR(tblBoard[[#This Row],[Takt (s)]]="",tblBoard[[#This Row],[Available (min)]]=""),"",INT(tblBoard[[#This Row],[Available (min)]]*60/tblBoard[[#This Row],[Takt (s)]])))</f>
        <v>75</v>
      </c>
      <c r="L83" s="38">
        <f>IF(tblBoard[[#This Row],[Date]]="","",IF(tblBoard[[#This Row],[Target (units)]]="","",tblBoard[[#This Row],[Actual (units)]]-tblBoard[[#This Row],[Target (units)]]))</f>
        <v>-2</v>
      </c>
      <c r="M83" s="38">
        <f>IF(tblBoard[[#This Row],[Date]]="","",IF(tblBoard[[#This Row],[Target (units)]]="","",MAX(0,tblBoard[[#This Row],[Target (units)]]-tblBoard[[#This Row],[Actual (units)]])))</f>
        <v>2</v>
      </c>
      <c r="N83" s="39">
        <f>IF(tblBoard[[#This Row],[Date]]="","",IF(N(tblBoard[[#This Row],[Target (units)]])&gt;0,tblBoard[[#This Row],[Actual (units)]]/tblBoard[[#This Row],[Target (units)]],""))</f>
        <v>0.973333333333333</v>
      </c>
      <c r="O83" s="38">
        <f>IF(tblBoard[[#This Row],[Date]]="","",IF(N(tblBoard[[#This Row],[Target (units)]])&gt;0,IF(tblBoard[[#This Row],[Actual (units)]]&gt;=tblBoard[[#This Row],[Target (units)]]*TargetHour,1,0),""))</f>
        <v>0</v>
      </c>
      <c r="P83" s="40" t="str">
        <f>IF(NOT(ISNUMBER(tblBoard[[#This Row],[Attainment]])),"",IF(tblBoard[[#This Row],[Attainment]]&gt;=TargetHour,"On target",IF(tblBoard[[#This Row],[Attainment]]&gt;=TargetHour*(1-0.05),"Near target","Below target")))</f>
        <v>Near target</v>
      </c>
      <c r="Q83" s="38">
        <f>IF(tblBoard[[#This Row],[Date]]="","",IF(tblBoard[[#This Row],[Hour]]="","",SUMIFS(tblBoard[Target (units)],tblBoard[Date],tblBoard[[#This Row],[Date]],tblBoard[Shift],tblBoard[[#This Row],[Shift]],tblBoard[Line],tblBoard[[#This Row],[Line]],tblBoard[Hour],"&lt;="&amp;tblBoard[[#This Row],[Hour]])))</f>
        <v>399</v>
      </c>
      <c r="R83" s="38">
        <f>IF(tblBoard[[#This Row],[Date]]="","",IF(tblBoard[[#This Row],[Hour]]="","",SUMIFS(tblBoard[Actual (units)],tblBoard[Date],tblBoard[[#This Row],[Date]],tblBoard[Shift],tblBoard[[#This Row],[Shift]],tblBoard[Line],tblBoard[[#This Row],[Line]],tblBoard[Hour],"&lt;="&amp;tblBoard[[#This Row],[Hour]])))</f>
        <v>393</v>
      </c>
      <c r="S83" s="38">
        <f>IF(tblBoard[[#This Row],[Date]]="","",IF(tblBoard[[#This Row],[Cum. target]]="","",tblBoard[[#This Row],[Cum. actual]]-tblBoard[[#This Row],[Cum. target]]))</f>
        <v>-6</v>
      </c>
      <c r="T83" s="41">
        <f>IF(tblBoard[[#This Row],[Date]]="","",IF(AND(tblBoard[[#This Row],[Date]]&gt;=FFrom,tblBoard[[#This Row],[Date]]&lt;=FTo,OR(DashLine="",tblBoard[[#This Row],[Line]]=DashLine)),tblBoard[[#This Row],[Date]],""))</f>
        <v>46302</v>
      </c>
      <c r="U8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3" s="43" t="s">
        <v>97</v>
      </c>
    </row>
    <row r="84" spans="2:22" x14ac:dyDescent="0.25">
      <c r="B84" s="36">
        <v>46302</v>
      </c>
      <c r="C84" s="28" t="s">
        <v>91</v>
      </c>
      <c r="D84" s="28" t="s">
        <v>88</v>
      </c>
      <c r="E84" s="33">
        <v>7</v>
      </c>
      <c r="F84" s="28" t="s">
        <v>105</v>
      </c>
      <c r="G84" s="33">
        <v>50</v>
      </c>
      <c r="H84" s="33">
        <v>25</v>
      </c>
      <c r="I84" s="28" t="s">
        <v>112</v>
      </c>
      <c r="J84" s="37">
        <f>IF(tblBoard[[#This Row],[Date]]="","",IFERROR(INDEX(tblProducts[Takt time (s)],MATCH(tblBoard[[#This Row],[Product]],tblProducts[Product],0)),""))</f>
        <v>48</v>
      </c>
      <c r="K84" s="38">
        <f>IF(tblBoard[[#This Row],[Date]]="","",IF(OR(tblBoard[[#This Row],[Takt (s)]]="",tblBoard[[#This Row],[Available (min)]]=""),"",INT(tblBoard[[#This Row],[Available (min)]]*60/tblBoard[[#This Row],[Takt (s)]])))</f>
        <v>62</v>
      </c>
      <c r="L84" s="38">
        <f>IF(tblBoard[[#This Row],[Date]]="","",IF(tblBoard[[#This Row],[Target (units)]]="","",tblBoard[[#This Row],[Actual (units)]]-tblBoard[[#This Row],[Target (units)]]))</f>
        <v>-37</v>
      </c>
      <c r="M84" s="38">
        <f>IF(tblBoard[[#This Row],[Date]]="","",IF(tblBoard[[#This Row],[Target (units)]]="","",MAX(0,tblBoard[[#This Row],[Target (units)]]-tblBoard[[#This Row],[Actual (units)]])))</f>
        <v>37</v>
      </c>
      <c r="N84" s="39">
        <f>IF(tblBoard[[#This Row],[Date]]="","",IF(N(tblBoard[[#This Row],[Target (units)]])&gt;0,tblBoard[[#This Row],[Actual (units)]]/tblBoard[[#This Row],[Target (units)]],""))</f>
        <v>0.403225806451613</v>
      </c>
      <c r="O84" s="38">
        <f>IF(tblBoard[[#This Row],[Date]]="","",IF(N(tblBoard[[#This Row],[Target (units)]])&gt;0,IF(tblBoard[[#This Row],[Actual (units)]]&gt;=tblBoard[[#This Row],[Target (units)]]*TargetHour,1,0),""))</f>
        <v>0</v>
      </c>
      <c r="P84" s="40" t="str">
        <f>IF(NOT(ISNUMBER(tblBoard[[#This Row],[Attainment]])),"",IF(tblBoard[[#This Row],[Attainment]]&gt;=TargetHour,"On target",IF(tblBoard[[#This Row],[Attainment]]&gt;=TargetHour*(1-0.05),"Near target","Below target")))</f>
        <v>Below target</v>
      </c>
      <c r="Q84" s="38">
        <f>IF(tblBoard[[#This Row],[Date]]="","",IF(tblBoard[[#This Row],[Hour]]="","",SUMIFS(tblBoard[Target (units)],tblBoard[Date],tblBoard[[#This Row],[Date]],tblBoard[Shift],tblBoard[[#This Row],[Shift]],tblBoard[Line],tblBoard[[#This Row],[Line]],tblBoard[Hour],"&lt;="&amp;tblBoard[[#This Row],[Hour]])))</f>
        <v>461</v>
      </c>
      <c r="R84" s="38">
        <f>IF(tblBoard[[#This Row],[Date]]="","",IF(tblBoard[[#This Row],[Hour]]="","",SUMIFS(tblBoard[Actual (units)],tblBoard[Date],tblBoard[[#This Row],[Date]],tblBoard[Shift],tblBoard[[#This Row],[Shift]],tblBoard[Line],tblBoard[[#This Row],[Line]],tblBoard[Hour],"&lt;="&amp;tblBoard[[#This Row],[Hour]])))</f>
        <v>418</v>
      </c>
      <c r="S84" s="38">
        <f>IF(tblBoard[[#This Row],[Date]]="","",IF(tblBoard[[#This Row],[Cum. target]]="","",tblBoard[[#This Row],[Cum. actual]]-tblBoard[[#This Row],[Cum. target]]))</f>
        <v>-43</v>
      </c>
      <c r="T84" s="41">
        <f>IF(tblBoard[[#This Row],[Date]]="","",IF(AND(tblBoard[[#This Row],[Date]]&gt;=FFrom,tblBoard[[#This Row],[Date]]&lt;=FTo,OR(DashLine="",tblBoard[[#This Row],[Line]]=DashLine)),tblBoard[[#This Row],[Date]],""))</f>
        <v>46302</v>
      </c>
      <c r="U8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4" s="43" t="s">
        <v>145</v>
      </c>
    </row>
    <row r="85" spans="2:22" x14ac:dyDescent="0.25">
      <c r="B85" s="36">
        <v>46302</v>
      </c>
      <c r="C85" s="28" t="s">
        <v>91</v>
      </c>
      <c r="D85" s="28" t="s">
        <v>88</v>
      </c>
      <c r="E85" s="33">
        <v>8</v>
      </c>
      <c r="F85" s="28" t="s">
        <v>105</v>
      </c>
      <c r="G85" s="33">
        <v>50</v>
      </c>
      <c r="H85" s="33">
        <v>64</v>
      </c>
      <c r="I85" s="28"/>
      <c r="J85" s="37">
        <f>IF(tblBoard[[#This Row],[Date]]="","",IFERROR(INDEX(tblProducts[Takt time (s)],MATCH(tblBoard[[#This Row],[Product]],tblProducts[Product],0)),""))</f>
        <v>48</v>
      </c>
      <c r="K85" s="38">
        <f>IF(tblBoard[[#This Row],[Date]]="","",IF(OR(tblBoard[[#This Row],[Takt (s)]]="",tblBoard[[#This Row],[Available (min)]]=""),"",INT(tblBoard[[#This Row],[Available (min)]]*60/tblBoard[[#This Row],[Takt (s)]])))</f>
        <v>62</v>
      </c>
      <c r="L85" s="38">
        <f>IF(tblBoard[[#This Row],[Date]]="","",IF(tblBoard[[#This Row],[Target (units)]]="","",tblBoard[[#This Row],[Actual (units)]]-tblBoard[[#This Row],[Target (units)]]))</f>
        <v>2</v>
      </c>
      <c r="M85" s="38">
        <f>IF(tblBoard[[#This Row],[Date]]="","",IF(tblBoard[[#This Row],[Target (units)]]="","",MAX(0,tblBoard[[#This Row],[Target (units)]]-tblBoard[[#This Row],[Actual (units)]])))</f>
        <v>0</v>
      </c>
      <c r="N85" s="39">
        <f>IF(tblBoard[[#This Row],[Date]]="","",IF(N(tblBoard[[#This Row],[Target (units)]])&gt;0,tblBoard[[#This Row],[Actual (units)]]/tblBoard[[#This Row],[Target (units)]],""))</f>
        <v>1.03225806451613</v>
      </c>
      <c r="O85" s="38">
        <f>IF(tblBoard[[#This Row],[Date]]="","",IF(N(tblBoard[[#This Row],[Target (units)]])&gt;0,IF(tblBoard[[#This Row],[Actual (units)]]&gt;=tblBoard[[#This Row],[Target (units)]]*TargetHour,1,0),""))</f>
        <v>1</v>
      </c>
      <c r="P85" s="40" t="str">
        <f>IF(NOT(ISNUMBER(tblBoard[[#This Row],[Attainment]])),"",IF(tblBoard[[#This Row],[Attainment]]&gt;=TargetHour,"On target",IF(tblBoard[[#This Row],[Attainment]]&gt;=TargetHour*(1-0.05),"Near target","Below target")))</f>
        <v>On target</v>
      </c>
      <c r="Q85" s="38">
        <f>IF(tblBoard[[#This Row],[Date]]="","",IF(tblBoard[[#This Row],[Hour]]="","",SUMIFS(tblBoard[Target (units)],tblBoard[Date],tblBoard[[#This Row],[Date]],tblBoard[Shift],tblBoard[[#This Row],[Shift]],tblBoard[Line],tblBoard[[#This Row],[Line]],tblBoard[Hour],"&lt;="&amp;tblBoard[[#This Row],[Hour]])))</f>
        <v>523</v>
      </c>
      <c r="R85" s="38">
        <f>IF(tblBoard[[#This Row],[Date]]="","",IF(tblBoard[[#This Row],[Hour]]="","",SUMIFS(tblBoard[Actual (units)],tblBoard[Date],tblBoard[[#This Row],[Date]],tblBoard[Shift],tblBoard[[#This Row],[Shift]],tblBoard[Line],tblBoard[[#This Row],[Line]],tblBoard[Hour],"&lt;="&amp;tblBoard[[#This Row],[Hour]])))</f>
        <v>482</v>
      </c>
      <c r="S85" s="38">
        <f>IF(tblBoard[[#This Row],[Date]]="","",IF(tblBoard[[#This Row],[Cum. target]]="","",tblBoard[[#This Row],[Cum. actual]]-tblBoard[[#This Row],[Cum. target]]))</f>
        <v>-41</v>
      </c>
      <c r="T85" s="41">
        <f>IF(tblBoard[[#This Row],[Date]]="","",IF(AND(tblBoard[[#This Row],[Date]]&gt;=FFrom,tblBoard[[#This Row],[Date]]&lt;=FTo,OR(DashLine="",tblBoard[[#This Row],[Line]]=DashLine)),tblBoard[[#This Row],[Date]],""))</f>
        <v>46302</v>
      </c>
      <c r="U8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5" s="43" t="s">
        <v>97</v>
      </c>
    </row>
    <row r="86" spans="2:22" x14ac:dyDescent="0.25">
      <c r="B86" s="36">
        <v>46302</v>
      </c>
      <c r="C86" s="28" t="s">
        <v>93</v>
      </c>
      <c r="D86" s="28" t="s">
        <v>85</v>
      </c>
      <c r="E86" s="33">
        <v>1</v>
      </c>
      <c r="F86" s="28" t="s">
        <v>103</v>
      </c>
      <c r="G86" s="33">
        <v>60</v>
      </c>
      <c r="H86" s="33">
        <v>75</v>
      </c>
      <c r="I86" s="28" t="s">
        <v>110</v>
      </c>
      <c r="J86" s="37">
        <f>IF(tblBoard[[#This Row],[Date]]="","",IFERROR(INDEX(tblProducts[Takt time (s)],MATCH(tblBoard[[#This Row],[Product]],tblProducts[Product],0)),""))</f>
        <v>40</v>
      </c>
      <c r="K86" s="38">
        <f>IF(tblBoard[[#This Row],[Date]]="","",IF(OR(tblBoard[[#This Row],[Takt (s)]]="",tblBoard[[#This Row],[Available (min)]]=""),"",INT(tblBoard[[#This Row],[Available (min)]]*60/tblBoard[[#This Row],[Takt (s)]])))</f>
        <v>90</v>
      </c>
      <c r="L86" s="38">
        <f>IF(tblBoard[[#This Row],[Date]]="","",IF(tblBoard[[#This Row],[Target (units)]]="","",tblBoard[[#This Row],[Actual (units)]]-tblBoard[[#This Row],[Target (units)]]))</f>
        <v>-15</v>
      </c>
      <c r="M86" s="38">
        <f>IF(tblBoard[[#This Row],[Date]]="","",IF(tblBoard[[#This Row],[Target (units)]]="","",MAX(0,tblBoard[[#This Row],[Target (units)]]-tblBoard[[#This Row],[Actual (units)]])))</f>
        <v>15</v>
      </c>
      <c r="N86" s="39">
        <f>IF(tblBoard[[#This Row],[Date]]="","",IF(N(tblBoard[[#This Row],[Target (units)]])&gt;0,tblBoard[[#This Row],[Actual (units)]]/tblBoard[[#This Row],[Target (units)]],""))</f>
        <v>0.833333333333333</v>
      </c>
      <c r="O86" s="38">
        <f>IF(tblBoard[[#This Row],[Date]]="","",IF(N(tblBoard[[#This Row],[Target (units)]])&gt;0,IF(tblBoard[[#This Row],[Actual (units)]]&gt;=tblBoard[[#This Row],[Target (units)]]*TargetHour,1,0),""))</f>
        <v>0</v>
      </c>
      <c r="P86" s="40" t="str">
        <f>IF(NOT(ISNUMBER(tblBoard[[#This Row],[Attainment]])),"",IF(tblBoard[[#This Row],[Attainment]]&gt;=TargetHour,"On target",IF(tblBoard[[#This Row],[Attainment]]&gt;=TargetHour*(1-0.05),"Near target","Below target")))</f>
        <v>Below target</v>
      </c>
      <c r="Q86" s="38">
        <f>IF(tblBoard[[#This Row],[Date]]="","",IF(tblBoard[[#This Row],[Hour]]="","",SUMIFS(tblBoard[Target (units)],tblBoard[Date],tblBoard[[#This Row],[Date]],tblBoard[Shift],tblBoard[[#This Row],[Shift]],tblBoard[Line],tblBoard[[#This Row],[Line]],tblBoard[Hour],"&lt;="&amp;tblBoard[[#This Row],[Hour]])))</f>
        <v>90</v>
      </c>
      <c r="R86" s="38">
        <f>IF(tblBoard[[#This Row],[Date]]="","",IF(tblBoard[[#This Row],[Hour]]="","",SUMIFS(tblBoard[Actual (units)],tblBoard[Date],tblBoard[[#This Row],[Date]],tblBoard[Shift],tblBoard[[#This Row],[Shift]],tblBoard[Line],tblBoard[[#This Row],[Line]],tblBoard[Hour],"&lt;="&amp;tblBoard[[#This Row],[Hour]])))</f>
        <v>75</v>
      </c>
      <c r="S86" s="38">
        <f>IF(tblBoard[[#This Row],[Date]]="","",IF(tblBoard[[#This Row],[Cum. target]]="","",tblBoard[[#This Row],[Cum. actual]]-tblBoard[[#This Row],[Cum. target]]))</f>
        <v>-15</v>
      </c>
      <c r="T86" s="41">
        <f>IF(tblBoard[[#This Row],[Date]]="","",IF(AND(tblBoard[[#This Row],[Date]]&gt;=FFrom,tblBoard[[#This Row],[Date]]&lt;=FTo,OR(DashLine="",tblBoard[[#This Row],[Line]]=DashLine)),tblBoard[[#This Row],[Date]],""))</f>
        <v>46302</v>
      </c>
      <c r="U8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6" s="43" t="s">
        <v>144</v>
      </c>
    </row>
    <row r="87" spans="2:22" x14ac:dyDescent="0.25">
      <c r="B87" s="36">
        <v>46302</v>
      </c>
      <c r="C87" s="28" t="s">
        <v>93</v>
      </c>
      <c r="D87" s="28" t="s">
        <v>85</v>
      </c>
      <c r="E87" s="33">
        <v>2</v>
      </c>
      <c r="F87" s="28" t="s">
        <v>103</v>
      </c>
      <c r="G87" s="33">
        <v>60</v>
      </c>
      <c r="H87" s="33">
        <v>91</v>
      </c>
      <c r="I87" s="28"/>
      <c r="J87" s="37">
        <f>IF(tblBoard[[#This Row],[Date]]="","",IFERROR(INDEX(tblProducts[Takt time (s)],MATCH(tblBoard[[#This Row],[Product]],tblProducts[Product],0)),""))</f>
        <v>40</v>
      </c>
      <c r="K87" s="38">
        <f>IF(tblBoard[[#This Row],[Date]]="","",IF(OR(tblBoard[[#This Row],[Takt (s)]]="",tblBoard[[#This Row],[Available (min)]]=""),"",INT(tblBoard[[#This Row],[Available (min)]]*60/tblBoard[[#This Row],[Takt (s)]])))</f>
        <v>90</v>
      </c>
      <c r="L87" s="38">
        <f>IF(tblBoard[[#This Row],[Date]]="","",IF(tblBoard[[#This Row],[Target (units)]]="","",tblBoard[[#This Row],[Actual (units)]]-tblBoard[[#This Row],[Target (units)]]))</f>
        <v>1</v>
      </c>
      <c r="M87" s="38">
        <f>IF(tblBoard[[#This Row],[Date]]="","",IF(tblBoard[[#This Row],[Target (units)]]="","",MAX(0,tblBoard[[#This Row],[Target (units)]]-tblBoard[[#This Row],[Actual (units)]])))</f>
        <v>0</v>
      </c>
      <c r="N87" s="39">
        <f>IF(tblBoard[[#This Row],[Date]]="","",IF(N(tblBoard[[#This Row],[Target (units)]])&gt;0,tblBoard[[#This Row],[Actual (units)]]/tblBoard[[#This Row],[Target (units)]],""))</f>
        <v>1.01111111111111</v>
      </c>
      <c r="O87" s="38">
        <f>IF(tblBoard[[#This Row],[Date]]="","",IF(N(tblBoard[[#This Row],[Target (units)]])&gt;0,IF(tblBoard[[#This Row],[Actual (units)]]&gt;=tblBoard[[#This Row],[Target (units)]]*TargetHour,1,0),""))</f>
        <v>1</v>
      </c>
      <c r="P87" s="40" t="str">
        <f>IF(NOT(ISNUMBER(tblBoard[[#This Row],[Attainment]])),"",IF(tblBoard[[#This Row],[Attainment]]&gt;=TargetHour,"On target",IF(tblBoard[[#This Row],[Attainment]]&gt;=TargetHour*(1-0.05),"Near target","Below target")))</f>
        <v>On target</v>
      </c>
      <c r="Q87" s="38">
        <f>IF(tblBoard[[#This Row],[Date]]="","",IF(tblBoard[[#This Row],[Hour]]="","",SUMIFS(tblBoard[Target (units)],tblBoard[Date],tblBoard[[#This Row],[Date]],tblBoard[Shift],tblBoard[[#This Row],[Shift]],tblBoard[Line],tblBoard[[#This Row],[Line]],tblBoard[Hour],"&lt;="&amp;tblBoard[[#This Row],[Hour]])))</f>
        <v>180</v>
      </c>
      <c r="R87" s="38">
        <f>IF(tblBoard[[#This Row],[Date]]="","",IF(tblBoard[[#This Row],[Hour]]="","",SUMIFS(tblBoard[Actual (units)],tblBoard[Date],tblBoard[[#This Row],[Date]],tblBoard[Shift],tblBoard[[#This Row],[Shift]],tblBoard[Line],tblBoard[[#This Row],[Line]],tblBoard[Hour],"&lt;="&amp;tblBoard[[#This Row],[Hour]])))</f>
        <v>166</v>
      </c>
      <c r="S87" s="38">
        <f>IF(tblBoard[[#This Row],[Date]]="","",IF(tblBoard[[#This Row],[Cum. target]]="","",tblBoard[[#This Row],[Cum. actual]]-tblBoard[[#This Row],[Cum. target]]))</f>
        <v>-14</v>
      </c>
      <c r="T87" s="41">
        <f>IF(tblBoard[[#This Row],[Date]]="","",IF(AND(tblBoard[[#This Row],[Date]]&gt;=FFrom,tblBoard[[#This Row],[Date]]&lt;=FTo,OR(DashLine="",tblBoard[[#This Row],[Line]]=DashLine)),tblBoard[[#This Row],[Date]],""))</f>
        <v>46302</v>
      </c>
      <c r="U8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7" s="43" t="s">
        <v>97</v>
      </c>
    </row>
    <row r="88" spans="2:22" x14ac:dyDescent="0.25">
      <c r="B88" s="36">
        <v>46302</v>
      </c>
      <c r="C88" s="28" t="s">
        <v>93</v>
      </c>
      <c r="D88" s="28" t="s">
        <v>85</v>
      </c>
      <c r="E88" s="33">
        <v>3</v>
      </c>
      <c r="F88" s="28" t="s">
        <v>103</v>
      </c>
      <c r="G88" s="33">
        <v>50</v>
      </c>
      <c r="H88" s="33">
        <v>71</v>
      </c>
      <c r="I88" s="28" t="s">
        <v>116</v>
      </c>
      <c r="J88" s="37">
        <f>IF(tblBoard[[#This Row],[Date]]="","",IFERROR(INDEX(tblProducts[Takt time (s)],MATCH(tblBoard[[#This Row],[Product]],tblProducts[Product],0)),""))</f>
        <v>40</v>
      </c>
      <c r="K88" s="38">
        <f>IF(tblBoard[[#This Row],[Date]]="","",IF(OR(tblBoard[[#This Row],[Takt (s)]]="",tblBoard[[#This Row],[Available (min)]]=""),"",INT(tblBoard[[#This Row],[Available (min)]]*60/tblBoard[[#This Row],[Takt (s)]])))</f>
        <v>75</v>
      </c>
      <c r="L88" s="38">
        <f>IF(tblBoard[[#This Row],[Date]]="","",IF(tblBoard[[#This Row],[Target (units)]]="","",tblBoard[[#This Row],[Actual (units)]]-tblBoard[[#This Row],[Target (units)]]))</f>
        <v>-4</v>
      </c>
      <c r="M88" s="38">
        <f>IF(tblBoard[[#This Row],[Date]]="","",IF(tblBoard[[#This Row],[Target (units)]]="","",MAX(0,tblBoard[[#This Row],[Target (units)]]-tblBoard[[#This Row],[Actual (units)]])))</f>
        <v>4</v>
      </c>
      <c r="N88" s="39">
        <f>IF(tblBoard[[#This Row],[Date]]="","",IF(N(tblBoard[[#This Row],[Target (units)]])&gt;0,tblBoard[[#This Row],[Actual (units)]]/tblBoard[[#This Row],[Target (units)]],""))</f>
        <v>0.946666666666667</v>
      </c>
      <c r="O88" s="38">
        <f>IF(tblBoard[[#This Row],[Date]]="","",IF(N(tblBoard[[#This Row],[Target (units)]])&gt;0,IF(tblBoard[[#This Row],[Actual (units)]]&gt;=tblBoard[[#This Row],[Target (units)]]*TargetHour,1,0),""))</f>
        <v>0</v>
      </c>
      <c r="P88" s="40" t="str">
        <f>IF(NOT(ISNUMBER(tblBoard[[#This Row],[Attainment]])),"",IF(tblBoard[[#This Row],[Attainment]]&gt;=TargetHour,"On target",IF(tblBoard[[#This Row],[Attainment]]&gt;=TargetHour*(1-0.05),"Near target","Below target")))</f>
        <v>Below target</v>
      </c>
      <c r="Q88" s="38">
        <f>IF(tblBoard[[#This Row],[Date]]="","",IF(tblBoard[[#This Row],[Hour]]="","",SUMIFS(tblBoard[Target (units)],tblBoard[Date],tblBoard[[#This Row],[Date]],tblBoard[Shift],tblBoard[[#This Row],[Shift]],tblBoard[Line],tblBoard[[#This Row],[Line]],tblBoard[Hour],"&lt;="&amp;tblBoard[[#This Row],[Hour]])))</f>
        <v>255</v>
      </c>
      <c r="R88" s="38">
        <f>IF(tblBoard[[#This Row],[Date]]="","",IF(tblBoard[[#This Row],[Hour]]="","",SUMIFS(tblBoard[Actual (units)],tblBoard[Date],tblBoard[[#This Row],[Date]],tblBoard[Shift],tblBoard[[#This Row],[Shift]],tblBoard[Line],tblBoard[[#This Row],[Line]],tblBoard[Hour],"&lt;="&amp;tblBoard[[#This Row],[Hour]])))</f>
        <v>237</v>
      </c>
      <c r="S88" s="38">
        <f>IF(tblBoard[[#This Row],[Date]]="","",IF(tblBoard[[#This Row],[Cum. target]]="","",tblBoard[[#This Row],[Cum. actual]]-tblBoard[[#This Row],[Cum. target]]))</f>
        <v>-18</v>
      </c>
      <c r="T88" s="41">
        <f>IF(tblBoard[[#This Row],[Date]]="","",IF(AND(tblBoard[[#This Row],[Date]]&gt;=FFrom,tblBoard[[#This Row],[Date]]&lt;=FTo,OR(DashLine="",tblBoard[[#This Row],[Line]]=DashLine)),tblBoard[[#This Row],[Date]],""))</f>
        <v>46302</v>
      </c>
      <c r="U8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8" s="43" t="s">
        <v>146</v>
      </c>
    </row>
    <row r="89" spans="2:22" x14ac:dyDescent="0.25">
      <c r="B89" s="36">
        <v>46302</v>
      </c>
      <c r="C89" s="28" t="s">
        <v>93</v>
      </c>
      <c r="D89" s="28" t="s">
        <v>85</v>
      </c>
      <c r="E89" s="33">
        <v>4</v>
      </c>
      <c r="F89" s="28" t="s">
        <v>103</v>
      </c>
      <c r="G89" s="33">
        <v>60</v>
      </c>
      <c r="H89" s="33">
        <v>87</v>
      </c>
      <c r="I89" s="28" t="s">
        <v>114</v>
      </c>
      <c r="J89" s="37">
        <f>IF(tblBoard[[#This Row],[Date]]="","",IFERROR(INDEX(tblProducts[Takt time (s)],MATCH(tblBoard[[#This Row],[Product]],tblProducts[Product],0)),""))</f>
        <v>40</v>
      </c>
      <c r="K89" s="38">
        <f>IF(tblBoard[[#This Row],[Date]]="","",IF(OR(tblBoard[[#This Row],[Takt (s)]]="",tblBoard[[#This Row],[Available (min)]]=""),"",INT(tblBoard[[#This Row],[Available (min)]]*60/tblBoard[[#This Row],[Takt (s)]])))</f>
        <v>90</v>
      </c>
      <c r="L89" s="38">
        <f>IF(tblBoard[[#This Row],[Date]]="","",IF(tblBoard[[#This Row],[Target (units)]]="","",tblBoard[[#This Row],[Actual (units)]]-tblBoard[[#This Row],[Target (units)]]))</f>
        <v>-3</v>
      </c>
      <c r="M89" s="38">
        <f>IF(tblBoard[[#This Row],[Date]]="","",IF(tblBoard[[#This Row],[Target (units)]]="","",MAX(0,tblBoard[[#This Row],[Target (units)]]-tblBoard[[#This Row],[Actual (units)]])))</f>
        <v>3</v>
      </c>
      <c r="N89" s="39">
        <f>IF(tblBoard[[#This Row],[Date]]="","",IF(N(tblBoard[[#This Row],[Target (units)]])&gt;0,tblBoard[[#This Row],[Actual (units)]]/tblBoard[[#This Row],[Target (units)]],""))</f>
        <v>0.966666666666667</v>
      </c>
      <c r="O89" s="38">
        <f>IF(tblBoard[[#This Row],[Date]]="","",IF(N(tblBoard[[#This Row],[Target (units)]])&gt;0,IF(tblBoard[[#This Row],[Actual (units)]]&gt;=tblBoard[[#This Row],[Target (units)]]*TargetHour,1,0),""))</f>
        <v>0</v>
      </c>
      <c r="P89" s="40" t="str">
        <f>IF(NOT(ISNUMBER(tblBoard[[#This Row],[Attainment]])),"",IF(tblBoard[[#This Row],[Attainment]]&gt;=TargetHour,"On target",IF(tblBoard[[#This Row],[Attainment]]&gt;=TargetHour*(1-0.05),"Near target","Below target")))</f>
        <v>Near target</v>
      </c>
      <c r="Q89" s="38">
        <f>IF(tblBoard[[#This Row],[Date]]="","",IF(tblBoard[[#This Row],[Hour]]="","",SUMIFS(tblBoard[Target (units)],tblBoard[Date],tblBoard[[#This Row],[Date]],tblBoard[Shift],tblBoard[[#This Row],[Shift]],tblBoard[Line],tblBoard[[#This Row],[Line]],tblBoard[Hour],"&lt;="&amp;tblBoard[[#This Row],[Hour]])))</f>
        <v>345</v>
      </c>
      <c r="R89" s="38">
        <f>IF(tblBoard[[#This Row],[Date]]="","",IF(tblBoard[[#This Row],[Hour]]="","",SUMIFS(tblBoard[Actual (units)],tblBoard[Date],tblBoard[[#This Row],[Date]],tblBoard[Shift],tblBoard[[#This Row],[Shift]],tblBoard[Line],tblBoard[[#This Row],[Line]],tblBoard[Hour],"&lt;="&amp;tblBoard[[#This Row],[Hour]])))</f>
        <v>324</v>
      </c>
      <c r="S89" s="38">
        <f>IF(tblBoard[[#This Row],[Date]]="","",IF(tblBoard[[#This Row],[Cum. target]]="","",tblBoard[[#This Row],[Cum. actual]]-tblBoard[[#This Row],[Cum. target]]))</f>
        <v>-21</v>
      </c>
      <c r="T89" s="41">
        <f>IF(tblBoard[[#This Row],[Date]]="","",IF(AND(tblBoard[[#This Row],[Date]]&gt;=FFrom,tblBoard[[#This Row],[Date]]&lt;=FTo,OR(DashLine="",tblBoard[[#This Row],[Line]]=DashLine)),tblBoard[[#This Row],[Date]],""))</f>
        <v>46302</v>
      </c>
      <c r="U8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89" s="43" t="s">
        <v>97</v>
      </c>
    </row>
    <row r="90" spans="2:22" x14ac:dyDescent="0.25">
      <c r="B90" s="36">
        <v>46302</v>
      </c>
      <c r="C90" s="28" t="s">
        <v>93</v>
      </c>
      <c r="D90" s="28" t="s">
        <v>85</v>
      </c>
      <c r="E90" s="33">
        <v>5</v>
      </c>
      <c r="F90" s="28" t="s">
        <v>103</v>
      </c>
      <c r="G90" s="33">
        <v>30</v>
      </c>
      <c r="H90" s="33">
        <v>43</v>
      </c>
      <c r="I90" s="28" t="s">
        <v>116</v>
      </c>
      <c r="J90" s="37">
        <f>IF(tblBoard[[#This Row],[Date]]="","",IFERROR(INDEX(tblProducts[Takt time (s)],MATCH(tblBoard[[#This Row],[Product]],tblProducts[Product],0)),""))</f>
        <v>40</v>
      </c>
      <c r="K90" s="38">
        <f>IF(tblBoard[[#This Row],[Date]]="","",IF(OR(tblBoard[[#This Row],[Takt (s)]]="",tblBoard[[#This Row],[Available (min)]]=""),"",INT(tblBoard[[#This Row],[Available (min)]]*60/tblBoard[[#This Row],[Takt (s)]])))</f>
        <v>45</v>
      </c>
      <c r="L90" s="38">
        <f>IF(tblBoard[[#This Row],[Date]]="","",IF(tblBoard[[#This Row],[Target (units)]]="","",tblBoard[[#This Row],[Actual (units)]]-tblBoard[[#This Row],[Target (units)]]))</f>
        <v>-2</v>
      </c>
      <c r="M90" s="38">
        <f>IF(tblBoard[[#This Row],[Date]]="","",IF(tblBoard[[#This Row],[Target (units)]]="","",MAX(0,tblBoard[[#This Row],[Target (units)]]-tblBoard[[#This Row],[Actual (units)]])))</f>
        <v>2</v>
      </c>
      <c r="N90" s="39">
        <f>IF(tblBoard[[#This Row],[Date]]="","",IF(N(tblBoard[[#This Row],[Target (units)]])&gt;0,tblBoard[[#This Row],[Actual (units)]]/tblBoard[[#This Row],[Target (units)]],""))</f>
        <v>0.955555555555556</v>
      </c>
      <c r="O90" s="38">
        <f>IF(tblBoard[[#This Row],[Date]]="","",IF(N(tblBoard[[#This Row],[Target (units)]])&gt;0,IF(tblBoard[[#This Row],[Actual (units)]]&gt;=tblBoard[[#This Row],[Target (units)]]*TargetHour,1,0),""))</f>
        <v>0</v>
      </c>
      <c r="P90" s="40" t="str">
        <f>IF(NOT(ISNUMBER(tblBoard[[#This Row],[Attainment]])),"",IF(tblBoard[[#This Row],[Attainment]]&gt;=TargetHour,"On target",IF(tblBoard[[#This Row],[Attainment]]&gt;=TargetHour*(1-0.05),"Near target","Below target")))</f>
        <v>Near target</v>
      </c>
      <c r="Q90" s="38">
        <f>IF(tblBoard[[#This Row],[Date]]="","",IF(tblBoard[[#This Row],[Hour]]="","",SUMIFS(tblBoard[Target (units)],tblBoard[Date],tblBoard[[#This Row],[Date]],tblBoard[Shift],tblBoard[[#This Row],[Shift]],tblBoard[Line],tblBoard[[#This Row],[Line]],tblBoard[Hour],"&lt;="&amp;tblBoard[[#This Row],[Hour]])))</f>
        <v>390</v>
      </c>
      <c r="R90" s="38">
        <f>IF(tblBoard[[#This Row],[Date]]="","",IF(tblBoard[[#This Row],[Hour]]="","",SUMIFS(tblBoard[Actual (units)],tblBoard[Date],tblBoard[[#This Row],[Date]],tblBoard[Shift],tblBoard[[#This Row],[Shift]],tblBoard[Line],tblBoard[[#This Row],[Line]],tblBoard[Hour],"&lt;="&amp;tblBoard[[#This Row],[Hour]])))</f>
        <v>367</v>
      </c>
      <c r="S90" s="38">
        <f>IF(tblBoard[[#This Row],[Date]]="","",IF(tblBoard[[#This Row],[Cum. target]]="","",tblBoard[[#This Row],[Cum. actual]]-tblBoard[[#This Row],[Cum. target]]))</f>
        <v>-23</v>
      </c>
      <c r="T90" s="41">
        <f>IF(tblBoard[[#This Row],[Date]]="","",IF(AND(tblBoard[[#This Row],[Date]]&gt;=FFrom,tblBoard[[#This Row],[Date]]&lt;=FTo,OR(DashLine="",tblBoard[[#This Row],[Line]]=DashLine)),tblBoard[[#This Row],[Date]],""))</f>
        <v>46302</v>
      </c>
      <c r="U9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0" s="43" t="s">
        <v>146</v>
      </c>
    </row>
    <row r="91" spans="2:22" x14ac:dyDescent="0.25">
      <c r="B91" s="36">
        <v>46302</v>
      </c>
      <c r="C91" s="28" t="s">
        <v>93</v>
      </c>
      <c r="D91" s="28" t="s">
        <v>85</v>
      </c>
      <c r="E91" s="33">
        <v>6</v>
      </c>
      <c r="F91" s="28" t="s">
        <v>103</v>
      </c>
      <c r="G91" s="33">
        <v>60</v>
      </c>
      <c r="H91" s="33">
        <v>88</v>
      </c>
      <c r="I91" s="28" t="s">
        <v>116</v>
      </c>
      <c r="J91" s="37">
        <f>IF(tblBoard[[#This Row],[Date]]="","",IFERROR(INDEX(tblProducts[Takt time (s)],MATCH(tblBoard[[#This Row],[Product]],tblProducts[Product],0)),""))</f>
        <v>40</v>
      </c>
      <c r="K91" s="38">
        <f>IF(tblBoard[[#This Row],[Date]]="","",IF(OR(tblBoard[[#This Row],[Takt (s)]]="",tblBoard[[#This Row],[Available (min)]]=""),"",INT(tblBoard[[#This Row],[Available (min)]]*60/tblBoard[[#This Row],[Takt (s)]])))</f>
        <v>90</v>
      </c>
      <c r="L91" s="38">
        <f>IF(tblBoard[[#This Row],[Date]]="","",IF(tblBoard[[#This Row],[Target (units)]]="","",tblBoard[[#This Row],[Actual (units)]]-tblBoard[[#This Row],[Target (units)]]))</f>
        <v>-2</v>
      </c>
      <c r="M91" s="38">
        <f>IF(tblBoard[[#This Row],[Date]]="","",IF(tblBoard[[#This Row],[Target (units)]]="","",MAX(0,tblBoard[[#This Row],[Target (units)]]-tblBoard[[#This Row],[Actual (units)]])))</f>
        <v>2</v>
      </c>
      <c r="N91" s="39">
        <f>IF(tblBoard[[#This Row],[Date]]="","",IF(N(tblBoard[[#This Row],[Target (units)]])&gt;0,tblBoard[[#This Row],[Actual (units)]]/tblBoard[[#This Row],[Target (units)]],""))</f>
        <v>0.977777777777778</v>
      </c>
      <c r="O91" s="38">
        <f>IF(tblBoard[[#This Row],[Date]]="","",IF(N(tblBoard[[#This Row],[Target (units)]])&gt;0,IF(tblBoard[[#This Row],[Actual (units)]]&gt;=tblBoard[[#This Row],[Target (units)]]*TargetHour,1,0),""))</f>
        <v>0</v>
      </c>
      <c r="P91" s="40" t="str">
        <f>IF(NOT(ISNUMBER(tblBoard[[#This Row],[Attainment]])),"",IF(tblBoard[[#This Row],[Attainment]]&gt;=TargetHour,"On target",IF(tblBoard[[#This Row],[Attainment]]&gt;=TargetHour*(1-0.05),"Near target","Below target")))</f>
        <v>Near target</v>
      </c>
      <c r="Q91" s="38">
        <f>IF(tblBoard[[#This Row],[Date]]="","",IF(tblBoard[[#This Row],[Hour]]="","",SUMIFS(tblBoard[Target (units)],tblBoard[Date],tblBoard[[#This Row],[Date]],tblBoard[Shift],tblBoard[[#This Row],[Shift]],tblBoard[Line],tblBoard[[#This Row],[Line]],tblBoard[Hour],"&lt;="&amp;tblBoard[[#This Row],[Hour]])))</f>
        <v>480</v>
      </c>
      <c r="R91" s="38">
        <f>IF(tblBoard[[#This Row],[Date]]="","",IF(tblBoard[[#This Row],[Hour]]="","",SUMIFS(tblBoard[Actual (units)],tblBoard[Date],tblBoard[[#This Row],[Date]],tblBoard[Shift],tblBoard[[#This Row],[Shift]],tblBoard[Line],tblBoard[[#This Row],[Line]],tblBoard[Hour],"&lt;="&amp;tblBoard[[#This Row],[Hour]])))</f>
        <v>455</v>
      </c>
      <c r="S91" s="38">
        <f>IF(tblBoard[[#This Row],[Date]]="","",IF(tblBoard[[#This Row],[Cum. target]]="","",tblBoard[[#This Row],[Cum. actual]]-tblBoard[[#This Row],[Cum. target]]))</f>
        <v>-25</v>
      </c>
      <c r="T91" s="41">
        <f>IF(tblBoard[[#This Row],[Date]]="","",IF(AND(tblBoard[[#This Row],[Date]]&gt;=FFrom,tblBoard[[#This Row],[Date]]&lt;=FTo,OR(DashLine="",tblBoard[[#This Row],[Line]]=DashLine)),tblBoard[[#This Row],[Date]],""))</f>
        <v>46302</v>
      </c>
      <c r="U9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1" s="43" t="s">
        <v>146</v>
      </c>
    </row>
    <row r="92" spans="2:22" x14ac:dyDescent="0.25">
      <c r="B92" s="36">
        <v>46302</v>
      </c>
      <c r="C92" s="28" t="s">
        <v>93</v>
      </c>
      <c r="D92" s="28" t="s">
        <v>85</v>
      </c>
      <c r="E92" s="33">
        <v>7</v>
      </c>
      <c r="F92" s="28" t="s">
        <v>103</v>
      </c>
      <c r="G92" s="33">
        <v>50</v>
      </c>
      <c r="H92" s="33">
        <v>73</v>
      </c>
      <c r="I92" s="28" t="s">
        <v>114</v>
      </c>
      <c r="J92" s="37">
        <f>IF(tblBoard[[#This Row],[Date]]="","",IFERROR(INDEX(tblProducts[Takt time (s)],MATCH(tblBoard[[#This Row],[Product]],tblProducts[Product],0)),""))</f>
        <v>40</v>
      </c>
      <c r="K92" s="38">
        <f>IF(tblBoard[[#This Row],[Date]]="","",IF(OR(tblBoard[[#This Row],[Takt (s)]]="",tblBoard[[#This Row],[Available (min)]]=""),"",INT(tblBoard[[#This Row],[Available (min)]]*60/tblBoard[[#This Row],[Takt (s)]])))</f>
        <v>75</v>
      </c>
      <c r="L92" s="38">
        <f>IF(tblBoard[[#This Row],[Date]]="","",IF(tblBoard[[#This Row],[Target (units)]]="","",tblBoard[[#This Row],[Actual (units)]]-tblBoard[[#This Row],[Target (units)]]))</f>
        <v>-2</v>
      </c>
      <c r="M92" s="38">
        <f>IF(tblBoard[[#This Row],[Date]]="","",IF(tblBoard[[#This Row],[Target (units)]]="","",MAX(0,tblBoard[[#This Row],[Target (units)]]-tblBoard[[#This Row],[Actual (units)]])))</f>
        <v>2</v>
      </c>
      <c r="N92" s="39">
        <f>IF(tblBoard[[#This Row],[Date]]="","",IF(N(tblBoard[[#This Row],[Target (units)]])&gt;0,tblBoard[[#This Row],[Actual (units)]]/tblBoard[[#This Row],[Target (units)]],""))</f>
        <v>0.973333333333333</v>
      </c>
      <c r="O92" s="38">
        <f>IF(tblBoard[[#This Row],[Date]]="","",IF(N(tblBoard[[#This Row],[Target (units)]])&gt;0,IF(tblBoard[[#This Row],[Actual (units)]]&gt;=tblBoard[[#This Row],[Target (units)]]*TargetHour,1,0),""))</f>
        <v>0</v>
      </c>
      <c r="P92" s="40" t="str">
        <f>IF(NOT(ISNUMBER(tblBoard[[#This Row],[Attainment]])),"",IF(tblBoard[[#This Row],[Attainment]]&gt;=TargetHour,"On target",IF(tblBoard[[#This Row],[Attainment]]&gt;=TargetHour*(1-0.05),"Near target","Below target")))</f>
        <v>Near target</v>
      </c>
      <c r="Q92" s="38">
        <f>IF(tblBoard[[#This Row],[Date]]="","",IF(tblBoard[[#This Row],[Hour]]="","",SUMIFS(tblBoard[Target (units)],tblBoard[Date],tblBoard[[#This Row],[Date]],tblBoard[Shift],tblBoard[[#This Row],[Shift]],tblBoard[Line],tblBoard[[#This Row],[Line]],tblBoard[Hour],"&lt;="&amp;tblBoard[[#This Row],[Hour]])))</f>
        <v>555</v>
      </c>
      <c r="R92" s="38">
        <f>IF(tblBoard[[#This Row],[Date]]="","",IF(tblBoard[[#This Row],[Hour]]="","",SUMIFS(tblBoard[Actual (units)],tblBoard[Date],tblBoard[[#This Row],[Date]],tblBoard[Shift],tblBoard[[#This Row],[Shift]],tblBoard[Line],tblBoard[[#This Row],[Line]],tblBoard[Hour],"&lt;="&amp;tblBoard[[#This Row],[Hour]])))</f>
        <v>528</v>
      </c>
      <c r="S92" s="38">
        <f>IF(tblBoard[[#This Row],[Date]]="","",IF(tblBoard[[#This Row],[Cum. target]]="","",tblBoard[[#This Row],[Cum. actual]]-tblBoard[[#This Row],[Cum. target]]))</f>
        <v>-27</v>
      </c>
      <c r="T92" s="41">
        <f>IF(tblBoard[[#This Row],[Date]]="","",IF(AND(tblBoard[[#This Row],[Date]]&gt;=FFrom,tblBoard[[#This Row],[Date]]&lt;=FTo,OR(DashLine="",tblBoard[[#This Row],[Line]]=DashLine)),tblBoard[[#This Row],[Date]],""))</f>
        <v>46302</v>
      </c>
      <c r="U9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2" s="43" t="s">
        <v>97</v>
      </c>
    </row>
    <row r="93" spans="2:22" x14ac:dyDescent="0.25">
      <c r="B93" s="36">
        <v>46302</v>
      </c>
      <c r="C93" s="28" t="s">
        <v>93</v>
      </c>
      <c r="D93" s="28" t="s">
        <v>85</v>
      </c>
      <c r="E93" s="33">
        <v>8</v>
      </c>
      <c r="F93" s="28" t="s">
        <v>103</v>
      </c>
      <c r="G93" s="33">
        <v>50</v>
      </c>
      <c r="H93" s="33">
        <v>75</v>
      </c>
      <c r="I93" s="28"/>
      <c r="J93" s="37">
        <f>IF(tblBoard[[#This Row],[Date]]="","",IFERROR(INDEX(tblProducts[Takt time (s)],MATCH(tblBoard[[#This Row],[Product]],tblProducts[Product],0)),""))</f>
        <v>40</v>
      </c>
      <c r="K93" s="38">
        <f>IF(tblBoard[[#This Row],[Date]]="","",IF(OR(tblBoard[[#This Row],[Takt (s)]]="",tblBoard[[#This Row],[Available (min)]]=""),"",INT(tblBoard[[#This Row],[Available (min)]]*60/tblBoard[[#This Row],[Takt (s)]])))</f>
        <v>75</v>
      </c>
      <c r="L93" s="38">
        <f>IF(tblBoard[[#This Row],[Date]]="","",IF(tblBoard[[#This Row],[Target (units)]]="","",tblBoard[[#This Row],[Actual (units)]]-tblBoard[[#This Row],[Target (units)]]))</f>
        <v>0</v>
      </c>
      <c r="M93" s="38">
        <f>IF(tblBoard[[#This Row],[Date]]="","",IF(tblBoard[[#This Row],[Target (units)]]="","",MAX(0,tblBoard[[#This Row],[Target (units)]]-tblBoard[[#This Row],[Actual (units)]])))</f>
        <v>0</v>
      </c>
      <c r="N93" s="39">
        <f>IF(tblBoard[[#This Row],[Date]]="","",IF(N(tblBoard[[#This Row],[Target (units)]])&gt;0,tblBoard[[#This Row],[Actual (units)]]/tblBoard[[#This Row],[Target (units)]],""))</f>
        <v>1</v>
      </c>
      <c r="O93" s="38">
        <f>IF(tblBoard[[#This Row],[Date]]="","",IF(N(tblBoard[[#This Row],[Target (units)]])&gt;0,IF(tblBoard[[#This Row],[Actual (units)]]&gt;=tblBoard[[#This Row],[Target (units)]]*TargetHour,1,0),""))</f>
        <v>1</v>
      </c>
      <c r="P93" s="40" t="str">
        <f>IF(NOT(ISNUMBER(tblBoard[[#This Row],[Attainment]])),"",IF(tblBoard[[#This Row],[Attainment]]&gt;=TargetHour,"On target",IF(tblBoard[[#This Row],[Attainment]]&gt;=TargetHour*(1-0.05),"Near target","Below target")))</f>
        <v>On target</v>
      </c>
      <c r="Q93" s="38">
        <f>IF(tblBoard[[#This Row],[Date]]="","",IF(tblBoard[[#This Row],[Hour]]="","",SUMIFS(tblBoard[Target (units)],tblBoard[Date],tblBoard[[#This Row],[Date]],tblBoard[Shift],tblBoard[[#This Row],[Shift]],tblBoard[Line],tblBoard[[#This Row],[Line]],tblBoard[Hour],"&lt;="&amp;tblBoard[[#This Row],[Hour]])))</f>
        <v>630</v>
      </c>
      <c r="R93" s="38">
        <f>IF(tblBoard[[#This Row],[Date]]="","",IF(tblBoard[[#This Row],[Hour]]="","",SUMIFS(tblBoard[Actual (units)],tblBoard[Date],tblBoard[[#This Row],[Date]],tblBoard[Shift],tblBoard[[#This Row],[Shift]],tblBoard[Line],tblBoard[[#This Row],[Line]],tblBoard[Hour],"&lt;="&amp;tblBoard[[#This Row],[Hour]])))</f>
        <v>603</v>
      </c>
      <c r="S93" s="38">
        <f>IF(tblBoard[[#This Row],[Date]]="","",IF(tblBoard[[#This Row],[Cum. target]]="","",tblBoard[[#This Row],[Cum. actual]]-tblBoard[[#This Row],[Cum. target]]))</f>
        <v>-27</v>
      </c>
      <c r="T93" s="41">
        <f>IF(tblBoard[[#This Row],[Date]]="","",IF(AND(tblBoard[[#This Row],[Date]]&gt;=FFrom,tblBoard[[#This Row],[Date]]&lt;=FTo,OR(DashLine="",tblBoard[[#This Row],[Line]]=DashLine)),tblBoard[[#This Row],[Date]],""))</f>
        <v>46302</v>
      </c>
      <c r="U9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3" s="43" t="s">
        <v>97</v>
      </c>
    </row>
    <row r="94" spans="2:22" x14ac:dyDescent="0.25">
      <c r="B94" s="36">
        <v>46302</v>
      </c>
      <c r="C94" s="28" t="s">
        <v>93</v>
      </c>
      <c r="D94" s="28" t="s">
        <v>88</v>
      </c>
      <c r="E94" s="33">
        <v>1</v>
      </c>
      <c r="F94" s="28" t="s">
        <v>105</v>
      </c>
      <c r="G94" s="33">
        <v>60</v>
      </c>
      <c r="H94" s="33">
        <v>60</v>
      </c>
      <c r="I94" s="28" t="s">
        <v>110</v>
      </c>
      <c r="J94" s="37">
        <f>IF(tblBoard[[#This Row],[Date]]="","",IFERROR(INDEX(tblProducts[Takt time (s)],MATCH(tblBoard[[#This Row],[Product]],tblProducts[Product],0)),""))</f>
        <v>48</v>
      </c>
      <c r="K94" s="38">
        <f>IF(tblBoard[[#This Row],[Date]]="","",IF(OR(tblBoard[[#This Row],[Takt (s)]]="",tblBoard[[#This Row],[Available (min)]]=""),"",INT(tblBoard[[#This Row],[Available (min)]]*60/tblBoard[[#This Row],[Takt (s)]])))</f>
        <v>75</v>
      </c>
      <c r="L94" s="38">
        <f>IF(tblBoard[[#This Row],[Date]]="","",IF(tblBoard[[#This Row],[Target (units)]]="","",tblBoard[[#This Row],[Actual (units)]]-tblBoard[[#This Row],[Target (units)]]))</f>
        <v>-15</v>
      </c>
      <c r="M94" s="38">
        <f>IF(tblBoard[[#This Row],[Date]]="","",IF(tblBoard[[#This Row],[Target (units)]]="","",MAX(0,tblBoard[[#This Row],[Target (units)]]-tblBoard[[#This Row],[Actual (units)]])))</f>
        <v>15</v>
      </c>
      <c r="N94" s="39">
        <f>IF(tblBoard[[#This Row],[Date]]="","",IF(N(tblBoard[[#This Row],[Target (units)]])&gt;0,tblBoard[[#This Row],[Actual (units)]]/tblBoard[[#This Row],[Target (units)]],""))</f>
        <v>0.8</v>
      </c>
      <c r="O94" s="38">
        <f>IF(tblBoard[[#This Row],[Date]]="","",IF(N(tblBoard[[#This Row],[Target (units)]])&gt;0,IF(tblBoard[[#This Row],[Actual (units)]]&gt;=tblBoard[[#This Row],[Target (units)]]*TargetHour,1,0),""))</f>
        <v>0</v>
      </c>
      <c r="P94" s="40" t="str">
        <f>IF(NOT(ISNUMBER(tblBoard[[#This Row],[Attainment]])),"",IF(tblBoard[[#This Row],[Attainment]]&gt;=TargetHour,"On target",IF(tblBoard[[#This Row],[Attainment]]&gt;=TargetHour*(1-0.05),"Near target","Below target")))</f>
        <v>Below target</v>
      </c>
      <c r="Q94" s="38">
        <f>IF(tblBoard[[#This Row],[Date]]="","",IF(tblBoard[[#This Row],[Hour]]="","",SUMIFS(tblBoard[Target (units)],tblBoard[Date],tblBoard[[#This Row],[Date]],tblBoard[Shift],tblBoard[[#This Row],[Shift]],tblBoard[Line],tblBoard[[#This Row],[Line]],tblBoard[Hour],"&lt;="&amp;tblBoard[[#This Row],[Hour]])))</f>
        <v>75</v>
      </c>
      <c r="R94" s="38">
        <f>IF(tblBoard[[#This Row],[Date]]="","",IF(tblBoard[[#This Row],[Hour]]="","",SUMIFS(tblBoard[Actual (units)],tblBoard[Date],tblBoard[[#This Row],[Date]],tblBoard[Shift],tblBoard[[#This Row],[Shift]],tblBoard[Line],tblBoard[[#This Row],[Line]],tblBoard[Hour],"&lt;="&amp;tblBoard[[#This Row],[Hour]])))</f>
        <v>60</v>
      </c>
      <c r="S94" s="38">
        <f>IF(tblBoard[[#This Row],[Date]]="","",IF(tblBoard[[#This Row],[Cum. target]]="","",tblBoard[[#This Row],[Cum. actual]]-tblBoard[[#This Row],[Cum. target]]))</f>
        <v>-15</v>
      </c>
      <c r="T94" s="41">
        <f>IF(tblBoard[[#This Row],[Date]]="","",IF(AND(tblBoard[[#This Row],[Date]]&gt;=FFrom,tblBoard[[#This Row],[Date]]&lt;=FTo,OR(DashLine="",tblBoard[[#This Row],[Line]]=DashLine)),tblBoard[[#This Row],[Date]],""))</f>
        <v>46302</v>
      </c>
      <c r="U9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4" s="43" t="s">
        <v>144</v>
      </c>
    </row>
    <row r="95" spans="2:22" x14ac:dyDescent="0.25">
      <c r="B95" s="36">
        <v>46302</v>
      </c>
      <c r="C95" s="28" t="s">
        <v>93</v>
      </c>
      <c r="D95" s="28" t="s">
        <v>88</v>
      </c>
      <c r="E95" s="33">
        <v>2</v>
      </c>
      <c r="F95" s="28" t="s">
        <v>105</v>
      </c>
      <c r="G95" s="33">
        <v>60</v>
      </c>
      <c r="H95" s="33">
        <v>79</v>
      </c>
      <c r="I95" s="28"/>
      <c r="J95" s="37">
        <f>IF(tblBoard[[#This Row],[Date]]="","",IFERROR(INDEX(tblProducts[Takt time (s)],MATCH(tblBoard[[#This Row],[Product]],tblProducts[Product],0)),""))</f>
        <v>48</v>
      </c>
      <c r="K95" s="38">
        <f>IF(tblBoard[[#This Row],[Date]]="","",IF(OR(tblBoard[[#This Row],[Takt (s)]]="",tblBoard[[#This Row],[Available (min)]]=""),"",INT(tblBoard[[#This Row],[Available (min)]]*60/tblBoard[[#This Row],[Takt (s)]])))</f>
        <v>75</v>
      </c>
      <c r="L95" s="38">
        <f>IF(tblBoard[[#This Row],[Date]]="","",IF(tblBoard[[#This Row],[Target (units)]]="","",tblBoard[[#This Row],[Actual (units)]]-tblBoard[[#This Row],[Target (units)]]))</f>
        <v>4</v>
      </c>
      <c r="M95" s="38">
        <f>IF(tblBoard[[#This Row],[Date]]="","",IF(tblBoard[[#This Row],[Target (units)]]="","",MAX(0,tblBoard[[#This Row],[Target (units)]]-tblBoard[[#This Row],[Actual (units)]])))</f>
        <v>0</v>
      </c>
      <c r="N95" s="39">
        <f>IF(tblBoard[[#This Row],[Date]]="","",IF(N(tblBoard[[#This Row],[Target (units)]])&gt;0,tblBoard[[#This Row],[Actual (units)]]/tblBoard[[#This Row],[Target (units)]],""))</f>
        <v>1.05333333333333</v>
      </c>
      <c r="O95" s="38">
        <f>IF(tblBoard[[#This Row],[Date]]="","",IF(N(tblBoard[[#This Row],[Target (units)]])&gt;0,IF(tblBoard[[#This Row],[Actual (units)]]&gt;=tblBoard[[#This Row],[Target (units)]]*TargetHour,1,0),""))</f>
        <v>1</v>
      </c>
      <c r="P95" s="40" t="str">
        <f>IF(NOT(ISNUMBER(tblBoard[[#This Row],[Attainment]])),"",IF(tblBoard[[#This Row],[Attainment]]&gt;=TargetHour,"On target",IF(tblBoard[[#This Row],[Attainment]]&gt;=TargetHour*(1-0.05),"Near target","Below target")))</f>
        <v>On target</v>
      </c>
      <c r="Q95" s="38">
        <f>IF(tblBoard[[#This Row],[Date]]="","",IF(tblBoard[[#This Row],[Hour]]="","",SUMIFS(tblBoard[Target (units)],tblBoard[Date],tblBoard[[#This Row],[Date]],tblBoard[Shift],tblBoard[[#This Row],[Shift]],tblBoard[Line],tblBoard[[#This Row],[Line]],tblBoard[Hour],"&lt;="&amp;tblBoard[[#This Row],[Hour]])))</f>
        <v>150</v>
      </c>
      <c r="R95" s="38">
        <f>IF(tblBoard[[#This Row],[Date]]="","",IF(tblBoard[[#This Row],[Hour]]="","",SUMIFS(tblBoard[Actual (units)],tblBoard[Date],tblBoard[[#This Row],[Date]],tblBoard[Shift],tblBoard[[#This Row],[Shift]],tblBoard[Line],tblBoard[[#This Row],[Line]],tblBoard[Hour],"&lt;="&amp;tblBoard[[#This Row],[Hour]])))</f>
        <v>139</v>
      </c>
      <c r="S95" s="38">
        <f>IF(tblBoard[[#This Row],[Date]]="","",IF(tblBoard[[#This Row],[Cum. target]]="","",tblBoard[[#This Row],[Cum. actual]]-tblBoard[[#This Row],[Cum. target]]))</f>
        <v>-11</v>
      </c>
      <c r="T95" s="41">
        <f>IF(tblBoard[[#This Row],[Date]]="","",IF(AND(tblBoard[[#This Row],[Date]]&gt;=FFrom,tblBoard[[#This Row],[Date]]&lt;=FTo,OR(DashLine="",tblBoard[[#This Row],[Line]]=DashLine)),tblBoard[[#This Row],[Date]],""))</f>
        <v>46302</v>
      </c>
      <c r="U9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5" s="43" t="s">
        <v>97</v>
      </c>
    </row>
    <row r="96" spans="2:22" x14ac:dyDescent="0.25">
      <c r="B96" s="36">
        <v>46302</v>
      </c>
      <c r="C96" s="28" t="s">
        <v>93</v>
      </c>
      <c r="D96" s="28" t="s">
        <v>88</v>
      </c>
      <c r="E96" s="33">
        <v>3</v>
      </c>
      <c r="F96" s="28" t="s">
        <v>105</v>
      </c>
      <c r="G96" s="33">
        <v>50</v>
      </c>
      <c r="H96" s="33">
        <v>62</v>
      </c>
      <c r="I96" s="28"/>
      <c r="J96" s="37">
        <f>IF(tblBoard[[#This Row],[Date]]="","",IFERROR(INDEX(tblProducts[Takt time (s)],MATCH(tblBoard[[#This Row],[Product]],tblProducts[Product],0)),""))</f>
        <v>48</v>
      </c>
      <c r="K96" s="38">
        <f>IF(tblBoard[[#This Row],[Date]]="","",IF(OR(tblBoard[[#This Row],[Takt (s)]]="",tblBoard[[#This Row],[Available (min)]]=""),"",INT(tblBoard[[#This Row],[Available (min)]]*60/tblBoard[[#This Row],[Takt (s)]])))</f>
        <v>62</v>
      </c>
      <c r="L96" s="38">
        <f>IF(tblBoard[[#This Row],[Date]]="","",IF(tblBoard[[#This Row],[Target (units)]]="","",tblBoard[[#This Row],[Actual (units)]]-tblBoard[[#This Row],[Target (units)]]))</f>
        <v>0</v>
      </c>
      <c r="M96" s="38">
        <f>IF(tblBoard[[#This Row],[Date]]="","",IF(tblBoard[[#This Row],[Target (units)]]="","",MAX(0,tblBoard[[#This Row],[Target (units)]]-tblBoard[[#This Row],[Actual (units)]])))</f>
        <v>0</v>
      </c>
      <c r="N96" s="39">
        <f>IF(tblBoard[[#This Row],[Date]]="","",IF(N(tblBoard[[#This Row],[Target (units)]])&gt;0,tblBoard[[#This Row],[Actual (units)]]/tblBoard[[#This Row],[Target (units)]],""))</f>
        <v>1</v>
      </c>
      <c r="O96" s="38">
        <f>IF(tblBoard[[#This Row],[Date]]="","",IF(N(tblBoard[[#This Row],[Target (units)]])&gt;0,IF(tblBoard[[#This Row],[Actual (units)]]&gt;=tblBoard[[#This Row],[Target (units)]]*TargetHour,1,0),""))</f>
        <v>1</v>
      </c>
      <c r="P96" s="40" t="str">
        <f>IF(NOT(ISNUMBER(tblBoard[[#This Row],[Attainment]])),"",IF(tblBoard[[#This Row],[Attainment]]&gt;=TargetHour,"On target",IF(tblBoard[[#This Row],[Attainment]]&gt;=TargetHour*(1-0.05),"Near target","Below target")))</f>
        <v>On target</v>
      </c>
      <c r="Q96" s="38">
        <f>IF(tblBoard[[#This Row],[Date]]="","",IF(tblBoard[[#This Row],[Hour]]="","",SUMIFS(tblBoard[Target (units)],tblBoard[Date],tblBoard[[#This Row],[Date]],tblBoard[Shift],tblBoard[[#This Row],[Shift]],tblBoard[Line],tblBoard[[#This Row],[Line]],tblBoard[Hour],"&lt;="&amp;tblBoard[[#This Row],[Hour]])))</f>
        <v>212</v>
      </c>
      <c r="R96" s="38">
        <f>IF(tblBoard[[#This Row],[Date]]="","",IF(tblBoard[[#This Row],[Hour]]="","",SUMIFS(tblBoard[Actual (units)],tblBoard[Date],tblBoard[[#This Row],[Date]],tblBoard[Shift],tblBoard[[#This Row],[Shift]],tblBoard[Line],tblBoard[[#This Row],[Line]],tblBoard[Hour],"&lt;="&amp;tblBoard[[#This Row],[Hour]])))</f>
        <v>201</v>
      </c>
      <c r="S96" s="38">
        <f>IF(tblBoard[[#This Row],[Date]]="","",IF(tblBoard[[#This Row],[Cum. target]]="","",tblBoard[[#This Row],[Cum. actual]]-tblBoard[[#This Row],[Cum. target]]))</f>
        <v>-11</v>
      </c>
      <c r="T96" s="41">
        <f>IF(tblBoard[[#This Row],[Date]]="","",IF(AND(tblBoard[[#This Row],[Date]]&gt;=FFrom,tblBoard[[#This Row],[Date]]&lt;=FTo,OR(DashLine="",tblBoard[[#This Row],[Line]]=DashLine)),tblBoard[[#This Row],[Date]],""))</f>
        <v>46302</v>
      </c>
      <c r="U9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6" s="43" t="s">
        <v>97</v>
      </c>
    </row>
    <row r="97" spans="2:22" x14ac:dyDescent="0.25">
      <c r="B97" s="36">
        <v>46302</v>
      </c>
      <c r="C97" s="28" t="s">
        <v>93</v>
      </c>
      <c r="D97" s="28" t="s">
        <v>88</v>
      </c>
      <c r="E97" s="33">
        <v>4</v>
      </c>
      <c r="F97" s="28" t="s">
        <v>105</v>
      </c>
      <c r="G97" s="33">
        <v>60</v>
      </c>
      <c r="H97" s="33">
        <v>72</v>
      </c>
      <c r="I97" s="28" t="s">
        <v>114</v>
      </c>
      <c r="J97" s="37">
        <f>IF(tblBoard[[#This Row],[Date]]="","",IFERROR(INDEX(tblProducts[Takt time (s)],MATCH(tblBoard[[#This Row],[Product]],tblProducts[Product],0)),""))</f>
        <v>48</v>
      </c>
      <c r="K97" s="38">
        <f>IF(tblBoard[[#This Row],[Date]]="","",IF(OR(tblBoard[[#This Row],[Takt (s)]]="",tblBoard[[#This Row],[Available (min)]]=""),"",INT(tblBoard[[#This Row],[Available (min)]]*60/tblBoard[[#This Row],[Takt (s)]])))</f>
        <v>75</v>
      </c>
      <c r="L97" s="38">
        <f>IF(tblBoard[[#This Row],[Date]]="","",IF(tblBoard[[#This Row],[Target (units)]]="","",tblBoard[[#This Row],[Actual (units)]]-tblBoard[[#This Row],[Target (units)]]))</f>
        <v>-3</v>
      </c>
      <c r="M97" s="38">
        <f>IF(tblBoard[[#This Row],[Date]]="","",IF(tblBoard[[#This Row],[Target (units)]]="","",MAX(0,tblBoard[[#This Row],[Target (units)]]-tblBoard[[#This Row],[Actual (units)]])))</f>
        <v>3</v>
      </c>
      <c r="N97" s="39">
        <f>IF(tblBoard[[#This Row],[Date]]="","",IF(N(tblBoard[[#This Row],[Target (units)]])&gt;0,tblBoard[[#This Row],[Actual (units)]]/tblBoard[[#This Row],[Target (units)]],""))</f>
        <v>0.96</v>
      </c>
      <c r="O97" s="38">
        <f>IF(tblBoard[[#This Row],[Date]]="","",IF(N(tblBoard[[#This Row],[Target (units)]])&gt;0,IF(tblBoard[[#This Row],[Actual (units)]]&gt;=tblBoard[[#This Row],[Target (units)]]*TargetHour,1,0),""))</f>
        <v>0</v>
      </c>
      <c r="P97" s="40" t="str">
        <f>IF(NOT(ISNUMBER(tblBoard[[#This Row],[Attainment]])),"",IF(tblBoard[[#This Row],[Attainment]]&gt;=TargetHour,"On target",IF(tblBoard[[#This Row],[Attainment]]&gt;=TargetHour*(1-0.05),"Near target","Below target")))</f>
        <v>Near target</v>
      </c>
      <c r="Q97" s="38">
        <f>IF(tblBoard[[#This Row],[Date]]="","",IF(tblBoard[[#This Row],[Hour]]="","",SUMIFS(tblBoard[Target (units)],tblBoard[Date],tblBoard[[#This Row],[Date]],tblBoard[Shift],tblBoard[[#This Row],[Shift]],tblBoard[Line],tblBoard[[#This Row],[Line]],tblBoard[Hour],"&lt;="&amp;tblBoard[[#This Row],[Hour]])))</f>
        <v>287</v>
      </c>
      <c r="R97" s="38">
        <f>IF(tblBoard[[#This Row],[Date]]="","",IF(tblBoard[[#This Row],[Hour]]="","",SUMIFS(tblBoard[Actual (units)],tblBoard[Date],tblBoard[[#This Row],[Date]],tblBoard[Shift],tblBoard[[#This Row],[Shift]],tblBoard[Line],tblBoard[[#This Row],[Line]],tblBoard[Hour],"&lt;="&amp;tblBoard[[#This Row],[Hour]])))</f>
        <v>273</v>
      </c>
      <c r="S97" s="38">
        <f>IF(tblBoard[[#This Row],[Date]]="","",IF(tblBoard[[#This Row],[Cum. target]]="","",tblBoard[[#This Row],[Cum. actual]]-tblBoard[[#This Row],[Cum. target]]))</f>
        <v>-14</v>
      </c>
      <c r="T97" s="41">
        <f>IF(tblBoard[[#This Row],[Date]]="","",IF(AND(tblBoard[[#This Row],[Date]]&gt;=FFrom,tblBoard[[#This Row],[Date]]&lt;=FTo,OR(DashLine="",tblBoard[[#This Row],[Line]]=DashLine)),tblBoard[[#This Row],[Date]],""))</f>
        <v>46302</v>
      </c>
      <c r="U9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7" s="43" t="s">
        <v>97</v>
      </c>
    </row>
    <row r="98" spans="2:22" x14ac:dyDescent="0.25">
      <c r="B98" s="36">
        <v>46302</v>
      </c>
      <c r="C98" s="28" t="s">
        <v>93</v>
      </c>
      <c r="D98" s="28" t="s">
        <v>88</v>
      </c>
      <c r="E98" s="33">
        <v>5</v>
      </c>
      <c r="F98" s="28" t="s">
        <v>105</v>
      </c>
      <c r="G98" s="33">
        <v>30</v>
      </c>
      <c r="H98" s="33">
        <v>37</v>
      </c>
      <c r="I98" s="28"/>
      <c r="J98" s="37">
        <f>IF(tblBoard[[#This Row],[Date]]="","",IFERROR(INDEX(tblProducts[Takt time (s)],MATCH(tblBoard[[#This Row],[Product]],tblProducts[Product],0)),""))</f>
        <v>48</v>
      </c>
      <c r="K98" s="38">
        <f>IF(tblBoard[[#This Row],[Date]]="","",IF(OR(tblBoard[[#This Row],[Takt (s)]]="",tblBoard[[#This Row],[Available (min)]]=""),"",INT(tblBoard[[#This Row],[Available (min)]]*60/tblBoard[[#This Row],[Takt (s)]])))</f>
        <v>37</v>
      </c>
      <c r="L98" s="38">
        <f>IF(tblBoard[[#This Row],[Date]]="","",IF(tblBoard[[#This Row],[Target (units)]]="","",tblBoard[[#This Row],[Actual (units)]]-tblBoard[[#This Row],[Target (units)]]))</f>
        <v>0</v>
      </c>
      <c r="M98" s="38">
        <f>IF(tblBoard[[#This Row],[Date]]="","",IF(tblBoard[[#This Row],[Target (units)]]="","",MAX(0,tblBoard[[#This Row],[Target (units)]]-tblBoard[[#This Row],[Actual (units)]])))</f>
        <v>0</v>
      </c>
      <c r="N98" s="39">
        <f>IF(tblBoard[[#This Row],[Date]]="","",IF(N(tblBoard[[#This Row],[Target (units)]])&gt;0,tblBoard[[#This Row],[Actual (units)]]/tblBoard[[#This Row],[Target (units)]],""))</f>
        <v>1</v>
      </c>
      <c r="O98" s="38">
        <f>IF(tblBoard[[#This Row],[Date]]="","",IF(N(tblBoard[[#This Row],[Target (units)]])&gt;0,IF(tblBoard[[#This Row],[Actual (units)]]&gt;=tblBoard[[#This Row],[Target (units)]]*TargetHour,1,0),""))</f>
        <v>1</v>
      </c>
      <c r="P98" s="40" t="str">
        <f>IF(NOT(ISNUMBER(tblBoard[[#This Row],[Attainment]])),"",IF(tblBoard[[#This Row],[Attainment]]&gt;=TargetHour,"On target",IF(tblBoard[[#This Row],[Attainment]]&gt;=TargetHour*(1-0.05),"Near target","Below target")))</f>
        <v>On target</v>
      </c>
      <c r="Q98" s="38">
        <f>IF(tblBoard[[#This Row],[Date]]="","",IF(tblBoard[[#This Row],[Hour]]="","",SUMIFS(tblBoard[Target (units)],tblBoard[Date],tblBoard[[#This Row],[Date]],tblBoard[Shift],tblBoard[[#This Row],[Shift]],tblBoard[Line],tblBoard[[#This Row],[Line]],tblBoard[Hour],"&lt;="&amp;tblBoard[[#This Row],[Hour]])))</f>
        <v>324</v>
      </c>
      <c r="R98" s="38">
        <f>IF(tblBoard[[#This Row],[Date]]="","",IF(tblBoard[[#This Row],[Hour]]="","",SUMIFS(tblBoard[Actual (units)],tblBoard[Date],tblBoard[[#This Row],[Date]],tblBoard[Shift],tblBoard[[#This Row],[Shift]],tblBoard[Line],tblBoard[[#This Row],[Line]],tblBoard[Hour],"&lt;="&amp;tblBoard[[#This Row],[Hour]])))</f>
        <v>310</v>
      </c>
      <c r="S98" s="38">
        <f>IF(tblBoard[[#This Row],[Date]]="","",IF(tblBoard[[#This Row],[Cum. target]]="","",tblBoard[[#This Row],[Cum. actual]]-tblBoard[[#This Row],[Cum. target]]))</f>
        <v>-14</v>
      </c>
      <c r="T98" s="41">
        <f>IF(tblBoard[[#This Row],[Date]]="","",IF(AND(tblBoard[[#This Row],[Date]]&gt;=FFrom,tblBoard[[#This Row],[Date]]&lt;=FTo,OR(DashLine="",tblBoard[[#This Row],[Line]]=DashLine)),tblBoard[[#This Row],[Date]],""))</f>
        <v>46302</v>
      </c>
      <c r="U9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8" s="43" t="s">
        <v>97</v>
      </c>
    </row>
    <row r="99" spans="2:22" x14ac:dyDescent="0.25">
      <c r="B99" s="36">
        <v>46302</v>
      </c>
      <c r="C99" s="28" t="s">
        <v>93</v>
      </c>
      <c r="D99" s="28" t="s">
        <v>88</v>
      </c>
      <c r="E99" s="33">
        <v>6</v>
      </c>
      <c r="F99" s="28" t="s">
        <v>105</v>
      </c>
      <c r="G99" s="33">
        <v>60</v>
      </c>
      <c r="H99" s="33">
        <v>76</v>
      </c>
      <c r="I99" s="28"/>
      <c r="J99" s="37">
        <f>IF(tblBoard[[#This Row],[Date]]="","",IFERROR(INDEX(tblProducts[Takt time (s)],MATCH(tblBoard[[#This Row],[Product]],tblProducts[Product],0)),""))</f>
        <v>48</v>
      </c>
      <c r="K99" s="38">
        <f>IF(tblBoard[[#This Row],[Date]]="","",IF(OR(tblBoard[[#This Row],[Takt (s)]]="",tblBoard[[#This Row],[Available (min)]]=""),"",INT(tblBoard[[#This Row],[Available (min)]]*60/tblBoard[[#This Row],[Takt (s)]])))</f>
        <v>75</v>
      </c>
      <c r="L99" s="38">
        <f>IF(tblBoard[[#This Row],[Date]]="","",IF(tblBoard[[#This Row],[Target (units)]]="","",tblBoard[[#This Row],[Actual (units)]]-tblBoard[[#This Row],[Target (units)]]))</f>
        <v>1</v>
      </c>
      <c r="M99" s="38">
        <f>IF(tblBoard[[#This Row],[Date]]="","",IF(tblBoard[[#This Row],[Target (units)]]="","",MAX(0,tblBoard[[#This Row],[Target (units)]]-tblBoard[[#This Row],[Actual (units)]])))</f>
        <v>0</v>
      </c>
      <c r="N99" s="39">
        <f>IF(tblBoard[[#This Row],[Date]]="","",IF(N(tblBoard[[#This Row],[Target (units)]])&gt;0,tblBoard[[#This Row],[Actual (units)]]/tblBoard[[#This Row],[Target (units)]],""))</f>
        <v>1.01333333333333</v>
      </c>
      <c r="O99" s="38">
        <f>IF(tblBoard[[#This Row],[Date]]="","",IF(N(tblBoard[[#This Row],[Target (units)]])&gt;0,IF(tblBoard[[#This Row],[Actual (units)]]&gt;=tblBoard[[#This Row],[Target (units)]]*TargetHour,1,0),""))</f>
        <v>1</v>
      </c>
      <c r="P99" s="40" t="str">
        <f>IF(NOT(ISNUMBER(tblBoard[[#This Row],[Attainment]])),"",IF(tblBoard[[#This Row],[Attainment]]&gt;=TargetHour,"On target",IF(tblBoard[[#This Row],[Attainment]]&gt;=TargetHour*(1-0.05),"Near target","Below target")))</f>
        <v>On target</v>
      </c>
      <c r="Q99" s="38">
        <f>IF(tblBoard[[#This Row],[Date]]="","",IF(tblBoard[[#This Row],[Hour]]="","",SUMIFS(tblBoard[Target (units)],tblBoard[Date],tblBoard[[#This Row],[Date]],tblBoard[Shift],tblBoard[[#This Row],[Shift]],tblBoard[Line],tblBoard[[#This Row],[Line]],tblBoard[Hour],"&lt;="&amp;tblBoard[[#This Row],[Hour]])))</f>
        <v>399</v>
      </c>
      <c r="R99" s="38">
        <f>IF(tblBoard[[#This Row],[Date]]="","",IF(tblBoard[[#This Row],[Hour]]="","",SUMIFS(tblBoard[Actual (units)],tblBoard[Date],tblBoard[[#This Row],[Date]],tblBoard[Shift],tblBoard[[#This Row],[Shift]],tblBoard[Line],tblBoard[[#This Row],[Line]],tblBoard[Hour],"&lt;="&amp;tblBoard[[#This Row],[Hour]])))</f>
        <v>386</v>
      </c>
      <c r="S99" s="38">
        <f>IF(tblBoard[[#This Row],[Date]]="","",IF(tblBoard[[#This Row],[Cum. target]]="","",tblBoard[[#This Row],[Cum. actual]]-tblBoard[[#This Row],[Cum. target]]))</f>
        <v>-13</v>
      </c>
      <c r="T99" s="41">
        <f>IF(tblBoard[[#This Row],[Date]]="","",IF(AND(tblBoard[[#This Row],[Date]]&gt;=FFrom,tblBoard[[#This Row],[Date]]&lt;=FTo,OR(DashLine="",tblBoard[[#This Row],[Line]]=DashLine)),tblBoard[[#This Row],[Date]],""))</f>
        <v>46302</v>
      </c>
      <c r="U9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99" s="43" t="s">
        <v>97</v>
      </c>
    </row>
    <row r="100" spans="2:22" x14ac:dyDescent="0.25">
      <c r="B100" s="36">
        <v>46302</v>
      </c>
      <c r="C100" s="28" t="s">
        <v>93</v>
      </c>
      <c r="D100" s="28" t="s">
        <v>88</v>
      </c>
      <c r="E100" s="33">
        <v>7</v>
      </c>
      <c r="F100" s="28" t="s">
        <v>105</v>
      </c>
      <c r="G100" s="33">
        <v>50</v>
      </c>
      <c r="H100" s="33">
        <v>61</v>
      </c>
      <c r="I100" s="28" t="s">
        <v>118</v>
      </c>
      <c r="J100" s="37">
        <f>IF(tblBoard[[#This Row],[Date]]="","",IFERROR(INDEX(tblProducts[Takt time (s)],MATCH(tblBoard[[#This Row],[Product]],tblProducts[Product],0)),""))</f>
        <v>48</v>
      </c>
      <c r="K100" s="38">
        <f>IF(tblBoard[[#This Row],[Date]]="","",IF(OR(tblBoard[[#This Row],[Takt (s)]]="",tblBoard[[#This Row],[Available (min)]]=""),"",INT(tblBoard[[#This Row],[Available (min)]]*60/tblBoard[[#This Row],[Takt (s)]])))</f>
        <v>62</v>
      </c>
      <c r="L100" s="38">
        <f>IF(tblBoard[[#This Row],[Date]]="","",IF(tblBoard[[#This Row],[Target (units)]]="","",tblBoard[[#This Row],[Actual (units)]]-tblBoard[[#This Row],[Target (units)]]))</f>
        <v>-1</v>
      </c>
      <c r="M100" s="38">
        <f>IF(tblBoard[[#This Row],[Date]]="","",IF(tblBoard[[#This Row],[Target (units)]]="","",MAX(0,tblBoard[[#This Row],[Target (units)]]-tblBoard[[#This Row],[Actual (units)]])))</f>
        <v>1</v>
      </c>
      <c r="N100" s="39">
        <f>IF(tblBoard[[#This Row],[Date]]="","",IF(N(tblBoard[[#This Row],[Target (units)]])&gt;0,tblBoard[[#This Row],[Actual (units)]]/tblBoard[[#This Row],[Target (units)]],""))</f>
        <v>0.983870967741936</v>
      </c>
      <c r="O100" s="38">
        <f>IF(tblBoard[[#This Row],[Date]]="","",IF(N(tblBoard[[#This Row],[Target (units)]])&gt;0,IF(tblBoard[[#This Row],[Actual (units)]]&gt;=tblBoard[[#This Row],[Target (units)]]*TargetHour,1,0),""))</f>
        <v>0</v>
      </c>
      <c r="P100" s="40" t="str">
        <f>IF(NOT(ISNUMBER(tblBoard[[#This Row],[Attainment]])),"",IF(tblBoard[[#This Row],[Attainment]]&gt;=TargetHour,"On target",IF(tblBoard[[#This Row],[Attainment]]&gt;=TargetHour*(1-0.05),"Near target","Below target")))</f>
        <v>Near target</v>
      </c>
      <c r="Q100" s="38">
        <f>IF(tblBoard[[#This Row],[Date]]="","",IF(tblBoard[[#This Row],[Hour]]="","",SUMIFS(tblBoard[Target (units)],tblBoard[Date],tblBoard[[#This Row],[Date]],tblBoard[Shift],tblBoard[[#This Row],[Shift]],tblBoard[Line],tblBoard[[#This Row],[Line]],tblBoard[Hour],"&lt;="&amp;tblBoard[[#This Row],[Hour]])))</f>
        <v>461</v>
      </c>
      <c r="R100" s="38">
        <f>IF(tblBoard[[#This Row],[Date]]="","",IF(tblBoard[[#This Row],[Hour]]="","",SUMIFS(tblBoard[Actual (units)],tblBoard[Date],tblBoard[[#This Row],[Date]],tblBoard[Shift],tblBoard[[#This Row],[Shift]],tblBoard[Line],tblBoard[[#This Row],[Line]],tblBoard[Hour],"&lt;="&amp;tblBoard[[#This Row],[Hour]])))</f>
        <v>447</v>
      </c>
      <c r="S100" s="38">
        <f>IF(tblBoard[[#This Row],[Date]]="","",IF(tblBoard[[#This Row],[Cum. target]]="","",tblBoard[[#This Row],[Cum. actual]]-tblBoard[[#This Row],[Cum. target]]))</f>
        <v>-14</v>
      </c>
      <c r="T100" s="41">
        <f>IF(tblBoard[[#This Row],[Date]]="","",IF(AND(tblBoard[[#This Row],[Date]]&gt;=FFrom,tblBoard[[#This Row],[Date]]&lt;=FTo,OR(DashLine="",tblBoard[[#This Row],[Line]]=DashLine)),tblBoard[[#This Row],[Date]],""))</f>
        <v>46302</v>
      </c>
      <c r="U10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0" s="43" t="s">
        <v>97</v>
      </c>
    </row>
    <row r="101" spans="2:22" x14ac:dyDescent="0.25">
      <c r="B101" s="36">
        <v>46302</v>
      </c>
      <c r="C101" s="28" t="s">
        <v>93</v>
      </c>
      <c r="D101" s="28" t="s">
        <v>88</v>
      </c>
      <c r="E101" s="33">
        <v>8</v>
      </c>
      <c r="F101" s="28" t="s">
        <v>105</v>
      </c>
      <c r="G101" s="33">
        <v>50</v>
      </c>
      <c r="H101" s="33">
        <v>63</v>
      </c>
      <c r="I101" s="28"/>
      <c r="J101" s="37">
        <f>IF(tblBoard[[#This Row],[Date]]="","",IFERROR(INDEX(tblProducts[Takt time (s)],MATCH(tblBoard[[#This Row],[Product]],tblProducts[Product],0)),""))</f>
        <v>48</v>
      </c>
      <c r="K101" s="38">
        <f>IF(tblBoard[[#This Row],[Date]]="","",IF(OR(tblBoard[[#This Row],[Takt (s)]]="",tblBoard[[#This Row],[Available (min)]]=""),"",INT(tblBoard[[#This Row],[Available (min)]]*60/tblBoard[[#This Row],[Takt (s)]])))</f>
        <v>62</v>
      </c>
      <c r="L101" s="38">
        <f>IF(tblBoard[[#This Row],[Date]]="","",IF(tblBoard[[#This Row],[Target (units)]]="","",tblBoard[[#This Row],[Actual (units)]]-tblBoard[[#This Row],[Target (units)]]))</f>
        <v>1</v>
      </c>
      <c r="M101" s="38">
        <f>IF(tblBoard[[#This Row],[Date]]="","",IF(tblBoard[[#This Row],[Target (units)]]="","",MAX(0,tblBoard[[#This Row],[Target (units)]]-tblBoard[[#This Row],[Actual (units)]])))</f>
        <v>0</v>
      </c>
      <c r="N101" s="39">
        <f>IF(tblBoard[[#This Row],[Date]]="","",IF(N(tblBoard[[#This Row],[Target (units)]])&gt;0,tblBoard[[#This Row],[Actual (units)]]/tblBoard[[#This Row],[Target (units)]],""))</f>
        <v>1.01612903225806</v>
      </c>
      <c r="O101" s="38">
        <f>IF(tblBoard[[#This Row],[Date]]="","",IF(N(tblBoard[[#This Row],[Target (units)]])&gt;0,IF(tblBoard[[#This Row],[Actual (units)]]&gt;=tblBoard[[#This Row],[Target (units)]]*TargetHour,1,0),""))</f>
        <v>1</v>
      </c>
      <c r="P101" s="40" t="str">
        <f>IF(NOT(ISNUMBER(tblBoard[[#This Row],[Attainment]])),"",IF(tblBoard[[#This Row],[Attainment]]&gt;=TargetHour,"On target",IF(tblBoard[[#This Row],[Attainment]]&gt;=TargetHour*(1-0.05),"Near target","Below target")))</f>
        <v>On target</v>
      </c>
      <c r="Q101" s="38">
        <f>IF(tblBoard[[#This Row],[Date]]="","",IF(tblBoard[[#This Row],[Hour]]="","",SUMIFS(tblBoard[Target (units)],tblBoard[Date],tblBoard[[#This Row],[Date]],tblBoard[Shift],tblBoard[[#This Row],[Shift]],tblBoard[Line],tblBoard[[#This Row],[Line]],tblBoard[Hour],"&lt;="&amp;tblBoard[[#This Row],[Hour]])))</f>
        <v>523</v>
      </c>
      <c r="R101" s="38">
        <f>IF(tblBoard[[#This Row],[Date]]="","",IF(tblBoard[[#This Row],[Hour]]="","",SUMIFS(tblBoard[Actual (units)],tblBoard[Date],tblBoard[[#This Row],[Date]],tblBoard[Shift],tblBoard[[#This Row],[Shift]],tblBoard[Line],tblBoard[[#This Row],[Line]],tblBoard[Hour],"&lt;="&amp;tblBoard[[#This Row],[Hour]])))</f>
        <v>510</v>
      </c>
      <c r="S101" s="38">
        <f>IF(tblBoard[[#This Row],[Date]]="","",IF(tblBoard[[#This Row],[Cum. target]]="","",tblBoard[[#This Row],[Cum. actual]]-tblBoard[[#This Row],[Cum. target]]))</f>
        <v>-13</v>
      </c>
      <c r="T101" s="41">
        <f>IF(tblBoard[[#This Row],[Date]]="","",IF(AND(tblBoard[[#This Row],[Date]]&gt;=FFrom,tblBoard[[#This Row],[Date]]&lt;=FTo,OR(DashLine="",tblBoard[[#This Row],[Line]]=DashLine)),tblBoard[[#This Row],[Date]],""))</f>
        <v>46302</v>
      </c>
      <c r="U10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1" s="43" t="s">
        <v>97</v>
      </c>
    </row>
    <row r="102" spans="2:22" x14ac:dyDescent="0.25">
      <c r="B102" s="36">
        <v>46303</v>
      </c>
      <c r="C102" s="28" t="s">
        <v>91</v>
      </c>
      <c r="D102" s="28" t="s">
        <v>85</v>
      </c>
      <c r="E102" s="33">
        <v>1</v>
      </c>
      <c r="F102" s="28" t="s">
        <v>105</v>
      </c>
      <c r="G102" s="33">
        <v>60</v>
      </c>
      <c r="H102" s="33">
        <v>69</v>
      </c>
      <c r="I102" s="28" t="s">
        <v>110</v>
      </c>
      <c r="J102" s="37">
        <f>IF(tblBoard[[#This Row],[Date]]="","",IFERROR(INDEX(tblProducts[Takt time (s)],MATCH(tblBoard[[#This Row],[Product]],tblProducts[Product],0)),""))</f>
        <v>48</v>
      </c>
      <c r="K102" s="38">
        <f>IF(tblBoard[[#This Row],[Date]]="","",IF(OR(tblBoard[[#This Row],[Takt (s)]]="",tblBoard[[#This Row],[Available (min)]]=""),"",INT(tblBoard[[#This Row],[Available (min)]]*60/tblBoard[[#This Row],[Takt (s)]])))</f>
        <v>75</v>
      </c>
      <c r="L102" s="38">
        <f>IF(tblBoard[[#This Row],[Date]]="","",IF(tblBoard[[#This Row],[Target (units)]]="","",tblBoard[[#This Row],[Actual (units)]]-tblBoard[[#This Row],[Target (units)]]))</f>
        <v>-6</v>
      </c>
      <c r="M102" s="38">
        <f>IF(tblBoard[[#This Row],[Date]]="","",IF(tblBoard[[#This Row],[Target (units)]]="","",MAX(0,tblBoard[[#This Row],[Target (units)]]-tblBoard[[#This Row],[Actual (units)]])))</f>
        <v>6</v>
      </c>
      <c r="N102" s="39">
        <f>IF(tblBoard[[#This Row],[Date]]="","",IF(N(tblBoard[[#This Row],[Target (units)]])&gt;0,tblBoard[[#This Row],[Actual (units)]]/tblBoard[[#This Row],[Target (units)]],""))</f>
        <v>0.92</v>
      </c>
      <c r="O102" s="38">
        <f>IF(tblBoard[[#This Row],[Date]]="","",IF(N(tblBoard[[#This Row],[Target (units)]])&gt;0,IF(tblBoard[[#This Row],[Actual (units)]]&gt;=tblBoard[[#This Row],[Target (units)]]*TargetHour,1,0),""))</f>
        <v>0</v>
      </c>
      <c r="P102" s="40" t="str">
        <f>IF(NOT(ISNUMBER(tblBoard[[#This Row],[Attainment]])),"",IF(tblBoard[[#This Row],[Attainment]]&gt;=TargetHour,"On target",IF(tblBoard[[#This Row],[Attainment]]&gt;=TargetHour*(1-0.05),"Near target","Below target")))</f>
        <v>Below target</v>
      </c>
      <c r="Q102" s="38">
        <f>IF(tblBoard[[#This Row],[Date]]="","",IF(tblBoard[[#This Row],[Hour]]="","",SUMIFS(tblBoard[Target (units)],tblBoard[Date],tblBoard[[#This Row],[Date]],tblBoard[Shift],tblBoard[[#This Row],[Shift]],tblBoard[Line],tblBoard[[#This Row],[Line]],tblBoard[Hour],"&lt;="&amp;tblBoard[[#This Row],[Hour]])))</f>
        <v>75</v>
      </c>
      <c r="R102" s="38">
        <f>IF(tblBoard[[#This Row],[Date]]="","",IF(tblBoard[[#This Row],[Hour]]="","",SUMIFS(tblBoard[Actual (units)],tblBoard[Date],tblBoard[[#This Row],[Date]],tblBoard[Shift],tblBoard[[#This Row],[Shift]],tblBoard[Line],tblBoard[[#This Row],[Line]],tblBoard[Hour],"&lt;="&amp;tblBoard[[#This Row],[Hour]])))</f>
        <v>69</v>
      </c>
      <c r="S102" s="38">
        <f>IF(tblBoard[[#This Row],[Date]]="","",IF(tblBoard[[#This Row],[Cum. target]]="","",tblBoard[[#This Row],[Cum. actual]]-tblBoard[[#This Row],[Cum. target]]))</f>
        <v>-6</v>
      </c>
      <c r="T102" s="41">
        <f>IF(tblBoard[[#This Row],[Date]]="","",IF(AND(tblBoard[[#This Row],[Date]]&gt;=FFrom,tblBoard[[#This Row],[Date]]&lt;=FTo,OR(DashLine="",tblBoard[[#This Row],[Line]]=DashLine)),tblBoard[[#This Row],[Date]],""))</f>
        <v>46303</v>
      </c>
      <c r="U10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2" s="43" t="s">
        <v>97</v>
      </c>
    </row>
    <row r="103" spans="2:22" x14ac:dyDescent="0.25">
      <c r="B103" s="36">
        <v>46303</v>
      </c>
      <c r="C103" s="28" t="s">
        <v>91</v>
      </c>
      <c r="D103" s="28" t="s">
        <v>85</v>
      </c>
      <c r="E103" s="33">
        <v>2</v>
      </c>
      <c r="F103" s="28" t="s">
        <v>105</v>
      </c>
      <c r="G103" s="33">
        <v>60</v>
      </c>
      <c r="H103" s="33">
        <v>78</v>
      </c>
      <c r="I103" s="28"/>
      <c r="J103" s="37">
        <f>IF(tblBoard[[#This Row],[Date]]="","",IFERROR(INDEX(tblProducts[Takt time (s)],MATCH(tblBoard[[#This Row],[Product]],tblProducts[Product],0)),""))</f>
        <v>48</v>
      </c>
      <c r="K103" s="38">
        <f>IF(tblBoard[[#This Row],[Date]]="","",IF(OR(tblBoard[[#This Row],[Takt (s)]]="",tblBoard[[#This Row],[Available (min)]]=""),"",INT(tblBoard[[#This Row],[Available (min)]]*60/tblBoard[[#This Row],[Takt (s)]])))</f>
        <v>75</v>
      </c>
      <c r="L103" s="38">
        <f>IF(tblBoard[[#This Row],[Date]]="","",IF(tblBoard[[#This Row],[Target (units)]]="","",tblBoard[[#This Row],[Actual (units)]]-tblBoard[[#This Row],[Target (units)]]))</f>
        <v>3</v>
      </c>
      <c r="M103" s="38">
        <f>IF(tblBoard[[#This Row],[Date]]="","",IF(tblBoard[[#This Row],[Target (units)]]="","",MAX(0,tblBoard[[#This Row],[Target (units)]]-tblBoard[[#This Row],[Actual (units)]])))</f>
        <v>0</v>
      </c>
      <c r="N103" s="39">
        <f>IF(tblBoard[[#This Row],[Date]]="","",IF(N(tblBoard[[#This Row],[Target (units)]])&gt;0,tblBoard[[#This Row],[Actual (units)]]/tblBoard[[#This Row],[Target (units)]],""))</f>
        <v>1.04</v>
      </c>
      <c r="O103" s="38">
        <f>IF(tblBoard[[#This Row],[Date]]="","",IF(N(tblBoard[[#This Row],[Target (units)]])&gt;0,IF(tblBoard[[#This Row],[Actual (units)]]&gt;=tblBoard[[#This Row],[Target (units)]]*TargetHour,1,0),""))</f>
        <v>1</v>
      </c>
      <c r="P103" s="40" t="str">
        <f>IF(NOT(ISNUMBER(tblBoard[[#This Row],[Attainment]])),"",IF(tblBoard[[#This Row],[Attainment]]&gt;=TargetHour,"On target",IF(tblBoard[[#This Row],[Attainment]]&gt;=TargetHour*(1-0.05),"Near target","Below target")))</f>
        <v>On target</v>
      </c>
      <c r="Q103" s="38">
        <f>IF(tblBoard[[#This Row],[Date]]="","",IF(tblBoard[[#This Row],[Hour]]="","",SUMIFS(tblBoard[Target (units)],tblBoard[Date],tblBoard[[#This Row],[Date]],tblBoard[Shift],tblBoard[[#This Row],[Shift]],tblBoard[Line],tblBoard[[#This Row],[Line]],tblBoard[Hour],"&lt;="&amp;tblBoard[[#This Row],[Hour]])))</f>
        <v>150</v>
      </c>
      <c r="R103" s="38">
        <f>IF(tblBoard[[#This Row],[Date]]="","",IF(tblBoard[[#This Row],[Hour]]="","",SUMIFS(tblBoard[Actual (units)],tblBoard[Date],tblBoard[[#This Row],[Date]],tblBoard[Shift],tblBoard[[#This Row],[Shift]],tblBoard[Line],tblBoard[[#This Row],[Line]],tblBoard[Hour],"&lt;="&amp;tblBoard[[#This Row],[Hour]])))</f>
        <v>147</v>
      </c>
      <c r="S103" s="38">
        <f>IF(tblBoard[[#This Row],[Date]]="","",IF(tblBoard[[#This Row],[Cum. target]]="","",tblBoard[[#This Row],[Cum. actual]]-tblBoard[[#This Row],[Cum. target]]))</f>
        <v>-3</v>
      </c>
      <c r="T103" s="41">
        <f>IF(tblBoard[[#This Row],[Date]]="","",IF(AND(tblBoard[[#This Row],[Date]]&gt;=FFrom,tblBoard[[#This Row],[Date]]&lt;=FTo,OR(DashLine="",tblBoard[[#This Row],[Line]]=DashLine)),tblBoard[[#This Row],[Date]],""))</f>
        <v>46303</v>
      </c>
      <c r="U10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3" s="43" t="s">
        <v>97</v>
      </c>
    </row>
    <row r="104" spans="2:22" x14ac:dyDescent="0.25">
      <c r="B104" s="36">
        <v>46303</v>
      </c>
      <c r="C104" s="28" t="s">
        <v>91</v>
      </c>
      <c r="D104" s="28" t="s">
        <v>85</v>
      </c>
      <c r="E104" s="33">
        <v>3</v>
      </c>
      <c r="F104" s="28" t="s">
        <v>105</v>
      </c>
      <c r="G104" s="33">
        <v>50</v>
      </c>
      <c r="H104" s="33">
        <v>64</v>
      </c>
      <c r="I104" s="28"/>
      <c r="J104" s="37">
        <f>IF(tblBoard[[#This Row],[Date]]="","",IFERROR(INDEX(tblProducts[Takt time (s)],MATCH(tblBoard[[#This Row],[Product]],tblProducts[Product],0)),""))</f>
        <v>48</v>
      </c>
      <c r="K104" s="38">
        <f>IF(tblBoard[[#This Row],[Date]]="","",IF(OR(tblBoard[[#This Row],[Takt (s)]]="",tblBoard[[#This Row],[Available (min)]]=""),"",INT(tblBoard[[#This Row],[Available (min)]]*60/tblBoard[[#This Row],[Takt (s)]])))</f>
        <v>62</v>
      </c>
      <c r="L104" s="38">
        <f>IF(tblBoard[[#This Row],[Date]]="","",IF(tblBoard[[#This Row],[Target (units)]]="","",tblBoard[[#This Row],[Actual (units)]]-tblBoard[[#This Row],[Target (units)]]))</f>
        <v>2</v>
      </c>
      <c r="M104" s="38">
        <f>IF(tblBoard[[#This Row],[Date]]="","",IF(tblBoard[[#This Row],[Target (units)]]="","",MAX(0,tblBoard[[#This Row],[Target (units)]]-tblBoard[[#This Row],[Actual (units)]])))</f>
        <v>0</v>
      </c>
      <c r="N104" s="39">
        <f>IF(tblBoard[[#This Row],[Date]]="","",IF(N(tblBoard[[#This Row],[Target (units)]])&gt;0,tblBoard[[#This Row],[Actual (units)]]/tblBoard[[#This Row],[Target (units)]],""))</f>
        <v>1.03225806451613</v>
      </c>
      <c r="O104" s="38">
        <f>IF(tblBoard[[#This Row],[Date]]="","",IF(N(tblBoard[[#This Row],[Target (units)]])&gt;0,IF(tblBoard[[#This Row],[Actual (units)]]&gt;=tblBoard[[#This Row],[Target (units)]]*TargetHour,1,0),""))</f>
        <v>1</v>
      </c>
      <c r="P104" s="40" t="str">
        <f>IF(NOT(ISNUMBER(tblBoard[[#This Row],[Attainment]])),"",IF(tblBoard[[#This Row],[Attainment]]&gt;=TargetHour,"On target",IF(tblBoard[[#This Row],[Attainment]]&gt;=TargetHour*(1-0.05),"Near target","Below target")))</f>
        <v>On target</v>
      </c>
      <c r="Q104" s="38">
        <f>IF(tblBoard[[#This Row],[Date]]="","",IF(tblBoard[[#This Row],[Hour]]="","",SUMIFS(tblBoard[Target (units)],tblBoard[Date],tblBoard[[#This Row],[Date]],tblBoard[Shift],tblBoard[[#This Row],[Shift]],tblBoard[Line],tblBoard[[#This Row],[Line]],tblBoard[Hour],"&lt;="&amp;tblBoard[[#This Row],[Hour]])))</f>
        <v>212</v>
      </c>
      <c r="R104" s="38">
        <f>IF(tblBoard[[#This Row],[Date]]="","",IF(tblBoard[[#This Row],[Hour]]="","",SUMIFS(tblBoard[Actual (units)],tblBoard[Date],tblBoard[[#This Row],[Date]],tblBoard[Shift],tblBoard[[#This Row],[Shift]],tblBoard[Line],tblBoard[[#This Row],[Line]],tblBoard[Hour],"&lt;="&amp;tblBoard[[#This Row],[Hour]])))</f>
        <v>211</v>
      </c>
      <c r="S104" s="38">
        <f>IF(tblBoard[[#This Row],[Date]]="","",IF(tblBoard[[#This Row],[Cum. target]]="","",tblBoard[[#This Row],[Cum. actual]]-tblBoard[[#This Row],[Cum. target]]))</f>
        <v>-1</v>
      </c>
      <c r="T104" s="41">
        <f>IF(tblBoard[[#This Row],[Date]]="","",IF(AND(tblBoard[[#This Row],[Date]]&gt;=FFrom,tblBoard[[#This Row],[Date]]&lt;=FTo,OR(DashLine="",tblBoard[[#This Row],[Line]]=DashLine)),tblBoard[[#This Row],[Date]],""))</f>
        <v>46303</v>
      </c>
      <c r="U10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4" s="43" t="s">
        <v>97</v>
      </c>
    </row>
    <row r="105" spans="2:22" x14ac:dyDescent="0.25">
      <c r="B105" s="36">
        <v>46303</v>
      </c>
      <c r="C105" s="28" t="s">
        <v>91</v>
      </c>
      <c r="D105" s="28" t="s">
        <v>85</v>
      </c>
      <c r="E105" s="33">
        <v>4</v>
      </c>
      <c r="F105" s="28" t="s">
        <v>105</v>
      </c>
      <c r="G105" s="33">
        <v>60</v>
      </c>
      <c r="H105" s="33">
        <v>72</v>
      </c>
      <c r="I105" s="28" t="s">
        <v>114</v>
      </c>
      <c r="J105" s="37">
        <f>IF(tblBoard[[#This Row],[Date]]="","",IFERROR(INDEX(tblProducts[Takt time (s)],MATCH(tblBoard[[#This Row],[Product]],tblProducts[Product],0)),""))</f>
        <v>48</v>
      </c>
      <c r="K105" s="38">
        <f>IF(tblBoard[[#This Row],[Date]]="","",IF(OR(tblBoard[[#This Row],[Takt (s)]]="",tblBoard[[#This Row],[Available (min)]]=""),"",INT(tblBoard[[#This Row],[Available (min)]]*60/tblBoard[[#This Row],[Takt (s)]])))</f>
        <v>75</v>
      </c>
      <c r="L105" s="38">
        <f>IF(tblBoard[[#This Row],[Date]]="","",IF(tblBoard[[#This Row],[Target (units)]]="","",tblBoard[[#This Row],[Actual (units)]]-tblBoard[[#This Row],[Target (units)]]))</f>
        <v>-3</v>
      </c>
      <c r="M105" s="38">
        <f>IF(tblBoard[[#This Row],[Date]]="","",IF(tblBoard[[#This Row],[Target (units)]]="","",MAX(0,tblBoard[[#This Row],[Target (units)]]-tblBoard[[#This Row],[Actual (units)]])))</f>
        <v>3</v>
      </c>
      <c r="N105" s="39">
        <f>IF(tblBoard[[#This Row],[Date]]="","",IF(N(tblBoard[[#This Row],[Target (units)]])&gt;0,tblBoard[[#This Row],[Actual (units)]]/tblBoard[[#This Row],[Target (units)]],""))</f>
        <v>0.96</v>
      </c>
      <c r="O105" s="38">
        <f>IF(tblBoard[[#This Row],[Date]]="","",IF(N(tblBoard[[#This Row],[Target (units)]])&gt;0,IF(tblBoard[[#This Row],[Actual (units)]]&gt;=tblBoard[[#This Row],[Target (units)]]*TargetHour,1,0),""))</f>
        <v>0</v>
      </c>
      <c r="P105" s="40" t="str">
        <f>IF(NOT(ISNUMBER(tblBoard[[#This Row],[Attainment]])),"",IF(tblBoard[[#This Row],[Attainment]]&gt;=TargetHour,"On target",IF(tblBoard[[#This Row],[Attainment]]&gt;=TargetHour*(1-0.05),"Near target","Below target")))</f>
        <v>Near target</v>
      </c>
      <c r="Q105" s="38">
        <f>IF(tblBoard[[#This Row],[Date]]="","",IF(tblBoard[[#This Row],[Hour]]="","",SUMIFS(tblBoard[Target (units)],tblBoard[Date],tblBoard[[#This Row],[Date]],tblBoard[Shift],tblBoard[[#This Row],[Shift]],tblBoard[Line],tblBoard[[#This Row],[Line]],tblBoard[Hour],"&lt;="&amp;tblBoard[[#This Row],[Hour]])))</f>
        <v>287</v>
      </c>
      <c r="R105" s="38">
        <f>IF(tblBoard[[#This Row],[Date]]="","",IF(tblBoard[[#This Row],[Hour]]="","",SUMIFS(tblBoard[Actual (units)],tblBoard[Date],tblBoard[[#This Row],[Date]],tblBoard[Shift],tblBoard[[#This Row],[Shift]],tblBoard[Line],tblBoard[[#This Row],[Line]],tblBoard[Hour],"&lt;="&amp;tblBoard[[#This Row],[Hour]])))</f>
        <v>283</v>
      </c>
      <c r="S105" s="38">
        <f>IF(tblBoard[[#This Row],[Date]]="","",IF(tblBoard[[#This Row],[Cum. target]]="","",tblBoard[[#This Row],[Cum. actual]]-tblBoard[[#This Row],[Cum. target]]))</f>
        <v>-4</v>
      </c>
      <c r="T105" s="41">
        <f>IF(tblBoard[[#This Row],[Date]]="","",IF(AND(tblBoard[[#This Row],[Date]]&gt;=FFrom,tblBoard[[#This Row],[Date]]&lt;=FTo,OR(DashLine="",tblBoard[[#This Row],[Line]]=DashLine)),tblBoard[[#This Row],[Date]],""))</f>
        <v>46303</v>
      </c>
      <c r="U10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5" s="43" t="s">
        <v>97</v>
      </c>
    </row>
    <row r="106" spans="2:22" x14ac:dyDescent="0.25">
      <c r="B106" s="36">
        <v>46303</v>
      </c>
      <c r="C106" s="28" t="s">
        <v>91</v>
      </c>
      <c r="D106" s="28" t="s">
        <v>85</v>
      </c>
      <c r="E106" s="33">
        <v>5</v>
      </c>
      <c r="F106" s="28" t="s">
        <v>105</v>
      </c>
      <c r="G106" s="33">
        <v>30</v>
      </c>
      <c r="H106" s="33">
        <v>36</v>
      </c>
      <c r="I106" s="28" t="s">
        <v>116</v>
      </c>
      <c r="J106" s="37">
        <f>IF(tblBoard[[#This Row],[Date]]="","",IFERROR(INDEX(tblProducts[Takt time (s)],MATCH(tblBoard[[#This Row],[Product]],tblProducts[Product],0)),""))</f>
        <v>48</v>
      </c>
      <c r="K106" s="38">
        <f>IF(tblBoard[[#This Row],[Date]]="","",IF(OR(tblBoard[[#This Row],[Takt (s)]]="",tblBoard[[#This Row],[Available (min)]]=""),"",INT(tblBoard[[#This Row],[Available (min)]]*60/tblBoard[[#This Row],[Takt (s)]])))</f>
        <v>37</v>
      </c>
      <c r="L106" s="38">
        <f>IF(tblBoard[[#This Row],[Date]]="","",IF(tblBoard[[#This Row],[Target (units)]]="","",tblBoard[[#This Row],[Actual (units)]]-tblBoard[[#This Row],[Target (units)]]))</f>
        <v>-1</v>
      </c>
      <c r="M106" s="38">
        <f>IF(tblBoard[[#This Row],[Date]]="","",IF(tblBoard[[#This Row],[Target (units)]]="","",MAX(0,tblBoard[[#This Row],[Target (units)]]-tblBoard[[#This Row],[Actual (units)]])))</f>
        <v>1</v>
      </c>
      <c r="N106" s="39">
        <f>IF(tblBoard[[#This Row],[Date]]="","",IF(N(tblBoard[[#This Row],[Target (units)]])&gt;0,tblBoard[[#This Row],[Actual (units)]]/tblBoard[[#This Row],[Target (units)]],""))</f>
        <v>0.972972972972973</v>
      </c>
      <c r="O106" s="38">
        <f>IF(tblBoard[[#This Row],[Date]]="","",IF(N(tblBoard[[#This Row],[Target (units)]])&gt;0,IF(tblBoard[[#This Row],[Actual (units)]]&gt;=tblBoard[[#This Row],[Target (units)]]*TargetHour,1,0),""))</f>
        <v>0</v>
      </c>
      <c r="P106" s="40" t="str">
        <f>IF(NOT(ISNUMBER(tblBoard[[#This Row],[Attainment]])),"",IF(tblBoard[[#This Row],[Attainment]]&gt;=TargetHour,"On target",IF(tblBoard[[#This Row],[Attainment]]&gt;=TargetHour*(1-0.05),"Near target","Below target")))</f>
        <v>Near target</v>
      </c>
      <c r="Q106" s="38">
        <f>IF(tblBoard[[#This Row],[Date]]="","",IF(tblBoard[[#This Row],[Hour]]="","",SUMIFS(tblBoard[Target (units)],tblBoard[Date],tblBoard[[#This Row],[Date]],tblBoard[Shift],tblBoard[[#This Row],[Shift]],tblBoard[Line],tblBoard[[#This Row],[Line]],tblBoard[Hour],"&lt;="&amp;tblBoard[[#This Row],[Hour]])))</f>
        <v>324</v>
      </c>
      <c r="R106" s="38">
        <f>IF(tblBoard[[#This Row],[Date]]="","",IF(tblBoard[[#This Row],[Hour]]="","",SUMIFS(tblBoard[Actual (units)],tblBoard[Date],tblBoard[[#This Row],[Date]],tblBoard[Shift],tblBoard[[#This Row],[Shift]],tblBoard[Line],tblBoard[[#This Row],[Line]],tblBoard[Hour],"&lt;="&amp;tblBoard[[#This Row],[Hour]])))</f>
        <v>319</v>
      </c>
      <c r="S106" s="38">
        <f>IF(tblBoard[[#This Row],[Date]]="","",IF(tblBoard[[#This Row],[Cum. target]]="","",tblBoard[[#This Row],[Cum. actual]]-tblBoard[[#This Row],[Cum. target]]))</f>
        <v>-5</v>
      </c>
      <c r="T106" s="41">
        <f>IF(tblBoard[[#This Row],[Date]]="","",IF(AND(tblBoard[[#This Row],[Date]]&gt;=FFrom,tblBoard[[#This Row],[Date]]&lt;=FTo,OR(DashLine="",tblBoard[[#This Row],[Line]]=DashLine)),tblBoard[[#This Row],[Date]],""))</f>
        <v>46303</v>
      </c>
      <c r="U10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6" s="43" t="s">
        <v>146</v>
      </c>
    </row>
    <row r="107" spans="2:22" x14ac:dyDescent="0.25">
      <c r="B107" s="36">
        <v>46303</v>
      </c>
      <c r="C107" s="28" t="s">
        <v>91</v>
      </c>
      <c r="D107" s="28" t="s">
        <v>85</v>
      </c>
      <c r="E107" s="33">
        <v>6</v>
      </c>
      <c r="F107" s="28" t="s">
        <v>105</v>
      </c>
      <c r="G107" s="33">
        <v>60</v>
      </c>
      <c r="H107" s="33">
        <v>73</v>
      </c>
      <c r="I107" s="28" t="s">
        <v>114</v>
      </c>
      <c r="J107" s="37">
        <f>IF(tblBoard[[#This Row],[Date]]="","",IFERROR(INDEX(tblProducts[Takt time (s)],MATCH(tblBoard[[#This Row],[Product]],tblProducts[Product],0)),""))</f>
        <v>48</v>
      </c>
      <c r="K107" s="38">
        <f>IF(tblBoard[[#This Row],[Date]]="","",IF(OR(tblBoard[[#This Row],[Takt (s)]]="",tblBoard[[#This Row],[Available (min)]]=""),"",INT(tblBoard[[#This Row],[Available (min)]]*60/tblBoard[[#This Row],[Takt (s)]])))</f>
        <v>75</v>
      </c>
      <c r="L107" s="38">
        <f>IF(tblBoard[[#This Row],[Date]]="","",IF(tblBoard[[#This Row],[Target (units)]]="","",tblBoard[[#This Row],[Actual (units)]]-tblBoard[[#This Row],[Target (units)]]))</f>
        <v>-2</v>
      </c>
      <c r="M107" s="38">
        <f>IF(tblBoard[[#This Row],[Date]]="","",IF(tblBoard[[#This Row],[Target (units)]]="","",MAX(0,tblBoard[[#This Row],[Target (units)]]-tblBoard[[#This Row],[Actual (units)]])))</f>
        <v>2</v>
      </c>
      <c r="N107" s="39">
        <f>IF(tblBoard[[#This Row],[Date]]="","",IF(N(tblBoard[[#This Row],[Target (units)]])&gt;0,tblBoard[[#This Row],[Actual (units)]]/tblBoard[[#This Row],[Target (units)]],""))</f>
        <v>0.973333333333333</v>
      </c>
      <c r="O107" s="38">
        <f>IF(tblBoard[[#This Row],[Date]]="","",IF(N(tblBoard[[#This Row],[Target (units)]])&gt;0,IF(tblBoard[[#This Row],[Actual (units)]]&gt;=tblBoard[[#This Row],[Target (units)]]*TargetHour,1,0),""))</f>
        <v>0</v>
      </c>
      <c r="P107" s="40" t="str">
        <f>IF(NOT(ISNUMBER(tblBoard[[#This Row],[Attainment]])),"",IF(tblBoard[[#This Row],[Attainment]]&gt;=TargetHour,"On target",IF(tblBoard[[#This Row],[Attainment]]&gt;=TargetHour*(1-0.05),"Near target","Below target")))</f>
        <v>Near target</v>
      </c>
      <c r="Q107" s="38">
        <f>IF(tblBoard[[#This Row],[Date]]="","",IF(tblBoard[[#This Row],[Hour]]="","",SUMIFS(tblBoard[Target (units)],tblBoard[Date],tblBoard[[#This Row],[Date]],tblBoard[Shift],tblBoard[[#This Row],[Shift]],tblBoard[Line],tblBoard[[#This Row],[Line]],tblBoard[Hour],"&lt;="&amp;tblBoard[[#This Row],[Hour]])))</f>
        <v>399</v>
      </c>
      <c r="R107" s="38">
        <f>IF(tblBoard[[#This Row],[Date]]="","",IF(tblBoard[[#This Row],[Hour]]="","",SUMIFS(tblBoard[Actual (units)],tblBoard[Date],tblBoard[[#This Row],[Date]],tblBoard[Shift],tblBoard[[#This Row],[Shift]],tblBoard[Line],tblBoard[[#This Row],[Line]],tblBoard[Hour],"&lt;="&amp;tblBoard[[#This Row],[Hour]])))</f>
        <v>392</v>
      </c>
      <c r="S107" s="38">
        <f>IF(tblBoard[[#This Row],[Date]]="","",IF(tblBoard[[#This Row],[Cum. target]]="","",tblBoard[[#This Row],[Cum. actual]]-tblBoard[[#This Row],[Cum. target]]))</f>
        <v>-7</v>
      </c>
      <c r="T107" s="41">
        <f>IF(tblBoard[[#This Row],[Date]]="","",IF(AND(tblBoard[[#This Row],[Date]]&gt;=FFrom,tblBoard[[#This Row],[Date]]&lt;=FTo,OR(DashLine="",tblBoard[[#This Row],[Line]]=DashLine)),tblBoard[[#This Row],[Date]],""))</f>
        <v>46303</v>
      </c>
      <c r="U10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7" s="43" t="s">
        <v>97</v>
      </c>
    </row>
    <row r="108" spans="2:22" x14ac:dyDescent="0.25">
      <c r="B108" s="36">
        <v>46303</v>
      </c>
      <c r="C108" s="28" t="s">
        <v>91</v>
      </c>
      <c r="D108" s="28" t="s">
        <v>85</v>
      </c>
      <c r="E108" s="33">
        <v>7</v>
      </c>
      <c r="F108" s="28" t="s">
        <v>105</v>
      </c>
      <c r="G108" s="33">
        <v>50</v>
      </c>
      <c r="H108" s="33">
        <v>63</v>
      </c>
      <c r="I108" s="28"/>
      <c r="J108" s="37">
        <f>IF(tblBoard[[#This Row],[Date]]="","",IFERROR(INDEX(tblProducts[Takt time (s)],MATCH(tblBoard[[#This Row],[Product]],tblProducts[Product],0)),""))</f>
        <v>48</v>
      </c>
      <c r="K108" s="38">
        <f>IF(tblBoard[[#This Row],[Date]]="","",IF(OR(tblBoard[[#This Row],[Takt (s)]]="",tblBoard[[#This Row],[Available (min)]]=""),"",INT(tblBoard[[#This Row],[Available (min)]]*60/tblBoard[[#This Row],[Takt (s)]])))</f>
        <v>62</v>
      </c>
      <c r="L108" s="38">
        <f>IF(tblBoard[[#This Row],[Date]]="","",IF(tblBoard[[#This Row],[Target (units)]]="","",tblBoard[[#This Row],[Actual (units)]]-tblBoard[[#This Row],[Target (units)]]))</f>
        <v>1</v>
      </c>
      <c r="M108" s="38">
        <f>IF(tblBoard[[#This Row],[Date]]="","",IF(tblBoard[[#This Row],[Target (units)]]="","",MAX(0,tblBoard[[#This Row],[Target (units)]]-tblBoard[[#This Row],[Actual (units)]])))</f>
        <v>0</v>
      </c>
      <c r="N108" s="39">
        <f>IF(tblBoard[[#This Row],[Date]]="","",IF(N(tblBoard[[#This Row],[Target (units)]])&gt;0,tblBoard[[#This Row],[Actual (units)]]/tblBoard[[#This Row],[Target (units)]],""))</f>
        <v>1.01612903225806</v>
      </c>
      <c r="O108" s="38">
        <f>IF(tblBoard[[#This Row],[Date]]="","",IF(N(tblBoard[[#This Row],[Target (units)]])&gt;0,IF(tblBoard[[#This Row],[Actual (units)]]&gt;=tblBoard[[#This Row],[Target (units)]]*TargetHour,1,0),""))</f>
        <v>1</v>
      </c>
      <c r="P108" s="40" t="str">
        <f>IF(NOT(ISNUMBER(tblBoard[[#This Row],[Attainment]])),"",IF(tblBoard[[#This Row],[Attainment]]&gt;=TargetHour,"On target",IF(tblBoard[[#This Row],[Attainment]]&gt;=TargetHour*(1-0.05),"Near target","Below target")))</f>
        <v>On target</v>
      </c>
      <c r="Q108" s="38">
        <f>IF(tblBoard[[#This Row],[Date]]="","",IF(tblBoard[[#This Row],[Hour]]="","",SUMIFS(tblBoard[Target (units)],tblBoard[Date],tblBoard[[#This Row],[Date]],tblBoard[Shift],tblBoard[[#This Row],[Shift]],tblBoard[Line],tblBoard[[#This Row],[Line]],tblBoard[Hour],"&lt;="&amp;tblBoard[[#This Row],[Hour]])))</f>
        <v>461</v>
      </c>
      <c r="R108" s="38">
        <f>IF(tblBoard[[#This Row],[Date]]="","",IF(tblBoard[[#This Row],[Hour]]="","",SUMIFS(tblBoard[Actual (units)],tblBoard[Date],tblBoard[[#This Row],[Date]],tblBoard[Shift],tblBoard[[#This Row],[Shift]],tblBoard[Line],tblBoard[[#This Row],[Line]],tblBoard[Hour],"&lt;="&amp;tblBoard[[#This Row],[Hour]])))</f>
        <v>455</v>
      </c>
      <c r="S108" s="38">
        <f>IF(tblBoard[[#This Row],[Date]]="","",IF(tblBoard[[#This Row],[Cum. target]]="","",tblBoard[[#This Row],[Cum. actual]]-tblBoard[[#This Row],[Cum. target]]))</f>
        <v>-6</v>
      </c>
      <c r="T108" s="41">
        <f>IF(tblBoard[[#This Row],[Date]]="","",IF(AND(tblBoard[[#This Row],[Date]]&gt;=FFrom,tblBoard[[#This Row],[Date]]&lt;=FTo,OR(DashLine="",tblBoard[[#This Row],[Line]]=DashLine)),tblBoard[[#This Row],[Date]],""))</f>
        <v>46303</v>
      </c>
      <c r="U10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8" s="43" t="s">
        <v>97</v>
      </c>
    </row>
    <row r="109" spans="2:22" x14ac:dyDescent="0.25">
      <c r="B109" s="36">
        <v>46303</v>
      </c>
      <c r="C109" s="28" t="s">
        <v>91</v>
      </c>
      <c r="D109" s="28" t="s">
        <v>85</v>
      </c>
      <c r="E109" s="33">
        <v>8</v>
      </c>
      <c r="F109" s="28" t="s">
        <v>105</v>
      </c>
      <c r="G109" s="33">
        <v>50</v>
      </c>
      <c r="H109" s="33">
        <v>60</v>
      </c>
      <c r="I109" s="28" t="s">
        <v>114</v>
      </c>
      <c r="J109" s="37">
        <f>IF(tblBoard[[#This Row],[Date]]="","",IFERROR(INDEX(tblProducts[Takt time (s)],MATCH(tblBoard[[#This Row],[Product]],tblProducts[Product],0)),""))</f>
        <v>48</v>
      </c>
      <c r="K109" s="38">
        <f>IF(tblBoard[[#This Row],[Date]]="","",IF(OR(tblBoard[[#This Row],[Takt (s)]]="",tblBoard[[#This Row],[Available (min)]]=""),"",INT(tblBoard[[#This Row],[Available (min)]]*60/tblBoard[[#This Row],[Takt (s)]])))</f>
        <v>62</v>
      </c>
      <c r="L109" s="38">
        <f>IF(tblBoard[[#This Row],[Date]]="","",IF(tblBoard[[#This Row],[Target (units)]]="","",tblBoard[[#This Row],[Actual (units)]]-tblBoard[[#This Row],[Target (units)]]))</f>
        <v>-2</v>
      </c>
      <c r="M109" s="38">
        <f>IF(tblBoard[[#This Row],[Date]]="","",IF(tblBoard[[#This Row],[Target (units)]]="","",MAX(0,tblBoard[[#This Row],[Target (units)]]-tblBoard[[#This Row],[Actual (units)]])))</f>
        <v>2</v>
      </c>
      <c r="N109" s="39">
        <f>IF(tblBoard[[#This Row],[Date]]="","",IF(N(tblBoard[[#This Row],[Target (units)]])&gt;0,tblBoard[[#This Row],[Actual (units)]]/tblBoard[[#This Row],[Target (units)]],""))</f>
        <v>0.967741935483871</v>
      </c>
      <c r="O109" s="38">
        <f>IF(tblBoard[[#This Row],[Date]]="","",IF(N(tblBoard[[#This Row],[Target (units)]])&gt;0,IF(tblBoard[[#This Row],[Actual (units)]]&gt;=tblBoard[[#This Row],[Target (units)]]*TargetHour,1,0),""))</f>
        <v>0</v>
      </c>
      <c r="P109" s="40" t="str">
        <f>IF(NOT(ISNUMBER(tblBoard[[#This Row],[Attainment]])),"",IF(tblBoard[[#This Row],[Attainment]]&gt;=TargetHour,"On target",IF(tblBoard[[#This Row],[Attainment]]&gt;=TargetHour*(1-0.05),"Near target","Below target")))</f>
        <v>Near target</v>
      </c>
      <c r="Q109" s="38">
        <f>IF(tblBoard[[#This Row],[Date]]="","",IF(tblBoard[[#This Row],[Hour]]="","",SUMIFS(tblBoard[Target (units)],tblBoard[Date],tblBoard[[#This Row],[Date]],tblBoard[Shift],tblBoard[[#This Row],[Shift]],tblBoard[Line],tblBoard[[#This Row],[Line]],tblBoard[Hour],"&lt;="&amp;tblBoard[[#This Row],[Hour]])))</f>
        <v>523</v>
      </c>
      <c r="R109" s="38">
        <f>IF(tblBoard[[#This Row],[Date]]="","",IF(tblBoard[[#This Row],[Hour]]="","",SUMIFS(tblBoard[Actual (units)],tblBoard[Date],tblBoard[[#This Row],[Date]],tblBoard[Shift],tblBoard[[#This Row],[Shift]],tblBoard[Line],tblBoard[[#This Row],[Line]],tblBoard[Hour],"&lt;="&amp;tblBoard[[#This Row],[Hour]])))</f>
        <v>515</v>
      </c>
      <c r="S109" s="38">
        <f>IF(tblBoard[[#This Row],[Date]]="","",IF(tblBoard[[#This Row],[Cum. target]]="","",tblBoard[[#This Row],[Cum. actual]]-tblBoard[[#This Row],[Cum. target]]))</f>
        <v>-8</v>
      </c>
      <c r="T109" s="41">
        <f>IF(tblBoard[[#This Row],[Date]]="","",IF(AND(tblBoard[[#This Row],[Date]]&gt;=FFrom,tblBoard[[#This Row],[Date]]&lt;=FTo,OR(DashLine="",tblBoard[[#This Row],[Line]]=DashLine)),tblBoard[[#This Row],[Date]],""))</f>
        <v>46303</v>
      </c>
      <c r="U10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09" s="43" t="s">
        <v>97</v>
      </c>
    </row>
    <row r="110" spans="2:22" x14ac:dyDescent="0.25">
      <c r="B110" s="36">
        <v>46303</v>
      </c>
      <c r="C110" s="28" t="s">
        <v>91</v>
      </c>
      <c r="D110" s="28" t="s">
        <v>88</v>
      </c>
      <c r="E110" s="33">
        <v>1</v>
      </c>
      <c r="F110" s="28" t="s">
        <v>107</v>
      </c>
      <c r="G110" s="33">
        <v>60</v>
      </c>
      <c r="H110" s="33">
        <v>113</v>
      </c>
      <c r="I110" s="28" t="s">
        <v>110</v>
      </c>
      <c r="J110" s="37">
        <f>IF(tblBoard[[#This Row],[Date]]="","",IFERROR(INDEX(tblProducts[Takt time (s)],MATCH(tblBoard[[#This Row],[Product]],tblProducts[Product],0)),""))</f>
        <v>30</v>
      </c>
      <c r="K110" s="38">
        <f>IF(tblBoard[[#This Row],[Date]]="","",IF(OR(tblBoard[[#This Row],[Takt (s)]]="",tblBoard[[#This Row],[Available (min)]]=""),"",INT(tblBoard[[#This Row],[Available (min)]]*60/tblBoard[[#This Row],[Takt (s)]])))</f>
        <v>120</v>
      </c>
      <c r="L110" s="38">
        <f>IF(tblBoard[[#This Row],[Date]]="","",IF(tblBoard[[#This Row],[Target (units)]]="","",tblBoard[[#This Row],[Actual (units)]]-tblBoard[[#This Row],[Target (units)]]))</f>
        <v>-7</v>
      </c>
      <c r="M110" s="38">
        <f>IF(tblBoard[[#This Row],[Date]]="","",IF(tblBoard[[#This Row],[Target (units)]]="","",MAX(0,tblBoard[[#This Row],[Target (units)]]-tblBoard[[#This Row],[Actual (units)]])))</f>
        <v>7</v>
      </c>
      <c r="N110" s="39">
        <f>IF(tblBoard[[#This Row],[Date]]="","",IF(N(tblBoard[[#This Row],[Target (units)]])&gt;0,tblBoard[[#This Row],[Actual (units)]]/tblBoard[[#This Row],[Target (units)]],""))</f>
        <v>0.941666666666667</v>
      </c>
      <c r="O110" s="38">
        <f>IF(tblBoard[[#This Row],[Date]]="","",IF(N(tblBoard[[#This Row],[Target (units)]])&gt;0,IF(tblBoard[[#This Row],[Actual (units)]]&gt;=tblBoard[[#This Row],[Target (units)]]*TargetHour,1,0),""))</f>
        <v>0</v>
      </c>
      <c r="P110" s="40" t="str">
        <f>IF(NOT(ISNUMBER(tblBoard[[#This Row],[Attainment]])),"",IF(tblBoard[[#This Row],[Attainment]]&gt;=TargetHour,"On target",IF(tblBoard[[#This Row],[Attainment]]&gt;=TargetHour*(1-0.05),"Near target","Below target")))</f>
        <v>Below target</v>
      </c>
      <c r="Q110" s="38">
        <f>IF(tblBoard[[#This Row],[Date]]="","",IF(tblBoard[[#This Row],[Hour]]="","",SUMIFS(tblBoard[Target (units)],tblBoard[Date],tblBoard[[#This Row],[Date]],tblBoard[Shift],tblBoard[[#This Row],[Shift]],tblBoard[Line],tblBoard[[#This Row],[Line]],tblBoard[Hour],"&lt;="&amp;tblBoard[[#This Row],[Hour]])))</f>
        <v>120</v>
      </c>
      <c r="R110" s="38">
        <f>IF(tblBoard[[#This Row],[Date]]="","",IF(tblBoard[[#This Row],[Hour]]="","",SUMIFS(tblBoard[Actual (units)],tblBoard[Date],tblBoard[[#This Row],[Date]],tblBoard[Shift],tblBoard[[#This Row],[Shift]],tblBoard[Line],tblBoard[[#This Row],[Line]],tblBoard[Hour],"&lt;="&amp;tblBoard[[#This Row],[Hour]])))</f>
        <v>113</v>
      </c>
      <c r="S110" s="38">
        <f>IF(tblBoard[[#This Row],[Date]]="","",IF(tblBoard[[#This Row],[Cum. target]]="","",tblBoard[[#This Row],[Cum. actual]]-tblBoard[[#This Row],[Cum. target]]))</f>
        <v>-7</v>
      </c>
      <c r="T110" s="41">
        <f>IF(tblBoard[[#This Row],[Date]]="","",IF(AND(tblBoard[[#This Row],[Date]]&gt;=FFrom,tblBoard[[#This Row],[Date]]&lt;=FTo,OR(DashLine="",tblBoard[[#This Row],[Line]]=DashLine)),tblBoard[[#This Row],[Date]],""))</f>
        <v>46303</v>
      </c>
      <c r="U11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0" s="43" t="s">
        <v>97</v>
      </c>
    </row>
    <row r="111" spans="2:22" x14ac:dyDescent="0.25">
      <c r="B111" s="36">
        <v>46303</v>
      </c>
      <c r="C111" s="28" t="s">
        <v>91</v>
      </c>
      <c r="D111" s="28" t="s">
        <v>88</v>
      </c>
      <c r="E111" s="33">
        <v>2</v>
      </c>
      <c r="F111" s="28" t="s">
        <v>107</v>
      </c>
      <c r="G111" s="33">
        <v>60</v>
      </c>
      <c r="H111" s="33">
        <v>118</v>
      </c>
      <c r="I111" s="28" t="s">
        <v>118</v>
      </c>
      <c r="J111" s="37">
        <f>IF(tblBoard[[#This Row],[Date]]="","",IFERROR(INDEX(tblProducts[Takt time (s)],MATCH(tblBoard[[#This Row],[Product]],tblProducts[Product],0)),""))</f>
        <v>30</v>
      </c>
      <c r="K111" s="38">
        <f>IF(tblBoard[[#This Row],[Date]]="","",IF(OR(tblBoard[[#This Row],[Takt (s)]]="",tblBoard[[#This Row],[Available (min)]]=""),"",INT(tblBoard[[#This Row],[Available (min)]]*60/tblBoard[[#This Row],[Takt (s)]])))</f>
        <v>120</v>
      </c>
      <c r="L111" s="38">
        <f>IF(tblBoard[[#This Row],[Date]]="","",IF(tblBoard[[#This Row],[Target (units)]]="","",tblBoard[[#This Row],[Actual (units)]]-tblBoard[[#This Row],[Target (units)]]))</f>
        <v>-2</v>
      </c>
      <c r="M111" s="38">
        <f>IF(tblBoard[[#This Row],[Date]]="","",IF(tblBoard[[#This Row],[Target (units)]]="","",MAX(0,tblBoard[[#This Row],[Target (units)]]-tblBoard[[#This Row],[Actual (units)]])))</f>
        <v>2</v>
      </c>
      <c r="N111" s="39">
        <f>IF(tblBoard[[#This Row],[Date]]="","",IF(N(tblBoard[[#This Row],[Target (units)]])&gt;0,tblBoard[[#This Row],[Actual (units)]]/tblBoard[[#This Row],[Target (units)]],""))</f>
        <v>0.983333333333333</v>
      </c>
      <c r="O111" s="38">
        <f>IF(tblBoard[[#This Row],[Date]]="","",IF(N(tblBoard[[#This Row],[Target (units)]])&gt;0,IF(tblBoard[[#This Row],[Actual (units)]]&gt;=tblBoard[[#This Row],[Target (units)]]*TargetHour,1,0),""))</f>
        <v>0</v>
      </c>
      <c r="P111" s="40" t="str">
        <f>IF(NOT(ISNUMBER(tblBoard[[#This Row],[Attainment]])),"",IF(tblBoard[[#This Row],[Attainment]]&gt;=TargetHour,"On target",IF(tblBoard[[#This Row],[Attainment]]&gt;=TargetHour*(1-0.05),"Near target","Below target")))</f>
        <v>Near target</v>
      </c>
      <c r="Q111" s="38">
        <f>IF(tblBoard[[#This Row],[Date]]="","",IF(tblBoard[[#This Row],[Hour]]="","",SUMIFS(tblBoard[Target (units)],tblBoard[Date],tblBoard[[#This Row],[Date]],tblBoard[Shift],tblBoard[[#This Row],[Shift]],tblBoard[Line],tblBoard[[#This Row],[Line]],tblBoard[Hour],"&lt;="&amp;tblBoard[[#This Row],[Hour]])))</f>
        <v>240</v>
      </c>
      <c r="R111" s="38">
        <f>IF(tblBoard[[#This Row],[Date]]="","",IF(tblBoard[[#This Row],[Hour]]="","",SUMIFS(tblBoard[Actual (units)],tblBoard[Date],tblBoard[[#This Row],[Date]],tblBoard[Shift],tblBoard[[#This Row],[Shift]],tblBoard[Line],tblBoard[[#This Row],[Line]],tblBoard[Hour],"&lt;="&amp;tblBoard[[#This Row],[Hour]])))</f>
        <v>231</v>
      </c>
      <c r="S111" s="38">
        <f>IF(tblBoard[[#This Row],[Date]]="","",IF(tblBoard[[#This Row],[Cum. target]]="","",tblBoard[[#This Row],[Cum. actual]]-tblBoard[[#This Row],[Cum. target]]))</f>
        <v>-9</v>
      </c>
      <c r="T111" s="41">
        <f>IF(tblBoard[[#This Row],[Date]]="","",IF(AND(tblBoard[[#This Row],[Date]]&gt;=FFrom,tblBoard[[#This Row],[Date]]&lt;=FTo,OR(DashLine="",tblBoard[[#This Row],[Line]]=DashLine)),tblBoard[[#This Row],[Date]],""))</f>
        <v>46303</v>
      </c>
      <c r="U11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1" s="43" t="s">
        <v>97</v>
      </c>
    </row>
    <row r="112" spans="2:22" x14ac:dyDescent="0.25">
      <c r="B112" s="36">
        <v>46303</v>
      </c>
      <c r="C112" s="28" t="s">
        <v>91</v>
      </c>
      <c r="D112" s="28" t="s">
        <v>88</v>
      </c>
      <c r="E112" s="33">
        <v>3</v>
      </c>
      <c r="F112" s="28" t="s">
        <v>107</v>
      </c>
      <c r="G112" s="33">
        <v>50</v>
      </c>
      <c r="H112" s="33">
        <v>105</v>
      </c>
      <c r="I112" s="28"/>
      <c r="J112" s="37">
        <f>IF(tblBoard[[#This Row],[Date]]="","",IFERROR(INDEX(tblProducts[Takt time (s)],MATCH(tblBoard[[#This Row],[Product]],tblProducts[Product],0)),""))</f>
        <v>30</v>
      </c>
      <c r="K112" s="38">
        <f>IF(tblBoard[[#This Row],[Date]]="","",IF(OR(tblBoard[[#This Row],[Takt (s)]]="",tblBoard[[#This Row],[Available (min)]]=""),"",INT(tblBoard[[#This Row],[Available (min)]]*60/tblBoard[[#This Row],[Takt (s)]])))</f>
        <v>100</v>
      </c>
      <c r="L112" s="38">
        <f>IF(tblBoard[[#This Row],[Date]]="","",IF(tblBoard[[#This Row],[Target (units)]]="","",tblBoard[[#This Row],[Actual (units)]]-tblBoard[[#This Row],[Target (units)]]))</f>
        <v>5</v>
      </c>
      <c r="M112" s="38">
        <f>IF(tblBoard[[#This Row],[Date]]="","",IF(tblBoard[[#This Row],[Target (units)]]="","",MAX(0,tblBoard[[#This Row],[Target (units)]]-tblBoard[[#This Row],[Actual (units)]])))</f>
        <v>0</v>
      </c>
      <c r="N112" s="39">
        <f>IF(tblBoard[[#This Row],[Date]]="","",IF(N(tblBoard[[#This Row],[Target (units)]])&gt;0,tblBoard[[#This Row],[Actual (units)]]/tblBoard[[#This Row],[Target (units)]],""))</f>
        <v>1.05</v>
      </c>
      <c r="O112" s="38">
        <f>IF(tblBoard[[#This Row],[Date]]="","",IF(N(tblBoard[[#This Row],[Target (units)]])&gt;0,IF(tblBoard[[#This Row],[Actual (units)]]&gt;=tblBoard[[#This Row],[Target (units)]]*TargetHour,1,0),""))</f>
        <v>1</v>
      </c>
      <c r="P112" s="40" t="str">
        <f>IF(NOT(ISNUMBER(tblBoard[[#This Row],[Attainment]])),"",IF(tblBoard[[#This Row],[Attainment]]&gt;=TargetHour,"On target",IF(tblBoard[[#This Row],[Attainment]]&gt;=TargetHour*(1-0.05),"Near target","Below target")))</f>
        <v>On target</v>
      </c>
      <c r="Q112" s="38">
        <f>IF(tblBoard[[#This Row],[Date]]="","",IF(tblBoard[[#This Row],[Hour]]="","",SUMIFS(tblBoard[Target (units)],tblBoard[Date],tblBoard[[#This Row],[Date]],tblBoard[Shift],tblBoard[[#This Row],[Shift]],tblBoard[Line],tblBoard[[#This Row],[Line]],tblBoard[Hour],"&lt;="&amp;tblBoard[[#This Row],[Hour]])))</f>
        <v>340</v>
      </c>
      <c r="R112" s="38">
        <f>IF(tblBoard[[#This Row],[Date]]="","",IF(tblBoard[[#This Row],[Hour]]="","",SUMIFS(tblBoard[Actual (units)],tblBoard[Date],tblBoard[[#This Row],[Date]],tblBoard[Shift],tblBoard[[#This Row],[Shift]],tblBoard[Line],tblBoard[[#This Row],[Line]],tblBoard[Hour],"&lt;="&amp;tblBoard[[#This Row],[Hour]])))</f>
        <v>336</v>
      </c>
      <c r="S112" s="38">
        <f>IF(tblBoard[[#This Row],[Date]]="","",IF(tblBoard[[#This Row],[Cum. target]]="","",tblBoard[[#This Row],[Cum. actual]]-tblBoard[[#This Row],[Cum. target]]))</f>
        <v>-4</v>
      </c>
      <c r="T112" s="41">
        <f>IF(tblBoard[[#This Row],[Date]]="","",IF(AND(tblBoard[[#This Row],[Date]]&gt;=FFrom,tblBoard[[#This Row],[Date]]&lt;=FTo,OR(DashLine="",tblBoard[[#This Row],[Line]]=DashLine)),tblBoard[[#This Row],[Date]],""))</f>
        <v>46303</v>
      </c>
      <c r="U11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2" s="43" t="s">
        <v>97</v>
      </c>
    </row>
    <row r="113" spans="2:22" x14ac:dyDescent="0.25">
      <c r="B113" s="36">
        <v>46303</v>
      </c>
      <c r="C113" s="28" t="s">
        <v>91</v>
      </c>
      <c r="D113" s="28" t="s">
        <v>88</v>
      </c>
      <c r="E113" s="33">
        <v>4</v>
      </c>
      <c r="F113" s="28" t="s">
        <v>107</v>
      </c>
      <c r="G113" s="33">
        <v>60</v>
      </c>
      <c r="H113" s="33">
        <v>124</v>
      </c>
      <c r="I113" s="28"/>
      <c r="J113" s="37">
        <f>IF(tblBoard[[#This Row],[Date]]="","",IFERROR(INDEX(tblProducts[Takt time (s)],MATCH(tblBoard[[#This Row],[Product]],tblProducts[Product],0)),""))</f>
        <v>30</v>
      </c>
      <c r="K113" s="38">
        <f>IF(tblBoard[[#This Row],[Date]]="","",IF(OR(tblBoard[[#This Row],[Takt (s)]]="",tblBoard[[#This Row],[Available (min)]]=""),"",INT(tblBoard[[#This Row],[Available (min)]]*60/tblBoard[[#This Row],[Takt (s)]])))</f>
        <v>120</v>
      </c>
      <c r="L113" s="38">
        <f>IF(tblBoard[[#This Row],[Date]]="","",IF(tblBoard[[#This Row],[Target (units)]]="","",tblBoard[[#This Row],[Actual (units)]]-tblBoard[[#This Row],[Target (units)]]))</f>
        <v>4</v>
      </c>
      <c r="M113" s="38">
        <f>IF(tblBoard[[#This Row],[Date]]="","",IF(tblBoard[[#This Row],[Target (units)]]="","",MAX(0,tblBoard[[#This Row],[Target (units)]]-tblBoard[[#This Row],[Actual (units)]])))</f>
        <v>0</v>
      </c>
      <c r="N113" s="39">
        <f>IF(tblBoard[[#This Row],[Date]]="","",IF(N(tblBoard[[#This Row],[Target (units)]])&gt;0,tblBoard[[#This Row],[Actual (units)]]/tblBoard[[#This Row],[Target (units)]],""))</f>
        <v>1.03333333333333</v>
      </c>
      <c r="O113" s="38">
        <f>IF(tblBoard[[#This Row],[Date]]="","",IF(N(tblBoard[[#This Row],[Target (units)]])&gt;0,IF(tblBoard[[#This Row],[Actual (units)]]&gt;=tblBoard[[#This Row],[Target (units)]]*TargetHour,1,0),""))</f>
        <v>1</v>
      </c>
      <c r="P113" s="40" t="str">
        <f>IF(NOT(ISNUMBER(tblBoard[[#This Row],[Attainment]])),"",IF(tblBoard[[#This Row],[Attainment]]&gt;=TargetHour,"On target",IF(tblBoard[[#This Row],[Attainment]]&gt;=TargetHour*(1-0.05),"Near target","Below target")))</f>
        <v>On target</v>
      </c>
      <c r="Q113" s="38">
        <f>IF(tblBoard[[#This Row],[Date]]="","",IF(tblBoard[[#This Row],[Hour]]="","",SUMIFS(tblBoard[Target (units)],tblBoard[Date],tblBoard[[#This Row],[Date]],tblBoard[Shift],tblBoard[[#This Row],[Shift]],tblBoard[Line],tblBoard[[#This Row],[Line]],tblBoard[Hour],"&lt;="&amp;tblBoard[[#This Row],[Hour]])))</f>
        <v>460</v>
      </c>
      <c r="R113" s="38">
        <f>IF(tblBoard[[#This Row],[Date]]="","",IF(tblBoard[[#This Row],[Hour]]="","",SUMIFS(tblBoard[Actual (units)],tblBoard[Date],tblBoard[[#This Row],[Date]],tblBoard[Shift],tblBoard[[#This Row],[Shift]],tblBoard[Line],tblBoard[[#This Row],[Line]],tblBoard[Hour],"&lt;="&amp;tblBoard[[#This Row],[Hour]])))</f>
        <v>460</v>
      </c>
      <c r="S113" s="38">
        <f>IF(tblBoard[[#This Row],[Date]]="","",IF(tblBoard[[#This Row],[Cum. target]]="","",tblBoard[[#This Row],[Cum. actual]]-tblBoard[[#This Row],[Cum. target]]))</f>
        <v>0</v>
      </c>
      <c r="T113" s="41">
        <f>IF(tblBoard[[#This Row],[Date]]="","",IF(AND(tblBoard[[#This Row],[Date]]&gt;=FFrom,tblBoard[[#This Row],[Date]]&lt;=FTo,OR(DashLine="",tblBoard[[#This Row],[Line]]=DashLine)),tblBoard[[#This Row],[Date]],""))</f>
        <v>46303</v>
      </c>
      <c r="U11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3" s="43" t="s">
        <v>97</v>
      </c>
    </row>
    <row r="114" spans="2:22" x14ac:dyDescent="0.25">
      <c r="B114" s="36">
        <v>46303</v>
      </c>
      <c r="C114" s="28" t="s">
        <v>91</v>
      </c>
      <c r="D114" s="28" t="s">
        <v>88</v>
      </c>
      <c r="E114" s="33">
        <v>5</v>
      </c>
      <c r="F114" s="28" t="s">
        <v>107</v>
      </c>
      <c r="G114" s="33">
        <v>30</v>
      </c>
      <c r="H114" s="33">
        <v>58</v>
      </c>
      <c r="I114" s="28" t="s">
        <v>124</v>
      </c>
      <c r="J114" s="37">
        <f>IF(tblBoard[[#This Row],[Date]]="","",IFERROR(INDEX(tblProducts[Takt time (s)],MATCH(tblBoard[[#This Row],[Product]],tblProducts[Product],0)),""))</f>
        <v>30</v>
      </c>
      <c r="K114" s="38">
        <f>IF(tblBoard[[#This Row],[Date]]="","",IF(OR(tblBoard[[#This Row],[Takt (s)]]="",tblBoard[[#This Row],[Available (min)]]=""),"",INT(tblBoard[[#This Row],[Available (min)]]*60/tblBoard[[#This Row],[Takt (s)]])))</f>
        <v>60</v>
      </c>
      <c r="L114" s="38">
        <f>IF(tblBoard[[#This Row],[Date]]="","",IF(tblBoard[[#This Row],[Target (units)]]="","",tblBoard[[#This Row],[Actual (units)]]-tblBoard[[#This Row],[Target (units)]]))</f>
        <v>-2</v>
      </c>
      <c r="M114" s="38">
        <f>IF(tblBoard[[#This Row],[Date]]="","",IF(tblBoard[[#This Row],[Target (units)]]="","",MAX(0,tblBoard[[#This Row],[Target (units)]]-tblBoard[[#This Row],[Actual (units)]])))</f>
        <v>2</v>
      </c>
      <c r="N114" s="39">
        <f>IF(tblBoard[[#This Row],[Date]]="","",IF(N(tblBoard[[#This Row],[Target (units)]])&gt;0,tblBoard[[#This Row],[Actual (units)]]/tblBoard[[#This Row],[Target (units)]],""))</f>
        <v>0.966666666666667</v>
      </c>
      <c r="O114" s="38">
        <f>IF(tblBoard[[#This Row],[Date]]="","",IF(N(tblBoard[[#This Row],[Target (units)]])&gt;0,IF(tblBoard[[#This Row],[Actual (units)]]&gt;=tblBoard[[#This Row],[Target (units)]]*TargetHour,1,0),""))</f>
        <v>0</v>
      </c>
      <c r="P114" s="40" t="str">
        <f>IF(NOT(ISNUMBER(tblBoard[[#This Row],[Attainment]])),"",IF(tblBoard[[#This Row],[Attainment]]&gt;=TargetHour,"On target",IF(tblBoard[[#This Row],[Attainment]]&gt;=TargetHour*(1-0.05),"Near target","Below target")))</f>
        <v>Near target</v>
      </c>
      <c r="Q114" s="38">
        <f>IF(tblBoard[[#This Row],[Date]]="","",IF(tblBoard[[#This Row],[Hour]]="","",SUMIFS(tblBoard[Target (units)],tblBoard[Date],tblBoard[[#This Row],[Date]],tblBoard[Shift],tblBoard[[#This Row],[Shift]],tblBoard[Line],tblBoard[[#This Row],[Line]],tblBoard[Hour],"&lt;="&amp;tblBoard[[#This Row],[Hour]])))</f>
        <v>520</v>
      </c>
      <c r="R114" s="38">
        <f>IF(tblBoard[[#This Row],[Date]]="","",IF(tblBoard[[#This Row],[Hour]]="","",SUMIFS(tblBoard[Actual (units)],tblBoard[Date],tblBoard[[#This Row],[Date]],tblBoard[Shift],tblBoard[[#This Row],[Shift]],tblBoard[Line],tblBoard[[#This Row],[Line]],tblBoard[Hour],"&lt;="&amp;tblBoard[[#This Row],[Hour]])))</f>
        <v>518</v>
      </c>
      <c r="S114" s="38">
        <f>IF(tblBoard[[#This Row],[Date]]="","",IF(tblBoard[[#This Row],[Cum. target]]="","",tblBoard[[#This Row],[Cum. actual]]-tblBoard[[#This Row],[Cum. target]]))</f>
        <v>-2</v>
      </c>
      <c r="T114" s="41">
        <f>IF(tblBoard[[#This Row],[Date]]="","",IF(AND(tblBoard[[#This Row],[Date]]&gt;=FFrom,tblBoard[[#This Row],[Date]]&lt;=FTo,OR(DashLine="",tblBoard[[#This Row],[Line]]=DashLine)),tblBoard[[#This Row],[Date]],""))</f>
        <v>46303</v>
      </c>
      <c r="U11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4" s="43" t="s">
        <v>97</v>
      </c>
    </row>
    <row r="115" spans="2:22" x14ac:dyDescent="0.25">
      <c r="B115" s="36">
        <v>46303</v>
      </c>
      <c r="C115" s="28" t="s">
        <v>91</v>
      </c>
      <c r="D115" s="28" t="s">
        <v>88</v>
      </c>
      <c r="E115" s="33">
        <v>6</v>
      </c>
      <c r="F115" s="28" t="s">
        <v>107</v>
      </c>
      <c r="G115" s="33">
        <v>60</v>
      </c>
      <c r="H115" s="33">
        <v>120</v>
      </c>
      <c r="I115" s="28"/>
      <c r="J115" s="37">
        <f>IF(tblBoard[[#This Row],[Date]]="","",IFERROR(INDEX(tblProducts[Takt time (s)],MATCH(tblBoard[[#This Row],[Product]],tblProducts[Product],0)),""))</f>
        <v>30</v>
      </c>
      <c r="K115" s="38">
        <f>IF(tblBoard[[#This Row],[Date]]="","",IF(OR(tblBoard[[#This Row],[Takt (s)]]="",tblBoard[[#This Row],[Available (min)]]=""),"",INT(tblBoard[[#This Row],[Available (min)]]*60/tblBoard[[#This Row],[Takt (s)]])))</f>
        <v>120</v>
      </c>
      <c r="L115" s="38">
        <f>IF(tblBoard[[#This Row],[Date]]="","",IF(tblBoard[[#This Row],[Target (units)]]="","",tblBoard[[#This Row],[Actual (units)]]-tblBoard[[#This Row],[Target (units)]]))</f>
        <v>0</v>
      </c>
      <c r="M115" s="38">
        <f>IF(tblBoard[[#This Row],[Date]]="","",IF(tblBoard[[#This Row],[Target (units)]]="","",MAX(0,tblBoard[[#This Row],[Target (units)]]-tblBoard[[#This Row],[Actual (units)]])))</f>
        <v>0</v>
      </c>
      <c r="N115" s="39">
        <f>IF(tblBoard[[#This Row],[Date]]="","",IF(N(tblBoard[[#This Row],[Target (units)]])&gt;0,tblBoard[[#This Row],[Actual (units)]]/tblBoard[[#This Row],[Target (units)]],""))</f>
        <v>1</v>
      </c>
      <c r="O115" s="38">
        <f>IF(tblBoard[[#This Row],[Date]]="","",IF(N(tblBoard[[#This Row],[Target (units)]])&gt;0,IF(tblBoard[[#This Row],[Actual (units)]]&gt;=tblBoard[[#This Row],[Target (units)]]*TargetHour,1,0),""))</f>
        <v>1</v>
      </c>
      <c r="P115" s="40" t="str">
        <f>IF(NOT(ISNUMBER(tblBoard[[#This Row],[Attainment]])),"",IF(tblBoard[[#This Row],[Attainment]]&gt;=TargetHour,"On target",IF(tblBoard[[#This Row],[Attainment]]&gt;=TargetHour*(1-0.05),"Near target","Below target")))</f>
        <v>On target</v>
      </c>
      <c r="Q115" s="38">
        <f>IF(tblBoard[[#This Row],[Date]]="","",IF(tblBoard[[#This Row],[Hour]]="","",SUMIFS(tblBoard[Target (units)],tblBoard[Date],tblBoard[[#This Row],[Date]],tblBoard[Shift],tblBoard[[#This Row],[Shift]],tblBoard[Line],tblBoard[[#This Row],[Line]],tblBoard[Hour],"&lt;="&amp;tblBoard[[#This Row],[Hour]])))</f>
        <v>640</v>
      </c>
      <c r="R115" s="38">
        <f>IF(tblBoard[[#This Row],[Date]]="","",IF(tblBoard[[#This Row],[Hour]]="","",SUMIFS(tblBoard[Actual (units)],tblBoard[Date],tblBoard[[#This Row],[Date]],tblBoard[Shift],tblBoard[[#This Row],[Shift]],tblBoard[Line],tblBoard[[#This Row],[Line]],tblBoard[Hour],"&lt;="&amp;tblBoard[[#This Row],[Hour]])))</f>
        <v>638</v>
      </c>
      <c r="S115" s="38">
        <f>IF(tblBoard[[#This Row],[Date]]="","",IF(tblBoard[[#This Row],[Cum. target]]="","",tblBoard[[#This Row],[Cum. actual]]-tblBoard[[#This Row],[Cum. target]]))</f>
        <v>-2</v>
      </c>
      <c r="T115" s="41">
        <f>IF(tblBoard[[#This Row],[Date]]="","",IF(AND(tblBoard[[#This Row],[Date]]&gt;=FFrom,tblBoard[[#This Row],[Date]]&lt;=FTo,OR(DashLine="",tblBoard[[#This Row],[Line]]=DashLine)),tblBoard[[#This Row],[Date]],""))</f>
        <v>46303</v>
      </c>
      <c r="U11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5" s="43" t="s">
        <v>97</v>
      </c>
    </row>
    <row r="116" spans="2:22" x14ac:dyDescent="0.25">
      <c r="B116" s="36">
        <v>46303</v>
      </c>
      <c r="C116" s="28" t="s">
        <v>91</v>
      </c>
      <c r="D116" s="28" t="s">
        <v>88</v>
      </c>
      <c r="E116" s="33">
        <v>7</v>
      </c>
      <c r="F116" s="28" t="s">
        <v>107</v>
      </c>
      <c r="G116" s="33">
        <v>50</v>
      </c>
      <c r="H116" s="33">
        <v>97</v>
      </c>
      <c r="I116" s="28" t="s">
        <v>114</v>
      </c>
      <c r="J116" s="37">
        <f>IF(tblBoard[[#This Row],[Date]]="","",IFERROR(INDEX(tblProducts[Takt time (s)],MATCH(tblBoard[[#This Row],[Product]],tblProducts[Product],0)),""))</f>
        <v>30</v>
      </c>
      <c r="K116" s="38">
        <f>IF(tblBoard[[#This Row],[Date]]="","",IF(OR(tblBoard[[#This Row],[Takt (s)]]="",tblBoard[[#This Row],[Available (min)]]=""),"",INT(tblBoard[[#This Row],[Available (min)]]*60/tblBoard[[#This Row],[Takt (s)]])))</f>
        <v>100</v>
      </c>
      <c r="L116" s="38">
        <f>IF(tblBoard[[#This Row],[Date]]="","",IF(tblBoard[[#This Row],[Target (units)]]="","",tblBoard[[#This Row],[Actual (units)]]-tblBoard[[#This Row],[Target (units)]]))</f>
        <v>-3</v>
      </c>
      <c r="M116" s="38">
        <f>IF(tblBoard[[#This Row],[Date]]="","",IF(tblBoard[[#This Row],[Target (units)]]="","",MAX(0,tblBoard[[#This Row],[Target (units)]]-tblBoard[[#This Row],[Actual (units)]])))</f>
        <v>3</v>
      </c>
      <c r="N116" s="39">
        <f>IF(tblBoard[[#This Row],[Date]]="","",IF(N(tblBoard[[#This Row],[Target (units)]])&gt;0,tblBoard[[#This Row],[Actual (units)]]/tblBoard[[#This Row],[Target (units)]],""))</f>
        <v>0.97</v>
      </c>
      <c r="O116" s="38">
        <f>IF(tblBoard[[#This Row],[Date]]="","",IF(N(tblBoard[[#This Row],[Target (units)]])&gt;0,IF(tblBoard[[#This Row],[Actual (units)]]&gt;=tblBoard[[#This Row],[Target (units)]]*TargetHour,1,0),""))</f>
        <v>0</v>
      </c>
      <c r="P116" s="40" t="str">
        <f>IF(NOT(ISNUMBER(tblBoard[[#This Row],[Attainment]])),"",IF(tblBoard[[#This Row],[Attainment]]&gt;=TargetHour,"On target",IF(tblBoard[[#This Row],[Attainment]]&gt;=TargetHour*(1-0.05),"Near target","Below target")))</f>
        <v>Near target</v>
      </c>
      <c r="Q116" s="38">
        <f>IF(tblBoard[[#This Row],[Date]]="","",IF(tblBoard[[#This Row],[Hour]]="","",SUMIFS(tblBoard[Target (units)],tblBoard[Date],tblBoard[[#This Row],[Date]],tblBoard[Shift],tblBoard[[#This Row],[Shift]],tblBoard[Line],tblBoard[[#This Row],[Line]],tblBoard[Hour],"&lt;="&amp;tblBoard[[#This Row],[Hour]])))</f>
        <v>740</v>
      </c>
      <c r="R116" s="38">
        <f>IF(tblBoard[[#This Row],[Date]]="","",IF(tblBoard[[#This Row],[Hour]]="","",SUMIFS(tblBoard[Actual (units)],tblBoard[Date],tblBoard[[#This Row],[Date]],tblBoard[Shift],tblBoard[[#This Row],[Shift]],tblBoard[Line],tblBoard[[#This Row],[Line]],tblBoard[Hour],"&lt;="&amp;tblBoard[[#This Row],[Hour]])))</f>
        <v>735</v>
      </c>
      <c r="S116" s="38">
        <f>IF(tblBoard[[#This Row],[Date]]="","",IF(tblBoard[[#This Row],[Cum. target]]="","",tblBoard[[#This Row],[Cum. actual]]-tblBoard[[#This Row],[Cum. target]]))</f>
        <v>-5</v>
      </c>
      <c r="T116" s="41">
        <f>IF(tblBoard[[#This Row],[Date]]="","",IF(AND(tblBoard[[#This Row],[Date]]&gt;=FFrom,tblBoard[[#This Row],[Date]]&lt;=FTo,OR(DashLine="",tblBoard[[#This Row],[Line]]=DashLine)),tblBoard[[#This Row],[Date]],""))</f>
        <v>46303</v>
      </c>
      <c r="U11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6" s="43" t="s">
        <v>97</v>
      </c>
    </row>
    <row r="117" spans="2:22" x14ac:dyDescent="0.25">
      <c r="B117" s="36">
        <v>46303</v>
      </c>
      <c r="C117" s="28" t="s">
        <v>91</v>
      </c>
      <c r="D117" s="28" t="s">
        <v>88</v>
      </c>
      <c r="E117" s="33">
        <v>8</v>
      </c>
      <c r="F117" s="28" t="s">
        <v>107</v>
      </c>
      <c r="G117" s="33">
        <v>50</v>
      </c>
      <c r="H117" s="33">
        <v>95</v>
      </c>
      <c r="I117" s="28" t="s">
        <v>114</v>
      </c>
      <c r="J117" s="37">
        <f>IF(tblBoard[[#This Row],[Date]]="","",IFERROR(INDEX(tblProducts[Takt time (s)],MATCH(tblBoard[[#This Row],[Product]],tblProducts[Product],0)),""))</f>
        <v>30</v>
      </c>
      <c r="K117" s="38">
        <f>IF(tblBoard[[#This Row],[Date]]="","",IF(OR(tblBoard[[#This Row],[Takt (s)]]="",tblBoard[[#This Row],[Available (min)]]=""),"",INT(tblBoard[[#This Row],[Available (min)]]*60/tblBoard[[#This Row],[Takt (s)]])))</f>
        <v>100</v>
      </c>
      <c r="L117" s="38">
        <f>IF(tblBoard[[#This Row],[Date]]="","",IF(tblBoard[[#This Row],[Target (units)]]="","",tblBoard[[#This Row],[Actual (units)]]-tblBoard[[#This Row],[Target (units)]]))</f>
        <v>-5</v>
      </c>
      <c r="M117" s="38">
        <f>IF(tblBoard[[#This Row],[Date]]="","",IF(tblBoard[[#This Row],[Target (units)]]="","",MAX(0,tblBoard[[#This Row],[Target (units)]]-tblBoard[[#This Row],[Actual (units)]])))</f>
        <v>5</v>
      </c>
      <c r="N117" s="39">
        <f>IF(tblBoard[[#This Row],[Date]]="","",IF(N(tblBoard[[#This Row],[Target (units)]])&gt;0,tblBoard[[#This Row],[Actual (units)]]/tblBoard[[#This Row],[Target (units)]],""))</f>
        <v>0.95</v>
      </c>
      <c r="O117" s="38">
        <f>IF(tblBoard[[#This Row],[Date]]="","",IF(N(tblBoard[[#This Row],[Target (units)]])&gt;0,IF(tblBoard[[#This Row],[Actual (units)]]&gt;=tblBoard[[#This Row],[Target (units)]]*TargetHour,1,0),""))</f>
        <v>0</v>
      </c>
      <c r="P117" s="40" t="str">
        <f>IF(NOT(ISNUMBER(tblBoard[[#This Row],[Attainment]])),"",IF(tblBoard[[#This Row],[Attainment]]&gt;=TargetHour,"On target",IF(tblBoard[[#This Row],[Attainment]]&gt;=TargetHour*(1-0.05),"Near target","Below target")))</f>
        <v>Near target</v>
      </c>
      <c r="Q117" s="38">
        <f>IF(tblBoard[[#This Row],[Date]]="","",IF(tblBoard[[#This Row],[Hour]]="","",SUMIFS(tblBoard[Target (units)],tblBoard[Date],tblBoard[[#This Row],[Date]],tblBoard[Shift],tblBoard[[#This Row],[Shift]],tblBoard[Line],tblBoard[[#This Row],[Line]],tblBoard[Hour],"&lt;="&amp;tblBoard[[#This Row],[Hour]])))</f>
        <v>840</v>
      </c>
      <c r="R117" s="38">
        <f>IF(tblBoard[[#This Row],[Date]]="","",IF(tblBoard[[#This Row],[Hour]]="","",SUMIFS(tblBoard[Actual (units)],tblBoard[Date],tblBoard[[#This Row],[Date]],tblBoard[Shift],tblBoard[[#This Row],[Shift]],tblBoard[Line],tblBoard[[#This Row],[Line]],tblBoard[Hour],"&lt;="&amp;tblBoard[[#This Row],[Hour]])))</f>
        <v>830</v>
      </c>
      <c r="S117" s="38">
        <f>IF(tblBoard[[#This Row],[Date]]="","",IF(tblBoard[[#This Row],[Cum. target]]="","",tblBoard[[#This Row],[Cum. actual]]-tblBoard[[#This Row],[Cum. target]]))</f>
        <v>-10</v>
      </c>
      <c r="T117" s="41">
        <f>IF(tblBoard[[#This Row],[Date]]="","",IF(AND(tblBoard[[#This Row],[Date]]&gt;=FFrom,tblBoard[[#This Row],[Date]]&lt;=FTo,OR(DashLine="",tblBoard[[#This Row],[Line]]=DashLine)),tblBoard[[#This Row],[Date]],""))</f>
        <v>46303</v>
      </c>
      <c r="U11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7" s="43" t="s">
        <v>97</v>
      </c>
    </row>
    <row r="118" spans="2:22" x14ac:dyDescent="0.25">
      <c r="B118" s="36">
        <v>46303</v>
      </c>
      <c r="C118" s="28" t="s">
        <v>93</v>
      </c>
      <c r="D118" s="28" t="s">
        <v>85</v>
      </c>
      <c r="E118" s="33">
        <v>1</v>
      </c>
      <c r="F118" s="28" t="s">
        <v>105</v>
      </c>
      <c r="G118" s="33">
        <v>60</v>
      </c>
      <c r="H118" s="33">
        <v>64</v>
      </c>
      <c r="I118" s="28" t="s">
        <v>110</v>
      </c>
      <c r="J118" s="37">
        <f>IF(tblBoard[[#This Row],[Date]]="","",IFERROR(INDEX(tblProducts[Takt time (s)],MATCH(tblBoard[[#This Row],[Product]],tblProducts[Product],0)),""))</f>
        <v>48</v>
      </c>
      <c r="K118" s="38">
        <f>IF(tblBoard[[#This Row],[Date]]="","",IF(OR(tblBoard[[#This Row],[Takt (s)]]="",tblBoard[[#This Row],[Available (min)]]=""),"",INT(tblBoard[[#This Row],[Available (min)]]*60/tblBoard[[#This Row],[Takt (s)]])))</f>
        <v>75</v>
      </c>
      <c r="L118" s="38">
        <f>IF(tblBoard[[#This Row],[Date]]="","",IF(tblBoard[[#This Row],[Target (units)]]="","",tblBoard[[#This Row],[Actual (units)]]-tblBoard[[#This Row],[Target (units)]]))</f>
        <v>-11</v>
      </c>
      <c r="M118" s="38">
        <f>IF(tblBoard[[#This Row],[Date]]="","",IF(tblBoard[[#This Row],[Target (units)]]="","",MAX(0,tblBoard[[#This Row],[Target (units)]]-tblBoard[[#This Row],[Actual (units)]])))</f>
        <v>11</v>
      </c>
      <c r="N118" s="39">
        <f>IF(tblBoard[[#This Row],[Date]]="","",IF(N(tblBoard[[#This Row],[Target (units)]])&gt;0,tblBoard[[#This Row],[Actual (units)]]/tblBoard[[#This Row],[Target (units)]],""))</f>
        <v>0.853333333333333</v>
      </c>
      <c r="O118" s="38">
        <f>IF(tblBoard[[#This Row],[Date]]="","",IF(N(tblBoard[[#This Row],[Target (units)]])&gt;0,IF(tblBoard[[#This Row],[Actual (units)]]&gt;=tblBoard[[#This Row],[Target (units)]]*TargetHour,1,0),""))</f>
        <v>0</v>
      </c>
      <c r="P118" s="40" t="str">
        <f>IF(NOT(ISNUMBER(tblBoard[[#This Row],[Attainment]])),"",IF(tblBoard[[#This Row],[Attainment]]&gt;=TargetHour,"On target",IF(tblBoard[[#This Row],[Attainment]]&gt;=TargetHour*(1-0.05),"Near target","Below target")))</f>
        <v>Below target</v>
      </c>
      <c r="Q118" s="38">
        <f>IF(tblBoard[[#This Row],[Date]]="","",IF(tblBoard[[#This Row],[Hour]]="","",SUMIFS(tblBoard[Target (units)],tblBoard[Date],tblBoard[[#This Row],[Date]],tblBoard[Shift],tblBoard[[#This Row],[Shift]],tblBoard[Line],tblBoard[[#This Row],[Line]],tblBoard[Hour],"&lt;="&amp;tblBoard[[#This Row],[Hour]])))</f>
        <v>75</v>
      </c>
      <c r="R118" s="38">
        <f>IF(tblBoard[[#This Row],[Date]]="","",IF(tblBoard[[#This Row],[Hour]]="","",SUMIFS(tblBoard[Actual (units)],tblBoard[Date],tblBoard[[#This Row],[Date]],tblBoard[Shift],tblBoard[[#This Row],[Shift]],tblBoard[Line],tblBoard[[#This Row],[Line]],tblBoard[Hour],"&lt;="&amp;tblBoard[[#This Row],[Hour]])))</f>
        <v>64</v>
      </c>
      <c r="S118" s="38">
        <f>IF(tblBoard[[#This Row],[Date]]="","",IF(tblBoard[[#This Row],[Cum. target]]="","",tblBoard[[#This Row],[Cum. actual]]-tblBoard[[#This Row],[Cum. target]]))</f>
        <v>-11</v>
      </c>
      <c r="T118" s="41">
        <f>IF(tblBoard[[#This Row],[Date]]="","",IF(AND(tblBoard[[#This Row],[Date]]&gt;=FFrom,tblBoard[[#This Row],[Date]]&lt;=FTo,OR(DashLine="",tblBoard[[#This Row],[Line]]=DashLine)),tblBoard[[#This Row],[Date]],""))</f>
        <v>46303</v>
      </c>
      <c r="U11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8" s="43" t="s">
        <v>144</v>
      </c>
    </row>
    <row r="119" spans="2:22" x14ac:dyDescent="0.25">
      <c r="B119" s="36">
        <v>46303</v>
      </c>
      <c r="C119" s="28" t="s">
        <v>93</v>
      </c>
      <c r="D119" s="28" t="s">
        <v>85</v>
      </c>
      <c r="E119" s="33">
        <v>2</v>
      </c>
      <c r="F119" s="28" t="s">
        <v>105</v>
      </c>
      <c r="G119" s="33">
        <v>60</v>
      </c>
      <c r="H119" s="33">
        <v>76</v>
      </c>
      <c r="I119" s="28"/>
      <c r="J119" s="37">
        <f>IF(tblBoard[[#This Row],[Date]]="","",IFERROR(INDEX(tblProducts[Takt time (s)],MATCH(tblBoard[[#This Row],[Product]],tblProducts[Product],0)),""))</f>
        <v>48</v>
      </c>
      <c r="K119" s="38">
        <f>IF(tblBoard[[#This Row],[Date]]="","",IF(OR(tblBoard[[#This Row],[Takt (s)]]="",tblBoard[[#This Row],[Available (min)]]=""),"",INT(tblBoard[[#This Row],[Available (min)]]*60/tblBoard[[#This Row],[Takt (s)]])))</f>
        <v>75</v>
      </c>
      <c r="L119" s="38">
        <f>IF(tblBoard[[#This Row],[Date]]="","",IF(tblBoard[[#This Row],[Target (units)]]="","",tblBoard[[#This Row],[Actual (units)]]-tblBoard[[#This Row],[Target (units)]]))</f>
        <v>1</v>
      </c>
      <c r="M119" s="38">
        <f>IF(tblBoard[[#This Row],[Date]]="","",IF(tblBoard[[#This Row],[Target (units)]]="","",MAX(0,tblBoard[[#This Row],[Target (units)]]-tblBoard[[#This Row],[Actual (units)]])))</f>
        <v>0</v>
      </c>
      <c r="N119" s="39">
        <f>IF(tblBoard[[#This Row],[Date]]="","",IF(N(tblBoard[[#This Row],[Target (units)]])&gt;0,tblBoard[[#This Row],[Actual (units)]]/tblBoard[[#This Row],[Target (units)]],""))</f>
        <v>1.01333333333333</v>
      </c>
      <c r="O119" s="38">
        <f>IF(tblBoard[[#This Row],[Date]]="","",IF(N(tblBoard[[#This Row],[Target (units)]])&gt;0,IF(tblBoard[[#This Row],[Actual (units)]]&gt;=tblBoard[[#This Row],[Target (units)]]*TargetHour,1,0),""))</f>
        <v>1</v>
      </c>
      <c r="P119" s="40" t="str">
        <f>IF(NOT(ISNUMBER(tblBoard[[#This Row],[Attainment]])),"",IF(tblBoard[[#This Row],[Attainment]]&gt;=TargetHour,"On target",IF(tblBoard[[#This Row],[Attainment]]&gt;=TargetHour*(1-0.05),"Near target","Below target")))</f>
        <v>On target</v>
      </c>
      <c r="Q119" s="38">
        <f>IF(tblBoard[[#This Row],[Date]]="","",IF(tblBoard[[#This Row],[Hour]]="","",SUMIFS(tblBoard[Target (units)],tblBoard[Date],tblBoard[[#This Row],[Date]],tblBoard[Shift],tblBoard[[#This Row],[Shift]],tblBoard[Line],tblBoard[[#This Row],[Line]],tblBoard[Hour],"&lt;="&amp;tblBoard[[#This Row],[Hour]])))</f>
        <v>150</v>
      </c>
      <c r="R119" s="38">
        <f>IF(tblBoard[[#This Row],[Date]]="","",IF(tblBoard[[#This Row],[Hour]]="","",SUMIFS(tblBoard[Actual (units)],tblBoard[Date],tblBoard[[#This Row],[Date]],tblBoard[Shift],tblBoard[[#This Row],[Shift]],tblBoard[Line],tblBoard[[#This Row],[Line]],tblBoard[Hour],"&lt;="&amp;tblBoard[[#This Row],[Hour]])))</f>
        <v>140</v>
      </c>
      <c r="S119" s="38">
        <f>IF(tblBoard[[#This Row],[Date]]="","",IF(tblBoard[[#This Row],[Cum. target]]="","",tblBoard[[#This Row],[Cum. actual]]-tblBoard[[#This Row],[Cum. target]]))</f>
        <v>-10</v>
      </c>
      <c r="T119" s="41">
        <f>IF(tblBoard[[#This Row],[Date]]="","",IF(AND(tblBoard[[#This Row],[Date]]&gt;=FFrom,tblBoard[[#This Row],[Date]]&lt;=FTo,OR(DashLine="",tblBoard[[#This Row],[Line]]=DashLine)),tblBoard[[#This Row],[Date]],""))</f>
        <v>46303</v>
      </c>
      <c r="U11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19" s="43" t="s">
        <v>97</v>
      </c>
    </row>
    <row r="120" spans="2:22" x14ac:dyDescent="0.25">
      <c r="B120" s="36">
        <v>46303</v>
      </c>
      <c r="C120" s="28" t="s">
        <v>93</v>
      </c>
      <c r="D120" s="28" t="s">
        <v>85</v>
      </c>
      <c r="E120" s="33">
        <v>3</v>
      </c>
      <c r="F120" s="28" t="s">
        <v>105</v>
      </c>
      <c r="G120" s="33">
        <v>50</v>
      </c>
      <c r="H120" s="33">
        <v>65</v>
      </c>
      <c r="I120" s="28"/>
      <c r="J120" s="37">
        <f>IF(tblBoard[[#This Row],[Date]]="","",IFERROR(INDEX(tblProducts[Takt time (s)],MATCH(tblBoard[[#This Row],[Product]],tblProducts[Product],0)),""))</f>
        <v>48</v>
      </c>
      <c r="K120" s="38">
        <f>IF(tblBoard[[#This Row],[Date]]="","",IF(OR(tblBoard[[#This Row],[Takt (s)]]="",tblBoard[[#This Row],[Available (min)]]=""),"",INT(tblBoard[[#This Row],[Available (min)]]*60/tblBoard[[#This Row],[Takt (s)]])))</f>
        <v>62</v>
      </c>
      <c r="L120" s="38">
        <f>IF(tblBoard[[#This Row],[Date]]="","",IF(tblBoard[[#This Row],[Target (units)]]="","",tblBoard[[#This Row],[Actual (units)]]-tblBoard[[#This Row],[Target (units)]]))</f>
        <v>3</v>
      </c>
      <c r="M120" s="38">
        <f>IF(tblBoard[[#This Row],[Date]]="","",IF(tblBoard[[#This Row],[Target (units)]]="","",MAX(0,tblBoard[[#This Row],[Target (units)]]-tblBoard[[#This Row],[Actual (units)]])))</f>
        <v>0</v>
      </c>
      <c r="N120" s="39">
        <f>IF(tblBoard[[#This Row],[Date]]="","",IF(N(tblBoard[[#This Row],[Target (units)]])&gt;0,tblBoard[[#This Row],[Actual (units)]]/tblBoard[[#This Row],[Target (units)]],""))</f>
        <v>1.04838709677419</v>
      </c>
      <c r="O120" s="38">
        <f>IF(tblBoard[[#This Row],[Date]]="","",IF(N(tblBoard[[#This Row],[Target (units)]])&gt;0,IF(tblBoard[[#This Row],[Actual (units)]]&gt;=tblBoard[[#This Row],[Target (units)]]*TargetHour,1,0),""))</f>
        <v>1</v>
      </c>
      <c r="P120" s="40" t="str">
        <f>IF(NOT(ISNUMBER(tblBoard[[#This Row],[Attainment]])),"",IF(tblBoard[[#This Row],[Attainment]]&gt;=TargetHour,"On target",IF(tblBoard[[#This Row],[Attainment]]&gt;=TargetHour*(1-0.05),"Near target","Below target")))</f>
        <v>On target</v>
      </c>
      <c r="Q120" s="38">
        <f>IF(tblBoard[[#This Row],[Date]]="","",IF(tblBoard[[#This Row],[Hour]]="","",SUMIFS(tblBoard[Target (units)],tblBoard[Date],tblBoard[[#This Row],[Date]],tblBoard[Shift],tblBoard[[#This Row],[Shift]],tblBoard[Line],tblBoard[[#This Row],[Line]],tblBoard[Hour],"&lt;="&amp;tblBoard[[#This Row],[Hour]])))</f>
        <v>212</v>
      </c>
      <c r="R120" s="38">
        <f>IF(tblBoard[[#This Row],[Date]]="","",IF(tblBoard[[#This Row],[Hour]]="","",SUMIFS(tblBoard[Actual (units)],tblBoard[Date],tblBoard[[#This Row],[Date]],tblBoard[Shift],tblBoard[[#This Row],[Shift]],tblBoard[Line],tblBoard[[#This Row],[Line]],tblBoard[Hour],"&lt;="&amp;tblBoard[[#This Row],[Hour]])))</f>
        <v>205</v>
      </c>
      <c r="S120" s="38">
        <f>IF(tblBoard[[#This Row],[Date]]="","",IF(tblBoard[[#This Row],[Cum. target]]="","",tblBoard[[#This Row],[Cum. actual]]-tblBoard[[#This Row],[Cum. target]]))</f>
        <v>-7</v>
      </c>
      <c r="T120" s="41">
        <f>IF(tblBoard[[#This Row],[Date]]="","",IF(AND(tblBoard[[#This Row],[Date]]&gt;=FFrom,tblBoard[[#This Row],[Date]]&lt;=FTo,OR(DashLine="",tblBoard[[#This Row],[Line]]=DashLine)),tblBoard[[#This Row],[Date]],""))</f>
        <v>46303</v>
      </c>
      <c r="U12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0" s="43" t="s">
        <v>97</v>
      </c>
    </row>
    <row r="121" spans="2:22" x14ac:dyDescent="0.25">
      <c r="B121" s="36">
        <v>46303</v>
      </c>
      <c r="C121" s="28" t="s">
        <v>93</v>
      </c>
      <c r="D121" s="28" t="s">
        <v>85</v>
      </c>
      <c r="E121" s="33">
        <v>4</v>
      </c>
      <c r="F121" s="28" t="s">
        <v>105</v>
      </c>
      <c r="G121" s="33">
        <v>60</v>
      </c>
      <c r="H121" s="33">
        <v>75</v>
      </c>
      <c r="I121" s="28"/>
      <c r="J121" s="37">
        <f>IF(tblBoard[[#This Row],[Date]]="","",IFERROR(INDEX(tblProducts[Takt time (s)],MATCH(tblBoard[[#This Row],[Product]],tblProducts[Product],0)),""))</f>
        <v>48</v>
      </c>
      <c r="K121" s="38">
        <f>IF(tblBoard[[#This Row],[Date]]="","",IF(OR(tblBoard[[#This Row],[Takt (s)]]="",tblBoard[[#This Row],[Available (min)]]=""),"",INT(tblBoard[[#This Row],[Available (min)]]*60/tblBoard[[#This Row],[Takt (s)]])))</f>
        <v>75</v>
      </c>
      <c r="L121" s="38">
        <f>IF(tblBoard[[#This Row],[Date]]="","",IF(tblBoard[[#This Row],[Target (units)]]="","",tblBoard[[#This Row],[Actual (units)]]-tblBoard[[#This Row],[Target (units)]]))</f>
        <v>0</v>
      </c>
      <c r="M121" s="38">
        <f>IF(tblBoard[[#This Row],[Date]]="","",IF(tblBoard[[#This Row],[Target (units)]]="","",MAX(0,tblBoard[[#This Row],[Target (units)]]-tblBoard[[#This Row],[Actual (units)]])))</f>
        <v>0</v>
      </c>
      <c r="N121" s="39">
        <f>IF(tblBoard[[#This Row],[Date]]="","",IF(N(tblBoard[[#This Row],[Target (units)]])&gt;0,tblBoard[[#This Row],[Actual (units)]]/tblBoard[[#This Row],[Target (units)]],""))</f>
        <v>1</v>
      </c>
      <c r="O121" s="38">
        <f>IF(tblBoard[[#This Row],[Date]]="","",IF(N(tblBoard[[#This Row],[Target (units)]])&gt;0,IF(tblBoard[[#This Row],[Actual (units)]]&gt;=tblBoard[[#This Row],[Target (units)]]*TargetHour,1,0),""))</f>
        <v>1</v>
      </c>
      <c r="P121" s="40" t="str">
        <f>IF(NOT(ISNUMBER(tblBoard[[#This Row],[Attainment]])),"",IF(tblBoard[[#This Row],[Attainment]]&gt;=TargetHour,"On target",IF(tblBoard[[#This Row],[Attainment]]&gt;=TargetHour*(1-0.05),"Near target","Below target")))</f>
        <v>On target</v>
      </c>
      <c r="Q121" s="38">
        <f>IF(tblBoard[[#This Row],[Date]]="","",IF(tblBoard[[#This Row],[Hour]]="","",SUMIFS(tblBoard[Target (units)],tblBoard[Date],tblBoard[[#This Row],[Date]],tblBoard[Shift],tblBoard[[#This Row],[Shift]],tblBoard[Line],tblBoard[[#This Row],[Line]],tblBoard[Hour],"&lt;="&amp;tblBoard[[#This Row],[Hour]])))</f>
        <v>287</v>
      </c>
      <c r="R121" s="38">
        <f>IF(tblBoard[[#This Row],[Date]]="","",IF(tblBoard[[#This Row],[Hour]]="","",SUMIFS(tblBoard[Actual (units)],tblBoard[Date],tblBoard[[#This Row],[Date]],tblBoard[Shift],tblBoard[[#This Row],[Shift]],tblBoard[Line],tblBoard[[#This Row],[Line]],tblBoard[Hour],"&lt;="&amp;tblBoard[[#This Row],[Hour]])))</f>
        <v>280</v>
      </c>
      <c r="S121" s="38">
        <f>IF(tblBoard[[#This Row],[Date]]="","",IF(tblBoard[[#This Row],[Cum. target]]="","",tblBoard[[#This Row],[Cum. actual]]-tblBoard[[#This Row],[Cum. target]]))</f>
        <v>-7</v>
      </c>
      <c r="T121" s="41">
        <f>IF(tblBoard[[#This Row],[Date]]="","",IF(AND(tblBoard[[#This Row],[Date]]&gt;=FFrom,tblBoard[[#This Row],[Date]]&lt;=FTo,OR(DashLine="",tblBoard[[#This Row],[Line]]=DashLine)),tblBoard[[#This Row],[Date]],""))</f>
        <v>46303</v>
      </c>
      <c r="U12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1" s="43" t="s">
        <v>97</v>
      </c>
    </row>
    <row r="122" spans="2:22" x14ac:dyDescent="0.25">
      <c r="B122" s="36">
        <v>46303</v>
      </c>
      <c r="C122" s="28" t="s">
        <v>93</v>
      </c>
      <c r="D122" s="28" t="s">
        <v>85</v>
      </c>
      <c r="E122" s="33">
        <v>5</v>
      </c>
      <c r="F122" s="28" t="s">
        <v>105</v>
      </c>
      <c r="G122" s="33">
        <v>30</v>
      </c>
      <c r="H122" s="33">
        <v>36</v>
      </c>
      <c r="I122" s="28" t="s">
        <v>114</v>
      </c>
      <c r="J122" s="37">
        <f>IF(tblBoard[[#This Row],[Date]]="","",IFERROR(INDEX(tblProducts[Takt time (s)],MATCH(tblBoard[[#This Row],[Product]],tblProducts[Product],0)),""))</f>
        <v>48</v>
      </c>
      <c r="K122" s="38">
        <f>IF(tblBoard[[#This Row],[Date]]="","",IF(OR(tblBoard[[#This Row],[Takt (s)]]="",tblBoard[[#This Row],[Available (min)]]=""),"",INT(tblBoard[[#This Row],[Available (min)]]*60/tblBoard[[#This Row],[Takt (s)]])))</f>
        <v>37</v>
      </c>
      <c r="L122" s="38">
        <f>IF(tblBoard[[#This Row],[Date]]="","",IF(tblBoard[[#This Row],[Target (units)]]="","",tblBoard[[#This Row],[Actual (units)]]-tblBoard[[#This Row],[Target (units)]]))</f>
        <v>-1</v>
      </c>
      <c r="M122" s="38">
        <f>IF(tblBoard[[#This Row],[Date]]="","",IF(tblBoard[[#This Row],[Target (units)]]="","",MAX(0,tblBoard[[#This Row],[Target (units)]]-tblBoard[[#This Row],[Actual (units)]])))</f>
        <v>1</v>
      </c>
      <c r="N122" s="39">
        <f>IF(tblBoard[[#This Row],[Date]]="","",IF(N(tblBoard[[#This Row],[Target (units)]])&gt;0,tblBoard[[#This Row],[Actual (units)]]/tblBoard[[#This Row],[Target (units)]],""))</f>
        <v>0.972972972972973</v>
      </c>
      <c r="O122" s="38">
        <f>IF(tblBoard[[#This Row],[Date]]="","",IF(N(tblBoard[[#This Row],[Target (units)]])&gt;0,IF(tblBoard[[#This Row],[Actual (units)]]&gt;=tblBoard[[#This Row],[Target (units)]]*TargetHour,1,0),""))</f>
        <v>0</v>
      </c>
      <c r="P122" s="40" t="str">
        <f>IF(NOT(ISNUMBER(tblBoard[[#This Row],[Attainment]])),"",IF(tblBoard[[#This Row],[Attainment]]&gt;=TargetHour,"On target",IF(tblBoard[[#This Row],[Attainment]]&gt;=TargetHour*(1-0.05),"Near target","Below target")))</f>
        <v>Near target</v>
      </c>
      <c r="Q122" s="38">
        <f>IF(tblBoard[[#This Row],[Date]]="","",IF(tblBoard[[#This Row],[Hour]]="","",SUMIFS(tblBoard[Target (units)],tblBoard[Date],tblBoard[[#This Row],[Date]],tblBoard[Shift],tblBoard[[#This Row],[Shift]],tblBoard[Line],tblBoard[[#This Row],[Line]],tblBoard[Hour],"&lt;="&amp;tblBoard[[#This Row],[Hour]])))</f>
        <v>324</v>
      </c>
      <c r="R122" s="38">
        <f>IF(tblBoard[[#This Row],[Date]]="","",IF(tblBoard[[#This Row],[Hour]]="","",SUMIFS(tblBoard[Actual (units)],tblBoard[Date],tblBoard[[#This Row],[Date]],tblBoard[Shift],tblBoard[[#This Row],[Shift]],tblBoard[Line],tblBoard[[#This Row],[Line]],tblBoard[Hour],"&lt;="&amp;tblBoard[[#This Row],[Hour]])))</f>
        <v>316</v>
      </c>
      <c r="S122" s="38">
        <f>IF(tblBoard[[#This Row],[Date]]="","",IF(tblBoard[[#This Row],[Cum. target]]="","",tblBoard[[#This Row],[Cum. actual]]-tblBoard[[#This Row],[Cum. target]]))</f>
        <v>-8</v>
      </c>
      <c r="T122" s="41">
        <f>IF(tblBoard[[#This Row],[Date]]="","",IF(AND(tblBoard[[#This Row],[Date]]&gt;=FFrom,tblBoard[[#This Row],[Date]]&lt;=FTo,OR(DashLine="",tblBoard[[#This Row],[Line]]=DashLine)),tblBoard[[#This Row],[Date]],""))</f>
        <v>46303</v>
      </c>
      <c r="U12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2" s="43" t="s">
        <v>97</v>
      </c>
    </row>
    <row r="123" spans="2:22" x14ac:dyDescent="0.25">
      <c r="B123" s="36">
        <v>46303</v>
      </c>
      <c r="C123" s="28" t="s">
        <v>93</v>
      </c>
      <c r="D123" s="28" t="s">
        <v>85</v>
      </c>
      <c r="E123" s="33">
        <v>6</v>
      </c>
      <c r="F123" s="28" t="s">
        <v>105</v>
      </c>
      <c r="G123" s="33">
        <v>60</v>
      </c>
      <c r="H123" s="33">
        <v>71</v>
      </c>
      <c r="I123" s="28" t="s">
        <v>122</v>
      </c>
      <c r="J123" s="37">
        <f>IF(tblBoard[[#This Row],[Date]]="","",IFERROR(INDEX(tblProducts[Takt time (s)],MATCH(tblBoard[[#This Row],[Product]],tblProducts[Product],0)),""))</f>
        <v>48</v>
      </c>
      <c r="K123" s="38">
        <f>IF(tblBoard[[#This Row],[Date]]="","",IF(OR(tblBoard[[#This Row],[Takt (s)]]="",tblBoard[[#This Row],[Available (min)]]=""),"",INT(tblBoard[[#This Row],[Available (min)]]*60/tblBoard[[#This Row],[Takt (s)]])))</f>
        <v>75</v>
      </c>
      <c r="L123" s="38">
        <f>IF(tblBoard[[#This Row],[Date]]="","",IF(tblBoard[[#This Row],[Target (units)]]="","",tblBoard[[#This Row],[Actual (units)]]-tblBoard[[#This Row],[Target (units)]]))</f>
        <v>-4</v>
      </c>
      <c r="M123" s="38">
        <f>IF(tblBoard[[#This Row],[Date]]="","",IF(tblBoard[[#This Row],[Target (units)]]="","",MAX(0,tblBoard[[#This Row],[Target (units)]]-tblBoard[[#This Row],[Actual (units)]])))</f>
        <v>4</v>
      </c>
      <c r="N123" s="39">
        <f>IF(tblBoard[[#This Row],[Date]]="","",IF(N(tblBoard[[#This Row],[Target (units)]])&gt;0,tblBoard[[#This Row],[Actual (units)]]/tblBoard[[#This Row],[Target (units)]],""))</f>
        <v>0.946666666666667</v>
      </c>
      <c r="O123" s="38">
        <f>IF(tblBoard[[#This Row],[Date]]="","",IF(N(tblBoard[[#This Row],[Target (units)]])&gt;0,IF(tblBoard[[#This Row],[Actual (units)]]&gt;=tblBoard[[#This Row],[Target (units)]]*TargetHour,1,0),""))</f>
        <v>0</v>
      </c>
      <c r="P123" s="40" t="str">
        <f>IF(NOT(ISNUMBER(tblBoard[[#This Row],[Attainment]])),"",IF(tblBoard[[#This Row],[Attainment]]&gt;=TargetHour,"On target",IF(tblBoard[[#This Row],[Attainment]]&gt;=TargetHour*(1-0.05),"Near target","Below target")))</f>
        <v>Below target</v>
      </c>
      <c r="Q123" s="38">
        <f>IF(tblBoard[[#This Row],[Date]]="","",IF(tblBoard[[#This Row],[Hour]]="","",SUMIFS(tblBoard[Target (units)],tblBoard[Date],tblBoard[[#This Row],[Date]],tblBoard[Shift],tblBoard[[#This Row],[Shift]],tblBoard[Line],tblBoard[[#This Row],[Line]],tblBoard[Hour],"&lt;="&amp;tblBoard[[#This Row],[Hour]])))</f>
        <v>399</v>
      </c>
      <c r="R123" s="38">
        <f>IF(tblBoard[[#This Row],[Date]]="","",IF(tblBoard[[#This Row],[Hour]]="","",SUMIFS(tblBoard[Actual (units)],tblBoard[Date],tblBoard[[#This Row],[Date]],tblBoard[Shift],tblBoard[[#This Row],[Shift]],tblBoard[Line],tblBoard[[#This Row],[Line]],tblBoard[Hour],"&lt;="&amp;tblBoard[[#This Row],[Hour]])))</f>
        <v>387</v>
      </c>
      <c r="S123" s="38">
        <f>IF(tblBoard[[#This Row],[Date]]="","",IF(tblBoard[[#This Row],[Cum. target]]="","",tblBoard[[#This Row],[Cum. actual]]-tblBoard[[#This Row],[Cum. target]]))</f>
        <v>-12</v>
      </c>
      <c r="T123" s="41">
        <f>IF(tblBoard[[#This Row],[Date]]="","",IF(AND(tblBoard[[#This Row],[Date]]&gt;=FFrom,tblBoard[[#This Row],[Date]]&lt;=FTo,OR(DashLine="",tblBoard[[#This Row],[Line]]=DashLine)),tblBoard[[#This Row],[Date]],""))</f>
        <v>46303</v>
      </c>
      <c r="U12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3" s="43" t="s">
        <v>97</v>
      </c>
    </row>
    <row r="124" spans="2:22" x14ac:dyDescent="0.25">
      <c r="B124" s="36">
        <v>46303</v>
      </c>
      <c r="C124" s="28" t="s">
        <v>93</v>
      </c>
      <c r="D124" s="28" t="s">
        <v>85</v>
      </c>
      <c r="E124" s="33">
        <v>7</v>
      </c>
      <c r="F124" s="28" t="s">
        <v>105</v>
      </c>
      <c r="G124" s="33">
        <v>50</v>
      </c>
      <c r="H124" s="33">
        <v>64</v>
      </c>
      <c r="I124" s="28"/>
      <c r="J124" s="37">
        <f>IF(tblBoard[[#This Row],[Date]]="","",IFERROR(INDEX(tblProducts[Takt time (s)],MATCH(tblBoard[[#This Row],[Product]],tblProducts[Product],0)),""))</f>
        <v>48</v>
      </c>
      <c r="K124" s="38">
        <f>IF(tblBoard[[#This Row],[Date]]="","",IF(OR(tblBoard[[#This Row],[Takt (s)]]="",tblBoard[[#This Row],[Available (min)]]=""),"",INT(tblBoard[[#This Row],[Available (min)]]*60/tblBoard[[#This Row],[Takt (s)]])))</f>
        <v>62</v>
      </c>
      <c r="L124" s="38">
        <f>IF(tblBoard[[#This Row],[Date]]="","",IF(tblBoard[[#This Row],[Target (units)]]="","",tblBoard[[#This Row],[Actual (units)]]-tblBoard[[#This Row],[Target (units)]]))</f>
        <v>2</v>
      </c>
      <c r="M124" s="38">
        <f>IF(tblBoard[[#This Row],[Date]]="","",IF(tblBoard[[#This Row],[Target (units)]]="","",MAX(0,tblBoard[[#This Row],[Target (units)]]-tblBoard[[#This Row],[Actual (units)]])))</f>
        <v>0</v>
      </c>
      <c r="N124" s="39">
        <f>IF(tblBoard[[#This Row],[Date]]="","",IF(N(tblBoard[[#This Row],[Target (units)]])&gt;0,tblBoard[[#This Row],[Actual (units)]]/tblBoard[[#This Row],[Target (units)]],""))</f>
        <v>1.03225806451613</v>
      </c>
      <c r="O124" s="38">
        <f>IF(tblBoard[[#This Row],[Date]]="","",IF(N(tblBoard[[#This Row],[Target (units)]])&gt;0,IF(tblBoard[[#This Row],[Actual (units)]]&gt;=tblBoard[[#This Row],[Target (units)]]*TargetHour,1,0),""))</f>
        <v>1</v>
      </c>
      <c r="P124" s="40" t="str">
        <f>IF(NOT(ISNUMBER(tblBoard[[#This Row],[Attainment]])),"",IF(tblBoard[[#This Row],[Attainment]]&gt;=TargetHour,"On target",IF(tblBoard[[#This Row],[Attainment]]&gt;=TargetHour*(1-0.05),"Near target","Below target")))</f>
        <v>On target</v>
      </c>
      <c r="Q124" s="38">
        <f>IF(tblBoard[[#This Row],[Date]]="","",IF(tblBoard[[#This Row],[Hour]]="","",SUMIFS(tblBoard[Target (units)],tblBoard[Date],tblBoard[[#This Row],[Date]],tblBoard[Shift],tblBoard[[#This Row],[Shift]],tblBoard[Line],tblBoard[[#This Row],[Line]],tblBoard[Hour],"&lt;="&amp;tblBoard[[#This Row],[Hour]])))</f>
        <v>461</v>
      </c>
      <c r="R124" s="38">
        <f>IF(tblBoard[[#This Row],[Date]]="","",IF(tblBoard[[#This Row],[Hour]]="","",SUMIFS(tblBoard[Actual (units)],tblBoard[Date],tblBoard[[#This Row],[Date]],tblBoard[Shift],tblBoard[[#This Row],[Shift]],tblBoard[Line],tblBoard[[#This Row],[Line]],tblBoard[Hour],"&lt;="&amp;tblBoard[[#This Row],[Hour]])))</f>
        <v>451</v>
      </c>
      <c r="S124" s="38">
        <f>IF(tblBoard[[#This Row],[Date]]="","",IF(tblBoard[[#This Row],[Cum. target]]="","",tblBoard[[#This Row],[Cum. actual]]-tblBoard[[#This Row],[Cum. target]]))</f>
        <v>-10</v>
      </c>
      <c r="T124" s="41">
        <f>IF(tblBoard[[#This Row],[Date]]="","",IF(AND(tblBoard[[#This Row],[Date]]&gt;=FFrom,tblBoard[[#This Row],[Date]]&lt;=FTo,OR(DashLine="",tblBoard[[#This Row],[Line]]=DashLine)),tblBoard[[#This Row],[Date]],""))</f>
        <v>46303</v>
      </c>
      <c r="U12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4" s="43" t="s">
        <v>97</v>
      </c>
    </row>
    <row r="125" spans="2:22" x14ac:dyDescent="0.25">
      <c r="B125" s="36">
        <v>46303</v>
      </c>
      <c r="C125" s="28" t="s">
        <v>93</v>
      </c>
      <c r="D125" s="28" t="s">
        <v>85</v>
      </c>
      <c r="E125" s="33">
        <v>8</v>
      </c>
      <c r="F125" s="28" t="s">
        <v>105</v>
      </c>
      <c r="G125" s="33">
        <v>50</v>
      </c>
      <c r="H125" s="33">
        <v>63</v>
      </c>
      <c r="I125" s="28"/>
      <c r="J125" s="37">
        <f>IF(tblBoard[[#This Row],[Date]]="","",IFERROR(INDEX(tblProducts[Takt time (s)],MATCH(tblBoard[[#This Row],[Product]],tblProducts[Product],0)),""))</f>
        <v>48</v>
      </c>
      <c r="K125" s="38">
        <f>IF(tblBoard[[#This Row],[Date]]="","",IF(OR(tblBoard[[#This Row],[Takt (s)]]="",tblBoard[[#This Row],[Available (min)]]=""),"",INT(tblBoard[[#This Row],[Available (min)]]*60/tblBoard[[#This Row],[Takt (s)]])))</f>
        <v>62</v>
      </c>
      <c r="L125" s="38">
        <f>IF(tblBoard[[#This Row],[Date]]="","",IF(tblBoard[[#This Row],[Target (units)]]="","",tblBoard[[#This Row],[Actual (units)]]-tblBoard[[#This Row],[Target (units)]]))</f>
        <v>1</v>
      </c>
      <c r="M125" s="38">
        <f>IF(tblBoard[[#This Row],[Date]]="","",IF(tblBoard[[#This Row],[Target (units)]]="","",MAX(0,tblBoard[[#This Row],[Target (units)]]-tblBoard[[#This Row],[Actual (units)]])))</f>
        <v>0</v>
      </c>
      <c r="N125" s="39">
        <f>IF(tblBoard[[#This Row],[Date]]="","",IF(N(tblBoard[[#This Row],[Target (units)]])&gt;0,tblBoard[[#This Row],[Actual (units)]]/tblBoard[[#This Row],[Target (units)]],""))</f>
        <v>1.01612903225806</v>
      </c>
      <c r="O125" s="38">
        <f>IF(tblBoard[[#This Row],[Date]]="","",IF(N(tblBoard[[#This Row],[Target (units)]])&gt;0,IF(tblBoard[[#This Row],[Actual (units)]]&gt;=tblBoard[[#This Row],[Target (units)]]*TargetHour,1,0),""))</f>
        <v>1</v>
      </c>
      <c r="P125" s="40" t="str">
        <f>IF(NOT(ISNUMBER(tblBoard[[#This Row],[Attainment]])),"",IF(tblBoard[[#This Row],[Attainment]]&gt;=TargetHour,"On target",IF(tblBoard[[#This Row],[Attainment]]&gt;=TargetHour*(1-0.05),"Near target","Below target")))</f>
        <v>On target</v>
      </c>
      <c r="Q125" s="38">
        <f>IF(tblBoard[[#This Row],[Date]]="","",IF(tblBoard[[#This Row],[Hour]]="","",SUMIFS(tblBoard[Target (units)],tblBoard[Date],tblBoard[[#This Row],[Date]],tblBoard[Shift],tblBoard[[#This Row],[Shift]],tblBoard[Line],tblBoard[[#This Row],[Line]],tblBoard[Hour],"&lt;="&amp;tblBoard[[#This Row],[Hour]])))</f>
        <v>523</v>
      </c>
      <c r="R125" s="38">
        <f>IF(tblBoard[[#This Row],[Date]]="","",IF(tblBoard[[#This Row],[Hour]]="","",SUMIFS(tblBoard[Actual (units)],tblBoard[Date],tblBoard[[#This Row],[Date]],tblBoard[Shift],tblBoard[[#This Row],[Shift]],tblBoard[Line],tblBoard[[#This Row],[Line]],tblBoard[Hour],"&lt;="&amp;tblBoard[[#This Row],[Hour]])))</f>
        <v>514</v>
      </c>
      <c r="S125" s="38">
        <f>IF(tblBoard[[#This Row],[Date]]="","",IF(tblBoard[[#This Row],[Cum. target]]="","",tblBoard[[#This Row],[Cum. actual]]-tblBoard[[#This Row],[Cum. target]]))</f>
        <v>-9</v>
      </c>
      <c r="T125" s="41">
        <f>IF(tblBoard[[#This Row],[Date]]="","",IF(AND(tblBoard[[#This Row],[Date]]&gt;=FFrom,tblBoard[[#This Row],[Date]]&lt;=FTo,OR(DashLine="",tblBoard[[#This Row],[Line]]=DashLine)),tblBoard[[#This Row],[Date]],""))</f>
        <v>46303</v>
      </c>
      <c r="U12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5" s="43" t="s">
        <v>97</v>
      </c>
    </row>
    <row r="126" spans="2:22" x14ac:dyDescent="0.25">
      <c r="B126" s="36">
        <v>46303</v>
      </c>
      <c r="C126" s="28" t="s">
        <v>93</v>
      </c>
      <c r="D126" s="28" t="s">
        <v>88</v>
      </c>
      <c r="E126" s="33">
        <v>1</v>
      </c>
      <c r="F126" s="28" t="s">
        <v>107</v>
      </c>
      <c r="G126" s="33">
        <v>60</v>
      </c>
      <c r="H126" s="33">
        <v>102</v>
      </c>
      <c r="I126" s="28" t="s">
        <v>110</v>
      </c>
      <c r="J126" s="37">
        <f>IF(tblBoard[[#This Row],[Date]]="","",IFERROR(INDEX(tblProducts[Takt time (s)],MATCH(tblBoard[[#This Row],[Product]],tblProducts[Product],0)),""))</f>
        <v>30</v>
      </c>
      <c r="K126" s="38">
        <f>IF(tblBoard[[#This Row],[Date]]="","",IF(OR(tblBoard[[#This Row],[Takt (s)]]="",tblBoard[[#This Row],[Available (min)]]=""),"",INT(tblBoard[[#This Row],[Available (min)]]*60/tblBoard[[#This Row],[Takt (s)]])))</f>
        <v>120</v>
      </c>
      <c r="L126" s="38">
        <f>IF(tblBoard[[#This Row],[Date]]="","",IF(tblBoard[[#This Row],[Target (units)]]="","",tblBoard[[#This Row],[Actual (units)]]-tblBoard[[#This Row],[Target (units)]]))</f>
        <v>-18</v>
      </c>
      <c r="M126" s="38">
        <f>IF(tblBoard[[#This Row],[Date]]="","",IF(tblBoard[[#This Row],[Target (units)]]="","",MAX(0,tblBoard[[#This Row],[Target (units)]]-tblBoard[[#This Row],[Actual (units)]])))</f>
        <v>18</v>
      </c>
      <c r="N126" s="39">
        <f>IF(tblBoard[[#This Row],[Date]]="","",IF(N(tblBoard[[#This Row],[Target (units)]])&gt;0,tblBoard[[#This Row],[Actual (units)]]/tblBoard[[#This Row],[Target (units)]],""))</f>
        <v>0.85</v>
      </c>
      <c r="O126" s="38">
        <f>IF(tblBoard[[#This Row],[Date]]="","",IF(N(tblBoard[[#This Row],[Target (units)]])&gt;0,IF(tblBoard[[#This Row],[Actual (units)]]&gt;=tblBoard[[#This Row],[Target (units)]]*TargetHour,1,0),""))</f>
        <v>0</v>
      </c>
      <c r="P126" s="40" t="str">
        <f>IF(NOT(ISNUMBER(tblBoard[[#This Row],[Attainment]])),"",IF(tblBoard[[#This Row],[Attainment]]&gt;=TargetHour,"On target",IF(tblBoard[[#This Row],[Attainment]]&gt;=TargetHour*(1-0.05),"Near target","Below target")))</f>
        <v>Below target</v>
      </c>
      <c r="Q126" s="38">
        <f>IF(tblBoard[[#This Row],[Date]]="","",IF(tblBoard[[#This Row],[Hour]]="","",SUMIFS(tblBoard[Target (units)],tblBoard[Date],tblBoard[[#This Row],[Date]],tblBoard[Shift],tblBoard[[#This Row],[Shift]],tblBoard[Line],tblBoard[[#This Row],[Line]],tblBoard[Hour],"&lt;="&amp;tblBoard[[#This Row],[Hour]])))</f>
        <v>120</v>
      </c>
      <c r="R126" s="38">
        <f>IF(tblBoard[[#This Row],[Date]]="","",IF(tblBoard[[#This Row],[Hour]]="","",SUMIFS(tblBoard[Actual (units)],tblBoard[Date],tblBoard[[#This Row],[Date]],tblBoard[Shift],tblBoard[[#This Row],[Shift]],tblBoard[Line],tblBoard[[#This Row],[Line]],tblBoard[Hour],"&lt;="&amp;tblBoard[[#This Row],[Hour]])))</f>
        <v>102</v>
      </c>
      <c r="S126" s="38">
        <f>IF(tblBoard[[#This Row],[Date]]="","",IF(tblBoard[[#This Row],[Cum. target]]="","",tblBoard[[#This Row],[Cum. actual]]-tblBoard[[#This Row],[Cum. target]]))</f>
        <v>-18</v>
      </c>
      <c r="T126" s="41">
        <f>IF(tblBoard[[#This Row],[Date]]="","",IF(AND(tblBoard[[#This Row],[Date]]&gt;=FFrom,tblBoard[[#This Row],[Date]]&lt;=FTo,OR(DashLine="",tblBoard[[#This Row],[Line]]=DashLine)),tblBoard[[#This Row],[Date]],""))</f>
        <v>46303</v>
      </c>
      <c r="U12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6" s="43" t="s">
        <v>144</v>
      </c>
    </row>
    <row r="127" spans="2:22" x14ac:dyDescent="0.25">
      <c r="B127" s="36">
        <v>46303</v>
      </c>
      <c r="C127" s="28" t="s">
        <v>93</v>
      </c>
      <c r="D127" s="28" t="s">
        <v>88</v>
      </c>
      <c r="E127" s="33">
        <v>2</v>
      </c>
      <c r="F127" s="28" t="s">
        <v>107</v>
      </c>
      <c r="G127" s="33">
        <v>60</v>
      </c>
      <c r="H127" s="33">
        <v>114</v>
      </c>
      <c r="I127" s="28" t="s">
        <v>118</v>
      </c>
      <c r="J127" s="37">
        <f>IF(tblBoard[[#This Row],[Date]]="","",IFERROR(INDEX(tblProducts[Takt time (s)],MATCH(tblBoard[[#This Row],[Product]],tblProducts[Product],0)),""))</f>
        <v>30</v>
      </c>
      <c r="K127" s="38">
        <f>IF(tblBoard[[#This Row],[Date]]="","",IF(OR(tblBoard[[#This Row],[Takt (s)]]="",tblBoard[[#This Row],[Available (min)]]=""),"",INT(tblBoard[[#This Row],[Available (min)]]*60/tblBoard[[#This Row],[Takt (s)]])))</f>
        <v>120</v>
      </c>
      <c r="L127" s="38">
        <f>IF(tblBoard[[#This Row],[Date]]="","",IF(tblBoard[[#This Row],[Target (units)]]="","",tblBoard[[#This Row],[Actual (units)]]-tblBoard[[#This Row],[Target (units)]]))</f>
        <v>-6</v>
      </c>
      <c r="M127" s="38">
        <f>IF(tblBoard[[#This Row],[Date]]="","",IF(tblBoard[[#This Row],[Target (units)]]="","",MAX(0,tblBoard[[#This Row],[Target (units)]]-tblBoard[[#This Row],[Actual (units)]])))</f>
        <v>6</v>
      </c>
      <c r="N127" s="39">
        <f>IF(tblBoard[[#This Row],[Date]]="","",IF(N(tblBoard[[#This Row],[Target (units)]])&gt;0,tblBoard[[#This Row],[Actual (units)]]/tblBoard[[#This Row],[Target (units)]],""))</f>
        <v>0.95</v>
      </c>
      <c r="O127" s="38">
        <f>IF(tblBoard[[#This Row],[Date]]="","",IF(N(tblBoard[[#This Row],[Target (units)]])&gt;0,IF(tblBoard[[#This Row],[Actual (units)]]&gt;=tblBoard[[#This Row],[Target (units)]]*TargetHour,1,0),""))</f>
        <v>0</v>
      </c>
      <c r="P127" s="40" t="str">
        <f>IF(NOT(ISNUMBER(tblBoard[[#This Row],[Attainment]])),"",IF(tblBoard[[#This Row],[Attainment]]&gt;=TargetHour,"On target",IF(tblBoard[[#This Row],[Attainment]]&gt;=TargetHour*(1-0.05),"Near target","Below target")))</f>
        <v>Near target</v>
      </c>
      <c r="Q127" s="38">
        <f>IF(tblBoard[[#This Row],[Date]]="","",IF(tblBoard[[#This Row],[Hour]]="","",SUMIFS(tblBoard[Target (units)],tblBoard[Date],tblBoard[[#This Row],[Date]],tblBoard[Shift],tblBoard[[#This Row],[Shift]],tblBoard[Line],tblBoard[[#This Row],[Line]],tblBoard[Hour],"&lt;="&amp;tblBoard[[#This Row],[Hour]])))</f>
        <v>240</v>
      </c>
      <c r="R127" s="38">
        <f>IF(tblBoard[[#This Row],[Date]]="","",IF(tblBoard[[#This Row],[Hour]]="","",SUMIFS(tblBoard[Actual (units)],tblBoard[Date],tblBoard[[#This Row],[Date]],tblBoard[Shift],tblBoard[[#This Row],[Shift]],tblBoard[Line],tblBoard[[#This Row],[Line]],tblBoard[Hour],"&lt;="&amp;tblBoard[[#This Row],[Hour]])))</f>
        <v>216</v>
      </c>
      <c r="S127" s="38">
        <f>IF(tblBoard[[#This Row],[Date]]="","",IF(tblBoard[[#This Row],[Cum. target]]="","",tblBoard[[#This Row],[Cum. actual]]-tblBoard[[#This Row],[Cum. target]]))</f>
        <v>-24</v>
      </c>
      <c r="T127" s="41">
        <f>IF(tblBoard[[#This Row],[Date]]="","",IF(AND(tblBoard[[#This Row],[Date]]&gt;=FFrom,tblBoard[[#This Row],[Date]]&lt;=FTo,OR(DashLine="",tblBoard[[#This Row],[Line]]=DashLine)),tblBoard[[#This Row],[Date]],""))</f>
        <v>46303</v>
      </c>
      <c r="U12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7" s="43" t="s">
        <v>97</v>
      </c>
    </row>
    <row r="128" spans="2:22" x14ac:dyDescent="0.25">
      <c r="B128" s="36">
        <v>46303</v>
      </c>
      <c r="C128" s="28" t="s">
        <v>93</v>
      </c>
      <c r="D128" s="28" t="s">
        <v>88</v>
      </c>
      <c r="E128" s="33">
        <v>3</v>
      </c>
      <c r="F128" s="28" t="s">
        <v>107</v>
      </c>
      <c r="G128" s="33">
        <v>50</v>
      </c>
      <c r="H128" s="33">
        <v>52</v>
      </c>
      <c r="I128" s="28" t="s">
        <v>112</v>
      </c>
      <c r="J128" s="37">
        <f>IF(tblBoard[[#This Row],[Date]]="","",IFERROR(INDEX(tblProducts[Takt time (s)],MATCH(tblBoard[[#This Row],[Product]],tblProducts[Product],0)),""))</f>
        <v>30</v>
      </c>
      <c r="K128" s="38">
        <f>IF(tblBoard[[#This Row],[Date]]="","",IF(OR(tblBoard[[#This Row],[Takt (s)]]="",tblBoard[[#This Row],[Available (min)]]=""),"",INT(tblBoard[[#This Row],[Available (min)]]*60/tblBoard[[#This Row],[Takt (s)]])))</f>
        <v>100</v>
      </c>
      <c r="L128" s="38">
        <f>IF(tblBoard[[#This Row],[Date]]="","",IF(tblBoard[[#This Row],[Target (units)]]="","",tblBoard[[#This Row],[Actual (units)]]-tblBoard[[#This Row],[Target (units)]]))</f>
        <v>-48</v>
      </c>
      <c r="M128" s="38">
        <f>IF(tblBoard[[#This Row],[Date]]="","",IF(tblBoard[[#This Row],[Target (units)]]="","",MAX(0,tblBoard[[#This Row],[Target (units)]]-tblBoard[[#This Row],[Actual (units)]])))</f>
        <v>48</v>
      </c>
      <c r="N128" s="39">
        <f>IF(tblBoard[[#This Row],[Date]]="","",IF(N(tblBoard[[#This Row],[Target (units)]])&gt;0,tblBoard[[#This Row],[Actual (units)]]/tblBoard[[#This Row],[Target (units)]],""))</f>
        <v>0.52</v>
      </c>
      <c r="O128" s="38">
        <f>IF(tblBoard[[#This Row],[Date]]="","",IF(N(tblBoard[[#This Row],[Target (units)]])&gt;0,IF(tblBoard[[#This Row],[Actual (units)]]&gt;=tblBoard[[#This Row],[Target (units)]]*TargetHour,1,0),""))</f>
        <v>0</v>
      </c>
      <c r="P128" s="40" t="str">
        <f>IF(NOT(ISNUMBER(tblBoard[[#This Row],[Attainment]])),"",IF(tblBoard[[#This Row],[Attainment]]&gt;=TargetHour,"On target",IF(tblBoard[[#This Row],[Attainment]]&gt;=TargetHour*(1-0.05),"Near target","Below target")))</f>
        <v>Below target</v>
      </c>
      <c r="Q128" s="38">
        <f>IF(tblBoard[[#This Row],[Date]]="","",IF(tblBoard[[#This Row],[Hour]]="","",SUMIFS(tblBoard[Target (units)],tblBoard[Date],tblBoard[[#This Row],[Date]],tblBoard[Shift],tblBoard[[#This Row],[Shift]],tblBoard[Line],tblBoard[[#This Row],[Line]],tblBoard[Hour],"&lt;="&amp;tblBoard[[#This Row],[Hour]])))</f>
        <v>340</v>
      </c>
      <c r="R128" s="38">
        <f>IF(tblBoard[[#This Row],[Date]]="","",IF(tblBoard[[#This Row],[Hour]]="","",SUMIFS(tblBoard[Actual (units)],tblBoard[Date],tblBoard[[#This Row],[Date]],tblBoard[Shift],tblBoard[[#This Row],[Shift]],tblBoard[Line],tblBoard[[#This Row],[Line]],tblBoard[Hour],"&lt;="&amp;tblBoard[[#This Row],[Hour]])))</f>
        <v>268</v>
      </c>
      <c r="S128" s="38">
        <f>IF(tblBoard[[#This Row],[Date]]="","",IF(tblBoard[[#This Row],[Cum. target]]="","",tblBoard[[#This Row],[Cum. actual]]-tblBoard[[#This Row],[Cum. target]]))</f>
        <v>-72</v>
      </c>
      <c r="T128" s="41">
        <f>IF(tblBoard[[#This Row],[Date]]="","",IF(AND(tblBoard[[#This Row],[Date]]&gt;=FFrom,tblBoard[[#This Row],[Date]]&lt;=FTo,OR(DashLine="",tblBoard[[#This Row],[Line]]=DashLine)),tblBoard[[#This Row],[Date]],""))</f>
        <v>46303</v>
      </c>
      <c r="U12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8" s="43" t="s">
        <v>145</v>
      </c>
    </row>
    <row r="129" spans="2:22" x14ac:dyDescent="0.25">
      <c r="B129" s="36">
        <v>46303</v>
      </c>
      <c r="C129" s="28" t="s">
        <v>93</v>
      </c>
      <c r="D129" s="28" t="s">
        <v>88</v>
      </c>
      <c r="E129" s="33">
        <v>4</v>
      </c>
      <c r="F129" s="28" t="s">
        <v>107</v>
      </c>
      <c r="G129" s="33">
        <v>60</v>
      </c>
      <c r="H129" s="33">
        <v>119</v>
      </c>
      <c r="I129" s="28" t="s">
        <v>114</v>
      </c>
      <c r="J129" s="37">
        <f>IF(tblBoard[[#This Row],[Date]]="","",IFERROR(INDEX(tblProducts[Takt time (s)],MATCH(tblBoard[[#This Row],[Product]],tblProducts[Product],0)),""))</f>
        <v>30</v>
      </c>
      <c r="K129" s="38">
        <f>IF(tblBoard[[#This Row],[Date]]="","",IF(OR(tblBoard[[#This Row],[Takt (s)]]="",tblBoard[[#This Row],[Available (min)]]=""),"",INT(tblBoard[[#This Row],[Available (min)]]*60/tblBoard[[#This Row],[Takt (s)]])))</f>
        <v>120</v>
      </c>
      <c r="L129" s="38">
        <f>IF(tblBoard[[#This Row],[Date]]="","",IF(tblBoard[[#This Row],[Target (units)]]="","",tblBoard[[#This Row],[Actual (units)]]-tblBoard[[#This Row],[Target (units)]]))</f>
        <v>-1</v>
      </c>
      <c r="M129" s="38">
        <f>IF(tblBoard[[#This Row],[Date]]="","",IF(tblBoard[[#This Row],[Target (units)]]="","",MAX(0,tblBoard[[#This Row],[Target (units)]]-tblBoard[[#This Row],[Actual (units)]])))</f>
        <v>1</v>
      </c>
      <c r="N129" s="39">
        <f>IF(tblBoard[[#This Row],[Date]]="","",IF(N(tblBoard[[#This Row],[Target (units)]])&gt;0,tblBoard[[#This Row],[Actual (units)]]/tblBoard[[#This Row],[Target (units)]],""))</f>
        <v>0.991666666666667</v>
      </c>
      <c r="O129" s="38">
        <f>IF(tblBoard[[#This Row],[Date]]="","",IF(N(tblBoard[[#This Row],[Target (units)]])&gt;0,IF(tblBoard[[#This Row],[Actual (units)]]&gt;=tblBoard[[#This Row],[Target (units)]]*TargetHour,1,0),""))</f>
        <v>0</v>
      </c>
      <c r="P129" s="40" t="str">
        <f>IF(NOT(ISNUMBER(tblBoard[[#This Row],[Attainment]])),"",IF(tblBoard[[#This Row],[Attainment]]&gt;=TargetHour,"On target",IF(tblBoard[[#This Row],[Attainment]]&gt;=TargetHour*(1-0.05),"Near target","Below target")))</f>
        <v>Near target</v>
      </c>
      <c r="Q129" s="38">
        <f>IF(tblBoard[[#This Row],[Date]]="","",IF(tblBoard[[#This Row],[Hour]]="","",SUMIFS(tblBoard[Target (units)],tblBoard[Date],tblBoard[[#This Row],[Date]],tblBoard[Shift],tblBoard[[#This Row],[Shift]],tblBoard[Line],tblBoard[[#This Row],[Line]],tblBoard[Hour],"&lt;="&amp;tblBoard[[#This Row],[Hour]])))</f>
        <v>460</v>
      </c>
      <c r="R129" s="38">
        <f>IF(tblBoard[[#This Row],[Date]]="","",IF(tblBoard[[#This Row],[Hour]]="","",SUMIFS(tblBoard[Actual (units)],tblBoard[Date],tblBoard[[#This Row],[Date]],tblBoard[Shift],tblBoard[[#This Row],[Shift]],tblBoard[Line],tblBoard[[#This Row],[Line]],tblBoard[Hour],"&lt;="&amp;tblBoard[[#This Row],[Hour]])))</f>
        <v>387</v>
      </c>
      <c r="S129" s="38">
        <f>IF(tblBoard[[#This Row],[Date]]="","",IF(tblBoard[[#This Row],[Cum. target]]="","",tblBoard[[#This Row],[Cum. actual]]-tblBoard[[#This Row],[Cum. target]]))</f>
        <v>-73</v>
      </c>
      <c r="T129" s="41">
        <f>IF(tblBoard[[#This Row],[Date]]="","",IF(AND(tblBoard[[#This Row],[Date]]&gt;=FFrom,tblBoard[[#This Row],[Date]]&lt;=FTo,OR(DashLine="",tblBoard[[#This Row],[Line]]=DashLine)),tblBoard[[#This Row],[Date]],""))</f>
        <v>46303</v>
      </c>
      <c r="U12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29" s="43" t="s">
        <v>97</v>
      </c>
    </row>
    <row r="130" spans="2:22" x14ac:dyDescent="0.25">
      <c r="B130" s="36">
        <v>46303</v>
      </c>
      <c r="C130" s="28" t="s">
        <v>93</v>
      </c>
      <c r="D130" s="28" t="s">
        <v>88</v>
      </c>
      <c r="E130" s="33">
        <v>5</v>
      </c>
      <c r="F130" s="28" t="s">
        <v>107</v>
      </c>
      <c r="G130" s="33">
        <v>30</v>
      </c>
      <c r="H130" s="33">
        <v>60</v>
      </c>
      <c r="I130" s="28"/>
      <c r="J130" s="37">
        <f>IF(tblBoard[[#This Row],[Date]]="","",IFERROR(INDEX(tblProducts[Takt time (s)],MATCH(tblBoard[[#This Row],[Product]],tblProducts[Product],0)),""))</f>
        <v>30</v>
      </c>
      <c r="K130" s="38">
        <f>IF(tblBoard[[#This Row],[Date]]="","",IF(OR(tblBoard[[#This Row],[Takt (s)]]="",tblBoard[[#This Row],[Available (min)]]=""),"",INT(tblBoard[[#This Row],[Available (min)]]*60/tblBoard[[#This Row],[Takt (s)]])))</f>
        <v>60</v>
      </c>
      <c r="L130" s="38">
        <f>IF(tblBoard[[#This Row],[Date]]="","",IF(tblBoard[[#This Row],[Target (units)]]="","",tblBoard[[#This Row],[Actual (units)]]-tblBoard[[#This Row],[Target (units)]]))</f>
        <v>0</v>
      </c>
      <c r="M130" s="38">
        <f>IF(tblBoard[[#This Row],[Date]]="","",IF(tblBoard[[#This Row],[Target (units)]]="","",MAX(0,tblBoard[[#This Row],[Target (units)]]-tblBoard[[#This Row],[Actual (units)]])))</f>
        <v>0</v>
      </c>
      <c r="N130" s="39">
        <f>IF(tblBoard[[#This Row],[Date]]="","",IF(N(tblBoard[[#This Row],[Target (units)]])&gt;0,tblBoard[[#This Row],[Actual (units)]]/tblBoard[[#This Row],[Target (units)]],""))</f>
        <v>1</v>
      </c>
      <c r="O130" s="38">
        <f>IF(tblBoard[[#This Row],[Date]]="","",IF(N(tblBoard[[#This Row],[Target (units)]])&gt;0,IF(tblBoard[[#This Row],[Actual (units)]]&gt;=tblBoard[[#This Row],[Target (units)]]*TargetHour,1,0),""))</f>
        <v>1</v>
      </c>
      <c r="P130" s="40" t="str">
        <f>IF(NOT(ISNUMBER(tblBoard[[#This Row],[Attainment]])),"",IF(tblBoard[[#This Row],[Attainment]]&gt;=TargetHour,"On target",IF(tblBoard[[#This Row],[Attainment]]&gt;=TargetHour*(1-0.05),"Near target","Below target")))</f>
        <v>On target</v>
      </c>
      <c r="Q130" s="38">
        <f>IF(tblBoard[[#This Row],[Date]]="","",IF(tblBoard[[#This Row],[Hour]]="","",SUMIFS(tblBoard[Target (units)],tblBoard[Date],tblBoard[[#This Row],[Date]],tblBoard[Shift],tblBoard[[#This Row],[Shift]],tblBoard[Line],tblBoard[[#This Row],[Line]],tblBoard[Hour],"&lt;="&amp;tblBoard[[#This Row],[Hour]])))</f>
        <v>520</v>
      </c>
      <c r="R130" s="38">
        <f>IF(tblBoard[[#This Row],[Date]]="","",IF(tblBoard[[#This Row],[Hour]]="","",SUMIFS(tblBoard[Actual (units)],tblBoard[Date],tblBoard[[#This Row],[Date]],tblBoard[Shift],tblBoard[[#This Row],[Shift]],tblBoard[Line],tblBoard[[#This Row],[Line]],tblBoard[Hour],"&lt;="&amp;tblBoard[[#This Row],[Hour]])))</f>
        <v>447</v>
      </c>
      <c r="S130" s="38">
        <f>IF(tblBoard[[#This Row],[Date]]="","",IF(tblBoard[[#This Row],[Cum. target]]="","",tblBoard[[#This Row],[Cum. actual]]-tblBoard[[#This Row],[Cum. target]]))</f>
        <v>-73</v>
      </c>
      <c r="T130" s="41">
        <f>IF(tblBoard[[#This Row],[Date]]="","",IF(AND(tblBoard[[#This Row],[Date]]&gt;=FFrom,tblBoard[[#This Row],[Date]]&lt;=FTo,OR(DashLine="",tblBoard[[#This Row],[Line]]=DashLine)),tblBoard[[#This Row],[Date]],""))</f>
        <v>46303</v>
      </c>
      <c r="U13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0" s="43" t="s">
        <v>97</v>
      </c>
    </row>
    <row r="131" spans="2:22" x14ac:dyDescent="0.25">
      <c r="B131" s="36">
        <v>46303</v>
      </c>
      <c r="C131" s="28" t="s">
        <v>93</v>
      </c>
      <c r="D131" s="28" t="s">
        <v>88</v>
      </c>
      <c r="E131" s="33">
        <v>6</v>
      </c>
      <c r="F131" s="28" t="s">
        <v>107</v>
      </c>
      <c r="G131" s="33">
        <v>60</v>
      </c>
      <c r="H131" s="33">
        <v>118</v>
      </c>
      <c r="I131" s="28" t="s">
        <v>118</v>
      </c>
      <c r="J131" s="37">
        <f>IF(tblBoard[[#This Row],[Date]]="","",IFERROR(INDEX(tblProducts[Takt time (s)],MATCH(tblBoard[[#This Row],[Product]],tblProducts[Product],0)),""))</f>
        <v>30</v>
      </c>
      <c r="K131" s="38">
        <f>IF(tblBoard[[#This Row],[Date]]="","",IF(OR(tblBoard[[#This Row],[Takt (s)]]="",tblBoard[[#This Row],[Available (min)]]=""),"",INT(tblBoard[[#This Row],[Available (min)]]*60/tblBoard[[#This Row],[Takt (s)]])))</f>
        <v>120</v>
      </c>
      <c r="L131" s="38">
        <f>IF(tblBoard[[#This Row],[Date]]="","",IF(tblBoard[[#This Row],[Target (units)]]="","",tblBoard[[#This Row],[Actual (units)]]-tblBoard[[#This Row],[Target (units)]]))</f>
        <v>-2</v>
      </c>
      <c r="M131" s="38">
        <f>IF(tblBoard[[#This Row],[Date]]="","",IF(tblBoard[[#This Row],[Target (units)]]="","",MAX(0,tblBoard[[#This Row],[Target (units)]]-tblBoard[[#This Row],[Actual (units)]])))</f>
        <v>2</v>
      </c>
      <c r="N131" s="39">
        <f>IF(tblBoard[[#This Row],[Date]]="","",IF(N(tblBoard[[#This Row],[Target (units)]])&gt;0,tblBoard[[#This Row],[Actual (units)]]/tblBoard[[#This Row],[Target (units)]],""))</f>
        <v>0.983333333333333</v>
      </c>
      <c r="O131" s="38">
        <f>IF(tblBoard[[#This Row],[Date]]="","",IF(N(tblBoard[[#This Row],[Target (units)]])&gt;0,IF(tblBoard[[#This Row],[Actual (units)]]&gt;=tblBoard[[#This Row],[Target (units)]]*TargetHour,1,0),""))</f>
        <v>0</v>
      </c>
      <c r="P131" s="40" t="str">
        <f>IF(NOT(ISNUMBER(tblBoard[[#This Row],[Attainment]])),"",IF(tblBoard[[#This Row],[Attainment]]&gt;=TargetHour,"On target",IF(tblBoard[[#This Row],[Attainment]]&gt;=TargetHour*(1-0.05),"Near target","Below target")))</f>
        <v>Near target</v>
      </c>
      <c r="Q131" s="38">
        <f>IF(tblBoard[[#This Row],[Date]]="","",IF(tblBoard[[#This Row],[Hour]]="","",SUMIFS(tblBoard[Target (units)],tblBoard[Date],tblBoard[[#This Row],[Date]],tblBoard[Shift],tblBoard[[#This Row],[Shift]],tblBoard[Line],tblBoard[[#This Row],[Line]],tblBoard[Hour],"&lt;="&amp;tblBoard[[#This Row],[Hour]])))</f>
        <v>640</v>
      </c>
      <c r="R131" s="38">
        <f>IF(tblBoard[[#This Row],[Date]]="","",IF(tblBoard[[#This Row],[Hour]]="","",SUMIFS(tblBoard[Actual (units)],tblBoard[Date],tblBoard[[#This Row],[Date]],tblBoard[Shift],tblBoard[[#This Row],[Shift]],tblBoard[Line],tblBoard[[#This Row],[Line]],tblBoard[Hour],"&lt;="&amp;tblBoard[[#This Row],[Hour]])))</f>
        <v>565</v>
      </c>
      <c r="S131" s="38">
        <f>IF(tblBoard[[#This Row],[Date]]="","",IF(tblBoard[[#This Row],[Cum. target]]="","",tblBoard[[#This Row],[Cum. actual]]-tblBoard[[#This Row],[Cum. target]]))</f>
        <v>-75</v>
      </c>
      <c r="T131" s="41">
        <f>IF(tblBoard[[#This Row],[Date]]="","",IF(AND(tblBoard[[#This Row],[Date]]&gt;=FFrom,tblBoard[[#This Row],[Date]]&lt;=FTo,OR(DashLine="",tblBoard[[#This Row],[Line]]=DashLine)),tblBoard[[#This Row],[Date]],""))</f>
        <v>46303</v>
      </c>
      <c r="U13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1" s="43" t="s">
        <v>97</v>
      </c>
    </row>
    <row r="132" spans="2:22" x14ac:dyDescent="0.25">
      <c r="B132" s="36">
        <v>46303</v>
      </c>
      <c r="C132" s="28" t="s">
        <v>93</v>
      </c>
      <c r="D132" s="28" t="s">
        <v>88</v>
      </c>
      <c r="E132" s="33">
        <v>7</v>
      </c>
      <c r="F132" s="28" t="s">
        <v>107</v>
      </c>
      <c r="G132" s="33">
        <v>50</v>
      </c>
      <c r="H132" s="33">
        <v>102</v>
      </c>
      <c r="I132" s="28"/>
      <c r="J132" s="37">
        <f>IF(tblBoard[[#This Row],[Date]]="","",IFERROR(INDEX(tblProducts[Takt time (s)],MATCH(tblBoard[[#This Row],[Product]],tblProducts[Product],0)),""))</f>
        <v>30</v>
      </c>
      <c r="K132" s="38">
        <f>IF(tblBoard[[#This Row],[Date]]="","",IF(OR(tblBoard[[#This Row],[Takt (s)]]="",tblBoard[[#This Row],[Available (min)]]=""),"",INT(tblBoard[[#This Row],[Available (min)]]*60/tblBoard[[#This Row],[Takt (s)]])))</f>
        <v>100</v>
      </c>
      <c r="L132" s="38">
        <f>IF(tblBoard[[#This Row],[Date]]="","",IF(tblBoard[[#This Row],[Target (units)]]="","",tblBoard[[#This Row],[Actual (units)]]-tblBoard[[#This Row],[Target (units)]]))</f>
        <v>2</v>
      </c>
      <c r="M132" s="38">
        <f>IF(tblBoard[[#This Row],[Date]]="","",IF(tblBoard[[#This Row],[Target (units)]]="","",MAX(0,tblBoard[[#This Row],[Target (units)]]-tblBoard[[#This Row],[Actual (units)]])))</f>
        <v>0</v>
      </c>
      <c r="N132" s="39">
        <f>IF(tblBoard[[#This Row],[Date]]="","",IF(N(tblBoard[[#This Row],[Target (units)]])&gt;0,tblBoard[[#This Row],[Actual (units)]]/tblBoard[[#This Row],[Target (units)]],""))</f>
        <v>1.02</v>
      </c>
      <c r="O132" s="38">
        <f>IF(tblBoard[[#This Row],[Date]]="","",IF(N(tblBoard[[#This Row],[Target (units)]])&gt;0,IF(tblBoard[[#This Row],[Actual (units)]]&gt;=tblBoard[[#This Row],[Target (units)]]*TargetHour,1,0),""))</f>
        <v>1</v>
      </c>
      <c r="P132" s="40" t="str">
        <f>IF(NOT(ISNUMBER(tblBoard[[#This Row],[Attainment]])),"",IF(tblBoard[[#This Row],[Attainment]]&gt;=TargetHour,"On target",IF(tblBoard[[#This Row],[Attainment]]&gt;=TargetHour*(1-0.05),"Near target","Below target")))</f>
        <v>On target</v>
      </c>
      <c r="Q132" s="38">
        <f>IF(tblBoard[[#This Row],[Date]]="","",IF(tblBoard[[#This Row],[Hour]]="","",SUMIFS(tblBoard[Target (units)],tblBoard[Date],tblBoard[[#This Row],[Date]],tblBoard[Shift],tblBoard[[#This Row],[Shift]],tblBoard[Line],tblBoard[[#This Row],[Line]],tblBoard[Hour],"&lt;="&amp;tblBoard[[#This Row],[Hour]])))</f>
        <v>740</v>
      </c>
      <c r="R132" s="38">
        <f>IF(tblBoard[[#This Row],[Date]]="","",IF(tblBoard[[#This Row],[Hour]]="","",SUMIFS(tblBoard[Actual (units)],tblBoard[Date],tblBoard[[#This Row],[Date]],tblBoard[Shift],tblBoard[[#This Row],[Shift]],tblBoard[Line],tblBoard[[#This Row],[Line]],tblBoard[Hour],"&lt;="&amp;tblBoard[[#This Row],[Hour]])))</f>
        <v>667</v>
      </c>
      <c r="S132" s="38">
        <f>IF(tblBoard[[#This Row],[Date]]="","",IF(tblBoard[[#This Row],[Cum. target]]="","",tblBoard[[#This Row],[Cum. actual]]-tblBoard[[#This Row],[Cum. target]]))</f>
        <v>-73</v>
      </c>
      <c r="T132" s="41">
        <f>IF(tblBoard[[#This Row],[Date]]="","",IF(AND(tblBoard[[#This Row],[Date]]&gt;=FFrom,tblBoard[[#This Row],[Date]]&lt;=FTo,OR(DashLine="",tblBoard[[#This Row],[Line]]=DashLine)),tblBoard[[#This Row],[Date]],""))</f>
        <v>46303</v>
      </c>
      <c r="U13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2" s="43" t="s">
        <v>97</v>
      </c>
    </row>
    <row r="133" spans="2:22" x14ac:dyDescent="0.25">
      <c r="B133" s="36">
        <v>46303</v>
      </c>
      <c r="C133" s="28" t="s">
        <v>93</v>
      </c>
      <c r="D133" s="28" t="s">
        <v>88</v>
      </c>
      <c r="E133" s="33">
        <v>8</v>
      </c>
      <c r="F133" s="28" t="s">
        <v>107</v>
      </c>
      <c r="G133" s="33">
        <v>50</v>
      </c>
      <c r="H133" s="33">
        <v>96</v>
      </c>
      <c r="I133" s="28" t="s">
        <v>116</v>
      </c>
      <c r="J133" s="37">
        <f>IF(tblBoard[[#This Row],[Date]]="","",IFERROR(INDEX(tblProducts[Takt time (s)],MATCH(tblBoard[[#This Row],[Product]],tblProducts[Product],0)),""))</f>
        <v>30</v>
      </c>
      <c r="K133" s="38">
        <f>IF(tblBoard[[#This Row],[Date]]="","",IF(OR(tblBoard[[#This Row],[Takt (s)]]="",tblBoard[[#This Row],[Available (min)]]=""),"",INT(tblBoard[[#This Row],[Available (min)]]*60/tblBoard[[#This Row],[Takt (s)]])))</f>
        <v>100</v>
      </c>
      <c r="L133" s="38">
        <f>IF(tblBoard[[#This Row],[Date]]="","",IF(tblBoard[[#This Row],[Target (units)]]="","",tblBoard[[#This Row],[Actual (units)]]-tblBoard[[#This Row],[Target (units)]]))</f>
        <v>-4</v>
      </c>
      <c r="M133" s="38">
        <f>IF(tblBoard[[#This Row],[Date]]="","",IF(tblBoard[[#This Row],[Target (units)]]="","",MAX(0,tblBoard[[#This Row],[Target (units)]]-tblBoard[[#This Row],[Actual (units)]])))</f>
        <v>4</v>
      </c>
      <c r="N133" s="39">
        <f>IF(tblBoard[[#This Row],[Date]]="","",IF(N(tblBoard[[#This Row],[Target (units)]])&gt;0,tblBoard[[#This Row],[Actual (units)]]/tblBoard[[#This Row],[Target (units)]],""))</f>
        <v>0.96</v>
      </c>
      <c r="O133" s="38">
        <f>IF(tblBoard[[#This Row],[Date]]="","",IF(N(tblBoard[[#This Row],[Target (units)]])&gt;0,IF(tblBoard[[#This Row],[Actual (units)]]&gt;=tblBoard[[#This Row],[Target (units)]]*TargetHour,1,0),""))</f>
        <v>0</v>
      </c>
      <c r="P133" s="40" t="str">
        <f>IF(NOT(ISNUMBER(tblBoard[[#This Row],[Attainment]])),"",IF(tblBoard[[#This Row],[Attainment]]&gt;=TargetHour,"On target",IF(tblBoard[[#This Row],[Attainment]]&gt;=TargetHour*(1-0.05),"Near target","Below target")))</f>
        <v>Near target</v>
      </c>
      <c r="Q133" s="38">
        <f>IF(tblBoard[[#This Row],[Date]]="","",IF(tblBoard[[#This Row],[Hour]]="","",SUMIFS(tblBoard[Target (units)],tblBoard[Date],tblBoard[[#This Row],[Date]],tblBoard[Shift],tblBoard[[#This Row],[Shift]],tblBoard[Line],tblBoard[[#This Row],[Line]],tblBoard[Hour],"&lt;="&amp;tblBoard[[#This Row],[Hour]])))</f>
        <v>840</v>
      </c>
      <c r="R133" s="38">
        <f>IF(tblBoard[[#This Row],[Date]]="","",IF(tblBoard[[#This Row],[Hour]]="","",SUMIFS(tblBoard[Actual (units)],tblBoard[Date],tblBoard[[#This Row],[Date]],tblBoard[Shift],tblBoard[[#This Row],[Shift]],tblBoard[Line],tblBoard[[#This Row],[Line]],tblBoard[Hour],"&lt;="&amp;tblBoard[[#This Row],[Hour]])))</f>
        <v>763</v>
      </c>
      <c r="S133" s="38">
        <f>IF(tblBoard[[#This Row],[Date]]="","",IF(tblBoard[[#This Row],[Cum. target]]="","",tblBoard[[#This Row],[Cum. actual]]-tblBoard[[#This Row],[Cum. target]]))</f>
        <v>-77</v>
      </c>
      <c r="T133" s="41">
        <f>IF(tblBoard[[#This Row],[Date]]="","",IF(AND(tblBoard[[#This Row],[Date]]&gt;=FFrom,tblBoard[[#This Row],[Date]]&lt;=FTo,OR(DashLine="",tblBoard[[#This Row],[Line]]=DashLine)),tblBoard[[#This Row],[Date]],""))</f>
        <v>46303</v>
      </c>
      <c r="U13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3" s="43" t="s">
        <v>146</v>
      </c>
    </row>
    <row r="134" spans="2:22" x14ac:dyDescent="0.25">
      <c r="B134" s="36">
        <v>46304</v>
      </c>
      <c r="C134" s="28" t="s">
        <v>91</v>
      </c>
      <c r="D134" s="28" t="s">
        <v>85</v>
      </c>
      <c r="E134" s="33">
        <v>1</v>
      </c>
      <c r="F134" s="28" t="s">
        <v>103</v>
      </c>
      <c r="G134" s="33">
        <v>60</v>
      </c>
      <c r="H134" s="33">
        <v>77</v>
      </c>
      <c r="I134" s="28" t="s">
        <v>110</v>
      </c>
      <c r="J134" s="37">
        <f>IF(tblBoard[[#This Row],[Date]]="","",IFERROR(INDEX(tblProducts[Takt time (s)],MATCH(tblBoard[[#This Row],[Product]],tblProducts[Product],0)),""))</f>
        <v>40</v>
      </c>
      <c r="K134" s="38">
        <f>IF(tblBoard[[#This Row],[Date]]="","",IF(OR(tblBoard[[#This Row],[Takt (s)]]="",tblBoard[[#This Row],[Available (min)]]=""),"",INT(tblBoard[[#This Row],[Available (min)]]*60/tblBoard[[#This Row],[Takt (s)]])))</f>
        <v>90</v>
      </c>
      <c r="L134" s="38">
        <f>IF(tblBoard[[#This Row],[Date]]="","",IF(tblBoard[[#This Row],[Target (units)]]="","",tblBoard[[#This Row],[Actual (units)]]-tblBoard[[#This Row],[Target (units)]]))</f>
        <v>-13</v>
      </c>
      <c r="M134" s="38">
        <f>IF(tblBoard[[#This Row],[Date]]="","",IF(tblBoard[[#This Row],[Target (units)]]="","",MAX(0,tblBoard[[#This Row],[Target (units)]]-tblBoard[[#This Row],[Actual (units)]])))</f>
        <v>13</v>
      </c>
      <c r="N134" s="39">
        <f>IF(tblBoard[[#This Row],[Date]]="","",IF(N(tblBoard[[#This Row],[Target (units)]])&gt;0,tblBoard[[#This Row],[Actual (units)]]/tblBoard[[#This Row],[Target (units)]],""))</f>
        <v>0.855555555555556</v>
      </c>
      <c r="O134" s="38">
        <f>IF(tblBoard[[#This Row],[Date]]="","",IF(N(tblBoard[[#This Row],[Target (units)]])&gt;0,IF(tblBoard[[#This Row],[Actual (units)]]&gt;=tblBoard[[#This Row],[Target (units)]]*TargetHour,1,0),""))</f>
        <v>0</v>
      </c>
      <c r="P134" s="40" t="str">
        <f>IF(NOT(ISNUMBER(tblBoard[[#This Row],[Attainment]])),"",IF(tblBoard[[#This Row],[Attainment]]&gt;=TargetHour,"On target",IF(tblBoard[[#This Row],[Attainment]]&gt;=TargetHour*(1-0.05),"Near target","Below target")))</f>
        <v>Below target</v>
      </c>
      <c r="Q134" s="38">
        <f>IF(tblBoard[[#This Row],[Date]]="","",IF(tblBoard[[#This Row],[Hour]]="","",SUMIFS(tblBoard[Target (units)],tblBoard[Date],tblBoard[[#This Row],[Date]],tblBoard[Shift],tblBoard[[#This Row],[Shift]],tblBoard[Line],tblBoard[[#This Row],[Line]],tblBoard[Hour],"&lt;="&amp;tblBoard[[#This Row],[Hour]])))</f>
        <v>90</v>
      </c>
      <c r="R134" s="38">
        <f>IF(tblBoard[[#This Row],[Date]]="","",IF(tblBoard[[#This Row],[Hour]]="","",SUMIFS(tblBoard[Actual (units)],tblBoard[Date],tblBoard[[#This Row],[Date]],tblBoard[Shift],tblBoard[[#This Row],[Shift]],tblBoard[Line],tblBoard[[#This Row],[Line]],tblBoard[Hour],"&lt;="&amp;tblBoard[[#This Row],[Hour]])))</f>
        <v>77</v>
      </c>
      <c r="S134" s="38">
        <f>IF(tblBoard[[#This Row],[Date]]="","",IF(tblBoard[[#This Row],[Cum. target]]="","",tblBoard[[#This Row],[Cum. actual]]-tblBoard[[#This Row],[Cum. target]]))</f>
        <v>-13</v>
      </c>
      <c r="T134" s="41">
        <f>IF(tblBoard[[#This Row],[Date]]="","",IF(AND(tblBoard[[#This Row],[Date]]&gt;=FFrom,tblBoard[[#This Row],[Date]]&lt;=FTo,OR(DashLine="",tblBoard[[#This Row],[Line]]=DashLine)),tblBoard[[#This Row],[Date]],""))</f>
        <v>46304</v>
      </c>
      <c r="U13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4" s="43" t="s">
        <v>144</v>
      </c>
    </row>
    <row r="135" spans="2:22" x14ac:dyDescent="0.25">
      <c r="B135" s="36">
        <v>46304</v>
      </c>
      <c r="C135" s="28" t="s">
        <v>91</v>
      </c>
      <c r="D135" s="28" t="s">
        <v>85</v>
      </c>
      <c r="E135" s="33">
        <v>2</v>
      </c>
      <c r="F135" s="28" t="s">
        <v>103</v>
      </c>
      <c r="G135" s="33">
        <v>60</v>
      </c>
      <c r="H135" s="33">
        <v>90</v>
      </c>
      <c r="I135" s="28"/>
      <c r="J135" s="37">
        <f>IF(tblBoard[[#This Row],[Date]]="","",IFERROR(INDEX(tblProducts[Takt time (s)],MATCH(tblBoard[[#This Row],[Product]],tblProducts[Product],0)),""))</f>
        <v>40</v>
      </c>
      <c r="K135" s="38">
        <f>IF(tblBoard[[#This Row],[Date]]="","",IF(OR(tblBoard[[#This Row],[Takt (s)]]="",tblBoard[[#This Row],[Available (min)]]=""),"",INT(tblBoard[[#This Row],[Available (min)]]*60/tblBoard[[#This Row],[Takt (s)]])))</f>
        <v>90</v>
      </c>
      <c r="L135" s="38">
        <f>IF(tblBoard[[#This Row],[Date]]="","",IF(tblBoard[[#This Row],[Target (units)]]="","",tblBoard[[#This Row],[Actual (units)]]-tblBoard[[#This Row],[Target (units)]]))</f>
        <v>0</v>
      </c>
      <c r="M135" s="38">
        <f>IF(tblBoard[[#This Row],[Date]]="","",IF(tblBoard[[#This Row],[Target (units)]]="","",MAX(0,tblBoard[[#This Row],[Target (units)]]-tblBoard[[#This Row],[Actual (units)]])))</f>
        <v>0</v>
      </c>
      <c r="N135" s="39">
        <f>IF(tblBoard[[#This Row],[Date]]="","",IF(N(tblBoard[[#This Row],[Target (units)]])&gt;0,tblBoard[[#This Row],[Actual (units)]]/tblBoard[[#This Row],[Target (units)]],""))</f>
        <v>1</v>
      </c>
      <c r="O135" s="38">
        <f>IF(tblBoard[[#This Row],[Date]]="","",IF(N(tblBoard[[#This Row],[Target (units)]])&gt;0,IF(tblBoard[[#This Row],[Actual (units)]]&gt;=tblBoard[[#This Row],[Target (units)]]*TargetHour,1,0),""))</f>
        <v>1</v>
      </c>
      <c r="P135" s="40" t="str">
        <f>IF(NOT(ISNUMBER(tblBoard[[#This Row],[Attainment]])),"",IF(tblBoard[[#This Row],[Attainment]]&gt;=TargetHour,"On target",IF(tblBoard[[#This Row],[Attainment]]&gt;=TargetHour*(1-0.05),"Near target","Below target")))</f>
        <v>On target</v>
      </c>
      <c r="Q135" s="38">
        <f>IF(tblBoard[[#This Row],[Date]]="","",IF(tblBoard[[#This Row],[Hour]]="","",SUMIFS(tblBoard[Target (units)],tblBoard[Date],tblBoard[[#This Row],[Date]],tblBoard[Shift],tblBoard[[#This Row],[Shift]],tblBoard[Line],tblBoard[[#This Row],[Line]],tblBoard[Hour],"&lt;="&amp;tblBoard[[#This Row],[Hour]])))</f>
        <v>180</v>
      </c>
      <c r="R135" s="38">
        <f>IF(tblBoard[[#This Row],[Date]]="","",IF(tblBoard[[#This Row],[Hour]]="","",SUMIFS(tblBoard[Actual (units)],tblBoard[Date],tblBoard[[#This Row],[Date]],tblBoard[Shift],tblBoard[[#This Row],[Shift]],tblBoard[Line],tblBoard[[#This Row],[Line]],tblBoard[Hour],"&lt;="&amp;tblBoard[[#This Row],[Hour]])))</f>
        <v>167</v>
      </c>
      <c r="S135" s="38">
        <f>IF(tblBoard[[#This Row],[Date]]="","",IF(tblBoard[[#This Row],[Cum. target]]="","",tblBoard[[#This Row],[Cum. actual]]-tblBoard[[#This Row],[Cum. target]]))</f>
        <v>-13</v>
      </c>
      <c r="T135" s="41">
        <f>IF(tblBoard[[#This Row],[Date]]="","",IF(AND(tblBoard[[#This Row],[Date]]&gt;=FFrom,tblBoard[[#This Row],[Date]]&lt;=FTo,OR(DashLine="",tblBoard[[#This Row],[Line]]=DashLine)),tblBoard[[#This Row],[Date]],""))</f>
        <v>46304</v>
      </c>
      <c r="U13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5" s="43" t="s">
        <v>97</v>
      </c>
    </row>
    <row r="136" spans="2:22" x14ac:dyDescent="0.25">
      <c r="B136" s="36">
        <v>46304</v>
      </c>
      <c r="C136" s="28" t="s">
        <v>91</v>
      </c>
      <c r="D136" s="28" t="s">
        <v>85</v>
      </c>
      <c r="E136" s="33">
        <v>3</v>
      </c>
      <c r="F136" s="28" t="s">
        <v>103</v>
      </c>
      <c r="G136" s="33">
        <v>50</v>
      </c>
      <c r="H136" s="33">
        <v>73</v>
      </c>
      <c r="I136" s="28" t="s">
        <v>114</v>
      </c>
      <c r="J136" s="37">
        <f>IF(tblBoard[[#This Row],[Date]]="","",IFERROR(INDEX(tblProducts[Takt time (s)],MATCH(tblBoard[[#This Row],[Product]],tblProducts[Product],0)),""))</f>
        <v>40</v>
      </c>
      <c r="K136" s="38">
        <f>IF(tblBoard[[#This Row],[Date]]="","",IF(OR(tblBoard[[#This Row],[Takt (s)]]="",tblBoard[[#This Row],[Available (min)]]=""),"",INT(tblBoard[[#This Row],[Available (min)]]*60/tblBoard[[#This Row],[Takt (s)]])))</f>
        <v>75</v>
      </c>
      <c r="L136" s="38">
        <f>IF(tblBoard[[#This Row],[Date]]="","",IF(tblBoard[[#This Row],[Target (units)]]="","",tblBoard[[#This Row],[Actual (units)]]-tblBoard[[#This Row],[Target (units)]]))</f>
        <v>-2</v>
      </c>
      <c r="M136" s="38">
        <f>IF(tblBoard[[#This Row],[Date]]="","",IF(tblBoard[[#This Row],[Target (units)]]="","",MAX(0,tblBoard[[#This Row],[Target (units)]]-tblBoard[[#This Row],[Actual (units)]])))</f>
        <v>2</v>
      </c>
      <c r="N136" s="39">
        <f>IF(tblBoard[[#This Row],[Date]]="","",IF(N(tblBoard[[#This Row],[Target (units)]])&gt;0,tblBoard[[#This Row],[Actual (units)]]/tblBoard[[#This Row],[Target (units)]],""))</f>
        <v>0.973333333333333</v>
      </c>
      <c r="O136" s="38">
        <f>IF(tblBoard[[#This Row],[Date]]="","",IF(N(tblBoard[[#This Row],[Target (units)]])&gt;0,IF(tblBoard[[#This Row],[Actual (units)]]&gt;=tblBoard[[#This Row],[Target (units)]]*TargetHour,1,0),""))</f>
        <v>0</v>
      </c>
      <c r="P136" s="40" t="str">
        <f>IF(NOT(ISNUMBER(tblBoard[[#This Row],[Attainment]])),"",IF(tblBoard[[#This Row],[Attainment]]&gt;=TargetHour,"On target",IF(tblBoard[[#This Row],[Attainment]]&gt;=TargetHour*(1-0.05),"Near target","Below target")))</f>
        <v>Near target</v>
      </c>
      <c r="Q136" s="38">
        <f>IF(tblBoard[[#This Row],[Date]]="","",IF(tblBoard[[#This Row],[Hour]]="","",SUMIFS(tblBoard[Target (units)],tblBoard[Date],tblBoard[[#This Row],[Date]],tblBoard[Shift],tblBoard[[#This Row],[Shift]],tblBoard[Line],tblBoard[[#This Row],[Line]],tblBoard[Hour],"&lt;="&amp;tblBoard[[#This Row],[Hour]])))</f>
        <v>255</v>
      </c>
      <c r="R136" s="38">
        <f>IF(tblBoard[[#This Row],[Date]]="","",IF(tblBoard[[#This Row],[Hour]]="","",SUMIFS(tblBoard[Actual (units)],tblBoard[Date],tblBoard[[#This Row],[Date]],tblBoard[Shift],tblBoard[[#This Row],[Shift]],tblBoard[Line],tblBoard[[#This Row],[Line]],tblBoard[Hour],"&lt;="&amp;tblBoard[[#This Row],[Hour]])))</f>
        <v>240</v>
      </c>
      <c r="S136" s="38">
        <f>IF(tblBoard[[#This Row],[Date]]="","",IF(tblBoard[[#This Row],[Cum. target]]="","",tblBoard[[#This Row],[Cum. actual]]-tblBoard[[#This Row],[Cum. target]]))</f>
        <v>-15</v>
      </c>
      <c r="T136" s="41">
        <f>IF(tblBoard[[#This Row],[Date]]="","",IF(AND(tblBoard[[#This Row],[Date]]&gt;=FFrom,tblBoard[[#This Row],[Date]]&lt;=FTo,OR(DashLine="",tblBoard[[#This Row],[Line]]=DashLine)),tblBoard[[#This Row],[Date]],""))</f>
        <v>46304</v>
      </c>
      <c r="U13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6" s="43" t="s">
        <v>97</v>
      </c>
    </row>
    <row r="137" spans="2:22" x14ac:dyDescent="0.25">
      <c r="B137" s="36">
        <v>46304</v>
      </c>
      <c r="C137" s="28" t="s">
        <v>91</v>
      </c>
      <c r="D137" s="28" t="s">
        <v>85</v>
      </c>
      <c r="E137" s="33">
        <v>4</v>
      </c>
      <c r="F137" s="28" t="s">
        <v>103</v>
      </c>
      <c r="G137" s="33">
        <v>60</v>
      </c>
      <c r="H137" s="33">
        <v>93</v>
      </c>
      <c r="I137" s="28"/>
      <c r="J137" s="37">
        <f>IF(tblBoard[[#This Row],[Date]]="","",IFERROR(INDEX(tblProducts[Takt time (s)],MATCH(tblBoard[[#This Row],[Product]],tblProducts[Product],0)),""))</f>
        <v>40</v>
      </c>
      <c r="K137" s="38">
        <f>IF(tblBoard[[#This Row],[Date]]="","",IF(OR(tblBoard[[#This Row],[Takt (s)]]="",tblBoard[[#This Row],[Available (min)]]=""),"",INT(tblBoard[[#This Row],[Available (min)]]*60/tblBoard[[#This Row],[Takt (s)]])))</f>
        <v>90</v>
      </c>
      <c r="L137" s="38">
        <f>IF(tblBoard[[#This Row],[Date]]="","",IF(tblBoard[[#This Row],[Target (units)]]="","",tblBoard[[#This Row],[Actual (units)]]-tblBoard[[#This Row],[Target (units)]]))</f>
        <v>3</v>
      </c>
      <c r="M137" s="38">
        <f>IF(tblBoard[[#This Row],[Date]]="","",IF(tblBoard[[#This Row],[Target (units)]]="","",MAX(0,tblBoard[[#This Row],[Target (units)]]-tblBoard[[#This Row],[Actual (units)]])))</f>
        <v>0</v>
      </c>
      <c r="N137" s="39">
        <f>IF(tblBoard[[#This Row],[Date]]="","",IF(N(tblBoard[[#This Row],[Target (units)]])&gt;0,tblBoard[[#This Row],[Actual (units)]]/tblBoard[[#This Row],[Target (units)]],""))</f>
        <v>1.03333333333333</v>
      </c>
      <c r="O137" s="38">
        <f>IF(tblBoard[[#This Row],[Date]]="","",IF(N(tblBoard[[#This Row],[Target (units)]])&gt;0,IF(tblBoard[[#This Row],[Actual (units)]]&gt;=tblBoard[[#This Row],[Target (units)]]*TargetHour,1,0),""))</f>
        <v>1</v>
      </c>
      <c r="P137" s="40" t="str">
        <f>IF(NOT(ISNUMBER(tblBoard[[#This Row],[Attainment]])),"",IF(tblBoard[[#This Row],[Attainment]]&gt;=TargetHour,"On target",IF(tblBoard[[#This Row],[Attainment]]&gt;=TargetHour*(1-0.05),"Near target","Below target")))</f>
        <v>On target</v>
      </c>
      <c r="Q137" s="38">
        <f>IF(tblBoard[[#This Row],[Date]]="","",IF(tblBoard[[#This Row],[Hour]]="","",SUMIFS(tblBoard[Target (units)],tblBoard[Date],tblBoard[[#This Row],[Date]],tblBoard[Shift],tblBoard[[#This Row],[Shift]],tblBoard[Line],tblBoard[[#This Row],[Line]],tblBoard[Hour],"&lt;="&amp;tblBoard[[#This Row],[Hour]])))</f>
        <v>345</v>
      </c>
      <c r="R137" s="38">
        <f>IF(tblBoard[[#This Row],[Date]]="","",IF(tblBoard[[#This Row],[Hour]]="","",SUMIFS(tblBoard[Actual (units)],tblBoard[Date],tblBoard[[#This Row],[Date]],tblBoard[Shift],tblBoard[[#This Row],[Shift]],tblBoard[Line],tblBoard[[#This Row],[Line]],tblBoard[Hour],"&lt;="&amp;tblBoard[[#This Row],[Hour]])))</f>
        <v>333</v>
      </c>
      <c r="S137" s="38">
        <f>IF(tblBoard[[#This Row],[Date]]="","",IF(tblBoard[[#This Row],[Cum. target]]="","",tblBoard[[#This Row],[Cum. actual]]-tblBoard[[#This Row],[Cum. target]]))</f>
        <v>-12</v>
      </c>
      <c r="T137" s="41">
        <f>IF(tblBoard[[#This Row],[Date]]="","",IF(AND(tblBoard[[#This Row],[Date]]&gt;=FFrom,tblBoard[[#This Row],[Date]]&lt;=FTo,OR(DashLine="",tblBoard[[#This Row],[Line]]=DashLine)),tblBoard[[#This Row],[Date]],""))</f>
        <v>46304</v>
      </c>
      <c r="U13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7" s="43" t="s">
        <v>97</v>
      </c>
    </row>
    <row r="138" spans="2:22" x14ac:dyDescent="0.25">
      <c r="B138" s="36">
        <v>46304</v>
      </c>
      <c r="C138" s="28" t="s">
        <v>91</v>
      </c>
      <c r="D138" s="28" t="s">
        <v>85</v>
      </c>
      <c r="E138" s="33">
        <v>5</v>
      </c>
      <c r="F138" s="28" t="s">
        <v>103</v>
      </c>
      <c r="G138" s="33">
        <v>30</v>
      </c>
      <c r="H138" s="33">
        <v>46</v>
      </c>
      <c r="I138" s="28"/>
      <c r="J138" s="37">
        <f>IF(tblBoard[[#This Row],[Date]]="","",IFERROR(INDEX(tblProducts[Takt time (s)],MATCH(tblBoard[[#This Row],[Product]],tblProducts[Product],0)),""))</f>
        <v>40</v>
      </c>
      <c r="K138" s="38">
        <f>IF(tblBoard[[#This Row],[Date]]="","",IF(OR(tblBoard[[#This Row],[Takt (s)]]="",tblBoard[[#This Row],[Available (min)]]=""),"",INT(tblBoard[[#This Row],[Available (min)]]*60/tblBoard[[#This Row],[Takt (s)]])))</f>
        <v>45</v>
      </c>
      <c r="L138" s="38">
        <f>IF(tblBoard[[#This Row],[Date]]="","",IF(tblBoard[[#This Row],[Target (units)]]="","",tblBoard[[#This Row],[Actual (units)]]-tblBoard[[#This Row],[Target (units)]]))</f>
        <v>1</v>
      </c>
      <c r="M138" s="38">
        <f>IF(tblBoard[[#This Row],[Date]]="","",IF(tblBoard[[#This Row],[Target (units)]]="","",MAX(0,tblBoard[[#This Row],[Target (units)]]-tblBoard[[#This Row],[Actual (units)]])))</f>
        <v>0</v>
      </c>
      <c r="N138" s="39">
        <f>IF(tblBoard[[#This Row],[Date]]="","",IF(N(tblBoard[[#This Row],[Target (units)]])&gt;0,tblBoard[[#This Row],[Actual (units)]]/tblBoard[[#This Row],[Target (units)]],""))</f>
        <v>1.02222222222222</v>
      </c>
      <c r="O138" s="38">
        <f>IF(tblBoard[[#This Row],[Date]]="","",IF(N(tblBoard[[#This Row],[Target (units)]])&gt;0,IF(tblBoard[[#This Row],[Actual (units)]]&gt;=tblBoard[[#This Row],[Target (units)]]*TargetHour,1,0),""))</f>
        <v>1</v>
      </c>
      <c r="P138" s="40" t="str">
        <f>IF(NOT(ISNUMBER(tblBoard[[#This Row],[Attainment]])),"",IF(tblBoard[[#This Row],[Attainment]]&gt;=TargetHour,"On target",IF(tblBoard[[#This Row],[Attainment]]&gt;=TargetHour*(1-0.05),"Near target","Below target")))</f>
        <v>On target</v>
      </c>
      <c r="Q138" s="38">
        <f>IF(tblBoard[[#This Row],[Date]]="","",IF(tblBoard[[#This Row],[Hour]]="","",SUMIFS(tblBoard[Target (units)],tblBoard[Date],tblBoard[[#This Row],[Date]],tblBoard[Shift],tblBoard[[#This Row],[Shift]],tblBoard[Line],tblBoard[[#This Row],[Line]],tblBoard[Hour],"&lt;="&amp;tblBoard[[#This Row],[Hour]])))</f>
        <v>390</v>
      </c>
      <c r="R138" s="38">
        <f>IF(tblBoard[[#This Row],[Date]]="","",IF(tblBoard[[#This Row],[Hour]]="","",SUMIFS(tblBoard[Actual (units)],tblBoard[Date],tblBoard[[#This Row],[Date]],tblBoard[Shift],tblBoard[[#This Row],[Shift]],tblBoard[Line],tblBoard[[#This Row],[Line]],tblBoard[Hour],"&lt;="&amp;tblBoard[[#This Row],[Hour]])))</f>
        <v>379</v>
      </c>
      <c r="S138" s="38">
        <f>IF(tblBoard[[#This Row],[Date]]="","",IF(tblBoard[[#This Row],[Cum. target]]="","",tblBoard[[#This Row],[Cum. actual]]-tblBoard[[#This Row],[Cum. target]]))</f>
        <v>-11</v>
      </c>
      <c r="T138" s="41">
        <f>IF(tblBoard[[#This Row],[Date]]="","",IF(AND(tblBoard[[#This Row],[Date]]&gt;=FFrom,tblBoard[[#This Row],[Date]]&lt;=FTo,OR(DashLine="",tblBoard[[#This Row],[Line]]=DashLine)),tblBoard[[#This Row],[Date]],""))</f>
        <v>46304</v>
      </c>
      <c r="U13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8" s="43" t="s">
        <v>97</v>
      </c>
    </row>
    <row r="139" spans="2:22" x14ac:dyDescent="0.25">
      <c r="B139" s="36">
        <v>46304</v>
      </c>
      <c r="C139" s="28" t="s">
        <v>91</v>
      </c>
      <c r="D139" s="28" t="s">
        <v>85</v>
      </c>
      <c r="E139" s="33">
        <v>6</v>
      </c>
      <c r="F139" s="28" t="s">
        <v>103</v>
      </c>
      <c r="G139" s="33">
        <v>60</v>
      </c>
      <c r="H139" s="33">
        <v>89</v>
      </c>
      <c r="I139" s="28" t="s">
        <v>114</v>
      </c>
      <c r="J139" s="37">
        <f>IF(tblBoard[[#This Row],[Date]]="","",IFERROR(INDEX(tblProducts[Takt time (s)],MATCH(tblBoard[[#This Row],[Product]],tblProducts[Product],0)),""))</f>
        <v>40</v>
      </c>
      <c r="K139" s="38">
        <f>IF(tblBoard[[#This Row],[Date]]="","",IF(OR(tblBoard[[#This Row],[Takt (s)]]="",tblBoard[[#This Row],[Available (min)]]=""),"",INT(tblBoard[[#This Row],[Available (min)]]*60/tblBoard[[#This Row],[Takt (s)]])))</f>
        <v>90</v>
      </c>
      <c r="L139" s="38">
        <f>IF(tblBoard[[#This Row],[Date]]="","",IF(tblBoard[[#This Row],[Target (units)]]="","",tblBoard[[#This Row],[Actual (units)]]-tblBoard[[#This Row],[Target (units)]]))</f>
        <v>-1</v>
      </c>
      <c r="M139" s="38">
        <f>IF(tblBoard[[#This Row],[Date]]="","",IF(tblBoard[[#This Row],[Target (units)]]="","",MAX(0,tblBoard[[#This Row],[Target (units)]]-tblBoard[[#This Row],[Actual (units)]])))</f>
        <v>1</v>
      </c>
      <c r="N139" s="39">
        <f>IF(tblBoard[[#This Row],[Date]]="","",IF(N(tblBoard[[#This Row],[Target (units)]])&gt;0,tblBoard[[#This Row],[Actual (units)]]/tblBoard[[#This Row],[Target (units)]],""))</f>
        <v>0.988888888888889</v>
      </c>
      <c r="O139" s="38">
        <f>IF(tblBoard[[#This Row],[Date]]="","",IF(N(tblBoard[[#This Row],[Target (units)]])&gt;0,IF(tblBoard[[#This Row],[Actual (units)]]&gt;=tblBoard[[#This Row],[Target (units)]]*TargetHour,1,0),""))</f>
        <v>0</v>
      </c>
      <c r="P139" s="40" t="str">
        <f>IF(NOT(ISNUMBER(tblBoard[[#This Row],[Attainment]])),"",IF(tblBoard[[#This Row],[Attainment]]&gt;=TargetHour,"On target",IF(tblBoard[[#This Row],[Attainment]]&gt;=TargetHour*(1-0.05),"Near target","Below target")))</f>
        <v>Near target</v>
      </c>
      <c r="Q139" s="38">
        <f>IF(tblBoard[[#This Row],[Date]]="","",IF(tblBoard[[#This Row],[Hour]]="","",SUMIFS(tblBoard[Target (units)],tblBoard[Date],tblBoard[[#This Row],[Date]],tblBoard[Shift],tblBoard[[#This Row],[Shift]],tblBoard[Line],tblBoard[[#This Row],[Line]],tblBoard[Hour],"&lt;="&amp;tblBoard[[#This Row],[Hour]])))</f>
        <v>480</v>
      </c>
      <c r="R139" s="38">
        <f>IF(tblBoard[[#This Row],[Date]]="","",IF(tblBoard[[#This Row],[Hour]]="","",SUMIFS(tblBoard[Actual (units)],tblBoard[Date],tblBoard[[#This Row],[Date]],tblBoard[Shift],tblBoard[[#This Row],[Shift]],tblBoard[Line],tblBoard[[#This Row],[Line]],tblBoard[Hour],"&lt;="&amp;tblBoard[[#This Row],[Hour]])))</f>
        <v>468</v>
      </c>
      <c r="S139" s="38">
        <f>IF(tblBoard[[#This Row],[Date]]="","",IF(tblBoard[[#This Row],[Cum. target]]="","",tblBoard[[#This Row],[Cum. actual]]-tblBoard[[#This Row],[Cum. target]]))</f>
        <v>-12</v>
      </c>
      <c r="T139" s="41">
        <f>IF(tblBoard[[#This Row],[Date]]="","",IF(AND(tblBoard[[#This Row],[Date]]&gt;=FFrom,tblBoard[[#This Row],[Date]]&lt;=FTo,OR(DashLine="",tblBoard[[#This Row],[Line]]=DashLine)),tblBoard[[#This Row],[Date]],""))</f>
        <v>46304</v>
      </c>
      <c r="U13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39" s="43" t="s">
        <v>97</v>
      </c>
    </row>
    <row r="140" spans="2:22" x14ac:dyDescent="0.25">
      <c r="B140" s="36">
        <v>46304</v>
      </c>
      <c r="C140" s="28" t="s">
        <v>91</v>
      </c>
      <c r="D140" s="28" t="s">
        <v>85</v>
      </c>
      <c r="E140" s="33">
        <v>7</v>
      </c>
      <c r="F140" s="28" t="s">
        <v>103</v>
      </c>
      <c r="G140" s="33">
        <v>50</v>
      </c>
      <c r="H140" s="33">
        <v>74</v>
      </c>
      <c r="I140" s="28" t="s">
        <v>114</v>
      </c>
      <c r="J140" s="37">
        <f>IF(tblBoard[[#This Row],[Date]]="","",IFERROR(INDEX(tblProducts[Takt time (s)],MATCH(tblBoard[[#This Row],[Product]],tblProducts[Product],0)),""))</f>
        <v>40</v>
      </c>
      <c r="K140" s="38">
        <f>IF(tblBoard[[#This Row],[Date]]="","",IF(OR(tblBoard[[#This Row],[Takt (s)]]="",tblBoard[[#This Row],[Available (min)]]=""),"",INT(tblBoard[[#This Row],[Available (min)]]*60/tblBoard[[#This Row],[Takt (s)]])))</f>
        <v>75</v>
      </c>
      <c r="L140" s="38">
        <f>IF(tblBoard[[#This Row],[Date]]="","",IF(tblBoard[[#This Row],[Target (units)]]="","",tblBoard[[#This Row],[Actual (units)]]-tblBoard[[#This Row],[Target (units)]]))</f>
        <v>-1</v>
      </c>
      <c r="M140" s="38">
        <f>IF(tblBoard[[#This Row],[Date]]="","",IF(tblBoard[[#This Row],[Target (units)]]="","",MAX(0,tblBoard[[#This Row],[Target (units)]]-tblBoard[[#This Row],[Actual (units)]])))</f>
        <v>1</v>
      </c>
      <c r="N140" s="39">
        <f>IF(tblBoard[[#This Row],[Date]]="","",IF(N(tblBoard[[#This Row],[Target (units)]])&gt;0,tblBoard[[#This Row],[Actual (units)]]/tblBoard[[#This Row],[Target (units)]],""))</f>
        <v>0.986666666666667</v>
      </c>
      <c r="O140" s="38">
        <f>IF(tblBoard[[#This Row],[Date]]="","",IF(N(tblBoard[[#This Row],[Target (units)]])&gt;0,IF(tblBoard[[#This Row],[Actual (units)]]&gt;=tblBoard[[#This Row],[Target (units)]]*TargetHour,1,0),""))</f>
        <v>0</v>
      </c>
      <c r="P140" s="40" t="str">
        <f>IF(NOT(ISNUMBER(tblBoard[[#This Row],[Attainment]])),"",IF(tblBoard[[#This Row],[Attainment]]&gt;=TargetHour,"On target",IF(tblBoard[[#This Row],[Attainment]]&gt;=TargetHour*(1-0.05),"Near target","Below target")))</f>
        <v>Near target</v>
      </c>
      <c r="Q140" s="38">
        <f>IF(tblBoard[[#This Row],[Date]]="","",IF(tblBoard[[#This Row],[Hour]]="","",SUMIFS(tblBoard[Target (units)],tblBoard[Date],tblBoard[[#This Row],[Date]],tblBoard[Shift],tblBoard[[#This Row],[Shift]],tblBoard[Line],tblBoard[[#This Row],[Line]],tblBoard[Hour],"&lt;="&amp;tblBoard[[#This Row],[Hour]])))</f>
        <v>555</v>
      </c>
      <c r="R140" s="38">
        <f>IF(tblBoard[[#This Row],[Date]]="","",IF(tblBoard[[#This Row],[Hour]]="","",SUMIFS(tblBoard[Actual (units)],tblBoard[Date],tblBoard[[#This Row],[Date]],tblBoard[Shift],tblBoard[[#This Row],[Shift]],tblBoard[Line],tblBoard[[#This Row],[Line]],tblBoard[Hour],"&lt;="&amp;tblBoard[[#This Row],[Hour]])))</f>
        <v>542</v>
      </c>
      <c r="S140" s="38">
        <f>IF(tblBoard[[#This Row],[Date]]="","",IF(tblBoard[[#This Row],[Cum. target]]="","",tblBoard[[#This Row],[Cum. actual]]-tblBoard[[#This Row],[Cum. target]]))</f>
        <v>-13</v>
      </c>
      <c r="T140" s="41">
        <f>IF(tblBoard[[#This Row],[Date]]="","",IF(AND(tblBoard[[#This Row],[Date]]&gt;=FFrom,tblBoard[[#This Row],[Date]]&lt;=FTo,OR(DashLine="",tblBoard[[#This Row],[Line]]=DashLine)),tblBoard[[#This Row],[Date]],""))</f>
        <v>46304</v>
      </c>
      <c r="U14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0" s="43" t="s">
        <v>97</v>
      </c>
    </row>
    <row r="141" spans="2:22" x14ac:dyDescent="0.25">
      <c r="B141" s="36">
        <v>46304</v>
      </c>
      <c r="C141" s="28" t="s">
        <v>91</v>
      </c>
      <c r="D141" s="28" t="s">
        <v>85</v>
      </c>
      <c r="E141" s="33">
        <v>8</v>
      </c>
      <c r="F141" s="28" t="s">
        <v>103</v>
      </c>
      <c r="G141" s="33">
        <v>50</v>
      </c>
      <c r="H141" s="33">
        <v>79</v>
      </c>
      <c r="I141" s="28"/>
      <c r="J141" s="37">
        <f>IF(tblBoard[[#This Row],[Date]]="","",IFERROR(INDEX(tblProducts[Takt time (s)],MATCH(tblBoard[[#This Row],[Product]],tblProducts[Product],0)),""))</f>
        <v>40</v>
      </c>
      <c r="K141" s="38">
        <f>IF(tblBoard[[#This Row],[Date]]="","",IF(OR(tblBoard[[#This Row],[Takt (s)]]="",tblBoard[[#This Row],[Available (min)]]=""),"",INT(tblBoard[[#This Row],[Available (min)]]*60/tblBoard[[#This Row],[Takt (s)]])))</f>
        <v>75</v>
      </c>
      <c r="L141" s="38">
        <f>IF(tblBoard[[#This Row],[Date]]="","",IF(tblBoard[[#This Row],[Target (units)]]="","",tblBoard[[#This Row],[Actual (units)]]-tblBoard[[#This Row],[Target (units)]]))</f>
        <v>4</v>
      </c>
      <c r="M141" s="38">
        <f>IF(tblBoard[[#This Row],[Date]]="","",IF(tblBoard[[#This Row],[Target (units)]]="","",MAX(0,tblBoard[[#This Row],[Target (units)]]-tblBoard[[#This Row],[Actual (units)]])))</f>
        <v>0</v>
      </c>
      <c r="N141" s="39">
        <f>IF(tblBoard[[#This Row],[Date]]="","",IF(N(tblBoard[[#This Row],[Target (units)]])&gt;0,tblBoard[[#This Row],[Actual (units)]]/tblBoard[[#This Row],[Target (units)]],""))</f>
        <v>1.05333333333333</v>
      </c>
      <c r="O141" s="38">
        <f>IF(tblBoard[[#This Row],[Date]]="","",IF(N(tblBoard[[#This Row],[Target (units)]])&gt;0,IF(tblBoard[[#This Row],[Actual (units)]]&gt;=tblBoard[[#This Row],[Target (units)]]*TargetHour,1,0),""))</f>
        <v>1</v>
      </c>
      <c r="P141" s="40" t="str">
        <f>IF(NOT(ISNUMBER(tblBoard[[#This Row],[Attainment]])),"",IF(tblBoard[[#This Row],[Attainment]]&gt;=TargetHour,"On target",IF(tblBoard[[#This Row],[Attainment]]&gt;=TargetHour*(1-0.05),"Near target","Below target")))</f>
        <v>On target</v>
      </c>
      <c r="Q141" s="38">
        <f>IF(tblBoard[[#This Row],[Date]]="","",IF(tblBoard[[#This Row],[Hour]]="","",SUMIFS(tblBoard[Target (units)],tblBoard[Date],tblBoard[[#This Row],[Date]],tblBoard[Shift],tblBoard[[#This Row],[Shift]],tblBoard[Line],tblBoard[[#This Row],[Line]],tblBoard[Hour],"&lt;="&amp;tblBoard[[#This Row],[Hour]])))</f>
        <v>630</v>
      </c>
      <c r="R141" s="38">
        <f>IF(tblBoard[[#This Row],[Date]]="","",IF(tblBoard[[#This Row],[Hour]]="","",SUMIFS(tblBoard[Actual (units)],tblBoard[Date],tblBoard[[#This Row],[Date]],tblBoard[Shift],tblBoard[[#This Row],[Shift]],tblBoard[Line],tblBoard[[#This Row],[Line]],tblBoard[Hour],"&lt;="&amp;tblBoard[[#This Row],[Hour]])))</f>
        <v>621</v>
      </c>
      <c r="S141" s="38">
        <f>IF(tblBoard[[#This Row],[Date]]="","",IF(tblBoard[[#This Row],[Cum. target]]="","",tblBoard[[#This Row],[Cum. actual]]-tblBoard[[#This Row],[Cum. target]]))</f>
        <v>-9</v>
      </c>
      <c r="T141" s="41">
        <f>IF(tblBoard[[#This Row],[Date]]="","",IF(AND(tblBoard[[#This Row],[Date]]&gt;=FFrom,tblBoard[[#This Row],[Date]]&lt;=FTo,OR(DashLine="",tblBoard[[#This Row],[Line]]=DashLine)),tblBoard[[#This Row],[Date]],""))</f>
        <v>46304</v>
      </c>
      <c r="U14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1" s="43" t="s">
        <v>97</v>
      </c>
    </row>
    <row r="142" spans="2:22" x14ac:dyDescent="0.25">
      <c r="B142" s="36">
        <v>46304</v>
      </c>
      <c r="C142" s="28" t="s">
        <v>91</v>
      </c>
      <c r="D142" s="28" t="s">
        <v>88</v>
      </c>
      <c r="E142" s="33">
        <v>1</v>
      </c>
      <c r="F142" s="28" t="s">
        <v>105</v>
      </c>
      <c r="G142" s="33">
        <v>60</v>
      </c>
      <c r="H142" s="33">
        <v>67</v>
      </c>
      <c r="I142" s="28" t="s">
        <v>110</v>
      </c>
      <c r="J142" s="37">
        <f>IF(tblBoard[[#This Row],[Date]]="","",IFERROR(INDEX(tblProducts[Takt time (s)],MATCH(tblBoard[[#This Row],[Product]],tblProducts[Product],0)),""))</f>
        <v>48</v>
      </c>
      <c r="K142" s="38">
        <f>IF(tblBoard[[#This Row],[Date]]="","",IF(OR(tblBoard[[#This Row],[Takt (s)]]="",tblBoard[[#This Row],[Available (min)]]=""),"",INT(tblBoard[[#This Row],[Available (min)]]*60/tblBoard[[#This Row],[Takt (s)]])))</f>
        <v>75</v>
      </c>
      <c r="L142" s="38">
        <f>IF(tblBoard[[#This Row],[Date]]="","",IF(tblBoard[[#This Row],[Target (units)]]="","",tblBoard[[#This Row],[Actual (units)]]-tblBoard[[#This Row],[Target (units)]]))</f>
        <v>-8</v>
      </c>
      <c r="M142" s="38">
        <f>IF(tblBoard[[#This Row],[Date]]="","",IF(tblBoard[[#This Row],[Target (units)]]="","",MAX(0,tblBoard[[#This Row],[Target (units)]]-tblBoard[[#This Row],[Actual (units)]])))</f>
        <v>8</v>
      </c>
      <c r="N142" s="39">
        <f>IF(tblBoard[[#This Row],[Date]]="","",IF(N(tblBoard[[#This Row],[Target (units)]])&gt;0,tblBoard[[#This Row],[Actual (units)]]/tblBoard[[#This Row],[Target (units)]],""))</f>
        <v>0.893333333333333</v>
      </c>
      <c r="O142" s="38">
        <f>IF(tblBoard[[#This Row],[Date]]="","",IF(N(tblBoard[[#This Row],[Target (units)]])&gt;0,IF(tblBoard[[#This Row],[Actual (units)]]&gt;=tblBoard[[#This Row],[Target (units)]]*TargetHour,1,0),""))</f>
        <v>0</v>
      </c>
      <c r="P142" s="40" t="str">
        <f>IF(NOT(ISNUMBER(tblBoard[[#This Row],[Attainment]])),"",IF(tblBoard[[#This Row],[Attainment]]&gt;=TargetHour,"On target",IF(tblBoard[[#This Row],[Attainment]]&gt;=TargetHour*(1-0.05),"Near target","Below target")))</f>
        <v>Below target</v>
      </c>
      <c r="Q142" s="38">
        <f>IF(tblBoard[[#This Row],[Date]]="","",IF(tblBoard[[#This Row],[Hour]]="","",SUMIFS(tblBoard[Target (units)],tblBoard[Date],tblBoard[[#This Row],[Date]],tblBoard[Shift],tblBoard[[#This Row],[Shift]],tblBoard[Line],tblBoard[[#This Row],[Line]],tblBoard[Hour],"&lt;="&amp;tblBoard[[#This Row],[Hour]])))</f>
        <v>75</v>
      </c>
      <c r="R142" s="38">
        <f>IF(tblBoard[[#This Row],[Date]]="","",IF(tblBoard[[#This Row],[Hour]]="","",SUMIFS(tblBoard[Actual (units)],tblBoard[Date],tblBoard[[#This Row],[Date]],tblBoard[Shift],tblBoard[[#This Row],[Shift]],tblBoard[Line],tblBoard[[#This Row],[Line]],tblBoard[Hour],"&lt;="&amp;tblBoard[[#This Row],[Hour]])))</f>
        <v>67</v>
      </c>
      <c r="S142" s="38">
        <f>IF(tblBoard[[#This Row],[Date]]="","",IF(tblBoard[[#This Row],[Cum. target]]="","",tblBoard[[#This Row],[Cum. actual]]-tblBoard[[#This Row],[Cum. target]]))</f>
        <v>-8</v>
      </c>
      <c r="T142" s="41">
        <f>IF(tblBoard[[#This Row],[Date]]="","",IF(AND(tblBoard[[#This Row],[Date]]&gt;=FFrom,tblBoard[[#This Row],[Date]]&lt;=FTo,OR(DashLine="",tblBoard[[#This Row],[Line]]=DashLine)),tblBoard[[#This Row],[Date]],""))</f>
        <v>46304</v>
      </c>
      <c r="U14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2" s="43" t="s">
        <v>97</v>
      </c>
    </row>
    <row r="143" spans="2:22" x14ac:dyDescent="0.25">
      <c r="B143" s="36">
        <v>46304</v>
      </c>
      <c r="C143" s="28" t="s">
        <v>91</v>
      </c>
      <c r="D143" s="28" t="s">
        <v>88</v>
      </c>
      <c r="E143" s="33">
        <v>2</v>
      </c>
      <c r="F143" s="28" t="s">
        <v>105</v>
      </c>
      <c r="G143" s="33">
        <v>60</v>
      </c>
      <c r="H143" s="33">
        <v>79</v>
      </c>
      <c r="I143" s="28"/>
      <c r="J143" s="37">
        <f>IF(tblBoard[[#This Row],[Date]]="","",IFERROR(INDEX(tblProducts[Takt time (s)],MATCH(tblBoard[[#This Row],[Product]],tblProducts[Product],0)),""))</f>
        <v>48</v>
      </c>
      <c r="K143" s="38">
        <f>IF(tblBoard[[#This Row],[Date]]="","",IF(OR(tblBoard[[#This Row],[Takt (s)]]="",tblBoard[[#This Row],[Available (min)]]=""),"",INT(tblBoard[[#This Row],[Available (min)]]*60/tblBoard[[#This Row],[Takt (s)]])))</f>
        <v>75</v>
      </c>
      <c r="L143" s="38">
        <f>IF(tblBoard[[#This Row],[Date]]="","",IF(tblBoard[[#This Row],[Target (units)]]="","",tblBoard[[#This Row],[Actual (units)]]-tblBoard[[#This Row],[Target (units)]]))</f>
        <v>4</v>
      </c>
      <c r="M143" s="38">
        <f>IF(tblBoard[[#This Row],[Date]]="","",IF(tblBoard[[#This Row],[Target (units)]]="","",MAX(0,tblBoard[[#This Row],[Target (units)]]-tblBoard[[#This Row],[Actual (units)]])))</f>
        <v>0</v>
      </c>
      <c r="N143" s="39">
        <f>IF(tblBoard[[#This Row],[Date]]="","",IF(N(tblBoard[[#This Row],[Target (units)]])&gt;0,tblBoard[[#This Row],[Actual (units)]]/tblBoard[[#This Row],[Target (units)]],""))</f>
        <v>1.05333333333333</v>
      </c>
      <c r="O143" s="38">
        <f>IF(tblBoard[[#This Row],[Date]]="","",IF(N(tblBoard[[#This Row],[Target (units)]])&gt;0,IF(tblBoard[[#This Row],[Actual (units)]]&gt;=tblBoard[[#This Row],[Target (units)]]*TargetHour,1,0),""))</f>
        <v>1</v>
      </c>
      <c r="P143" s="40" t="str">
        <f>IF(NOT(ISNUMBER(tblBoard[[#This Row],[Attainment]])),"",IF(tblBoard[[#This Row],[Attainment]]&gt;=TargetHour,"On target",IF(tblBoard[[#This Row],[Attainment]]&gt;=TargetHour*(1-0.05),"Near target","Below target")))</f>
        <v>On target</v>
      </c>
      <c r="Q143" s="38">
        <f>IF(tblBoard[[#This Row],[Date]]="","",IF(tblBoard[[#This Row],[Hour]]="","",SUMIFS(tblBoard[Target (units)],tblBoard[Date],tblBoard[[#This Row],[Date]],tblBoard[Shift],tblBoard[[#This Row],[Shift]],tblBoard[Line],tblBoard[[#This Row],[Line]],tblBoard[Hour],"&lt;="&amp;tblBoard[[#This Row],[Hour]])))</f>
        <v>150</v>
      </c>
      <c r="R143" s="38">
        <f>IF(tblBoard[[#This Row],[Date]]="","",IF(tblBoard[[#This Row],[Hour]]="","",SUMIFS(tblBoard[Actual (units)],tblBoard[Date],tblBoard[[#This Row],[Date]],tblBoard[Shift],tblBoard[[#This Row],[Shift]],tblBoard[Line],tblBoard[[#This Row],[Line]],tblBoard[Hour],"&lt;="&amp;tblBoard[[#This Row],[Hour]])))</f>
        <v>146</v>
      </c>
      <c r="S143" s="38">
        <f>IF(tblBoard[[#This Row],[Date]]="","",IF(tblBoard[[#This Row],[Cum. target]]="","",tblBoard[[#This Row],[Cum. actual]]-tblBoard[[#This Row],[Cum. target]]))</f>
        <v>-4</v>
      </c>
      <c r="T143" s="41">
        <f>IF(tblBoard[[#This Row],[Date]]="","",IF(AND(tblBoard[[#This Row],[Date]]&gt;=FFrom,tblBoard[[#This Row],[Date]]&lt;=FTo,OR(DashLine="",tblBoard[[#This Row],[Line]]=DashLine)),tblBoard[[#This Row],[Date]],""))</f>
        <v>46304</v>
      </c>
      <c r="U14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3" s="43" t="s">
        <v>97</v>
      </c>
    </row>
    <row r="144" spans="2:22" x14ac:dyDescent="0.25">
      <c r="B144" s="36">
        <v>46304</v>
      </c>
      <c r="C144" s="28" t="s">
        <v>91</v>
      </c>
      <c r="D144" s="28" t="s">
        <v>88</v>
      </c>
      <c r="E144" s="33">
        <v>3</v>
      </c>
      <c r="F144" s="28" t="s">
        <v>105</v>
      </c>
      <c r="G144" s="33">
        <v>50</v>
      </c>
      <c r="H144" s="33">
        <v>63</v>
      </c>
      <c r="I144" s="28"/>
      <c r="J144" s="37">
        <f>IF(tblBoard[[#This Row],[Date]]="","",IFERROR(INDEX(tblProducts[Takt time (s)],MATCH(tblBoard[[#This Row],[Product]],tblProducts[Product],0)),""))</f>
        <v>48</v>
      </c>
      <c r="K144" s="38">
        <f>IF(tblBoard[[#This Row],[Date]]="","",IF(OR(tblBoard[[#This Row],[Takt (s)]]="",tblBoard[[#This Row],[Available (min)]]=""),"",INT(tblBoard[[#This Row],[Available (min)]]*60/tblBoard[[#This Row],[Takt (s)]])))</f>
        <v>62</v>
      </c>
      <c r="L144" s="38">
        <f>IF(tblBoard[[#This Row],[Date]]="","",IF(tblBoard[[#This Row],[Target (units)]]="","",tblBoard[[#This Row],[Actual (units)]]-tblBoard[[#This Row],[Target (units)]]))</f>
        <v>1</v>
      </c>
      <c r="M144" s="38">
        <f>IF(tblBoard[[#This Row],[Date]]="","",IF(tblBoard[[#This Row],[Target (units)]]="","",MAX(0,tblBoard[[#This Row],[Target (units)]]-tblBoard[[#This Row],[Actual (units)]])))</f>
        <v>0</v>
      </c>
      <c r="N144" s="39">
        <f>IF(tblBoard[[#This Row],[Date]]="","",IF(N(tblBoard[[#This Row],[Target (units)]])&gt;0,tblBoard[[#This Row],[Actual (units)]]/tblBoard[[#This Row],[Target (units)]],""))</f>
        <v>1.01612903225806</v>
      </c>
      <c r="O144" s="38">
        <f>IF(tblBoard[[#This Row],[Date]]="","",IF(N(tblBoard[[#This Row],[Target (units)]])&gt;0,IF(tblBoard[[#This Row],[Actual (units)]]&gt;=tblBoard[[#This Row],[Target (units)]]*TargetHour,1,0),""))</f>
        <v>1</v>
      </c>
      <c r="P144" s="40" t="str">
        <f>IF(NOT(ISNUMBER(tblBoard[[#This Row],[Attainment]])),"",IF(tblBoard[[#This Row],[Attainment]]&gt;=TargetHour,"On target",IF(tblBoard[[#This Row],[Attainment]]&gt;=TargetHour*(1-0.05),"Near target","Below target")))</f>
        <v>On target</v>
      </c>
      <c r="Q144" s="38">
        <f>IF(tblBoard[[#This Row],[Date]]="","",IF(tblBoard[[#This Row],[Hour]]="","",SUMIFS(tblBoard[Target (units)],tblBoard[Date],tblBoard[[#This Row],[Date]],tblBoard[Shift],tblBoard[[#This Row],[Shift]],tblBoard[Line],tblBoard[[#This Row],[Line]],tblBoard[Hour],"&lt;="&amp;tblBoard[[#This Row],[Hour]])))</f>
        <v>212</v>
      </c>
      <c r="R144" s="38">
        <f>IF(tblBoard[[#This Row],[Date]]="","",IF(tblBoard[[#This Row],[Hour]]="","",SUMIFS(tblBoard[Actual (units)],tblBoard[Date],tblBoard[[#This Row],[Date]],tblBoard[Shift],tblBoard[[#This Row],[Shift]],tblBoard[Line],tblBoard[[#This Row],[Line]],tblBoard[Hour],"&lt;="&amp;tblBoard[[#This Row],[Hour]])))</f>
        <v>209</v>
      </c>
      <c r="S144" s="38">
        <f>IF(tblBoard[[#This Row],[Date]]="","",IF(tblBoard[[#This Row],[Cum. target]]="","",tblBoard[[#This Row],[Cum. actual]]-tblBoard[[#This Row],[Cum. target]]))</f>
        <v>-3</v>
      </c>
      <c r="T144" s="41">
        <f>IF(tblBoard[[#This Row],[Date]]="","",IF(AND(tblBoard[[#This Row],[Date]]&gt;=FFrom,tblBoard[[#This Row],[Date]]&lt;=FTo,OR(DashLine="",tblBoard[[#This Row],[Line]]=DashLine)),tblBoard[[#This Row],[Date]],""))</f>
        <v>46304</v>
      </c>
      <c r="U14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4" s="43" t="s">
        <v>97</v>
      </c>
    </row>
    <row r="145" spans="2:22" x14ac:dyDescent="0.25">
      <c r="B145" s="36">
        <v>46304</v>
      </c>
      <c r="C145" s="28" t="s">
        <v>91</v>
      </c>
      <c r="D145" s="28" t="s">
        <v>88</v>
      </c>
      <c r="E145" s="33">
        <v>4</v>
      </c>
      <c r="F145" s="28" t="s">
        <v>105</v>
      </c>
      <c r="G145" s="33">
        <v>60</v>
      </c>
      <c r="H145" s="33">
        <v>33</v>
      </c>
      <c r="I145" s="28" t="s">
        <v>112</v>
      </c>
      <c r="J145" s="37">
        <f>IF(tblBoard[[#This Row],[Date]]="","",IFERROR(INDEX(tblProducts[Takt time (s)],MATCH(tblBoard[[#This Row],[Product]],tblProducts[Product],0)),""))</f>
        <v>48</v>
      </c>
      <c r="K145" s="38">
        <f>IF(tblBoard[[#This Row],[Date]]="","",IF(OR(tblBoard[[#This Row],[Takt (s)]]="",tblBoard[[#This Row],[Available (min)]]=""),"",INT(tblBoard[[#This Row],[Available (min)]]*60/tblBoard[[#This Row],[Takt (s)]])))</f>
        <v>75</v>
      </c>
      <c r="L145" s="38">
        <f>IF(tblBoard[[#This Row],[Date]]="","",IF(tblBoard[[#This Row],[Target (units)]]="","",tblBoard[[#This Row],[Actual (units)]]-tblBoard[[#This Row],[Target (units)]]))</f>
        <v>-42</v>
      </c>
      <c r="M145" s="38">
        <f>IF(tblBoard[[#This Row],[Date]]="","",IF(tblBoard[[#This Row],[Target (units)]]="","",MAX(0,tblBoard[[#This Row],[Target (units)]]-tblBoard[[#This Row],[Actual (units)]])))</f>
        <v>42</v>
      </c>
      <c r="N145" s="39">
        <f>IF(tblBoard[[#This Row],[Date]]="","",IF(N(tblBoard[[#This Row],[Target (units)]])&gt;0,tblBoard[[#This Row],[Actual (units)]]/tblBoard[[#This Row],[Target (units)]],""))</f>
        <v>0.44</v>
      </c>
      <c r="O145" s="38">
        <f>IF(tblBoard[[#This Row],[Date]]="","",IF(N(tblBoard[[#This Row],[Target (units)]])&gt;0,IF(tblBoard[[#This Row],[Actual (units)]]&gt;=tblBoard[[#This Row],[Target (units)]]*TargetHour,1,0),""))</f>
        <v>0</v>
      </c>
      <c r="P145" s="40" t="str">
        <f>IF(NOT(ISNUMBER(tblBoard[[#This Row],[Attainment]])),"",IF(tblBoard[[#This Row],[Attainment]]&gt;=TargetHour,"On target",IF(tblBoard[[#This Row],[Attainment]]&gt;=TargetHour*(1-0.05),"Near target","Below target")))</f>
        <v>Below target</v>
      </c>
      <c r="Q145" s="38">
        <f>IF(tblBoard[[#This Row],[Date]]="","",IF(tblBoard[[#This Row],[Hour]]="","",SUMIFS(tblBoard[Target (units)],tblBoard[Date],tblBoard[[#This Row],[Date]],tblBoard[Shift],tblBoard[[#This Row],[Shift]],tblBoard[Line],tblBoard[[#This Row],[Line]],tblBoard[Hour],"&lt;="&amp;tblBoard[[#This Row],[Hour]])))</f>
        <v>287</v>
      </c>
      <c r="R145" s="38">
        <f>IF(tblBoard[[#This Row],[Date]]="","",IF(tblBoard[[#This Row],[Hour]]="","",SUMIFS(tblBoard[Actual (units)],tblBoard[Date],tblBoard[[#This Row],[Date]],tblBoard[Shift],tblBoard[[#This Row],[Shift]],tblBoard[Line],tblBoard[[#This Row],[Line]],tblBoard[Hour],"&lt;="&amp;tblBoard[[#This Row],[Hour]])))</f>
        <v>242</v>
      </c>
      <c r="S145" s="38">
        <f>IF(tblBoard[[#This Row],[Date]]="","",IF(tblBoard[[#This Row],[Cum. target]]="","",tblBoard[[#This Row],[Cum. actual]]-tblBoard[[#This Row],[Cum. target]]))</f>
        <v>-45</v>
      </c>
      <c r="T145" s="41">
        <f>IF(tblBoard[[#This Row],[Date]]="","",IF(AND(tblBoard[[#This Row],[Date]]&gt;=FFrom,tblBoard[[#This Row],[Date]]&lt;=FTo,OR(DashLine="",tblBoard[[#This Row],[Line]]=DashLine)),tblBoard[[#This Row],[Date]],""))</f>
        <v>46304</v>
      </c>
      <c r="U14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5" s="43" t="s">
        <v>145</v>
      </c>
    </row>
    <row r="146" spans="2:22" x14ac:dyDescent="0.25">
      <c r="B146" s="36">
        <v>46304</v>
      </c>
      <c r="C146" s="28" t="s">
        <v>91</v>
      </c>
      <c r="D146" s="28" t="s">
        <v>88</v>
      </c>
      <c r="E146" s="33">
        <v>5</v>
      </c>
      <c r="F146" s="28" t="s">
        <v>105</v>
      </c>
      <c r="G146" s="33">
        <v>30</v>
      </c>
      <c r="H146" s="33">
        <v>35</v>
      </c>
      <c r="I146" s="28" t="s">
        <v>114</v>
      </c>
      <c r="J146" s="37">
        <f>IF(tblBoard[[#This Row],[Date]]="","",IFERROR(INDEX(tblProducts[Takt time (s)],MATCH(tblBoard[[#This Row],[Product]],tblProducts[Product],0)),""))</f>
        <v>48</v>
      </c>
      <c r="K146" s="38">
        <f>IF(tblBoard[[#This Row],[Date]]="","",IF(OR(tblBoard[[#This Row],[Takt (s)]]="",tblBoard[[#This Row],[Available (min)]]=""),"",INT(tblBoard[[#This Row],[Available (min)]]*60/tblBoard[[#This Row],[Takt (s)]])))</f>
        <v>37</v>
      </c>
      <c r="L146" s="38">
        <f>IF(tblBoard[[#This Row],[Date]]="","",IF(tblBoard[[#This Row],[Target (units)]]="","",tblBoard[[#This Row],[Actual (units)]]-tblBoard[[#This Row],[Target (units)]]))</f>
        <v>-2</v>
      </c>
      <c r="M146" s="38">
        <f>IF(tblBoard[[#This Row],[Date]]="","",IF(tblBoard[[#This Row],[Target (units)]]="","",MAX(0,tblBoard[[#This Row],[Target (units)]]-tblBoard[[#This Row],[Actual (units)]])))</f>
        <v>2</v>
      </c>
      <c r="N146" s="39">
        <f>IF(tblBoard[[#This Row],[Date]]="","",IF(N(tblBoard[[#This Row],[Target (units)]])&gt;0,tblBoard[[#This Row],[Actual (units)]]/tblBoard[[#This Row],[Target (units)]],""))</f>
        <v>0.945945945945946</v>
      </c>
      <c r="O146" s="38">
        <f>IF(tblBoard[[#This Row],[Date]]="","",IF(N(tblBoard[[#This Row],[Target (units)]])&gt;0,IF(tblBoard[[#This Row],[Actual (units)]]&gt;=tblBoard[[#This Row],[Target (units)]]*TargetHour,1,0),""))</f>
        <v>0</v>
      </c>
      <c r="P146" s="40" t="str">
        <f>IF(NOT(ISNUMBER(tblBoard[[#This Row],[Attainment]])),"",IF(tblBoard[[#This Row],[Attainment]]&gt;=TargetHour,"On target",IF(tblBoard[[#This Row],[Attainment]]&gt;=TargetHour*(1-0.05),"Near target","Below target")))</f>
        <v>Below target</v>
      </c>
      <c r="Q146" s="38">
        <f>IF(tblBoard[[#This Row],[Date]]="","",IF(tblBoard[[#This Row],[Hour]]="","",SUMIFS(tblBoard[Target (units)],tblBoard[Date],tblBoard[[#This Row],[Date]],tblBoard[Shift],tblBoard[[#This Row],[Shift]],tblBoard[Line],tblBoard[[#This Row],[Line]],tblBoard[Hour],"&lt;="&amp;tblBoard[[#This Row],[Hour]])))</f>
        <v>324</v>
      </c>
      <c r="R146" s="38">
        <f>IF(tblBoard[[#This Row],[Date]]="","",IF(tblBoard[[#This Row],[Hour]]="","",SUMIFS(tblBoard[Actual (units)],tblBoard[Date],tblBoard[[#This Row],[Date]],tblBoard[Shift],tblBoard[[#This Row],[Shift]],tblBoard[Line],tblBoard[[#This Row],[Line]],tblBoard[Hour],"&lt;="&amp;tblBoard[[#This Row],[Hour]])))</f>
        <v>277</v>
      </c>
      <c r="S146" s="38">
        <f>IF(tblBoard[[#This Row],[Date]]="","",IF(tblBoard[[#This Row],[Cum. target]]="","",tblBoard[[#This Row],[Cum. actual]]-tblBoard[[#This Row],[Cum. target]]))</f>
        <v>-47</v>
      </c>
      <c r="T146" s="41">
        <f>IF(tblBoard[[#This Row],[Date]]="","",IF(AND(tblBoard[[#This Row],[Date]]&gt;=FFrom,tblBoard[[#This Row],[Date]]&lt;=FTo,OR(DashLine="",tblBoard[[#This Row],[Line]]=DashLine)),tblBoard[[#This Row],[Date]],""))</f>
        <v>46304</v>
      </c>
      <c r="U14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6" s="43" t="s">
        <v>97</v>
      </c>
    </row>
    <row r="147" spans="2:22" x14ac:dyDescent="0.25">
      <c r="B147" s="36">
        <v>46304</v>
      </c>
      <c r="C147" s="28" t="s">
        <v>91</v>
      </c>
      <c r="D147" s="28" t="s">
        <v>88</v>
      </c>
      <c r="E147" s="33">
        <v>6</v>
      </c>
      <c r="F147" s="28" t="s">
        <v>105</v>
      </c>
      <c r="G147" s="33">
        <v>60</v>
      </c>
      <c r="H147" s="33">
        <v>76</v>
      </c>
      <c r="I147" s="28"/>
      <c r="J147" s="37">
        <f>IF(tblBoard[[#This Row],[Date]]="","",IFERROR(INDEX(tblProducts[Takt time (s)],MATCH(tblBoard[[#This Row],[Product]],tblProducts[Product],0)),""))</f>
        <v>48</v>
      </c>
      <c r="K147" s="38">
        <f>IF(tblBoard[[#This Row],[Date]]="","",IF(OR(tblBoard[[#This Row],[Takt (s)]]="",tblBoard[[#This Row],[Available (min)]]=""),"",INT(tblBoard[[#This Row],[Available (min)]]*60/tblBoard[[#This Row],[Takt (s)]])))</f>
        <v>75</v>
      </c>
      <c r="L147" s="38">
        <f>IF(tblBoard[[#This Row],[Date]]="","",IF(tblBoard[[#This Row],[Target (units)]]="","",tblBoard[[#This Row],[Actual (units)]]-tblBoard[[#This Row],[Target (units)]]))</f>
        <v>1</v>
      </c>
      <c r="M147" s="38">
        <f>IF(tblBoard[[#This Row],[Date]]="","",IF(tblBoard[[#This Row],[Target (units)]]="","",MAX(0,tblBoard[[#This Row],[Target (units)]]-tblBoard[[#This Row],[Actual (units)]])))</f>
        <v>0</v>
      </c>
      <c r="N147" s="39">
        <f>IF(tblBoard[[#This Row],[Date]]="","",IF(N(tblBoard[[#This Row],[Target (units)]])&gt;0,tblBoard[[#This Row],[Actual (units)]]/tblBoard[[#This Row],[Target (units)]],""))</f>
        <v>1.01333333333333</v>
      </c>
      <c r="O147" s="38">
        <f>IF(tblBoard[[#This Row],[Date]]="","",IF(N(tblBoard[[#This Row],[Target (units)]])&gt;0,IF(tblBoard[[#This Row],[Actual (units)]]&gt;=tblBoard[[#This Row],[Target (units)]]*TargetHour,1,0),""))</f>
        <v>1</v>
      </c>
      <c r="P147" s="40" t="str">
        <f>IF(NOT(ISNUMBER(tblBoard[[#This Row],[Attainment]])),"",IF(tblBoard[[#This Row],[Attainment]]&gt;=TargetHour,"On target",IF(tblBoard[[#This Row],[Attainment]]&gt;=TargetHour*(1-0.05),"Near target","Below target")))</f>
        <v>On target</v>
      </c>
      <c r="Q147" s="38">
        <f>IF(tblBoard[[#This Row],[Date]]="","",IF(tblBoard[[#This Row],[Hour]]="","",SUMIFS(tblBoard[Target (units)],tblBoard[Date],tblBoard[[#This Row],[Date]],tblBoard[Shift],tblBoard[[#This Row],[Shift]],tblBoard[Line],tblBoard[[#This Row],[Line]],tblBoard[Hour],"&lt;="&amp;tblBoard[[#This Row],[Hour]])))</f>
        <v>399</v>
      </c>
      <c r="R147" s="38">
        <f>IF(tblBoard[[#This Row],[Date]]="","",IF(tblBoard[[#This Row],[Hour]]="","",SUMIFS(tblBoard[Actual (units)],tblBoard[Date],tblBoard[[#This Row],[Date]],tblBoard[Shift],tblBoard[[#This Row],[Shift]],tblBoard[Line],tblBoard[[#This Row],[Line]],tblBoard[Hour],"&lt;="&amp;tblBoard[[#This Row],[Hour]])))</f>
        <v>353</v>
      </c>
      <c r="S147" s="38">
        <f>IF(tblBoard[[#This Row],[Date]]="","",IF(tblBoard[[#This Row],[Cum. target]]="","",tblBoard[[#This Row],[Cum. actual]]-tblBoard[[#This Row],[Cum. target]]))</f>
        <v>-46</v>
      </c>
      <c r="T147" s="41">
        <f>IF(tblBoard[[#This Row],[Date]]="","",IF(AND(tblBoard[[#This Row],[Date]]&gt;=FFrom,tblBoard[[#This Row],[Date]]&lt;=FTo,OR(DashLine="",tblBoard[[#This Row],[Line]]=DashLine)),tblBoard[[#This Row],[Date]],""))</f>
        <v>46304</v>
      </c>
      <c r="U14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7" s="43" t="s">
        <v>97</v>
      </c>
    </row>
    <row r="148" spans="2:22" x14ac:dyDescent="0.25">
      <c r="B148" s="36">
        <v>46304</v>
      </c>
      <c r="C148" s="28" t="s">
        <v>91</v>
      </c>
      <c r="D148" s="28" t="s">
        <v>88</v>
      </c>
      <c r="E148" s="33">
        <v>7</v>
      </c>
      <c r="F148" s="28" t="s">
        <v>105</v>
      </c>
      <c r="G148" s="33">
        <v>50</v>
      </c>
      <c r="H148" s="33">
        <v>59</v>
      </c>
      <c r="I148" s="28" t="s">
        <v>118</v>
      </c>
      <c r="J148" s="37">
        <f>IF(tblBoard[[#This Row],[Date]]="","",IFERROR(INDEX(tblProducts[Takt time (s)],MATCH(tblBoard[[#This Row],[Product]],tblProducts[Product],0)),""))</f>
        <v>48</v>
      </c>
      <c r="K148" s="38">
        <f>IF(tblBoard[[#This Row],[Date]]="","",IF(OR(tblBoard[[#This Row],[Takt (s)]]="",tblBoard[[#This Row],[Available (min)]]=""),"",INT(tblBoard[[#This Row],[Available (min)]]*60/tblBoard[[#This Row],[Takt (s)]])))</f>
        <v>62</v>
      </c>
      <c r="L148" s="38">
        <f>IF(tblBoard[[#This Row],[Date]]="","",IF(tblBoard[[#This Row],[Target (units)]]="","",tblBoard[[#This Row],[Actual (units)]]-tblBoard[[#This Row],[Target (units)]]))</f>
        <v>-3</v>
      </c>
      <c r="M148" s="38">
        <f>IF(tblBoard[[#This Row],[Date]]="","",IF(tblBoard[[#This Row],[Target (units)]]="","",MAX(0,tblBoard[[#This Row],[Target (units)]]-tblBoard[[#This Row],[Actual (units)]])))</f>
        <v>3</v>
      </c>
      <c r="N148" s="39">
        <f>IF(tblBoard[[#This Row],[Date]]="","",IF(N(tblBoard[[#This Row],[Target (units)]])&gt;0,tblBoard[[#This Row],[Actual (units)]]/tblBoard[[#This Row],[Target (units)]],""))</f>
        <v>0.951612903225807</v>
      </c>
      <c r="O148" s="38">
        <f>IF(tblBoard[[#This Row],[Date]]="","",IF(N(tblBoard[[#This Row],[Target (units)]])&gt;0,IF(tblBoard[[#This Row],[Actual (units)]]&gt;=tblBoard[[#This Row],[Target (units)]]*TargetHour,1,0),""))</f>
        <v>0</v>
      </c>
      <c r="P148" s="40" t="str">
        <f>IF(NOT(ISNUMBER(tblBoard[[#This Row],[Attainment]])),"",IF(tblBoard[[#This Row],[Attainment]]&gt;=TargetHour,"On target",IF(tblBoard[[#This Row],[Attainment]]&gt;=TargetHour*(1-0.05),"Near target","Below target")))</f>
        <v>Near target</v>
      </c>
      <c r="Q148" s="38">
        <f>IF(tblBoard[[#This Row],[Date]]="","",IF(tblBoard[[#This Row],[Hour]]="","",SUMIFS(tblBoard[Target (units)],tblBoard[Date],tblBoard[[#This Row],[Date]],tblBoard[Shift],tblBoard[[#This Row],[Shift]],tblBoard[Line],tblBoard[[#This Row],[Line]],tblBoard[Hour],"&lt;="&amp;tblBoard[[#This Row],[Hour]])))</f>
        <v>461</v>
      </c>
      <c r="R148" s="38">
        <f>IF(tblBoard[[#This Row],[Date]]="","",IF(tblBoard[[#This Row],[Hour]]="","",SUMIFS(tblBoard[Actual (units)],tblBoard[Date],tblBoard[[#This Row],[Date]],tblBoard[Shift],tblBoard[[#This Row],[Shift]],tblBoard[Line],tblBoard[[#This Row],[Line]],tblBoard[Hour],"&lt;="&amp;tblBoard[[#This Row],[Hour]])))</f>
        <v>412</v>
      </c>
      <c r="S148" s="38">
        <f>IF(tblBoard[[#This Row],[Date]]="","",IF(tblBoard[[#This Row],[Cum. target]]="","",tblBoard[[#This Row],[Cum. actual]]-tblBoard[[#This Row],[Cum. target]]))</f>
        <v>-49</v>
      </c>
      <c r="T148" s="41">
        <f>IF(tblBoard[[#This Row],[Date]]="","",IF(AND(tblBoard[[#This Row],[Date]]&gt;=FFrom,tblBoard[[#This Row],[Date]]&lt;=FTo,OR(DashLine="",tblBoard[[#This Row],[Line]]=DashLine)),tblBoard[[#This Row],[Date]],""))</f>
        <v>46304</v>
      </c>
      <c r="U14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8" s="43" t="s">
        <v>97</v>
      </c>
    </row>
    <row r="149" spans="2:22" x14ac:dyDescent="0.25">
      <c r="B149" s="36">
        <v>46304</v>
      </c>
      <c r="C149" s="28" t="s">
        <v>91</v>
      </c>
      <c r="D149" s="28" t="s">
        <v>88</v>
      </c>
      <c r="E149" s="33">
        <v>8</v>
      </c>
      <c r="F149" s="28" t="s">
        <v>105</v>
      </c>
      <c r="G149" s="33">
        <v>50</v>
      </c>
      <c r="H149" s="33">
        <v>59</v>
      </c>
      <c r="I149" s="28" t="s">
        <v>114</v>
      </c>
      <c r="J149" s="37">
        <f>IF(tblBoard[[#This Row],[Date]]="","",IFERROR(INDEX(tblProducts[Takt time (s)],MATCH(tblBoard[[#This Row],[Product]],tblProducts[Product],0)),""))</f>
        <v>48</v>
      </c>
      <c r="K149" s="38">
        <f>IF(tblBoard[[#This Row],[Date]]="","",IF(OR(tblBoard[[#This Row],[Takt (s)]]="",tblBoard[[#This Row],[Available (min)]]=""),"",INT(tblBoard[[#This Row],[Available (min)]]*60/tblBoard[[#This Row],[Takt (s)]])))</f>
        <v>62</v>
      </c>
      <c r="L149" s="38">
        <f>IF(tblBoard[[#This Row],[Date]]="","",IF(tblBoard[[#This Row],[Target (units)]]="","",tblBoard[[#This Row],[Actual (units)]]-tblBoard[[#This Row],[Target (units)]]))</f>
        <v>-3</v>
      </c>
      <c r="M149" s="38">
        <f>IF(tblBoard[[#This Row],[Date]]="","",IF(tblBoard[[#This Row],[Target (units)]]="","",MAX(0,tblBoard[[#This Row],[Target (units)]]-tblBoard[[#This Row],[Actual (units)]])))</f>
        <v>3</v>
      </c>
      <c r="N149" s="39">
        <f>IF(tblBoard[[#This Row],[Date]]="","",IF(N(tblBoard[[#This Row],[Target (units)]])&gt;0,tblBoard[[#This Row],[Actual (units)]]/tblBoard[[#This Row],[Target (units)]],""))</f>
        <v>0.951612903225807</v>
      </c>
      <c r="O149" s="38">
        <f>IF(tblBoard[[#This Row],[Date]]="","",IF(N(tblBoard[[#This Row],[Target (units)]])&gt;0,IF(tblBoard[[#This Row],[Actual (units)]]&gt;=tblBoard[[#This Row],[Target (units)]]*TargetHour,1,0),""))</f>
        <v>0</v>
      </c>
      <c r="P149" s="40" t="str">
        <f>IF(NOT(ISNUMBER(tblBoard[[#This Row],[Attainment]])),"",IF(tblBoard[[#This Row],[Attainment]]&gt;=TargetHour,"On target",IF(tblBoard[[#This Row],[Attainment]]&gt;=TargetHour*(1-0.05),"Near target","Below target")))</f>
        <v>Near target</v>
      </c>
      <c r="Q149" s="38">
        <f>IF(tblBoard[[#This Row],[Date]]="","",IF(tblBoard[[#This Row],[Hour]]="","",SUMIFS(tblBoard[Target (units)],tblBoard[Date],tblBoard[[#This Row],[Date]],tblBoard[Shift],tblBoard[[#This Row],[Shift]],tblBoard[Line],tblBoard[[#This Row],[Line]],tblBoard[Hour],"&lt;="&amp;tblBoard[[#This Row],[Hour]])))</f>
        <v>523</v>
      </c>
      <c r="R149" s="38">
        <f>IF(tblBoard[[#This Row],[Date]]="","",IF(tblBoard[[#This Row],[Hour]]="","",SUMIFS(tblBoard[Actual (units)],tblBoard[Date],tblBoard[[#This Row],[Date]],tblBoard[Shift],tblBoard[[#This Row],[Shift]],tblBoard[Line],tblBoard[[#This Row],[Line]],tblBoard[Hour],"&lt;="&amp;tblBoard[[#This Row],[Hour]])))</f>
        <v>471</v>
      </c>
      <c r="S149" s="38">
        <f>IF(tblBoard[[#This Row],[Date]]="","",IF(tblBoard[[#This Row],[Cum. target]]="","",tblBoard[[#This Row],[Cum. actual]]-tblBoard[[#This Row],[Cum. target]]))</f>
        <v>-52</v>
      </c>
      <c r="T149" s="41">
        <f>IF(tblBoard[[#This Row],[Date]]="","",IF(AND(tblBoard[[#This Row],[Date]]&gt;=FFrom,tblBoard[[#This Row],[Date]]&lt;=FTo,OR(DashLine="",tblBoard[[#This Row],[Line]]=DashLine)),tblBoard[[#This Row],[Date]],""))</f>
        <v>46304</v>
      </c>
      <c r="U14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49" s="43" t="s">
        <v>97</v>
      </c>
    </row>
    <row r="150" spans="2:22" x14ac:dyDescent="0.25">
      <c r="B150" s="36">
        <v>46304</v>
      </c>
      <c r="C150" s="28" t="s">
        <v>93</v>
      </c>
      <c r="D150" s="28" t="s">
        <v>85</v>
      </c>
      <c r="E150" s="33">
        <v>1</v>
      </c>
      <c r="F150" s="28" t="s">
        <v>103</v>
      </c>
      <c r="G150" s="33">
        <v>60</v>
      </c>
      <c r="H150" s="33">
        <v>78</v>
      </c>
      <c r="I150" s="28" t="s">
        <v>110</v>
      </c>
      <c r="J150" s="37">
        <f>IF(tblBoard[[#This Row],[Date]]="","",IFERROR(INDEX(tblProducts[Takt time (s)],MATCH(tblBoard[[#This Row],[Product]],tblProducts[Product],0)),""))</f>
        <v>40</v>
      </c>
      <c r="K150" s="38">
        <f>IF(tblBoard[[#This Row],[Date]]="","",IF(OR(tblBoard[[#This Row],[Takt (s)]]="",tblBoard[[#This Row],[Available (min)]]=""),"",INT(tblBoard[[#This Row],[Available (min)]]*60/tblBoard[[#This Row],[Takt (s)]])))</f>
        <v>90</v>
      </c>
      <c r="L150" s="38">
        <f>IF(tblBoard[[#This Row],[Date]]="","",IF(tblBoard[[#This Row],[Target (units)]]="","",tblBoard[[#This Row],[Actual (units)]]-tblBoard[[#This Row],[Target (units)]]))</f>
        <v>-12</v>
      </c>
      <c r="M150" s="38">
        <f>IF(tblBoard[[#This Row],[Date]]="","",IF(tblBoard[[#This Row],[Target (units)]]="","",MAX(0,tblBoard[[#This Row],[Target (units)]]-tblBoard[[#This Row],[Actual (units)]])))</f>
        <v>12</v>
      </c>
      <c r="N150" s="39">
        <f>IF(tblBoard[[#This Row],[Date]]="","",IF(N(tblBoard[[#This Row],[Target (units)]])&gt;0,tblBoard[[#This Row],[Actual (units)]]/tblBoard[[#This Row],[Target (units)]],""))</f>
        <v>0.866666666666667</v>
      </c>
      <c r="O150" s="38">
        <f>IF(tblBoard[[#This Row],[Date]]="","",IF(N(tblBoard[[#This Row],[Target (units)]])&gt;0,IF(tblBoard[[#This Row],[Actual (units)]]&gt;=tblBoard[[#This Row],[Target (units)]]*TargetHour,1,0),""))</f>
        <v>0</v>
      </c>
      <c r="P150" s="40" t="str">
        <f>IF(NOT(ISNUMBER(tblBoard[[#This Row],[Attainment]])),"",IF(tblBoard[[#This Row],[Attainment]]&gt;=TargetHour,"On target",IF(tblBoard[[#This Row],[Attainment]]&gt;=TargetHour*(1-0.05),"Near target","Below target")))</f>
        <v>Below target</v>
      </c>
      <c r="Q150" s="38">
        <f>IF(tblBoard[[#This Row],[Date]]="","",IF(tblBoard[[#This Row],[Hour]]="","",SUMIFS(tblBoard[Target (units)],tblBoard[Date],tblBoard[[#This Row],[Date]],tblBoard[Shift],tblBoard[[#This Row],[Shift]],tblBoard[Line],tblBoard[[#This Row],[Line]],tblBoard[Hour],"&lt;="&amp;tblBoard[[#This Row],[Hour]])))</f>
        <v>90</v>
      </c>
      <c r="R150" s="38">
        <f>IF(tblBoard[[#This Row],[Date]]="","",IF(tblBoard[[#This Row],[Hour]]="","",SUMIFS(tblBoard[Actual (units)],tblBoard[Date],tblBoard[[#This Row],[Date]],tblBoard[Shift],tblBoard[[#This Row],[Shift]],tblBoard[Line],tblBoard[[#This Row],[Line]],tblBoard[Hour],"&lt;="&amp;tblBoard[[#This Row],[Hour]])))</f>
        <v>78</v>
      </c>
      <c r="S150" s="38">
        <f>IF(tblBoard[[#This Row],[Date]]="","",IF(tblBoard[[#This Row],[Cum. target]]="","",tblBoard[[#This Row],[Cum. actual]]-tblBoard[[#This Row],[Cum. target]]))</f>
        <v>-12</v>
      </c>
      <c r="T150" s="41">
        <f>IF(tblBoard[[#This Row],[Date]]="","",IF(AND(tblBoard[[#This Row],[Date]]&gt;=FFrom,tblBoard[[#This Row],[Date]]&lt;=FTo,OR(DashLine="",tblBoard[[#This Row],[Line]]=DashLine)),tblBoard[[#This Row],[Date]],""))</f>
        <v>46304</v>
      </c>
      <c r="U15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0" s="43" t="s">
        <v>97</v>
      </c>
    </row>
    <row r="151" spans="2:22" x14ac:dyDescent="0.25">
      <c r="B151" s="36">
        <v>46304</v>
      </c>
      <c r="C151" s="28" t="s">
        <v>93</v>
      </c>
      <c r="D151" s="28" t="s">
        <v>85</v>
      </c>
      <c r="E151" s="33">
        <v>2</v>
      </c>
      <c r="F151" s="28" t="s">
        <v>103</v>
      </c>
      <c r="G151" s="33">
        <v>60</v>
      </c>
      <c r="H151" s="33">
        <v>92</v>
      </c>
      <c r="I151" s="28"/>
      <c r="J151" s="37">
        <f>IF(tblBoard[[#This Row],[Date]]="","",IFERROR(INDEX(tblProducts[Takt time (s)],MATCH(tblBoard[[#This Row],[Product]],tblProducts[Product],0)),""))</f>
        <v>40</v>
      </c>
      <c r="K151" s="38">
        <f>IF(tblBoard[[#This Row],[Date]]="","",IF(OR(tblBoard[[#This Row],[Takt (s)]]="",tblBoard[[#This Row],[Available (min)]]=""),"",INT(tblBoard[[#This Row],[Available (min)]]*60/tblBoard[[#This Row],[Takt (s)]])))</f>
        <v>90</v>
      </c>
      <c r="L151" s="38">
        <f>IF(tblBoard[[#This Row],[Date]]="","",IF(tblBoard[[#This Row],[Target (units)]]="","",tblBoard[[#This Row],[Actual (units)]]-tblBoard[[#This Row],[Target (units)]]))</f>
        <v>2</v>
      </c>
      <c r="M151" s="38">
        <f>IF(tblBoard[[#This Row],[Date]]="","",IF(tblBoard[[#This Row],[Target (units)]]="","",MAX(0,tblBoard[[#This Row],[Target (units)]]-tblBoard[[#This Row],[Actual (units)]])))</f>
        <v>0</v>
      </c>
      <c r="N151" s="39">
        <f>IF(tblBoard[[#This Row],[Date]]="","",IF(N(tblBoard[[#This Row],[Target (units)]])&gt;0,tblBoard[[#This Row],[Actual (units)]]/tblBoard[[#This Row],[Target (units)]],""))</f>
        <v>1.02222222222222</v>
      </c>
      <c r="O151" s="38">
        <f>IF(tblBoard[[#This Row],[Date]]="","",IF(N(tblBoard[[#This Row],[Target (units)]])&gt;0,IF(tblBoard[[#This Row],[Actual (units)]]&gt;=tblBoard[[#This Row],[Target (units)]]*TargetHour,1,0),""))</f>
        <v>1</v>
      </c>
      <c r="P151" s="40" t="str">
        <f>IF(NOT(ISNUMBER(tblBoard[[#This Row],[Attainment]])),"",IF(tblBoard[[#This Row],[Attainment]]&gt;=TargetHour,"On target",IF(tblBoard[[#This Row],[Attainment]]&gt;=TargetHour*(1-0.05),"Near target","Below target")))</f>
        <v>On target</v>
      </c>
      <c r="Q151" s="38">
        <f>IF(tblBoard[[#This Row],[Date]]="","",IF(tblBoard[[#This Row],[Hour]]="","",SUMIFS(tblBoard[Target (units)],tblBoard[Date],tblBoard[[#This Row],[Date]],tblBoard[Shift],tblBoard[[#This Row],[Shift]],tblBoard[Line],tblBoard[[#This Row],[Line]],tblBoard[Hour],"&lt;="&amp;tblBoard[[#This Row],[Hour]])))</f>
        <v>180</v>
      </c>
      <c r="R151" s="38">
        <f>IF(tblBoard[[#This Row],[Date]]="","",IF(tblBoard[[#This Row],[Hour]]="","",SUMIFS(tblBoard[Actual (units)],tblBoard[Date],tblBoard[[#This Row],[Date]],tblBoard[Shift],tblBoard[[#This Row],[Shift]],tblBoard[Line],tblBoard[[#This Row],[Line]],tblBoard[Hour],"&lt;="&amp;tblBoard[[#This Row],[Hour]])))</f>
        <v>170</v>
      </c>
      <c r="S151" s="38">
        <f>IF(tblBoard[[#This Row],[Date]]="","",IF(tblBoard[[#This Row],[Cum. target]]="","",tblBoard[[#This Row],[Cum. actual]]-tblBoard[[#This Row],[Cum. target]]))</f>
        <v>-10</v>
      </c>
      <c r="T151" s="41">
        <f>IF(tblBoard[[#This Row],[Date]]="","",IF(AND(tblBoard[[#This Row],[Date]]&gt;=FFrom,tblBoard[[#This Row],[Date]]&lt;=FTo,OR(DashLine="",tblBoard[[#This Row],[Line]]=DashLine)),tblBoard[[#This Row],[Date]],""))</f>
        <v>46304</v>
      </c>
      <c r="U15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1" s="43" t="s">
        <v>97</v>
      </c>
    </row>
    <row r="152" spans="2:22" x14ac:dyDescent="0.25">
      <c r="B152" s="36">
        <v>46304</v>
      </c>
      <c r="C152" s="28" t="s">
        <v>93</v>
      </c>
      <c r="D152" s="28" t="s">
        <v>85</v>
      </c>
      <c r="E152" s="33">
        <v>3</v>
      </c>
      <c r="F152" s="28" t="s">
        <v>103</v>
      </c>
      <c r="G152" s="33">
        <v>50</v>
      </c>
      <c r="H152" s="33">
        <v>75</v>
      </c>
      <c r="I152" s="28"/>
      <c r="J152" s="37">
        <f>IF(tblBoard[[#This Row],[Date]]="","",IFERROR(INDEX(tblProducts[Takt time (s)],MATCH(tblBoard[[#This Row],[Product]],tblProducts[Product],0)),""))</f>
        <v>40</v>
      </c>
      <c r="K152" s="38">
        <f>IF(tblBoard[[#This Row],[Date]]="","",IF(OR(tblBoard[[#This Row],[Takt (s)]]="",tblBoard[[#This Row],[Available (min)]]=""),"",INT(tblBoard[[#This Row],[Available (min)]]*60/tblBoard[[#This Row],[Takt (s)]])))</f>
        <v>75</v>
      </c>
      <c r="L152" s="38">
        <f>IF(tblBoard[[#This Row],[Date]]="","",IF(tblBoard[[#This Row],[Target (units)]]="","",tblBoard[[#This Row],[Actual (units)]]-tblBoard[[#This Row],[Target (units)]]))</f>
        <v>0</v>
      </c>
      <c r="M152" s="38">
        <f>IF(tblBoard[[#This Row],[Date]]="","",IF(tblBoard[[#This Row],[Target (units)]]="","",MAX(0,tblBoard[[#This Row],[Target (units)]]-tblBoard[[#This Row],[Actual (units)]])))</f>
        <v>0</v>
      </c>
      <c r="N152" s="39">
        <f>IF(tblBoard[[#This Row],[Date]]="","",IF(N(tblBoard[[#This Row],[Target (units)]])&gt;0,tblBoard[[#This Row],[Actual (units)]]/tblBoard[[#This Row],[Target (units)]],""))</f>
        <v>1</v>
      </c>
      <c r="O152" s="38">
        <f>IF(tblBoard[[#This Row],[Date]]="","",IF(N(tblBoard[[#This Row],[Target (units)]])&gt;0,IF(tblBoard[[#This Row],[Actual (units)]]&gt;=tblBoard[[#This Row],[Target (units)]]*TargetHour,1,0),""))</f>
        <v>1</v>
      </c>
      <c r="P152" s="40" t="str">
        <f>IF(NOT(ISNUMBER(tblBoard[[#This Row],[Attainment]])),"",IF(tblBoard[[#This Row],[Attainment]]&gt;=TargetHour,"On target",IF(tblBoard[[#This Row],[Attainment]]&gt;=TargetHour*(1-0.05),"Near target","Below target")))</f>
        <v>On target</v>
      </c>
      <c r="Q152" s="38">
        <f>IF(tblBoard[[#This Row],[Date]]="","",IF(tblBoard[[#This Row],[Hour]]="","",SUMIFS(tblBoard[Target (units)],tblBoard[Date],tblBoard[[#This Row],[Date]],tblBoard[Shift],tblBoard[[#This Row],[Shift]],tblBoard[Line],tblBoard[[#This Row],[Line]],tblBoard[Hour],"&lt;="&amp;tblBoard[[#This Row],[Hour]])))</f>
        <v>255</v>
      </c>
      <c r="R152" s="38">
        <f>IF(tblBoard[[#This Row],[Date]]="","",IF(tblBoard[[#This Row],[Hour]]="","",SUMIFS(tblBoard[Actual (units)],tblBoard[Date],tblBoard[[#This Row],[Date]],tblBoard[Shift],tblBoard[[#This Row],[Shift]],tblBoard[Line],tblBoard[[#This Row],[Line]],tblBoard[Hour],"&lt;="&amp;tblBoard[[#This Row],[Hour]])))</f>
        <v>245</v>
      </c>
      <c r="S152" s="38">
        <f>IF(tblBoard[[#This Row],[Date]]="","",IF(tblBoard[[#This Row],[Cum. target]]="","",tblBoard[[#This Row],[Cum. actual]]-tblBoard[[#This Row],[Cum. target]]))</f>
        <v>-10</v>
      </c>
      <c r="T152" s="41">
        <f>IF(tblBoard[[#This Row],[Date]]="","",IF(AND(tblBoard[[#This Row],[Date]]&gt;=FFrom,tblBoard[[#This Row],[Date]]&lt;=FTo,OR(DashLine="",tblBoard[[#This Row],[Line]]=DashLine)),tblBoard[[#This Row],[Date]],""))</f>
        <v>46304</v>
      </c>
      <c r="U15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2" s="43" t="s">
        <v>97</v>
      </c>
    </row>
    <row r="153" spans="2:22" x14ac:dyDescent="0.25">
      <c r="B153" s="36">
        <v>46304</v>
      </c>
      <c r="C153" s="28" t="s">
        <v>93</v>
      </c>
      <c r="D153" s="28" t="s">
        <v>85</v>
      </c>
      <c r="E153" s="33">
        <v>4</v>
      </c>
      <c r="F153" s="28" t="s">
        <v>103</v>
      </c>
      <c r="G153" s="33">
        <v>60</v>
      </c>
      <c r="H153" s="33">
        <v>91</v>
      </c>
      <c r="I153" s="28"/>
      <c r="J153" s="37">
        <f>IF(tblBoard[[#This Row],[Date]]="","",IFERROR(INDEX(tblProducts[Takt time (s)],MATCH(tblBoard[[#This Row],[Product]],tblProducts[Product],0)),""))</f>
        <v>40</v>
      </c>
      <c r="K153" s="38">
        <f>IF(tblBoard[[#This Row],[Date]]="","",IF(OR(tblBoard[[#This Row],[Takt (s)]]="",tblBoard[[#This Row],[Available (min)]]=""),"",INT(tblBoard[[#This Row],[Available (min)]]*60/tblBoard[[#This Row],[Takt (s)]])))</f>
        <v>90</v>
      </c>
      <c r="L153" s="38">
        <f>IF(tblBoard[[#This Row],[Date]]="","",IF(tblBoard[[#This Row],[Target (units)]]="","",tblBoard[[#This Row],[Actual (units)]]-tblBoard[[#This Row],[Target (units)]]))</f>
        <v>1</v>
      </c>
      <c r="M153" s="38">
        <f>IF(tblBoard[[#This Row],[Date]]="","",IF(tblBoard[[#This Row],[Target (units)]]="","",MAX(0,tblBoard[[#This Row],[Target (units)]]-tblBoard[[#This Row],[Actual (units)]])))</f>
        <v>0</v>
      </c>
      <c r="N153" s="39">
        <f>IF(tblBoard[[#This Row],[Date]]="","",IF(N(tblBoard[[#This Row],[Target (units)]])&gt;0,tblBoard[[#This Row],[Actual (units)]]/tblBoard[[#This Row],[Target (units)]],""))</f>
        <v>1.01111111111111</v>
      </c>
      <c r="O153" s="38">
        <f>IF(tblBoard[[#This Row],[Date]]="","",IF(N(tblBoard[[#This Row],[Target (units)]])&gt;0,IF(tblBoard[[#This Row],[Actual (units)]]&gt;=tblBoard[[#This Row],[Target (units)]]*TargetHour,1,0),""))</f>
        <v>1</v>
      </c>
      <c r="P153" s="40" t="str">
        <f>IF(NOT(ISNUMBER(tblBoard[[#This Row],[Attainment]])),"",IF(tblBoard[[#This Row],[Attainment]]&gt;=TargetHour,"On target",IF(tblBoard[[#This Row],[Attainment]]&gt;=TargetHour*(1-0.05),"Near target","Below target")))</f>
        <v>On target</v>
      </c>
      <c r="Q153" s="38">
        <f>IF(tblBoard[[#This Row],[Date]]="","",IF(tblBoard[[#This Row],[Hour]]="","",SUMIFS(tblBoard[Target (units)],tblBoard[Date],tblBoard[[#This Row],[Date]],tblBoard[Shift],tblBoard[[#This Row],[Shift]],tblBoard[Line],tblBoard[[#This Row],[Line]],tblBoard[Hour],"&lt;="&amp;tblBoard[[#This Row],[Hour]])))</f>
        <v>345</v>
      </c>
      <c r="R153" s="38">
        <f>IF(tblBoard[[#This Row],[Date]]="","",IF(tblBoard[[#This Row],[Hour]]="","",SUMIFS(tblBoard[Actual (units)],tblBoard[Date],tblBoard[[#This Row],[Date]],tblBoard[Shift],tblBoard[[#This Row],[Shift]],tblBoard[Line],tblBoard[[#This Row],[Line]],tblBoard[Hour],"&lt;="&amp;tblBoard[[#This Row],[Hour]])))</f>
        <v>336</v>
      </c>
      <c r="S153" s="38">
        <f>IF(tblBoard[[#This Row],[Date]]="","",IF(tblBoard[[#This Row],[Cum. target]]="","",tblBoard[[#This Row],[Cum. actual]]-tblBoard[[#This Row],[Cum. target]]))</f>
        <v>-9</v>
      </c>
      <c r="T153" s="41">
        <f>IF(tblBoard[[#This Row],[Date]]="","",IF(AND(tblBoard[[#This Row],[Date]]&gt;=FFrom,tblBoard[[#This Row],[Date]]&lt;=FTo,OR(DashLine="",tblBoard[[#This Row],[Line]]=DashLine)),tblBoard[[#This Row],[Date]],""))</f>
        <v>46304</v>
      </c>
      <c r="U15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3" s="43" t="s">
        <v>97</v>
      </c>
    </row>
    <row r="154" spans="2:22" x14ac:dyDescent="0.25">
      <c r="B154" s="36">
        <v>46304</v>
      </c>
      <c r="C154" s="28" t="s">
        <v>93</v>
      </c>
      <c r="D154" s="28" t="s">
        <v>85</v>
      </c>
      <c r="E154" s="33">
        <v>5</v>
      </c>
      <c r="F154" s="28" t="s">
        <v>103</v>
      </c>
      <c r="G154" s="33">
        <v>30</v>
      </c>
      <c r="H154" s="33">
        <v>47</v>
      </c>
      <c r="I154" s="28"/>
      <c r="J154" s="37">
        <f>IF(tblBoard[[#This Row],[Date]]="","",IFERROR(INDEX(tblProducts[Takt time (s)],MATCH(tblBoard[[#This Row],[Product]],tblProducts[Product],0)),""))</f>
        <v>40</v>
      </c>
      <c r="K154" s="38">
        <f>IF(tblBoard[[#This Row],[Date]]="","",IF(OR(tblBoard[[#This Row],[Takt (s)]]="",tblBoard[[#This Row],[Available (min)]]=""),"",INT(tblBoard[[#This Row],[Available (min)]]*60/tblBoard[[#This Row],[Takt (s)]])))</f>
        <v>45</v>
      </c>
      <c r="L154" s="38">
        <f>IF(tblBoard[[#This Row],[Date]]="","",IF(tblBoard[[#This Row],[Target (units)]]="","",tblBoard[[#This Row],[Actual (units)]]-tblBoard[[#This Row],[Target (units)]]))</f>
        <v>2</v>
      </c>
      <c r="M154" s="38">
        <f>IF(tblBoard[[#This Row],[Date]]="","",IF(tblBoard[[#This Row],[Target (units)]]="","",MAX(0,tblBoard[[#This Row],[Target (units)]]-tblBoard[[#This Row],[Actual (units)]])))</f>
        <v>0</v>
      </c>
      <c r="N154" s="39">
        <f>IF(tblBoard[[#This Row],[Date]]="","",IF(N(tblBoard[[#This Row],[Target (units)]])&gt;0,tblBoard[[#This Row],[Actual (units)]]/tblBoard[[#This Row],[Target (units)]],""))</f>
        <v>1.04444444444444</v>
      </c>
      <c r="O154" s="38">
        <f>IF(tblBoard[[#This Row],[Date]]="","",IF(N(tblBoard[[#This Row],[Target (units)]])&gt;0,IF(tblBoard[[#This Row],[Actual (units)]]&gt;=tblBoard[[#This Row],[Target (units)]]*TargetHour,1,0),""))</f>
        <v>1</v>
      </c>
      <c r="P154" s="40" t="str">
        <f>IF(NOT(ISNUMBER(tblBoard[[#This Row],[Attainment]])),"",IF(tblBoard[[#This Row],[Attainment]]&gt;=TargetHour,"On target",IF(tblBoard[[#This Row],[Attainment]]&gt;=TargetHour*(1-0.05),"Near target","Below target")))</f>
        <v>On target</v>
      </c>
      <c r="Q154" s="38">
        <f>IF(tblBoard[[#This Row],[Date]]="","",IF(tblBoard[[#This Row],[Hour]]="","",SUMIFS(tblBoard[Target (units)],tblBoard[Date],tblBoard[[#This Row],[Date]],tblBoard[Shift],tblBoard[[#This Row],[Shift]],tblBoard[Line],tblBoard[[#This Row],[Line]],tblBoard[Hour],"&lt;="&amp;tblBoard[[#This Row],[Hour]])))</f>
        <v>390</v>
      </c>
      <c r="R154" s="38">
        <f>IF(tblBoard[[#This Row],[Date]]="","",IF(tblBoard[[#This Row],[Hour]]="","",SUMIFS(tblBoard[Actual (units)],tblBoard[Date],tblBoard[[#This Row],[Date]],tblBoard[Shift],tblBoard[[#This Row],[Shift]],tblBoard[Line],tblBoard[[#This Row],[Line]],tblBoard[Hour],"&lt;="&amp;tblBoard[[#This Row],[Hour]])))</f>
        <v>383</v>
      </c>
      <c r="S154" s="38">
        <f>IF(tblBoard[[#This Row],[Date]]="","",IF(tblBoard[[#This Row],[Cum. target]]="","",tblBoard[[#This Row],[Cum. actual]]-tblBoard[[#This Row],[Cum. target]]))</f>
        <v>-7</v>
      </c>
      <c r="T154" s="41">
        <f>IF(tblBoard[[#This Row],[Date]]="","",IF(AND(tblBoard[[#This Row],[Date]]&gt;=FFrom,tblBoard[[#This Row],[Date]]&lt;=FTo,OR(DashLine="",tblBoard[[#This Row],[Line]]=DashLine)),tblBoard[[#This Row],[Date]],""))</f>
        <v>46304</v>
      </c>
      <c r="U15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4" s="43" t="s">
        <v>97</v>
      </c>
    </row>
    <row r="155" spans="2:22" x14ac:dyDescent="0.25">
      <c r="B155" s="36">
        <v>46304</v>
      </c>
      <c r="C155" s="28" t="s">
        <v>93</v>
      </c>
      <c r="D155" s="28" t="s">
        <v>85</v>
      </c>
      <c r="E155" s="33">
        <v>6</v>
      </c>
      <c r="F155" s="28" t="s">
        <v>103</v>
      </c>
      <c r="G155" s="33">
        <v>60</v>
      </c>
      <c r="H155" s="33">
        <v>83</v>
      </c>
      <c r="I155" s="28" t="s">
        <v>118</v>
      </c>
      <c r="J155" s="37">
        <f>IF(tblBoard[[#This Row],[Date]]="","",IFERROR(INDEX(tblProducts[Takt time (s)],MATCH(tblBoard[[#This Row],[Product]],tblProducts[Product],0)),""))</f>
        <v>40</v>
      </c>
      <c r="K155" s="38">
        <f>IF(tblBoard[[#This Row],[Date]]="","",IF(OR(tblBoard[[#This Row],[Takt (s)]]="",tblBoard[[#This Row],[Available (min)]]=""),"",INT(tblBoard[[#This Row],[Available (min)]]*60/tblBoard[[#This Row],[Takt (s)]])))</f>
        <v>90</v>
      </c>
      <c r="L155" s="38">
        <f>IF(tblBoard[[#This Row],[Date]]="","",IF(tblBoard[[#This Row],[Target (units)]]="","",tblBoard[[#This Row],[Actual (units)]]-tblBoard[[#This Row],[Target (units)]]))</f>
        <v>-7</v>
      </c>
      <c r="M155" s="38">
        <f>IF(tblBoard[[#This Row],[Date]]="","",IF(tblBoard[[#This Row],[Target (units)]]="","",MAX(0,tblBoard[[#This Row],[Target (units)]]-tblBoard[[#This Row],[Actual (units)]])))</f>
        <v>7</v>
      </c>
      <c r="N155" s="39">
        <f>IF(tblBoard[[#This Row],[Date]]="","",IF(N(tblBoard[[#This Row],[Target (units)]])&gt;0,tblBoard[[#This Row],[Actual (units)]]/tblBoard[[#This Row],[Target (units)]],""))</f>
        <v>0.922222222222222</v>
      </c>
      <c r="O155" s="38">
        <f>IF(tblBoard[[#This Row],[Date]]="","",IF(N(tblBoard[[#This Row],[Target (units)]])&gt;0,IF(tblBoard[[#This Row],[Actual (units)]]&gt;=tblBoard[[#This Row],[Target (units)]]*TargetHour,1,0),""))</f>
        <v>0</v>
      </c>
      <c r="P155" s="40" t="str">
        <f>IF(NOT(ISNUMBER(tblBoard[[#This Row],[Attainment]])),"",IF(tblBoard[[#This Row],[Attainment]]&gt;=TargetHour,"On target",IF(tblBoard[[#This Row],[Attainment]]&gt;=TargetHour*(1-0.05),"Near target","Below target")))</f>
        <v>Below target</v>
      </c>
      <c r="Q155" s="38">
        <f>IF(tblBoard[[#This Row],[Date]]="","",IF(tblBoard[[#This Row],[Hour]]="","",SUMIFS(tblBoard[Target (units)],tblBoard[Date],tblBoard[[#This Row],[Date]],tblBoard[Shift],tblBoard[[#This Row],[Shift]],tblBoard[Line],tblBoard[[#This Row],[Line]],tblBoard[Hour],"&lt;="&amp;tblBoard[[#This Row],[Hour]])))</f>
        <v>480</v>
      </c>
      <c r="R155" s="38">
        <f>IF(tblBoard[[#This Row],[Date]]="","",IF(tblBoard[[#This Row],[Hour]]="","",SUMIFS(tblBoard[Actual (units)],tblBoard[Date],tblBoard[[#This Row],[Date]],tblBoard[Shift],tblBoard[[#This Row],[Shift]],tblBoard[Line],tblBoard[[#This Row],[Line]],tblBoard[Hour],"&lt;="&amp;tblBoard[[#This Row],[Hour]])))</f>
        <v>466</v>
      </c>
      <c r="S155" s="38">
        <f>IF(tblBoard[[#This Row],[Date]]="","",IF(tblBoard[[#This Row],[Cum. target]]="","",tblBoard[[#This Row],[Cum. actual]]-tblBoard[[#This Row],[Cum. target]]))</f>
        <v>-14</v>
      </c>
      <c r="T155" s="41">
        <f>IF(tblBoard[[#This Row],[Date]]="","",IF(AND(tblBoard[[#This Row],[Date]]&gt;=FFrom,tblBoard[[#This Row],[Date]]&lt;=FTo,OR(DashLine="",tblBoard[[#This Row],[Line]]=DashLine)),tblBoard[[#This Row],[Date]],""))</f>
        <v>46304</v>
      </c>
      <c r="U15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5" s="43" t="s">
        <v>97</v>
      </c>
    </row>
    <row r="156" spans="2:22" x14ac:dyDescent="0.25">
      <c r="B156" s="36">
        <v>46304</v>
      </c>
      <c r="C156" s="28" t="s">
        <v>93</v>
      </c>
      <c r="D156" s="28" t="s">
        <v>85</v>
      </c>
      <c r="E156" s="33">
        <v>7</v>
      </c>
      <c r="F156" s="28" t="s">
        <v>103</v>
      </c>
      <c r="G156" s="33">
        <v>50</v>
      </c>
      <c r="H156" s="33">
        <v>74</v>
      </c>
      <c r="I156" s="28" t="s">
        <v>114</v>
      </c>
      <c r="J156" s="37">
        <f>IF(tblBoard[[#This Row],[Date]]="","",IFERROR(INDEX(tblProducts[Takt time (s)],MATCH(tblBoard[[#This Row],[Product]],tblProducts[Product],0)),""))</f>
        <v>40</v>
      </c>
      <c r="K156" s="38">
        <f>IF(tblBoard[[#This Row],[Date]]="","",IF(OR(tblBoard[[#This Row],[Takt (s)]]="",tblBoard[[#This Row],[Available (min)]]=""),"",INT(tblBoard[[#This Row],[Available (min)]]*60/tblBoard[[#This Row],[Takt (s)]])))</f>
        <v>75</v>
      </c>
      <c r="L156" s="38">
        <f>IF(tblBoard[[#This Row],[Date]]="","",IF(tblBoard[[#This Row],[Target (units)]]="","",tblBoard[[#This Row],[Actual (units)]]-tblBoard[[#This Row],[Target (units)]]))</f>
        <v>-1</v>
      </c>
      <c r="M156" s="38">
        <f>IF(tblBoard[[#This Row],[Date]]="","",IF(tblBoard[[#This Row],[Target (units)]]="","",MAX(0,tblBoard[[#This Row],[Target (units)]]-tblBoard[[#This Row],[Actual (units)]])))</f>
        <v>1</v>
      </c>
      <c r="N156" s="39">
        <f>IF(tblBoard[[#This Row],[Date]]="","",IF(N(tblBoard[[#This Row],[Target (units)]])&gt;0,tblBoard[[#This Row],[Actual (units)]]/tblBoard[[#This Row],[Target (units)]],""))</f>
        <v>0.986666666666667</v>
      </c>
      <c r="O156" s="38">
        <f>IF(tblBoard[[#This Row],[Date]]="","",IF(N(tblBoard[[#This Row],[Target (units)]])&gt;0,IF(tblBoard[[#This Row],[Actual (units)]]&gt;=tblBoard[[#This Row],[Target (units)]]*TargetHour,1,0),""))</f>
        <v>0</v>
      </c>
      <c r="P156" s="40" t="str">
        <f>IF(NOT(ISNUMBER(tblBoard[[#This Row],[Attainment]])),"",IF(tblBoard[[#This Row],[Attainment]]&gt;=TargetHour,"On target",IF(tblBoard[[#This Row],[Attainment]]&gt;=TargetHour*(1-0.05),"Near target","Below target")))</f>
        <v>Near target</v>
      </c>
      <c r="Q156" s="38">
        <f>IF(tblBoard[[#This Row],[Date]]="","",IF(tblBoard[[#This Row],[Hour]]="","",SUMIFS(tblBoard[Target (units)],tblBoard[Date],tblBoard[[#This Row],[Date]],tblBoard[Shift],tblBoard[[#This Row],[Shift]],tblBoard[Line],tblBoard[[#This Row],[Line]],tblBoard[Hour],"&lt;="&amp;tblBoard[[#This Row],[Hour]])))</f>
        <v>555</v>
      </c>
      <c r="R156" s="38">
        <f>IF(tblBoard[[#This Row],[Date]]="","",IF(tblBoard[[#This Row],[Hour]]="","",SUMIFS(tblBoard[Actual (units)],tblBoard[Date],tblBoard[[#This Row],[Date]],tblBoard[Shift],tblBoard[[#This Row],[Shift]],tblBoard[Line],tblBoard[[#This Row],[Line]],tblBoard[Hour],"&lt;="&amp;tblBoard[[#This Row],[Hour]])))</f>
        <v>540</v>
      </c>
      <c r="S156" s="38">
        <f>IF(tblBoard[[#This Row],[Date]]="","",IF(tblBoard[[#This Row],[Cum. target]]="","",tblBoard[[#This Row],[Cum. actual]]-tblBoard[[#This Row],[Cum. target]]))</f>
        <v>-15</v>
      </c>
      <c r="T156" s="41">
        <f>IF(tblBoard[[#This Row],[Date]]="","",IF(AND(tblBoard[[#This Row],[Date]]&gt;=FFrom,tblBoard[[#This Row],[Date]]&lt;=FTo,OR(DashLine="",tblBoard[[#This Row],[Line]]=DashLine)),tblBoard[[#This Row],[Date]],""))</f>
        <v>46304</v>
      </c>
      <c r="U15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6" s="43" t="s">
        <v>97</v>
      </c>
    </row>
    <row r="157" spans="2:22" x14ac:dyDescent="0.25">
      <c r="B157" s="36">
        <v>46304</v>
      </c>
      <c r="C157" s="28" t="s">
        <v>93</v>
      </c>
      <c r="D157" s="28" t="s">
        <v>85</v>
      </c>
      <c r="E157" s="33">
        <v>8</v>
      </c>
      <c r="F157" s="28" t="s">
        <v>103</v>
      </c>
      <c r="G157" s="33">
        <v>50</v>
      </c>
      <c r="H157" s="33">
        <v>74</v>
      </c>
      <c r="I157" s="28" t="s">
        <v>114</v>
      </c>
      <c r="J157" s="37">
        <f>IF(tblBoard[[#This Row],[Date]]="","",IFERROR(INDEX(tblProducts[Takt time (s)],MATCH(tblBoard[[#This Row],[Product]],tblProducts[Product],0)),""))</f>
        <v>40</v>
      </c>
      <c r="K157" s="38">
        <f>IF(tblBoard[[#This Row],[Date]]="","",IF(OR(tblBoard[[#This Row],[Takt (s)]]="",tblBoard[[#This Row],[Available (min)]]=""),"",INT(tblBoard[[#This Row],[Available (min)]]*60/tblBoard[[#This Row],[Takt (s)]])))</f>
        <v>75</v>
      </c>
      <c r="L157" s="38">
        <f>IF(tblBoard[[#This Row],[Date]]="","",IF(tblBoard[[#This Row],[Target (units)]]="","",tblBoard[[#This Row],[Actual (units)]]-tblBoard[[#This Row],[Target (units)]]))</f>
        <v>-1</v>
      </c>
      <c r="M157" s="38">
        <f>IF(tblBoard[[#This Row],[Date]]="","",IF(tblBoard[[#This Row],[Target (units)]]="","",MAX(0,tblBoard[[#This Row],[Target (units)]]-tblBoard[[#This Row],[Actual (units)]])))</f>
        <v>1</v>
      </c>
      <c r="N157" s="39">
        <f>IF(tblBoard[[#This Row],[Date]]="","",IF(N(tblBoard[[#This Row],[Target (units)]])&gt;0,tblBoard[[#This Row],[Actual (units)]]/tblBoard[[#This Row],[Target (units)]],""))</f>
        <v>0.986666666666667</v>
      </c>
      <c r="O157" s="38">
        <f>IF(tblBoard[[#This Row],[Date]]="","",IF(N(tblBoard[[#This Row],[Target (units)]])&gt;0,IF(tblBoard[[#This Row],[Actual (units)]]&gt;=tblBoard[[#This Row],[Target (units)]]*TargetHour,1,0),""))</f>
        <v>0</v>
      </c>
      <c r="P157" s="40" t="str">
        <f>IF(NOT(ISNUMBER(tblBoard[[#This Row],[Attainment]])),"",IF(tblBoard[[#This Row],[Attainment]]&gt;=TargetHour,"On target",IF(tblBoard[[#This Row],[Attainment]]&gt;=TargetHour*(1-0.05),"Near target","Below target")))</f>
        <v>Near target</v>
      </c>
      <c r="Q157" s="38">
        <f>IF(tblBoard[[#This Row],[Date]]="","",IF(tblBoard[[#This Row],[Hour]]="","",SUMIFS(tblBoard[Target (units)],tblBoard[Date],tblBoard[[#This Row],[Date]],tblBoard[Shift],tblBoard[[#This Row],[Shift]],tblBoard[Line],tblBoard[[#This Row],[Line]],tblBoard[Hour],"&lt;="&amp;tblBoard[[#This Row],[Hour]])))</f>
        <v>630</v>
      </c>
      <c r="R157" s="38">
        <f>IF(tblBoard[[#This Row],[Date]]="","",IF(tblBoard[[#This Row],[Hour]]="","",SUMIFS(tblBoard[Actual (units)],tblBoard[Date],tblBoard[[#This Row],[Date]],tblBoard[Shift],tblBoard[[#This Row],[Shift]],tblBoard[Line],tblBoard[[#This Row],[Line]],tblBoard[Hour],"&lt;="&amp;tblBoard[[#This Row],[Hour]])))</f>
        <v>614</v>
      </c>
      <c r="S157" s="38">
        <f>IF(tblBoard[[#This Row],[Date]]="","",IF(tblBoard[[#This Row],[Cum. target]]="","",tblBoard[[#This Row],[Cum. actual]]-tblBoard[[#This Row],[Cum. target]]))</f>
        <v>-16</v>
      </c>
      <c r="T157" s="41">
        <f>IF(tblBoard[[#This Row],[Date]]="","",IF(AND(tblBoard[[#This Row],[Date]]&gt;=FFrom,tblBoard[[#This Row],[Date]]&lt;=FTo,OR(DashLine="",tblBoard[[#This Row],[Line]]=DashLine)),tblBoard[[#This Row],[Date]],""))</f>
        <v>46304</v>
      </c>
      <c r="U15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7" s="43" t="s">
        <v>97</v>
      </c>
    </row>
    <row r="158" spans="2:22" x14ac:dyDescent="0.25">
      <c r="B158" s="36">
        <v>46304</v>
      </c>
      <c r="C158" s="28" t="s">
        <v>93</v>
      </c>
      <c r="D158" s="28" t="s">
        <v>88</v>
      </c>
      <c r="E158" s="33">
        <v>1</v>
      </c>
      <c r="F158" s="28" t="s">
        <v>107</v>
      </c>
      <c r="G158" s="33">
        <v>60</v>
      </c>
      <c r="H158" s="33">
        <v>113</v>
      </c>
      <c r="I158" s="28" t="s">
        <v>110</v>
      </c>
      <c r="J158" s="37">
        <f>IF(tblBoard[[#This Row],[Date]]="","",IFERROR(INDEX(tblProducts[Takt time (s)],MATCH(tblBoard[[#This Row],[Product]],tblProducts[Product],0)),""))</f>
        <v>30</v>
      </c>
      <c r="K158" s="38">
        <f>IF(tblBoard[[#This Row],[Date]]="","",IF(OR(tblBoard[[#This Row],[Takt (s)]]="",tblBoard[[#This Row],[Available (min)]]=""),"",INT(tblBoard[[#This Row],[Available (min)]]*60/tblBoard[[#This Row],[Takt (s)]])))</f>
        <v>120</v>
      </c>
      <c r="L158" s="38">
        <f>IF(tblBoard[[#This Row],[Date]]="","",IF(tblBoard[[#This Row],[Target (units)]]="","",tblBoard[[#This Row],[Actual (units)]]-tblBoard[[#This Row],[Target (units)]]))</f>
        <v>-7</v>
      </c>
      <c r="M158" s="38">
        <f>IF(tblBoard[[#This Row],[Date]]="","",IF(tblBoard[[#This Row],[Target (units)]]="","",MAX(0,tblBoard[[#This Row],[Target (units)]]-tblBoard[[#This Row],[Actual (units)]])))</f>
        <v>7</v>
      </c>
      <c r="N158" s="39">
        <f>IF(tblBoard[[#This Row],[Date]]="","",IF(N(tblBoard[[#This Row],[Target (units)]])&gt;0,tblBoard[[#This Row],[Actual (units)]]/tblBoard[[#This Row],[Target (units)]],""))</f>
        <v>0.941666666666667</v>
      </c>
      <c r="O158" s="38">
        <f>IF(tblBoard[[#This Row],[Date]]="","",IF(N(tblBoard[[#This Row],[Target (units)]])&gt;0,IF(tblBoard[[#This Row],[Actual (units)]]&gt;=tblBoard[[#This Row],[Target (units)]]*TargetHour,1,0),""))</f>
        <v>0</v>
      </c>
      <c r="P158" s="40" t="str">
        <f>IF(NOT(ISNUMBER(tblBoard[[#This Row],[Attainment]])),"",IF(tblBoard[[#This Row],[Attainment]]&gt;=TargetHour,"On target",IF(tblBoard[[#This Row],[Attainment]]&gt;=TargetHour*(1-0.05),"Near target","Below target")))</f>
        <v>Below target</v>
      </c>
      <c r="Q158" s="38">
        <f>IF(tblBoard[[#This Row],[Date]]="","",IF(tblBoard[[#This Row],[Hour]]="","",SUMIFS(tblBoard[Target (units)],tblBoard[Date],tblBoard[[#This Row],[Date]],tblBoard[Shift],tblBoard[[#This Row],[Shift]],tblBoard[Line],tblBoard[[#This Row],[Line]],tblBoard[Hour],"&lt;="&amp;tblBoard[[#This Row],[Hour]])))</f>
        <v>120</v>
      </c>
      <c r="R158" s="38">
        <f>IF(tblBoard[[#This Row],[Date]]="","",IF(tblBoard[[#This Row],[Hour]]="","",SUMIFS(tblBoard[Actual (units)],tblBoard[Date],tblBoard[[#This Row],[Date]],tblBoard[Shift],tblBoard[[#This Row],[Shift]],tblBoard[Line],tblBoard[[#This Row],[Line]],tblBoard[Hour],"&lt;="&amp;tblBoard[[#This Row],[Hour]])))</f>
        <v>113</v>
      </c>
      <c r="S158" s="38">
        <f>IF(tblBoard[[#This Row],[Date]]="","",IF(tblBoard[[#This Row],[Cum. target]]="","",tblBoard[[#This Row],[Cum. actual]]-tblBoard[[#This Row],[Cum. target]]))</f>
        <v>-7</v>
      </c>
      <c r="T158" s="41">
        <f>IF(tblBoard[[#This Row],[Date]]="","",IF(AND(tblBoard[[#This Row],[Date]]&gt;=FFrom,tblBoard[[#This Row],[Date]]&lt;=FTo,OR(DashLine="",tblBoard[[#This Row],[Line]]=DashLine)),tblBoard[[#This Row],[Date]],""))</f>
        <v>46304</v>
      </c>
      <c r="U15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8" s="43" t="s">
        <v>97</v>
      </c>
    </row>
    <row r="159" spans="2:22" x14ac:dyDescent="0.25">
      <c r="B159" s="36">
        <v>46304</v>
      </c>
      <c r="C159" s="28" t="s">
        <v>93</v>
      </c>
      <c r="D159" s="28" t="s">
        <v>88</v>
      </c>
      <c r="E159" s="33">
        <v>2</v>
      </c>
      <c r="F159" s="28" t="s">
        <v>107</v>
      </c>
      <c r="G159" s="33">
        <v>60</v>
      </c>
      <c r="H159" s="33">
        <v>126</v>
      </c>
      <c r="I159" s="28"/>
      <c r="J159" s="37">
        <f>IF(tblBoard[[#This Row],[Date]]="","",IFERROR(INDEX(tblProducts[Takt time (s)],MATCH(tblBoard[[#This Row],[Product]],tblProducts[Product],0)),""))</f>
        <v>30</v>
      </c>
      <c r="K159" s="38">
        <f>IF(tblBoard[[#This Row],[Date]]="","",IF(OR(tblBoard[[#This Row],[Takt (s)]]="",tblBoard[[#This Row],[Available (min)]]=""),"",INT(tblBoard[[#This Row],[Available (min)]]*60/tblBoard[[#This Row],[Takt (s)]])))</f>
        <v>120</v>
      </c>
      <c r="L159" s="38">
        <f>IF(tblBoard[[#This Row],[Date]]="","",IF(tblBoard[[#This Row],[Target (units)]]="","",tblBoard[[#This Row],[Actual (units)]]-tblBoard[[#This Row],[Target (units)]]))</f>
        <v>6</v>
      </c>
      <c r="M159" s="38">
        <f>IF(tblBoard[[#This Row],[Date]]="","",IF(tblBoard[[#This Row],[Target (units)]]="","",MAX(0,tblBoard[[#This Row],[Target (units)]]-tblBoard[[#This Row],[Actual (units)]])))</f>
        <v>0</v>
      </c>
      <c r="N159" s="39">
        <f>IF(tblBoard[[#This Row],[Date]]="","",IF(N(tblBoard[[#This Row],[Target (units)]])&gt;0,tblBoard[[#This Row],[Actual (units)]]/tblBoard[[#This Row],[Target (units)]],""))</f>
        <v>1.05</v>
      </c>
      <c r="O159" s="38">
        <f>IF(tblBoard[[#This Row],[Date]]="","",IF(N(tblBoard[[#This Row],[Target (units)]])&gt;0,IF(tblBoard[[#This Row],[Actual (units)]]&gt;=tblBoard[[#This Row],[Target (units)]]*TargetHour,1,0),""))</f>
        <v>1</v>
      </c>
      <c r="P159" s="40" t="str">
        <f>IF(NOT(ISNUMBER(tblBoard[[#This Row],[Attainment]])),"",IF(tblBoard[[#This Row],[Attainment]]&gt;=TargetHour,"On target",IF(tblBoard[[#This Row],[Attainment]]&gt;=TargetHour*(1-0.05),"Near target","Below target")))</f>
        <v>On target</v>
      </c>
      <c r="Q159" s="38">
        <f>IF(tblBoard[[#This Row],[Date]]="","",IF(tblBoard[[#This Row],[Hour]]="","",SUMIFS(tblBoard[Target (units)],tblBoard[Date],tblBoard[[#This Row],[Date]],tblBoard[Shift],tblBoard[[#This Row],[Shift]],tblBoard[Line],tblBoard[[#This Row],[Line]],tblBoard[Hour],"&lt;="&amp;tblBoard[[#This Row],[Hour]])))</f>
        <v>240</v>
      </c>
      <c r="R159" s="38">
        <f>IF(tblBoard[[#This Row],[Date]]="","",IF(tblBoard[[#This Row],[Hour]]="","",SUMIFS(tblBoard[Actual (units)],tblBoard[Date],tblBoard[[#This Row],[Date]],tblBoard[Shift],tblBoard[[#This Row],[Shift]],tblBoard[Line],tblBoard[[#This Row],[Line]],tblBoard[Hour],"&lt;="&amp;tblBoard[[#This Row],[Hour]])))</f>
        <v>239</v>
      </c>
      <c r="S159" s="38">
        <f>IF(tblBoard[[#This Row],[Date]]="","",IF(tblBoard[[#This Row],[Cum. target]]="","",tblBoard[[#This Row],[Cum. actual]]-tblBoard[[#This Row],[Cum. target]]))</f>
        <v>-1</v>
      </c>
      <c r="T159" s="41">
        <f>IF(tblBoard[[#This Row],[Date]]="","",IF(AND(tblBoard[[#This Row],[Date]]&gt;=FFrom,tblBoard[[#This Row],[Date]]&lt;=FTo,OR(DashLine="",tblBoard[[#This Row],[Line]]=DashLine)),tblBoard[[#This Row],[Date]],""))</f>
        <v>46304</v>
      </c>
      <c r="U15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59" s="43" t="s">
        <v>97</v>
      </c>
    </row>
    <row r="160" spans="2:22" x14ac:dyDescent="0.25">
      <c r="B160" s="36">
        <v>46304</v>
      </c>
      <c r="C160" s="28" t="s">
        <v>93</v>
      </c>
      <c r="D160" s="28" t="s">
        <v>88</v>
      </c>
      <c r="E160" s="33">
        <v>3</v>
      </c>
      <c r="F160" s="28" t="s">
        <v>107</v>
      </c>
      <c r="G160" s="33">
        <v>50</v>
      </c>
      <c r="H160" s="33">
        <v>58</v>
      </c>
      <c r="I160" s="28" t="s">
        <v>112</v>
      </c>
      <c r="J160" s="37">
        <f>IF(tblBoard[[#This Row],[Date]]="","",IFERROR(INDEX(tblProducts[Takt time (s)],MATCH(tblBoard[[#This Row],[Product]],tblProducts[Product],0)),""))</f>
        <v>30</v>
      </c>
      <c r="K160" s="38">
        <f>IF(tblBoard[[#This Row],[Date]]="","",IF(OR(tblBoard[[#This Row],[Takt (s)]]="",tblBoard[[#This Row],[Available (min)]]=""),"",INT(tblBoard[[#This Row],[Available (min)]]*60/tblBoard[[#This Row],[Takt (s)]])))</f>
        <v>100</v>
      </c>
      <c r="L160" s="38">
        <f>IF(tblBoard[[#This Row],[Date]]="","",IF(tblBoard[[#This Row],[Target (units)]]="","",tblBoard[[#This Row],[Actual (units)]]-tblBoard[[#This Row],[Target (units)]]))</f>
        <v>-42</v>
      </c>
      <c r="M160" s="38">
        <f>IF(tblBoard[[#This Row],[Date]]="","",IF(tblBoard[[#This Row],[Target (units)]]="","",MAX(0,tblBoard[[#This Row],[Target (units)]]-tblBoard[[#This Row],[Actual (units)]])))</f>
        <v>42</v>
      </c>
      <c r="N160" s="39">
        <f>IF(tblBoard[[#This Row],[Date]]="","",IF(N(tblBoard[[#This Row],[Target (units)]])&gt;0,tblBoard[[#This Row],[Actual (units)]]/tblBoard[[#This Row],[Target (units)]],""))</f>
        <v>0.58</v>
      </c>
      <c r="O160" s="38">
        <f>IF(tblBoard[[#This Row],[Date]]="","",IF(N(tblBoard[[#This Row],[Target (units)]])&gt;0,IF(tblBoard[[#This Row],[Actual (units)]]&gt;=tblBoard[[#This Row],[Target (units)]]*TargetHour,1,0),""))</f>
        <v>0</v>
      </c>
      <c r="P160" s="40" t="str">
        <f>IF(NOT(ISNUMBER(tblBoard[[#This Row],[Attainment]])),"",IF(tblBoard[[#This Row],[Attainment]]&gt;=TargetHour,"On target",IF(tblBoard[[#This Row],[Attainment]]&gt;=TargetHour*(1-0.05),"Near target","Below target")))</f>
        <v>Below target</v>
      </c>
      <c r="Q160" s="38">
        <f>IF(tblBoard[[#This Row],[Date]]="","",IF(tblBoard[[#This Row],[Hour]]="","",SUMIFS(tblBoard[Target (units)],tblBoard[Date],tblBoard[[#This Row],[Date]],tblBoard[Shift],tblBoard[[#This Row],[Shift]],tblBoard[Line],tblBoard[[#This Row],[Line]],tblBoard[Hour],"&lt;="&amp;tblBoard[[#This Row],[Hour]])))</f>
        <v>340</v>
      </c>
      <c r="R160" s="38">
        <f>IF(tblBoard[[#This Row],[Date]]="","",IF(tblBoard[[#This Row],[Hour]]="","",SUMIFS(tblBoard[Actual (units)],tblBoard[Date],tblBoard[[#This Row],[Date]],tblBoard[Shift],tblBoard[[#This Row],[Shift]],tblBoard[Line],tblBoard[[#This Row],[Line]],tblBoard[Hour],"&lt;="&amp;tblBoard[[#This Row],[Hour]])))</f>
        <v>297</v>
      </c>
      <c r="S160" s="38">
        <f>IF(tblBoard[[#This Row],[Date]]="","",IF(tblBoard[[#This Row],[Cum. target]]="","",tblBoard[[#This Row],[Cum. actual]]-tblBoard[[#This Row],[Cum. target]]))</f>
        <v>-43</v>
      </c>
      <c r="T160" s="41">
        <f>IF(tblBoard[[#This Row],[Date]]="","",IF(AND(tblBoard[[#This Row],[Date]]&gt;=FFrom,tblBoard[[#This Row],[Date]]&lt;=FTo,OR(DashLine="",tblBoard[[#This Row],[Line]]=DashLine)),tblBoard[[#This Row],[Date]],""))</f>
        <v>46304</v>
      </c>
      <c r="U16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0" s="43" t="s">
        <v>145</v>
      </c>
    </row>
    <row r="161" spans="2:22" x14ac:dyDescent="0.25">
      <c r="B161" s="36">
        <v>46304</v>
      </c>
      <c r="C161" s="28" t="s">
        <v>93</v>
      </c>
      <c r="D161" s="28" t="s">
        <v>88</v>
      </c>
      <c r="E161" s="33">
        <v>4</v>
      </c>
      <c r="F161" s="28" t="s">
        <v>107</v>
      </c>
      <c r="G161" s="33">
        <v>60</v>
      </c>
      <c r="H161" s="33">
        <v>118</v>
      </c>
      <c r="I161" s="28" t="s">
        <v>114</v>
      </c>
      <c r="J161" s="37">
        <f>IF(tblBoard[[#This Row],[Date]]="","",IFERROR(INDEX(tblProducts[Takt time (s)],MATCH(tblBoard[[#This Row],[Product]],tblProducts[Product],0)),""))</f>
        <v>30</v>
      </c>
      <c r="K161" s="38">
        <f>IF(tblBoard[[#This Row],[Date]]="","",IF(OR(tblBoard[[#This Row],[Takt (s)]]="",tblBoard[[#This Row],[Available (min)]]=""),"",INT(tblBoard[[#This Row],[Available (min)]]*60/tblBoard[[#This Row],[Takt (s)]])))</f>
        <v>120</v>
      </c>
      <c r="L161" s="38">
        <f>IF(tblBoard[[#This Row],[Date]]="","",IF(tblBoard[[#This Row],[Target (units)]]="","",tblBoard[[#This Row],[Actual (units)]]-tblBoard[[#This Row],[Target (units)]]))</f>
        <v>-2</v>
      </c>
      <c r="M161" s="38">
        <f>IF(tblBoard[[#This Row],[Date]]="","",IF(tblBoard[[#This Row],[Target (units)]]="","",MAX(0,tblBoard[[#This Row],[Target (units)]]-tblBoard[[#This Row],[Actual (units)]])))</f>
        <v>2</v>
      </c>
      <c r="N161" s="39">
        <f>IF(tblBoard[[#This Row],[Date]]="","",IF(N(tblBoard[[#This Row],[Target (units)]])&gt;0,tblBoard[[#This Row],[Actual (units)]]/tblBoard[[#This Row],[Target (units)]],""))</f>
        <v>0.983333333333333</v>
      </c>
      <c r="O161" s="38">
        <f>IF(tblBoard[[#This Row],[Date]]="","",IF(N(tblBoard[[#This Row],[Target (units)]])&gt;0,IF(tblBoard[[#This Row],[Actual (units)]]&gt;=tblBoard[[#This Row],[Target (units)]]*TargetHour,1,0),""))</f>
        <v>0</v>
      </c>
      <c r="P161" s="40" t="str">
        <f>IF(NOT(ISNUMBER(tblBoard[[#This Row],[Attainment]])),"",IF(tblBoard[[#This Row],[Attainment]]&gt;=TargetHour,"On target",IF(tblBoard[[#This Row],[Attainment]]&gt;=TargetHour*(1-0.05),"Near target","Below target")))</f>
        <v>Near target</v>
      </c>
      <c r="Q161" s="38">
        <f>IF(tblBoard[[#This Row],[Date]]="","",IF(tblBoard[[#This Row],[Hour]]="","",SUMIFS(tblBoard[Target (units)],tblBoard[Date],tblBoard[[#This Row],[Date]],tblBoard[Shift],tblBoard[[#This Row],[Shift]],tblBoard[Line],tblBoard[[#This Row],[Line]],tblBoard[Hour],"&lt;="&amp;tblBoard[[#This Row],[Hour]])))</f>
        <v>460</v>
      </c>
      <c r="R161" s="38">
        <f>IF(tblBoard[[#This Row],[Date]]="","",IF(tblBoard[[#This Row],[Hour]]="","",SUMIFS(tblBoard[Actual (units)],tblBoard[Date],tblBoard[[#This Row],[Date]],tblBoard[Shift],tblBoard[[#This Row],[Shift]],tblBoard[Line],tblBoard[[#This Row],[Line]],tblBoard[Hour],"&lt;="&amp;tblBoard[[#This Row],[Hour]])))</f>
        <v>415</v>
      </c>
      <c r="S161" s="38">
        <f>IF(tblBoard[[#This Row],[Date]]="","",IF(tblBoard[[#This Row],[Cum. target]]="","",tblBoard[[#This Row],[Cum. actual]]-tblBoard[[#This Row],[Cum. target]]))</f>
        <v>-45</v>
      </c>
      <c r="T161" s="41">
        <f>IF(tblBoard[[#This Row],[Date]]="","",IF(AND(tblBoard[[#This Row],[Date]]&gt;=FFrom,tblBoard[[#This Row],[Date]]&lt;=FTo,OR(DashLine="",tblBoard[[#This Row],[Line]]=DashLine)),tblBoard[[#This Row],[Date]],""))</f>
        <v>46304</v>
      </c>
      <c r="U16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1" s="43" t="s">
        <v>97</v>
      </c>
    </row>
    <row r="162" spans="2:22" x14ac:dyDescent="0.25">
      <c r="B162" s="36">
        <v>46304</v>
      </c>
      <c r="C162" s="28" t="s">
        <v>93</v>
      </c>
      <c r="D162" s="28" t="s">
        <v>88</v>
      </c>
      <c r="E162" s="33">
        <v>5</v>
      </c>
      <c r="F162" s="28" t="s">
        <v>107</v>
      </c>
      <c r="G162" s="33">
        <v>30</v>
      </c>
      <c r="H162" s="33">
        <v>60</v>
      </c>
      <c r="I162" s="28"/>
      <c r="J162" s="37">
        <f>IF(tblBoard[[#This Row],[Date]]="","",IFERROR(INDEX(tblProducts[Takt time (s)],MATCH(tblBoard[[#This Row],[Product]],tblProducts[Product],0)),""))</f>
        <v>30</v>
      </c>
      <c r="K162" s="38">
        <f>IF(tblBoard[[#This Row],[Date]]="","",IF(OR(tblBoard[[#This Row],[Takt (s)]]="",tblBoard[[#This Row],[Available (min)]]=""),"",INT(tblBoard[[#This Row],[Available (min)]]*60/tblBoard[[#This Row],[Takt (s)]])))</f>
        <v>60</v>
      </c>
      <c r="L162" s="38">
        <f>IF(tblBoard[[#This Row],[Date]]="","",IF(tblBoard[[#This Row],[Target (units)]]="","",tblBoard[[#This Row],[Actual (units)]]-tblBoard[[#This Row],[Target (units)]]))</f>
        <v>0</v>
      </c>
      <c r="M162" s="38">
        <f>IF(tblBoard[[#This Row],[Date]]="","",IF(tblBoard[[#This Row],[Target (units)]]="","",MAX(0,tblBoard[[#This Row],[Target (units)]]-tblBoard[[#This Row],[Actual (units)]])))</f>
        <v>0</v>
      </c>
      <c r="N162" s="39">
        <f>IF(tblBoard[[#This Row],[Date]]="","",IF(N(tblBoard[[#This Row],[Target (units)]])&gt;0,tblBoard[[#This Row],[Actual (units)]]/tblBoard[[#This Row],[Target (units)]],""))</f>
        <v>1</v>
      </c>
      <c r="O162" s="38">
        <f>IF(tblBoard[[#This Row],[Date]]="","",IF(N(tblBoard[[#This Row],[Target (units)]])&gt;0,IF(tblBoard[[#This Row],[Actual (units)]]&gt;=tblBoard[[#This Row],[Target (units)]]*TargetHour,1,0),""))</f>
        <v>1</v>
      </c>
      <c r="P162" s="40" t="str">
        <f>IF(NOT(ISNUMBER(tblBoard[[#This Row],[Attainment]])),"",IF(tblBoard[[#This Row],[Attainment]]&gt;=TargetHour,"On target",IF(tblBoard[[#This Row],[Attainment]]&gt;=TargetHour*(1-0.05),"Near target","Below target")))</f>
        <v>On target</v>
      </c>
      <c r="Q162" s="38">
        <f>IF(tblBoard[[#This Row],[Date]]="","",IF(tblBoard[[#This Row],[Hour]]="","",SUMIFS(tblBoard[Target (units)],tblBoard[Date],tblBoard[[#This Row],[Date]],tblBoard[Shift],tblBoard[[#This Row],[Shift]],tblBoard[Line],tblBoard[[#This Row],[Line]],tblBoard[Hour],"&lt;="&amp;tblBoard[[#This Row],[Hour]])))</f>
        <v>520</v>
      </c>
      <c r="R162" s="38">
        <f>IF(tblBoard[[#This Row],[Date]]="","",IF(tblBoard[[#This Row],[Hour]]="","",SUMIFS(tblBoard[Actual (units)],tblBoard[Date],tblBoard[[#This Row],[Date]],tblBoard[Shift],tblBoard[[#This Row],[Shift]],tblBoard[Line],tblBoard[[#This Row],[Line]],tblBoard[Hour],"&lt;="&amp;tblBoard[[#This Row],[Hour]])))</f>
        <v>475</v>
      </c>
      <c r="S162" s="38">
        <f>IF(tblBoard[[#This Row],[Date]]="","",IF(tblBoard[[#This Row],[Cum. target]]="","",tblBoard[[#This Row],[Cum. actual]]-tblBoard[[#This Row],[Cum. target]]))</f>
        <v>-45</v>
      </c>
      <c r="T162" s="41">
        <f>IF(tblBoard[[#This Row],[Date]]="","",IF(AND(tblBoard[[#This Row],[Date]]&gt;=FFrom,tblBoard[[#This Row],[Date]]&lt;=FTo,OR(DashLine="",tblBoard[[#This Row],[Line]]=DashLine)),tblBoard[[#This Row],[Date]],""))</f>
        <v>46304</v>
      </c>
      <c r="U16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2" s="43" t="s">
        <v>97</v>
      </c>
    </row>
    <row r="163" spans="2:22" x14ac:dyDescent="0.25">
      <c r="B163" s="36">
        <v>46304</v>
      </c>
      <c r="C163" s="28" t="s">
        <v>93</v>
      </c>
      <c r="D163" s="28" t="s">
        <v>88</v>
      </c>
      <c r="E163" s="33">
        <v>6</v>
      </c>
      <c r="F163" s="28" t="s">
        <v>107</v>
      </c>
      <c r="G163" s="33">
        <v>60</v>
      </c>
      <c r="H163" s="33">
        <v>117</v>
      </c>
      <c r="I163" s="28" t="s">
        <v>114</v>
      </c>
      <c r="J163" s="37">
        <f>IF(tblBoard[[#This Row],[Date]]="","",IFERROR(INDEX(tblProducts[Takt time (s)],MATCH(tblBoard[[#This Row],[Product]],tblProducts[Product],0)),""))</f>
        <v>30</v>
      </c>
      <c r="K163" s="38">
        <f>IF(tblBoard[[#This Row],[Date]]="","",IF(OR(tblBoard[[#This Row],[Takt (s)]]="",tblBoard[[#This Row],[Available (min)]]=""),"",INT(tblBoard[[#This Row],[Available (min)]]*60/tblBoard[[#This Row],[Takt (s)]])))</f>
        <v>120</v>
      </c>
      <c r="L163" s="38">
        <f>IF(tblBoard[[#This Row],[Date]]="","",IF(tblBoard[[#This Row],[Target (units)]]="","",tblBoard[[#This Row],[Actual (units)]]-tblBoard[[#This Row],[Target (units)]]))</f>
        <v>-3</v>
      </c>
      <c r="M163" s="38">
        <f>IF(tblBoard[[#This Row],[Date]]="","",IF(tblBoard[[#This Row],[Target (units)]]="","",MAX(0,tblBoard[[#This Row],[Target (units)]]-tblBoard[[#This Row],[Actual (units)]])))</f>
        <v>3</v>
      </c>
      <c r="N163" s="39">
        <f>IF(tblBoard[[#This Row],[Date]]="","",IF(N(tblBoard[[#This Row],[Target (units)]])&gt;0,tblBoard[[#This Row],[Actual (units)]]/tblBoard[[#This Row],[Target (units)]],""))</f>
        <v>0.975</v>
      </c>
      <c r="O163" s="38">
        <f>IF(tblBoard[[#This Row],[Date]]="","",IF(N(tblBoard[[#This Row],[Target (units)]])&gt;0,IF(tblBoard[[#This Row],[Actual (units)]]&gt;=tblBoard[[#This Row],[Target (units)]]*TargetHour,1,0),""))</f>
        <v>0</v>
      </c>
      <c r="P163" s="40" t="str">
        <f>IF(NOT(ISNUMBER(tblBoard[[#This Row],[Attainment]])),"",IF(tblBoard[[#This Row],[Attainment]]&gt;=TargetHour,"On target",IF(tblBoard[[#This Row],[Attainment]]&gt;=TargetHour*(1-0.05),"Near target","Below target")))</f>
        <v>Near target</v>
      </c>
      <c r="Q163" s="38">
        <f>IF(tblBoard[[#This Row],[Date]]="","",IF(tblBoard[[#This Row],[Hour]]="","",SUMIFS(tblBoard[Target (units)],tblBoard[Date],tblBoard[[#This Row],[Date]],tblBoard[Shift],tblBoard[[#This Row],[Shift]],tblBoard[Line],tblBoard[[#This Row],[Line]],tblBoard[Hour],"&lt;="&amp;tblBoard[[#This Row],[Hour]])))</f>
        <v>640</v>
      </c>
      <c r="R163" s="38">
        <f>IF(tblBoard[[#This Row],[Date]]="","",IF(tblBoard[[#This Row],[Hour]]="","",SUMIFS(tblBoard[Actual (units)],tblBoard[Date],tblBoard[[#This Row],[Date]],tblBoard[Shift],tblBoard[[#This Row],[Shift]],tblBoard[Line],tblBoard[[#This Row],[Line]],tblBoard[Hour],"&lt;="&amp;tblBoard[[#This Row],[Hour]])))</f>
        <v>592</v>
      </c>
      <c r="S163" s="38">
        <f>IF(tblBoard[[#This Row],[Date]]="","",IF(tblBoard[[#This Row],[Cum. target]]="","",tblBoard[[#This Row],[Cum. actual]]-tblBoard[[#This Row],[Cum. target]]))</f>
        <v>-48</v>
      </c>
      <c r="T163" s="41">
        <f>IF(tblBoard[[#This Row],[Date]]="","",IF(AND(tblBoard[[#This Row],[Date]]&gt;=FFrom,tblBoard[[#This Row],[Date]]&lt;=FTo,OR(DashLine="",tblBoard[[#This Row],[Line]]=DashLine)),tblBoard[[#This Row],[Date]],""))</f>
        <v>46304</v>
      </c>
      <c r="U16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3" s="43" t="s">
        <v>97</v>
      </c>
    </row>
    <row r="164" spans="2:22" x14ac:dyDescent="0.25">
      <c r="B164" s="36">
        <v>46304</v>
      </c>
      <c r="C164" s="28" t="s">
        <v>93</v>
      </c>
      <c r="D164" s="28" t="s">
        <v>88</v>
      </c>
      <c r="E164" s="33">
        <v>7</v>
      </c>
      <c r="F164" s="28" t="s">
        <v>107</v>
      </c>
      <c r="G164" s="33">
        <v>50</v>
      </c>
      <c r="H164" s="33">
        <v>106</v>
      </c>
      <c r="I164" s="28"/>
      <c r="J164" s="37">
        <f>IF(tblBoard[[#This Row],[Date]]="","",IFERROR(INDEX(tblProducts[Takt time (s)],MATCH(tblBoard[[#This Row],[Product]],tblProducts[Product],0)),""))</f>
        <v>30</v>
      </c>
      <c r="K164" s="38">
        <f>IF(tblBoard[[#This Row],[Date]]="","",IF(OR(tblBoard[[#This Row],[Takt (s)]]="",tblBoard[[#This Row],[Available (min)]]=""),"",INT(tblBoard[[#This Row],[Available (min)]]*60/tblBoard[[#This Row],[Takt (s)]])))</f>
        <v>100</v>
      </c>
      <c r="L164" s="38">
        <f>IF(tblBoard[[#This Row],[Date]]="","",IF(tblBoard[[#This Row],[Target (units)]]="","",tblBoard[[#This Row],[Actual (units)]]-tblBoard[[#This Row],[Target (units)]]))</f>
        <v>6</v>
      </c>
      <c r="M164" s="38">
        <f>IF(tblBoard[[#This Row],[Date]]="","",IF(tblBoard[[#This Row],[Target (units)]]="","",MAX(0,tblBoard[[#This Row],[Target (units)]]-tblBoard[[#This Row],[Actual (units)]])))</f>
        <v>0</v>
      </c>
      <c r="N164" s="39">
        <f>IF(tblBoard[[#This Row],[Date]]="","",IF(N(tblBoard[[#This Row],[Target (units)]])&gt;0,tblBoard[[#This Row],[Actual (units)]]/tblBoard[[#This Row],[Target (units)]],""))</f>
        <v>1.06</v>
      </c>
      <c r="O164" s="38">
        <f>IF(tblBoard[[#This Row],[Date]]="","",IF(N(tblBoard[[#This Row],[Target (units)]])&gt;0,IF(tblBoard[[#This Row],[Actual (units)]]&gt;=tblBoard[[#This Row],[Target (units)]]*TargetHour,1,0),""))</f>
        <v>1</v>
      </c>
      <c r="P164" s="40" t="str">
        <f>IF(NOT(ISNUMBER(tblBoard[[#This Row],[Attainment]])),"",IF(tblBoard[[#This Row],[Attainment]]&gt;=TargetHour,"On target",IF(tblBoard[[#This Row],[Attainment]]&gt;=TargetHour*(1-0.05),"Near target","Below target")))</f>
        <v>On target</v>
      </c>
      <c r="Q164" s="38">
        <f>IF(tblBoard[[#This Row],[Date]]="","",IF(tblBoard[[#This Row],[Hour]]="","",SUMIFS(tblBoard[Target (units)],tblBoard[Date],tblBoard[[#This Row],[Date]],tblBoard[Shift],tblBoard[[#This Row],[Shift]],tblBoard[Line],tblBoard[[#This Row],[Line]],tblBoard[Hour],"&lt;="&amp;tblBoard[[#This Row],[Hour]])))</f>
        <v>740</v>
      </c>
      <c r="R164" s="38">
        <f>IF(tblBoard[[#This Row],[Date]]="","",IF(tblBoard[[#This Row],[Hour]]="","",SUMIFS(tblBoard[Actual (units)],tblBoard[Date],tblBoard[[#This Row],[Date]],tblBoard[Shift],tblBoard[[#This Row],[Shift]],tblBoard[Line],tblBoard[[#This Row],[Line]],tblBoard[Hour],"&lt;="&amp;tblBoard[[#This Row],[Hour]])))</f>
        <v>698</v>
      </c>
      <c r="S164" s="38">
        <f>IF(tblBoard[[#This Row],[Date]]="","",IF(tblBoard[[#This Row],[Cum. target]]="","",tblBoard[[#This Row],[Cum. actual]]-tblBoard[[#This Row],[Cum. target]]))</f>
        <v>-42</v>
      </c>
      <c r="T164" s="41">
        <f>IF(tblBoard[[#This Row],[Date]]="","",IF(AND(tblBoard[[#This Row],[Date]]&gt;=FFrom,tblBoard[[#This Row],[Date]]&lt;=FTo,OR(DashLine="",tblBoard[[#This Row],[Line]]=DashLine)),tblBoard[[#This Row],[Date]],""))</f>
        <v>46304</v>
      </c>
      <c r="U16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4" s="43" t="s">
        <v>97</v>
      </c>
    </row>
    <row r="165" spans="2:22" x14ac:dyDescent="0.25">
      <c r="B165" s="36">
        <v>46304</v>
      </c>
      <c r="C165" s="28" t="s">
        <v>93</v>
      </c>
      <c r="D165" s="28" t="s">
        <v>88</v>
      </c>
      <c r="E165" s="33">
        <v>8</v>
      </c>
      <c r="F165" s="28" t="s">
        <v>107</v>
      </c>
      <c r="G165" s="33">
        <v>50</v>
      </c>
      <c r="H165" s="33">
        <v>98</v>
      </c>
      <c r="I165" s="28" t="s">
        <v>114</v>
      </c>
      <c r="J165" s="37">
        <f>IF(tblBoard[[#This Row],[Date]]="","",IFERROR(INDEX(tblProducts[Takt time (s)],MATCH(tblBoard[[#This Row],[Product]],tblProducts[Product],0)),""))</f>
        <v>30</v>
      </c>
      <c r="K165" s="38">
        <f>IF(tblBoard[[#This Row],[Date]]="","",IF(OR(tblBoard[[#This Row],[Takt (s)]]="",tblBoard[[#This Row],[Available (min)]]=""),"",INT(tblBoard[[#This Row],[Available (min)]]*60/tblBoard[[#This Row],[Takt (s)]])))</f>
        <v>100</v>
      </c>
      <c r="L165" s="38">
        <f>IF(tblBoard[[#This Row],[Date]]="","",IF(tblBoard[[#This Row],[Target (units)]]="","",tblBoard[[#This Row],[Actual (units)]]-tblBoard[[#This Row],[Target (units)]]))</f>
        <v>-2</v>
      </c>
      <c r="M165" s="38">
        <f>IF(tblBoard[[#This Row],[Date]]="","",IF(tblBoard[[#This Row],[Target (units)]]="","",MAX(0,tblBoard[[#This Row],[Target (units)]]-tblBoard[[#This Row],[Actual (units)]])))</f>
        <v>2</v>
      </c>
      <c r="N165" s="39">
        <f>IF(tblBoard[[#This Row],[Date]]="","",IF(N(tblBoard[[#This Row],[Target (units)]])&gt;0,tblBoard[[#This Row],[Actual (units)]]/tblBoard[[#This Row],[Target (units)]],""))</f>
        <v>0.98</v>
      </c>
      <c r="O165" s="38">
        <f>IF(tblBoard[[#This Row],[Date]]="","",IF(N(tblBoard[[#This Row],[Target (units)]])&gt;0,IF(tblBoard[[#This Row],[Actual (units)]]&gt;=tblBoard[[#This Row],[Target (units)]]*TargetHour,1,0),""))</f>
        <v>0</v>
      </c>
      <c r="P165" s="40" t="str">
        <f>IF(NOT(ISNUMBER(tblBoard[[#This Row],[Attainment]])),"",IF(tblBoard[[#This Row],[Attainment]]&gt;=TargetHour,"On target",IF(tblBoard[[#This Row],[Attainment]]&gt;=TargetHour*(1-0.05),"Near target","Below target")))</f>
        <v>Near target</v>
      </c>
      <c r="Q165" s="38">
        <f>IF(tblBoard[[#This Row],[Date]]="","",IF(tblBoard[[#This Row],[Hour]]="","",SUMIFS(tblBoard[Target (units)],tblBoard[Date],tblBoard[[#This Row],[Date]],tblBoard[Shift],tblBoard[[#This Row],[Shift]],tblBoard[Line],tblBoard[[#This Row],[Line]],tblBoard[Hour],"&lt;="&amp;tblBoard[[#This Row],[Hour]])))</f>
        <v>840</v>
      </c>
      <c r="R165" s="38">
        <f>IF(tblBoard[[#This Row],[Date]]="","",IF(tblBoard[[#This Row],[Hour]]="","",SUMIFS(tblBoard[Actual (units)],tblBoard[Date],tblBoard[[#This Row],[Date]],tblBoard[Shift],tblBoard[[#This Row],[Shift]],tblBoard[Line],tblBoard[[#This Row],[Line]],tblBoard[Hour],"&lt;="&amp;tblBoard[[#This Row],[Hour]])))</f>
        <v>796</v>
      </c>
      <c r="S165" s="38">
        <f>IF(tblBoard[[#This Row],[Date]]="","",IF(tblBoard[[#This Row],[Cum. target]]="","",tblBoard[[#This Row],[Cum. actual]]-tblBoard[[#This Row],[Cum. target]]))</f>
        <v>-44</v>
      </c>
      <c r="T165" s="41">
        <f>IF(tblBoard[[#This Row],[Date]]="","",IF(AND(tblBoard[[#This Row],[Date]]&gt;=FFrom,tblBoard[[#This Row],[Date]]&lt;=FTo,OR(DashLine="",tblBoard[[#This Row],[Line]]=DashLine)),tblBoard[[#This Row],[Date]],""))</f>
        <v>46304</v>
      </c>
      <c r="U16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5" s="43" t="s">
        <v>97</v>
      </c>
    </row>
    <row r="166" spans="2:22" x14ac:dyDescent="0.25">
      <c r="B166" s="36">
        <v>46307</v>
      </c>
      <c r="C166" s="28" t="s">
        <v>91</v>
      </c>
      <c r="D166" s="28" t="s">
        <v>85</v>
      </c>
      <c r="E166" s="33">
        <v>1</v>
      </c>
      <c r="F166" s="28" t="s">
        <v>103</v>
      </c>
      <c r="G166" s="33">
        <v>60</v>
      </c>
      <c r="H166" s="33">
        <v>75</v>
      </c>
      <c r="I166" s="28" t="s">
        <v>110</v>
      </c>
      <c r="J166" s="37">
        <f>IF(tblBoard[[#This Row],[Date]]="","",IFERROR(INDEX(tblProducts[Takt time (s)],MATCH(tblBoard[[#This Row],[Product]],tblProducts[Product],0)),""))</f>
        <v>40</v>
      </c>
      <c r="K166" s="38">
        <f>IF(tblBoard[[#This Row],[Date]]="","",IF(OR(tblBoard[[#This Row],[Takt (s)]]="",tblBoard[[#This Row],[Available (min)]]=""),"",INT(tblBoard[[#This Row],[Available (min)]]*60/tblBoard[[#This Row],[Takt (s)]])))</f>
        <v>90</v>
      </c>
      <c r="L166" s="38">
        <f>IF(tblBoard[[#This Row],[Date]]="","",IF(tblBoard[[#This Row],[Target (units)]]="","",tblBoard[[#This Row],[Actual (units)]]-tblBoard[[#This Row],[Target (units)]]))</f>
        <v>-15</v>
      </c>
      <c r="M166" s="38">
        <f>IF(tblBoard[[#This Row],[Date]]="","",IF(tblBoard[[#This Row],[Target (units)]]="","",MAX(0,tblBoard[[#This Row],[Target (units)]]-tblBoard[[#This Row],[Actual (units)]])))</f>
        <v>15</v>
      </c>
      <c r="N166" s="39">
        <f>IF(tblBoard[[#This Row],[Date]]="","",IF(N(tblBoard[[#This Row],[Target (units)]])&gt;0,tblBoard[[#This Row],[Actual (units)]]/tblBoard[[#This Row],[Target (units)]],""))</f>
        <v>0.833333333333333</v>
      </c>
      <c r="O166" s="38">
        <f>IF(tblBoard[[#This Row],[Date]]="","",IF(N(tblBoard[[#This Row],[Target (units)]])&gt;0,IF(tblBoard[[#This Row],[Actual (units)]]&gt;=tblBoard[[#This Row],[Target (units)]]*TargetHour,1,0),""))</f>
        <v>0</v>
      </c>
      <c r="P166" s="40" t="str">
        <f>IF(NOT(ISNUMBER(tblBoard[[#This Row],[Attainment]])),"",IF(tblBoard[[#This Row],[Attainment]]&gt;=TargetHour,"On target",IF(tblBoard[[#This Row],[Attainment]]&gt;=TargetHour*(1-0.05),"Near target","Below target")))</f>
        <v>Below target</v>
      </c>
      <c r="Q166" s="38">
        <f>IF(tblBoard[[#This Row],[Date]]="","",IF(tblBoard[[#This Row],[Hour]]="","",SUMIFS(tblBoard[Target (units)],tblBoard[Date],tblBoard[[#This Row],[Date]],tblBoard[Shift],tblBoard[[#This Row],[Shift]],tblBoard[Line],tblBoard[[#This Row],[Line]],tblBoard[Hour],"&lt;="&amp;tblBoard[[#This Row],[Hour]])))</f>
        <v>90</v>
      </c>
      <c r="R166" s="38">
        <f>IF(tblBoard[[#This Row],[Date]]="","",IF(tblBoard[[#This Row],[Hour]]="","",SUMIFS(tblBoard[Actual (units)],tblBoard[Date],tblBoard[[#This Row],[Date]],tblBoard[Shift],tblBoard[[#This Row],[Shift]],tblBoard[Line],tblBoard[[#This Row],[Line]],tblBoard[Hour],"&lt;="&amp;tblBoard[[#This Row],[Hour]])))</f>
        <v>75</v>
      </c>
      <c r="S166" s="38">
        <f>IF(tblBoard[[#This Row],[Date]]="","",IF(tblBoard[[#This Row],[Cum. target]]="","",tblBoard[[#This Row],[Cum. actual]]-tblBoard[[#This Row],[Cum. target]]))</f>
        <v>-15</v>
      </c>
      <c r="T166" s="41">
        <f>IF(tblBoard[[#This Row],[Date]]="","",IF(AND(tblBoard[[#This Row],[Date]]&gt;=FFrom,tblBoard[[#This Row],[Date]]&lt;=FTo,OR(DashLine="",tblBoard[[#This Row],[Line]]=DashLine)),tblBoard[[#This Row],[Date]],""))</f>
        <v>46307</v>
      </c>
      <c r="U16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6" s="43" t="s">
        <v>144</v>
      </c>
    </row>
    <row r="167" spans="2:22" x14ac:dyDescent="0.25">
      <c r="B167" s="36">
        <v>46307</v>
      </c>
      <c r="C167" s="28" t="s">
        <v>91</v>
      </c>
      <c r="D167" s="28" t="s">
        <v>85</v>
      </c>
      <c r="E167" s="33">
        <v>2</v>
      </c>
      <c r="F167" s="28" t="s">
        <v>103</v>
      </c>
      <c r="G167" s="33">
        <v>60</v>
      </c>
      <c r="H167" s="33">
        <v>87</v>
      </c>
      <c r="I167" s="28" t="s">
        <v>118</v>
      </c>
      <c r="J167" s="37">
        <f>IF(tblBoard[[#This Row],[Date]]="","",IFERROR(INDEX(tblProducts[Takt time (s)],MATCH(tblBoard[[#This Row],[Product]],tblProducts[Product],0)),""))</f>
        <v>40</v>
      </c>
      <c r="K167" s="38">
        <f>IF(tblBoard[[#This Row],[Date]]="","",IF(OR(tblBoard[[#This Row],[Takt (s)]]="",tblBoard[[#This Row],[Available (min)]]=""),"",INT(tblBoard[[#This Row],[Available (min)]]*60/tblBoard[[#This Row],[Takt (s)]])))</f>
        <v>90</v>
      </c>
      <c r="L167" s="38">
        <f>IF(tblBoard[[#This Row],[Date]]="","",IF(tblBoard[[#This Row],[Target (units)]]="","",tblBoard[[#This Row],[Actual (units)]]-tblBoard[[#This Row],[Target (units)]]))</f>
        <v>-3</v>
      </c>
      <c r="M167" s="38">
        <f>IF(tblBoard[[#This Row],[Date]]="","",IF(tblBoard[[#This Row],[Target (units)]]="","",MAX(0,tblBoard[[#This Row],[Target (units)]]-tblBoard[[#This Row],[Actual (units)]])))</f>
        <v>3</v>
      </c>
      <c r="N167" s="39">
        <f>IF(tblBoard[[#This Row],[Date]]="","",IF(N(tblBoard[[#This Row],[Target (units)]])&gt;0,tblBoard[[#This Row],[Actual (units)]]/tblBoard[[#This Row],[Target (units)]],""))</f>
        <v>0.966666666666667</v>
      </c>
      <c r="O167" s="38">
        <f>IF(tblBoard[[#This Row],[Date]]="","",IF(N(tblBoard[[#This Row],[Target (units)]])&gt;0,IF(tblBoard[[#This Row],[Actual (units)]]&gt;=tblBoard[[#This Row],[Target (units)]]*TargetHour,1,0),""))</f>
        <v>0</v>
      </c>
      <c r="P167" s="40" t="str">
        <f>IF(NOT(ISNUMBER(tblBoard[[#This Row],[Attainment]])),"",IF(tblBoard[[#This Row],[Attainment]]&gt;=TargetHour,"On target",IF(tblBoard[[#This Row],[Attainment]]&gt;=TargetHour*(1-0.05),"Near target","Below target")))</f>
        <v>Near target</v>
      </c>
      <c r="Q167" s="38">
        <f>IF(tblBoard[[#This Row],[Date]]="","",IF(tblBoard[[#This Row],[Hour]]="","",SUMIFS(tblBoard[Target (units)],tblBoard[Date],tblBoard[[#This Row],[Date]],tblBoard[Shift],tblBoard[[#This Row],[Shift]],tblBoard[Line],tblBoard[[#This Row],[Line]],tblBoard[Hour],"&lt;="&amp;tblBoard[[#This Row],[Hour]])))</f>
        <v>180</v>
      </c>
      <c r="R167" s="38">
        <f>IF(tblBoard[[#This Row],[Date]]="","",IF(tblBoard[[#This Row],[Hour]]="","",SUMIFS(tblBoard[Actual (units)],tblBoard[Date],tblBoard[[#This Row],[Date]],tblBoard[Shift],tblBoard[[#This Row],[Shift]],tblBoard[Line],tblBoard[[#This Row],[Line]],tblBoard[Hour],"&lt;="&amp;tblBoard[[#This Row],[Hour]])))</f>
        <v>162</v>
      </c>
      <c r="S167" s="38">
        <f>IF(tblBoard[[#This Row],[Date]]="","",IF(tblBoard[[#This Row],[Cum. target]]="","",tblBoard[[#This Row],[Cum. actual]]-tblBoard[[#This Row],[Cum. target]]))</f>
        <v>-18</v>
      </c>
      <c r="T167" s="41">
        <f>IF(tblBoard[[#This Row],[Date]]="","",IF(AND(tblBoard[[#This Row],[Date]]&gt;=FFrom,tblBoard[[#This Row],[Date]]&lt;=FTo,OR(DashLine="",tblBoard[[#This Row],[Line]]=DashLine)),tblBoard[[#This Row],[Date]],""))</f>
        <v>46307</v>
      </c>
      <c r="U16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7" s="43" t="s">
        <v>97</v>
      </c>
    </row>
    <row r="168" spans="2:22" x14ac:dyDescent="0.25">
      <c r="B168" s="36">
        <v>46307</v>
      </c>
      <c r="C168" s="28" t="s">
        <v>91</v>
      </c>
      <c r="D168" s="28" t="s">
        <v>85</v>
      </c>
      <c r="E168" s="33">
        <v>3</v>
      </c>
      <c r="F168" s="28" t="s">
        <v>103</v>
      </c>
      <c r="G168" s="33">
        <v>50</v>
      </c>
      <c r="H168" s="33">
        <v>77</v>
      </c>
      <c r="I168" s="28"/>
      <c r="J168" s="37">
        <f>IF(tblBoard[[#This Row],[Date]]="","",IFERROR(INDEX(tblProducts[Takt time (s)],MATCH(tblBoard[[#This Row],[Product]],tblProducts[Product],0)),""))</f>
        <v>40</v>
      </c>
      <c r="K168" s="38">
        <f>IF(tblBoard[[#This Row],[Date]]="","",IF(OR(tblBoard[[#This Row],[Takt (s)]]="",tblBoard[[#This Row],[Available (min)]]=""),"",INT(tblBoard[[#This Row],[Available (min)]]*60/tblBoard[[#This Row],[Takt (s)]])))</f>
        <v>75</v>
      </c>
      <c r="L168" s="38">
        <f>IF(tblBoard[[#This Row],[Date]]="","",IF(tblBoard[[#This Row],[Target (units)]]="","",tblBoard[[#This Row],[Actual (units)]]-tblBoard[[#This Row],[Target (units)]]))</f>
        <v>2</v>
      </c>
      <c r="M168" s="38">
        <f>IF(tblBoard[[#This Row],[Date]]="","",IF(tblBoard[[#This Row],[Target (units)]]="","",MAX(0,tblBoard[[#This Row],[Target (units)]]-tblBoard[[#This Row],[Actual (units)]])))</f>
        <v>0</v>
      </c>
      <c r="N168" s="39">
        <f>IF(tblBoard[[#This Row],[Date]]="","",IF(N(tblBoard[[#This Row],[Target (units)]])&gt;0,tblBoard[[#This Row],[Actual (units)]]/tblBoard[[#This Row],[Target (units)]],""))</f>
        <v>1.02666666666667</v>
      </c>
      <c r="O168" s="38">
        <f>IF(tblBoard[[#This Row],[Date]]="","",IF(N(tblBoard[[#This Row],[Target (units)]])&gt;0,IF(tblBoard[[#This Row],[Actual (units)]]&gt;=tblBoard[[#This Row],[Target (units)]]*TargetHour,1,0),""))</f>
        <v>1</v>
      </c>
      <c r="P168" s="40" t="str">
        <f>IF(NOT(ISNUMBER(tblBoard[[#This Row],[Attainment]])),"",IF(tblBoard[[#This Row],[Attainment]]&gt;=TargetHour,"On target",IF(tblBoard[[#This Row],[Attainment]]&gt;=TargetHour*(1-0.05),"Near target","Below target")))</f>
        <v>On target</v>
      </c>
      <c r="Q168" s="38">
        <f>IF(tblBoard[[#This Row],[Date]]="","",IF(tblBoard[[#This Row],[Hour]]="","",SUMIFS(tblBoard[Target (units)],tblBoard[Date],tblBoard[[#This Row],[Date]],tblBoard[Shift],tblBoard[[#This Row],[Shift]],tblBoard[Line],tblBoard[[#This Row],[Line]],tblBoard[Hour],"&lt;="&amp;tblBoard[[#This Row],[Hour]])))</f>
        <v>255</v>
      </c>
      <c r="R168" s="38">
        <f>IF(tblBoard[[#This Row],[Date]]="","",IF(tblBoard[[#This Row],[Hour]]="","",SUMIFS(tblBoard[Actual (units)],tblBoard[Date],tblBoard[[#This Row],[Date]],tblBoard[Shift],tblBoard[[#This Row],[Shift]],tblBoard[Line],tblBoard[[#This Row],[Line]],tblBoard[Hour],"&lt;="&amp;tblBoard[[#This Row],[Hour]])))</f>
        <v>239</v>
      </c>
      <c r="S168" s="38">
        <f>IF(tblBoard[[#This Row],[Date]]="","",IF(tblBoard[[#This Row],[Cum. target]]="","",tblBoard[[#This Row],[Cum. actual]]-tblBoard[[#This Row],[Cum. target]]))</f>
        <v>-16</v>
      </c>
      <c r="T168" s="41">
        <f>IF(tblBoard[[#This Row],[Date]]="","",IF(AND(tblBoard[[#This Row],[Date]]&gt;=FFrom,tblBoard[[#This Row],[Date]]&lt;=FTo,OR(DashLine="",tblBoard[[#This Row],[Line]]=DashLine)),tblBoard[[#This Row],[Date]],""))</f>
        <v>46307</v>
      </c>
      <c r="U16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8" s="43" t="s">
        <v>97</v>
      </c>
    </row>
    <row r="169" spans="2:22" x14ac:dyDescent="0.25">
      <c r="B169" s="36">
        <v>46307</v>
      </c>
      <c r="C169" s="28" t="s">
        <v>91</v>
      </c>
      <c r="D169" s="28" t="s">
        <v>85</v>
      </c>
      <c r="E169" s="33">
        <v>4</v>
      </c>
      <c r="F169" s="28" t="s">
        <v>103</v>
      </c>
      <c r="G169" s="33">
        <v>60</v>
      </c>
      <c r="H169" s="33">
        <v>92</v>
      </c>
      <c r="I169" s="28"/>
      <c r="J169" s="37">
        <f>IF(tblBoard[[#This Row],[Date]]="","",IFERROR(INDEX(tblProducts[Takt time (s)],MATCH(tblBoard[[#This Row],[Product]],tblProducts[Product],0)),""))</f>
        <v>40</v>
      </c>
      <c r="K169" s="38">
        <f>IF(tblBoard[[#This Row],[Date]]="","",IF(OR(tblBoard[[#This Row],[Takt (s)]]="",tblBoard[[#This Row],[Available (min)]]=""),"",INT(tblBoard[[#This Row],[Available (min)]]*60/tblBoard[[#This Row],[Takt (s)]])))</f>
        <v>90</v>
      </c>
      <c r="L169" s="38">
        <f>IF(tblBoard[[#This Row],[Date]]="","",IF(tblBoard[[#This Row],[Target (units)]]="","",tblBoard[[#This Row],[Actual (units)]]-tblBoard[[#This Row],[Target (units)]]))</f>
        <v>2</v>
      </c>
      <c r="M169" s="38">
        <f>IF(tblBoard[[#This Row],[Date]]="","",IF(tblBoard[[#This Row],[Target (units)]]="","",MAX(0,tblBoard[[#This Row],[Target (units)]]-tblBoard[[#This Row],[Actual (units)]])))</f>
        <v>0</v>
      </c>
      <c r="N169" s="39">
        <f>IF(tblBoard[[#This Row],[Date]]="","",IF(N(tblBoard[[#This Row],[Target (units)]])&gt;0,tblBoard[[#This Row],[Actual (units)]]/tblBoard[[#This Row],[Target (units)]],""))</f>
        <v>1.02222222222222</v>
      </c>
      <c r="O169" s="38">
        <f>IF(tblBoard[[#This Row],[Date]]="","",IF(N(tblBoard[[#This Row],[Target (units)]])&gt;0,IF(tblBoard[[#This Row],[Actual (units)]]&gt;=tblBoard[[#This Row],[Target (units)]]*TargetHour,1,0),""))</f>
        <v>1</v>
      </c>
      <c r="P169" s="40" t="str">
        <f>IF(NOT(ISNUMBER(tblBoard[[#This Row],[Attainment]])),"",IF(tblBoard[[#This Row],[Attainment]]&gt;=TargetHour,"On target",IF(tblBoard[[#This Row],[Attainment]]&gt;=TargetHour*(1-0.05),"Near target","Below target")))</f>
        <v>On target</v>
      </c>
      <c r="Q169" s="38">
        <f>IF(tblBoard[[#This Row],[Date]]="","",IF(tblBoard[[#This Row],[Hour]]="","",SUMIFS(tblBoard[Target (units)],tblBoard[Date],tblBoard[[#This Row],[Date]],tblBoard[Shift],tblBoard[[#This Row],[Shift]],tblBoard[Line],tblBoard[[#This Row],[Line]],tblBoard[Hour],"&lt;="&amp;tblBoard[[#This Row],[Hour]])))</f>
        <v>345</v>
      </c>
      <c r="R169" s="38">
        <f>IF(tblBoard[[#This Row],[Date]]="","",IF(tblBoard[[#This Row],[Hour]]="","",SUMIFS(tblBoard[Actual (units)],tblBoard[Date],tblBoard[[#This Row],[Date]],tblBoard[Shift],tblBoard[[#This Row],[Shift]],tblBoard[Line],tblBoard[[#This Row],[Line]],tblBoard[Hour],"&lt;="&amp;tblBoard[[#This Row],[Hour]])))</f>
        <v>331</v>
      </c>
      <c r="S169" s="38">
        <f>IF(tblBoard[[#This Row],[Date]]="","",IF(tblBoard[[#This Row],[Cum. target]]="","",tblBoard[[#This Row],[Cum. actual]]-tblBoard[[#This Row],[Cum. target]]))</f>
        <v>-14</v>
      </c>
      <c r="T169" s="41">
        <f>IF(tblBoard[[#This Row],[Date]]="","",IF(AND(tblBoard[[#This Row],[Date]]&gt;=FFrom,tblBoard[[#This Row],[Date]]&lt;=FTo,OR(DashLine="",tblBoard[[#This Row],[Line]]=DashLine)),tblBoard[[#This Row],[Date]],""))</f>
        <v>46307</v>
      </c>
      <c r="U16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69" s="43" t="s">
        <v>97</v>
      </c>
    </row>
    <row r="170" spans="2:22" x14ac:dyDescent="0.25">
      <c r="B170" s="36">
        <v>46307</v>
      </c>
      <c r="C170" s="28" t="s">
        <v>91</v>
      </c>
      <c r="D170" s="28" t="s">
        <v>85</v>
      </c>
      <c r="E170" s="33">
        <v>5</v>
      </c>
      <c r="F170" s="28" t="s">
        <v>103</v>
      </c>
      <c r="G170" s="33">
        <v>30</v>
      </c>
      <c r="H170" s="33">
        <v>43</v>
      </c>
      <c r="I170" s="28" t="s">
        <v>114</v>
      </c>
      <c r="J170" s="37">
        <f>IF(tblBoard[[#This Row],[Date]]="","",IFERROR(INDEX(tblProducts[Takt time (s)],MATCH(tblBoard[[#This Row],[Product]],tblProducts[Product],0)),""))</f>
        <v>40</v>
      </c>
      <c r="K170" s="38">
        <f>IF(tblBoard[[#This Row],[Date]]="","",IF(OR(tblBoard[[#This Row],[Takt (s)]]="",tblBoard[[#This Row],[Available (min)]]=""),"",INT(tblBoard[[#This Row],[Available (min)]]*60/tblBoard[[#This Row],[Takt (s)]])))</f>
        <v>45</v>
      </c>
      <c r="L170" s="38">
        <f>IF(tblBoard[[#This Row],[Date]]="","",IF(tblBoard[[#This Row],[Target (units)]]="","",tblBoard[[#This Row],[Actual (units)]]-tblBoard[[#This Row],[Target (units)]]))</f>
        <v>-2</v>
      </c>
      <c r="M170" s="38">
        <f>IF(tblBoard[[#This Row],[Date]]="","",IF(tblBoard[[#This Row],[Target (units)]]="","",MAX(0,tblBoard[[#This Row],[Target (units)]]-tblBoard[[#This Row],[Actual (units)]])))</f>
        <v>2</v>
      </c>
      <c r="N170" s="39">
        <f>IF(tblBoard[[#This Row],[Date]]="","",IF(N(tblBoard[[#This Row],[Target (units)]])&gt;0,tblBoard[[#This Row],[Actual (units)]]/tblBoard[[#This Row],[Target (units)]],""))</f>
        <v>0.955555555555556</v>
      </c>
      <c r="O170" s="38">
        <f>IF(tblBoard[[#This Row],[Date]]="","",IF(N(tblBoard[[#This Row],[Target (units)]])&gt;0,IF(tblBoard[[#This Row],[Actual (units)]]&gt;=tblBoard[[#This Row],[Target (units)]]*TargetHour,1,0),""))</f>
        <v>0</v>
      </c>
      <c r="P170" s="40" t="str">
        <f>IF(NOT(ISNUMBER(tblBoard[[#This Row],[Attainment]])),"",IF(tblBoard[[#This Row],[Attainment]]&gt;=TargetHour,"On target",IF(tblBoard[[#This Row],[Attainment]]&gt;=TargetHour*(1-0.05),"Near target","Below target")))</f>
        <v>Near target</v>
      </c>
      <c r="Q170" s="38">
        <f>IF(tblBoard[[#This Row],[Date]]="","",IF(tblBoard[[#This Row],[Hour]]="","",SUMIFS(tblBoard[Target (units)],tblBoard[Date],tblBoard[[#This Row],[Date]],tblBoard[Shift],tblBoard[[#This Row],[Shift]],tblBoard[Line],tblBoard[[#This Row],[Line]],tblBoard[Hour],"&lt;="&amp;tblBoard[[#This Row],[Hour]])))</f>
        <v>390</v>
      </c>
      <c r="R170" s="38">
        <f>IF(tblBoard[[#This Row],[Date]]="","",IF(tblBoard[[#This Row],[Hour]]="","",SUMIFS(tblBoard[Actual (units)],tblBoard[Date],tblBoard[[#This Row],[Date]],tblBoard[Shift],tblBoard[[#This Row],[Shift]],tblBoard[Line],tblBoard[[#This Row],[Line]],tblBoard[Hour],"&lt;="&amp;tblBoard[[#This Row],[Hour]])))</f>
        <v>374</v>
      </c>
      <c r="S170" s="38">
        <f>IF(tblBoard[[#This Row],[Date]]="","",IF(tblBoard[[#This Row],[Cum. target]]="","",tblBoard[[#This Row],[Cum. actual]]-tblBoard[[#This Row],[Cum. target]]))</f>
        <v>-16</v>
      </c>
      <c r="T170" s="41">
        <f>IF(tblBoard[[#This Row],[Date]]="","",IF(AND(tblBoard[[#This Row],[Date]]&gt;=FFrom,tblBoard[[#This Row],[Date]]&lt;=FTo,OR(DashLine="",tblBoard[[#This Row],[Line]]=DashLine)),tblBoard[[#This Row],[Date]],""))</f>
        <v>46307</v>
      </c>
      <c r="U17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0" s="43" t="s">
        <v>97</v>
      </c>
    </row>
    <row r="171" spans="2:22" x14ac:dyDescent="0.25">
      <c r="B171" s="36">
        <v>46307</v>
      </c>
      <c r="C171" s="28" t="s">
        <v>91</v>
      </c>
      <c r="D171" s="28" t="s">
        <v>85</v>
      </c>
      <c r="E171" s="33">
        <v>6</v>
      </c>
      <c r="F171" s="28" t="s">
        <v>103</v>
      </c>
      <c r="G171" s="33">
        <v>60</v>
      </c>
      <c r="H171" s="33">
        <v>81</v>
      </c>
      <c r="I171" s="28" t="s">
        <v>116</v>
      </c>
      <c r="J171" s="37">
        <f>IF(tblBoard[[#This Row],[Date]]="","",IFERROR(INDEX(tblProducts[Takt time (s)],MATCH(tblBoard[[#This Row],[Product]],tblProducts[Product],0)),""))</f>
        <v>40</v>
      </c>
      <c r="K171" s="38">
        <f>IF(tblBoard[[#This Row],[Date]]="","",IF(OR(tblBoard[[#This Row],[Takt (s)]]="",tblBoard[[#This Row],[Available (min)]]=""),"",INT(tblBoard[[#This Row],[Available (min)]]*60/tblBoard[[#This Row],[Takt (s)]])))</f>
        <v>90</v>
      </c>
      <c r="L171" s="38">
        <f>IF(tblBoard[[#This Row],[Date]]="","",IF(tblBoard[[#This Row],[Target (units)]]="","",tblBoard[[#This Row],[Actual (units)]]-tblBoard[[#This Row],[Target (units)]]))</f>
        <v>-9</v>
      </c>
      <c r="M171" s="38">
        <f>IF(tblBoard[[#This Row],[Date]]="","",IF(tblBoard[[#This Row],[Target (units)]]="","",MAX(0,tblBoard[[#This Row],[Target (units)]]-tblBoard[[#This Row],[Actual (units)]])))</f>
        <v>9</v>
      </c>
      <c r="N171" s="39">
        <f>IF(tblBoard[[#This Row],[Date]]="","",IF(N(tblBoard[[#This Row],[Target (units)]])&gt;0,tblBoard[[#This Row],[Actual (units)]]/tblBoard[[#This Row],[Target (units)]],""))</f>
        <v>0.9</v>
      </c>
      <c r="O171" s="38">
        <f>IF(tblBoard[[#This Row],[Date]]="","",IF(N(tblBoard[[#This Row],[Target (units)]])&gt;0,IF(tblBoard[[#This Row],[Actual (units)]]&gt;=tblBoard[[#This Row],[Target (units)]]*TargetHour,1,0),""))</f>
        <v>0</v>
      </c>
      <c r="P171" s="40" t="str">
        <f>IF(NOT(ISNUMBER(tblBoard[[#This Row],[Attainment]])),"",IF(tblBoard[[#This Row],[Attainment]]&gt;=TargetHour,"On target",IF(tblBoard[[#This Row],[Attainment]]&gt;=TargetHour*(1-0.05),"Near target","Below target")))</f>
        <v>Below target</v>
      </c>
      <c r="Q171" s="38">
        <f>IF(tblBoard[[#This Row],[Date]]="","",IF(tblBoard[[#This Row],[Hour]]="","",SUMIFS(tblBoard[Target (units)],tblBoard[Date],tblBoard[[#This Row],[Date]],tblBoard[Shift],tblBoard[[#This Row],[Shift]],tblBoard[Line],tblBoard[[#This Row],[Line]],tblBoard[Hour],"&lt;="&amp;tblBoard[[#This Row],[Hour]])))</f>
        <v>480</v>
      </c>
      <c r="R171" s="38">
        <f>IF(tblBoard[[#This Row],[Date]]="","",IF(tblBoard[[#This Row],[Hour]]="","",SUMIFS(tblBoard[Actual (units)],tblBoard[Date],tblBoard[[#This Row],[Date]],tblBoard[Shift],tblBoard[[#This Row],[Shift]],tblBoard[Line],tblBoard[[#This Row],[Line]],tblBoard[Hour],"&lt;="&amp;tblBoard[[#This Row],[Hour]])))</f>
        <v>455</v>
      </c>
      <c r="S171" s="38">
        <f>IF(tblBoard[[#This Row],[Date]]="","",IF(tblBoard[[#This Row],[Cum. target]]="","",tblBoard[[#This Row],[Cum. actual]]-tblBoard[[#This Row],[Cum. target]]))</f>
        <v>-25</v>
      </c>
      <c r="T171" s="41">
        <f>IF(tblBoard[[#This Row],[Date]]="","",IF(AND(tblBoard[[#This Row],[Date]]&gt;=FFrom,tblBoard[[#This Row],[Date]]&lt;=FTo,OR(DashLine="",tblBoard[[#This Row],[Line]]=DashLine)),tblBoard[[#This Row],[Date]],""))</f>
        <v>46307</v>
      </c>
      <c r="U17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1" s="43" t="s">
        <v>146</v>
      </c>
    </row>
    <row r="172" spans="2:22" x14ac:dyDescent="0.25">
      <c r="B172" s="36">
        <v>46307</v>
      </c>
      <c r="C172" s="28" t="s">
        <v>91</v>
      </c>
      <c r="D172" s="28" t="s">
        <v>85</v>
      </c>
      <c r="E172" s="33">
        <v>7</v>
      </c>
      <c r="F172" s="28" t="s">
        <v>103</v>
      </c>
      <c r="G172" s="33">
        <v>50</v>
      </c>
      <c r="H172" s="33">
        <v>71</v>
      </c>
      <c r="I172" s="28" t="s">
        <v>114</v>
      </c>
      <c r="J172" s="37">
        <f>IF(tblBoard[[#This Row],[Date]]="","",IFERROR(INDEX(tblProducts[Takt time (s)],MATCH(tblBoard[[#This Row],[Product]],tblProducts[Product],0)),""))</f>
        <v>40</v>
      </c>
      <c r="K172" s="38">
        <f>IF(tblBoard[[#This Row],[Date]]="","",IF(OR(tblBoard[[#This Row],[Takt (s)]]="",tblBoard[[#This Row],[Available (min)]]=""),"",INT(tblBoard[[#This Row],[Available (min)]]*60/tblBoard[[#This Row],[Takt (s)]])))</f>
        <v>75</v>
      </c>
      <c r="L172" s="38">
        <f>IF(tblBoard[[#This Row],[Date]]="","",IF(tblBoard[[#This Row],[Target (units)]]="","",tblBoard[[#This Row],[Actual (units)]]-tblBoard[[#This Row],[Target (units)]]))</f>
        <v>-4</v>
      </c>
      <c r="M172" s="38">
        <f>IF(tblBoard[[#This Row],[Date]]="","",IF(tblBoard[[#This Row],[Target (units)]]="","",MAX(0,tblBoard[[#This Row],[Target (units)]]-tblBoard[[#This Row],[Actual (units)]])))</f>
        <v>4</v>
      </c>
      <c r="N172" s="39">
        <f>IF(tblBoard[[#This Row],[Date]]="","",IF(N(tblBoard[[#This Row],[Target (units)]])&gt;0,tblBoard[[#This Row],[Actual (units)]]/tblBoard[[#This Row],[Target (units)]],""))</f>
        <v>0.946666666666667</v>
      </c>
      <c r="O172" s="38">
        <f>IF(tblBoard[[#This Row],[Date]]="","",IF(N(tblBoard[[#This Row],[Target (units)]])&gt;0,IF(tblBoard[[#This Row],[Actual (units)]]&gt;=tblBoard[[#This Row],[Target (units)]]*TargetHour,1,0),""))</f>
        <v>0</v>
      </c>
      <c r="P172" s="40" t="str">
        <f>IF(NOT(ISNUMBER(tblBoard[[#This Row],[Attainment]])),"",IF(tblBoard[[#This Row],[Attainment]]&gt;=TargetHour,"On target",IF(tblBoard[[#This Row],[Attainment]]&gt;=TargetHour*(1-0.05),"Near target","Below target")))</f>
        <v>Below target</v>
      </c>
      <c r="Q172" s="38">
        <f>IF(tblBoard[[#This Row],[Date]]="","",IF(tblBoard[[#This Row],[Hour]]="","",SUMIFS(tblBoard[Target (units)],tblBoard[Date],tblBoard[[#This Row],[Date]],tblBoard[Shift],tblBoard[[#This Row],[Shift]],tblBoard[Line],tblBoard[[#This Row],[Line]],tblBoard[Hour],"&lt;="&amp;tblBoard[[#This Row],[Hour]])))</f>
        <v>555</v>
      </c>
      <c r="R172" s="38">
        <f>IF(tblBoard[[#This Row],[Date]]="","",IF(tblBoard[[#This Row],[Hour]]="","",SUMIFS(tblBoard[Actual (units)],tblBoard[Date],tblBoard[[#This Row],[Date]],tblBoard[Shift],tblBoard[[#This Row],[Shift]],tblBoard[Line],tblBoard[[#This Row],[Line]],tblBoard[Hour],"&lt;="&amp;tblBoard[[#This Row],[Hour]])))</f>
        <v>526</v>
      </c>
      <c r="S172" s="38">
        <f>IF(tblBoard[[#This Row],[Date]]="","",IF(tblBoard[[#This Row],[Cum. target]]="","",tblBoard[[#This Row],[Cum. actual]]-tblBoard[[#This Row],[Cum. target]]))</f>
        <v>-29</v>
      </c>
      <c r="T172" s="41">
        <f>IF(tblBoard[[#This Row],[Date]]="","",IF(AND(tblBoard[[#This Row],[Date]]&gt;=FFrom,tblBoard[[#This Row],[Date]]&lt;=FTo,OR(DashLine="",tblBoard[[#This Row],[Line]]=DashLine)),tblBoard[[#This Row],[Date]],""))</f>
        <v>46307</v>
      </c>
      <c r="U17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2" s="43" t="s">
        <v>97</v>
      </c>
    </row>
    <row r="173" spans="2:22" x14ac:dyDescent="0.25">
      <c r="B173" s="36">
        <v>46307</v>
      </c>
      <c r="C173" s="28" t="s">
        <v>91</v>
      </c>
      <c r="D173" s="28" t="s">
        <v>85</v>
      </c>
      <c r="E173" s="33">
        <v>8</v>
      </c>
      <c r="F173" s="28" t="s">
        <v>103</v>
      </c>
      <c r="G173" s="33">
        <v>50</v>
      </c>
      <c r="H173" s="33">
        <v>76</v>
      </c>
      <c r="I173" s="28"/>
      <c r="J173" s="37">
        <f>IF(tblBoard[[#This Row],[Date]]="","",IFERROR(INDEX(tblProducts[Takt time (s)],MATCH(tblBoard[[#This Row],[Product]],tblProducts[Product],0)),""))</f>
        <v>40</v>
      </c>
      <c r="K173" s="38">
        <f>IF(tblBoard[[#This Row],[Date]]="","",IF(OR(tblBoard[[#This Row],[Takt (s)]]="",tblBoard[[#This Row],[Available (min)]]=""),"",INT(tblBoard[[#This Row],[Available (min)]]*60/tblBoard[[#This Row],[Takt (s)]])))</f>
        <v>75</v>
      </c>
      <c r="L173" s="38">
        <f>IF(tblBoard[[#This Row],[Date]]="","",IF(tblBoard[[#This Row],[Target (units)]]="","",tblBoard[[#This Row],[Actual (units)]]-tblBoard[[#This Row],[Target (units)]]))</f>
        <v>1</v>
      </c>
      <c r="M173" s="38">
        <f>IF(tblBoard[[#This Row],[Date]]="","",IF(tblBoard[[#This Row],[Target (units)]]="","",MAX(0,tblBoard[[#This Row],[Target (units)]]-tblBoard[[#This Row],[Actual (units)]])))</f>
        <v>0</v>
      </c>
      <c r="N173" s="39">
        <f>IF(tblBoard[[#This Row],[Date]]="","",IF(N(tblBoard[[#This Row],[Target (units)]])&gt;0,tblBoard[[#This Row],[Actual (units)]]/tblBoard[[#This Row],[Target (units)]],""))</f>
        <v>1.01333333333333</v>
      </c>
      <c r="O173" s="38">
        <f>IF(tblBoard[[#This Row],[Date]]="","",IF(N(tblBoard[[#This Row],[Target (units)]])&gt;0,IF(tblBoard[[#This Row],[Actual (units)]]&gt;=tblBoard[[#This Row],[Target (units)]]*TargetHour,1,0),""))</f>
        <v>1</v>
      </c>
      <c r="P173" s="40" t="str">
        <f>IF(NOT(ISNUMBER(tblBoard[[#This Row],[Attainment]])),"",IF(tblBoard[[#This Row],[Attainment]]&gt;=TargetHour,"On target",IF(tblBoard[[#This Row],[Attainment]]&gt;=TargetHour*(1-0.05),"Near target","Below target")))</f>
        <v>On target</v>
      </c>
      <c r="Q173" s="38">
        <f>IF(tblBoard[[#This Row],[Date]]="","",IF(tblBoard[[#This Row],[Hour]]="","",SUMIFS(tblBoard[Target (units)],tblBoard[Date],tblBoard[[#This Row],[Date]],tblBoard[Shift],tblBoard[[#This Row],[Shift]],tblBoard[Line],tblBoard[[#This Row],[Line]],tblBoard[Hour],"&lt;="&amp;tblBoard[[#This Row],[Hour]])))</f>
        <v>630</v>
      </c>
      <c r="R173" s="38">
        <f>IF(tblBoard[[#This Row],[Date]]="","",IF(tblBoard[[#This Row],[Hour]]="","",SUMIFS(tblBoard[Actual (units)],tblBoard[Date],tblBoard[[#This Row],[Date]],tblBoard[Shift],tblBoard[[#This Row],[Shift]],tblBoard[Line],tblBoard[[#This Row],[Line]],tblBoard[Hour],"&lt;="&amp;tblBoard[[#This Row],[Hour]])))</f>
        <v>602</v>
      </c>
      <c r="S173" s="38">
        <f>IF(tblBoard[[#This Row],[Date]]="","",IF(tblBoard[[#This Row],[Cum. target]]="","",tblBoard[[#This Row],[Cum. actual]]-tblBoard[[#This Row],[Cum. target]]))</f>
        <v>-28</v>
      </c>
      <c r="T173" s="41">
        <f>IF(tblBoard[[#This Row],[Date]]="","",IF(AND(tblBoard[[#This Row],[Date]]&gt;=FFrom,tblBoard[[#This Row],[Date]]&lt;=FTo,OR(DashLine="",tblBoard[[#This Row],[Line]]=DashLine)),tblBoard[[#This Row],[Date]],""))</f>
        <v>46307</v>
      </c>
      <c r="U17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3" s="43" t="s">
        <v>97</v>
      </c>
    </row>
    <row r="174" spans="2:22" x14ac:dyDescent="0.25">
      <c r="B174" s="36">
        <v>46307</v>
      </c>
      <c r="C174" s="28" t="s">
        <v>91</v>
      </c>
      <c r="D174" s="28" t="s">
        <v>88</v>
      </c>
      <c r="E174" s="33">
        <v>1</v>
      </c>
      <c r="F174" s="28" t="s">
        <v>107</v>
      </c>
      <c r="G174" s="33">
        <v>60</v>
      </c>
      <c r="H174" s="33">
        <v>98</v>
      </c>
      <c r="I174" s="28" t="s">
        <v>110</v>
      </c>
      <c r="J174" s="37">
        <f>IF(tblBoard[[#This Row],[Date]]="","",IFERROR(INDEX(tblProducts[Takt time (s)],MATCH(tblBoard[[#This Row],[Product]],tblProducts[Product],0)),""))</f>
        <v>30</v>
      </c>
      <c r="K174" s="38">
        <f>IF(tblBoard[[#This Row],[Date]]="","",IF(OR(tblBoard[[#This Row],[Takt (s)]]="",tblBoard[[#This Row],[Available (min)]]=""),"",INT(tblBoard[[#This Row],[Available (min)]]*60/tblBoard[[#This Row],[Takt (s)]])))</f>
        <v>120</v>
      </c>
      <c r="L174" s="38">
        <f>IF(tblBoard[[#This Row],[Date]]="","",IF(tblBoard[[#This Row],[Target (units)]]="","",tblBoard[[#This Row],[Actual (units)]]-tblBoard[[#This Row],[Target (units)]]))</f>
        <v>-22</v>
      </c>
      <c r="M174" s="38">
        <f>IF(tblBoard[[#This Row],[Date]]="","",IF(tblBoard[[#This Row],[Target (units)]]="","",MAX(0,tblBoard[[#This Row],[Target (units)]]-tblBoard[[#This Row],[Actual (units)]])))</f>
        <v>22</v>
      </c>
      <c r="N174" s="39">
        <f>IF(tblBoard[[#This Row],[Date]]="","",IF(N(tblBoard[[#This Row],[Target (units)]])&gt;0,tblBoard[[#This Row],[Actual (units)]]/tblBoard[[#This Row],[Target (units)]],""))</f>
        <v>0.816666666666667</v>
      </c>
      <c r="O174" s="38">
        <f>IF(tblBoard[[#This Row],[Date]]="","",IF(N(tblBoard[[#This Row],[Target (units)]])&gt;0,IF(tblBoard[[#This Row],[Actual (units)]]&gt;=tblBoard[[#This Row],[Target (units)]]*TargetHour,1,0),""))</f>
        <v>0</v>
      </c>
      <c r="P174" s="40" t="str">
        <f>IF(NOT(ISNUMBER(tblBoard[[#This Row],[Attainment]])),"",IF(tblBoard[[#This Row],[Attainment]]&gt;=TargetHour,"On target",IF(tblBoard[[#This Row],[Attainment]]&gt;=TargetHour*(1-0.05),"Near target","Below target")))</f>
        <v>Below target</v>
      </c>
      <c r="Q174" s="38">
        <f>IF(tblBoard[[#This Row],[Date]]="","",IF(tblBoard[[#This Row],[Hour]]="","",SUMIFS(tblBoard[Target (units)],tblBoard[Date],tblBoard[[#This Row],[Date]],tblBoard[Shift],tblBoard[[#This Row],[Shift]],tblBoard[Line],tblBoard[[#This Row],[Line]],tblBoard[Hour],"&lt;="&amp;tblBoard[[#This Row],[Hour]])))</f>
        <v>120</v>
      </c>
      <c r="R174" s="38">
        <f>IF(tblBoard[[#This Row],[Date]]="","",IF(tblBoard[[#This Row],[Hour]]="","",SUMIFS(tblBoard[Actual (units)],tblBoard[Date],tblBoard[[#This Row],[Date]],tblBoard[Shift],tblBoard[[#This Row],[Shift]],tblBoard[Line],tblBoard[[#This Row],[Line]],tblBoard[Hour],"&lt;="&amp;tblBoard[[#This Row],[Hour]])))</f>
        <v>98</v>
      </c>
      <c r="S174" s="38">
        <f>IF(tblBoard[[#This Row],[Date]]="","",IF(tblBoard[[#This Row],[Cum. target]]="","",tblBoard[[#This Row],[Cum. actual]]-tblBoard[[#This Row],[Cum. target]]))</f>
        <v>-22</v>
      </c>
      <c r="T174" s="41">
        <f>IF(tblBoard[[#This Row],[Date]]="","",IF(AND(tblBoard[[#This Row],[Date]]&gt;=FFrom,tblBoard[[#This Row],[Date]]&lt;=FTo,OR(DashLine="",tblBoard[[#This Row],[Line]]=DashLine)),tblBoard[[#This Row],[Date]],""))</f>
        <v>46307</v>
      </c>
      <c r="U17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4" s="43" t="s">
        <v>144</v>
      </c>
    </row>
    <row r="175" spans="2:22" x14ac:dyDescent="0.25">
      <c r="B175" s="36">
        <v>46307</v>
      </c>
      <c r="C175" s="28" t="s">
        <v>91</v>
      </c>
      <c r="D175" s="28" t="s">
        <v>88</v>
      </c>
      <c r="E175" s="33">
        <v>2</v>
      </c>
      <c r="F175" s="28" t="s">
        <v>107</v>
      </c>
      <c r="G175" s="33">
        <v>60</v>
      </c>
      <c r="H175" s="33">
        <v>115</v>
      </c>
      <c r="I175" s="28" t="s">
        <v>116</v>
      </c>
      <c r="J175" s="37">
        <f>IF(tblBoard[[#This Row],[Date]]="","",IFERROR(INDEX(tblProducts[Takt time (s)],MATCH(tblBoard[[#This Row],[Product]],tblProducts[Product],0)),""))</f>
        <v>30</v>
      </c>
      <c r="K175" s="38">
        <f>IF(tblBoard[[#This Row],[Date]]="","",IF(OR(tblBoard[[#This Row],[Takt (s)]]="",tblBoard[[#This Row],[Available (min)]]=""),"",INT(tblBoard[[#This Row],[Available (min)]]*60/tblBoard[[#This Row],[Takt (s)]])))</f>
        <v>120</v>
      </c>
      <c r="L175" s="38">
        <f>IF(tblBoard[[#This Row],[Date]]="","",IF(tblBoard[[#This Row],[Target (units)]]="","",tblBoard[[#This Row],[Actual (units)]]-tblBoard[[#This Row],[Target (units)]]))</f>
        <v>-5</v>
      </c>
      <c r="M175" s="38">
        <f>IF(tblBoard[[#This Row],[Date]]="","",IF(tblBoard[[#This Row],[Target (units)]]="","",MAX(0,tblBoard[[#This Row],[Target (units)]]-tblBoard[[#This Row],[Actual (units)]])))</f>
        <v>5</v>
      </c>
      <c r="N175" s="39">
        <f>IF(tblBoard[[#This Row],[Date]]="","",IF(N(tblBoard[[#This Row],[Target (units)]])&gt;0,tblBoard[[#This Row],[Actual (units)]]/tblBoard[[#This Row],[Target (units)]],""))</f>
        <v>0.958333333333333</v>
      </c>
      <c r="O175" s="38">
        <f>IF(tblBoard[[#This Row],[Date]]="","",IF(N(tblBoard[[#This Row],[Target (units)]])&gt;0,IF(tblBoard[[#This Row],[Actual (units)]]&gt;=tblBoard[[#This Row],[Target (units)]]*TargetHour,1,0),""))</f>
        <v>0</v>
      </c>
      <c r="P175" s="40" t="str">
        <f>IF(NOT(ISNUMBER(tblBoard[[#This Row],[Attainment]])),"",IF(tblBoard[[#This Row],[Attainment]]&gt;=TargetHour,"On target",IF(tblBoard[[#This Row],[Attainment]]&gt;=TargetHour*(1-0.05),"Near target","Below target")))</f>
        <v>Near target</v>
      </c>
      <c r="Q175" s="38">
        <f>IF(tblBoard[[#This Row],[Date]]="","",IF(tblBoard[[#This Row],[Hour]]="","",SUMIFS(tblBoard[Target (units)],tblBoard[Date],tblBoard[[#This Row],[Date]],tblBoard[Shift],tblBoard[[#This Row],[Shift]],tblBoard[Line],tblBoard[[#This Row],[Line]],tblBoard[Hour],"&lt;="&amp;tblBoard[[#This Row],[Hour]])))</f>
        <v>240</v>
      </c>
      <c r="R175" s="38">
        <f>IF(tblBoard[[#This Row],[Date]]="","",IF(tblBoard[[#This Row],[Hour]]="","",SUMIFS(tblBoard[Actual (units)],tblBoard[Date],tblBoard[[#This Row],[Date]],tblBoard[Shift],tblBoard[[#This Row],[Shift]],tblBoard[Line],tblBoard[[#This Row],[Line]],tblBoard[Hour],"&lt;="&amp;tblBoard[[#This Row],[Hour]])))</f>
        <v>213</v>
      </c>
      <c r="S175" s="38">
        <f>IF(tblBoard[[#This Row],[Date]]="","",IF(tblBoard[[#This Row],[Cum. target]]="","",tblBoard[[#This Row],[Cum. actual]]-tblBoard[[#This Row],[Cum. target]]))</f>
        <v>-27</v>
      </c>
      <c r="T175" s="41">
        <f>IF(tblBoard[[#This Row],[Date]]="","",IF(AND(tblBoard[[#This Row],[Date]]&gt;=FFrom,tblBoard[[#This Row],[Date]]&lt;=FTo,OR(DashLine="",tblBoard[[#This Row],[Line]]=DashLine)),tblBoard[[#This Row],[Date]],""))</f>
        <v>46307</v>
      </c>
      <c r="U17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5" s="43" t="s">
        <v>146</v>
      </c>
    </row>
    <row r="176" spans="2:22" x14ac:dyDescent="0.25">
      <c r="B176" s="36">
        <v>46307</v>
      </c>
      <c r="C176" s="28" t="s">
        <v>91</v>
      </c>
      <c r="D176" s="28" t="s">
        <v>88</v>
      </c>
      <c r="E176" s="33">
        <v>3</v>
      </c>
      <c r="F176" s="28" t="s">
        <v>107</v>
      </c>
      <c r="G176" s="33">
        <v>50</v>
      </c>
      <c r="H176" s="33">
        <v>103</v>
      </c>
      <c r="I176" s="28"/>
      <c r="J176" s="37">
        <f>IF(tblBoard[[#This Row],[Date]]="","",IFERROR(INDEX(tblProducts[Takt time (s)],MATCH(tblBoard[[#This Row],[Product]],tblProducts[Product],0)),""))</f>
        <v>30</v>
      </c>
      <c r="K176" s="38">
        <f>IF(tblBoard[[#This Row],[Date]]="","",IF(OR(tblBoard[[#This Row],[Takt (s)]]="",tblBoard[[#This Row],[Available (min)]]=""),"",INT(tblBoard[[#This Row],[Available (min)]]*60/tblBoard[[#This Row],[Takt (s)]])))</f>
        <v>100</v>
      </c>
      <c r="L176" s="38">
        <f>IF(tblBoard[[#This Row],[Date]]="","",IF(tblBoard[[#This Row],[Target (units)]]="","",tblBoard[[#This Row],[Actual (units)]]-tblBoard[[#This Row],[Target (units)]]))</f>
        <v>3</v>
      </c>
      <c r="M176" s="38">
        <f>IF(tblBoard[[#This Row],[Date]]="","",IF(tblBoard[[#This Row],[Target (units)]]="","",MAX(0,tblBoard[[#This Row],[Target (units)]]-tblBoard[[#This Row],[Actual (units)]])))</f>
        <v>0</v>
      </c>
      <c r="N176" s="39">
        <f>IF(tblBoard[[#This Row],[Date]]="","",IF(N(tblBoard[[#This Row],[Target (units)]])&gt;0,tblBoard[[#This Row],[Actual (units)]]/tblBoard[[#This Row],[Target (units)]],""))</f>
        <v>1.03</v>
      </c>
      <c r="O176" s="38">
        <f>IF(tblBoard[[#This Row],[Date]]="","",IF(N(tblBoard[[#This Row],[Target (units)]])&gt;0,IF(tblBoard[[#This Row],[Actual (units)]]&gt;=tblBoard[[#This Row],[Target (units)]]*TargetHour,1,0),""))</f>
        <v>1</v>
      </c>
      <c r="P176" s="40" t="str">
        <f>IF(NOT(ISNUMBER(tblBoard[[#This Row],[Attainment]])),"",IF(tblBoard[[#This Row],[Attainment]]&gt;=TargetHour,"On target",IF(tblBoard[[#This Row],[Attainment]]&gt;=TargetHour*(1-0.05),"Near target","Below target")))</f>
        <v>On target</v>
      </c>
      <c r="Q176" s="38">
        <f>IF(tblBoard[[#This Row],[Date]]="","",IF(tblBoard[[#This Row],[Hour]]="","",SUMIFS(tblBoard[Target (units)],tblBoard[Date],tblBoard[[#This Row],[Date]],tblBoard[Shift],tblBoard[[#This Row],[Shift]],tblBoard[Line],tblBoard[[#This Row],[Line]],tblBoard[Hour],"&lt;="&amp;tblBoard[[#This Row],[Hour]])))</f>
        <v>340</v>
      </c>
      <c r="R176" s="38">
        <f>IF(tblBoard[[#This Row],[Date]]="","",IF(tblBoard[[#This Row],[Hour]]="","",SUMIFS(tblBoard[Actual (units)],tblBoard[Date],tblBoard[[#This Row],[Date]],tblBoard[Shift],tblBoard[[#This Row],[Shift]],tblBoard[Line],tblBoard[[#This Row],[Line]],tblBoard[Hour],"&lt;="&amp;tblBoard[[#This Row],[Hour]])))</f>
        <v>316</v>
      </c>
      <c r="S176" s="38">
        <f>IF(tblBoard[[#This Row],[Date]]="","",IF(tblBoard[[#This Row],[Cum. target]]="","",tblBoard[[#This Row],[Cum. actual]]-tblBoard[[#This Row],[Cum. target]]))</f>
        <v>-24</v>
      </c>
      <c r="T176" s="41">
        <f>IF(tblBoard[[#This Row],[Date]]="","",IF(AND(tblBoard[[#This Row],[Date]]&gt;=FFrom,tblBoard[[#This Row],[Date]]&lt;=FTo,OR(DashLine="",tblBoard[[#This Row],[Line]]=DashLine)),tblBoard[[#This Row],[Date]],""))</f>
        <v>46307</v>
      </c>
      <c r="U17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6" s="43" t="s">
        <v>97</v>
      </c>
    </row>
    <row r="177" spans="2:22" x14ac:dyDescent="0.25">
      <c r="B177" s="36">
        <v>46307</v>
      </c>
      <c r="C177" s="28" t="s">
        <v>91</v>
      </c>
      <c r="D177" s="28" t="s">
        <v>88</v>
      </c>
      <c r="E177" s="33">
        <v>4</v>
      </c>
      <c r="F177" s="28" t="s">
        <v>107</v>
      </c>
      <c r="G177" s="33">
        <v>60</v>
      </c>
      <c r="H177" s="33">
        <v>115</v>
      </c>
      <c r="I177" s="28" t="s">
        <v>124</v>
      </c>
      <c r="J177" s="37">
        <f>IF(tblBoard[[#This Row],[Date]]="","",IFERROR(INDEX(tblProducts[Takt time (s)],MATCH(tblBoard[[#This Row],[Product]],tblProducts[Product],0)),""))</f>
        <v>30</v>
      </c>
      <c r="K177" s="38">
        <f>IF(tblBoard[[#This Row],[Date]]="","",IF(OR(tblBoard[[#This Row],[Takt (s)]]="",tblBoard[[#This Row],[Available (min)]]=""),"",INT(tblBoard[[#This Row],[Available (min)]]*60/tblBoard[[#This Row],[Takt (s)]])))</f>
        <v>120</v>
      </c>
      <c r="L177" s="38">
        <f>IF(tblBoard[[#This Row],[Date]]="","",IF(tblBoard[[#This Row],[Target (units)]]="","",tblBoard[[#This Row],[Actual (units)]]-tblBoard[[#This Row],[Target (units)]]))</f>
        <v>-5</v>
      </c>
      <c r="M177" s="38">
        <f>IF(tblBoard[[#This Row],[Date]]="","",IF(tblBoard[[#This Row],[Target (units)]]="","",MAX(0,tblBoard[[#This Row],[Target (units)]]-tblBoard[[#This Row],[Actual (units)]])))</f>
        <v>5</v>
      </c>
      <c r="N177" s="39">
        <f>IF(tblBoard[[#This Row],[Date]]="","",IF(N(tblBoard[[#This Row],[Target (units)]])&gt;0,tblBoard[[#This Row],[Actual (units)]]/tblBoard[[#This Row],[Target (units)]],""))</f>
        <v>0.958333333333333</v>
      </c>
      <c r="O177" s="38">
        <f>IF(tblBoard[[#This Row],[Date]]="","",IF(N(tblBoard[[#This Row],[Target (units)]])&gt;0,IF(tblBoard[[#This Row],[Actual (units)]]&gt;=tblBoard[[#This Row],[Target (units)]]*TargetHour,1,0),""))</f>
        <v>0</v>
      </c>
      <c r="P177" s="40" t="str">
        <f>IF(NOT(ISNUMBER(tblBoard[[#This Row],[Attainment]])),"",IF(tblBoard[[#This Row],[Attainment]]&gt;=TargetHour,"On target",IF(tblBoard[[#This Row],[Attainment]]&gt;=TargetHour*(1-0.05),"Near target","Below target")))</f>
        <v>Near target</v>
      </c>
      <c r="Q177" s="38">
        <f>IF(tblBoard[[#This Row],[Date]]="","",IF(tblBoard[[#This Row],[Hour]]="","",SUMIFS(tblBoard[Target (units)],tblBoard[Date],tblBoard[[#This Row],[Date]],tblBoard[Shift],tblBoard[[#This Row],[Shift]],tblBoard[Line],tblBoard[[#This Row],[Line]],tblBoard[Hour],"&lt;="&amp;tblBoard[[#This Row],[Hour]])))</f>
        <v>460</v>
      </c>
      <c r="R177" s="38">
        <f>IF(tblBoard[[#This Row],[Date]]="","",IF(tblBoard[[#This Row],[Hour]]="","",SUMIFS(tblBoard[Actual (units)],tblBoard[Date],tblBoard[[#This Row],[Date]],tblBoard[Shift],tblBoard[[#This Row],[Shift]],tblBoard[Line],tblBoard[[#This Row],[Line]],tblBoard[Hour],"&lt;="&amp;tblBoard[[#This Row],[Hour]])))</f>
        <v>431</v>
      </c>
      <c r="S177" s="38">
        <f>IF(tblBoard[[#This Row],[Date]]="","",IF(tblBoard[[#This Row],[Cum. target]]="","",tblBoard[[#This Row],[Cum. actual]]-tblBoard[[#This Row],[Cum. target]]))</f>
        <v>-29</v>
      </c>
      <c r="T177" s="41">
        <f>IF(tblBoard[[#This Row],[Date]]="","",IF(AND(tblBoard[[#This Row],[Date]]&gt;=FFrom,tblBoard[[#This Row],[Date]]&lt;=FTo,OR(DashLine="",tblBoard[[#This Row],[Line]]=DashLine)),tblBoard[[#This Row],[Date]],""))</f>
        <v>46307</v>
      </c>
      <c r="U17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7" s="43" t="s">
        <v>97</v>
      </c>
    </row>
    <row r="178" spans="2:22" x14ac:dyDescent="0.25">
      <c r="B178" s="36">
        <v>46307</v>
      </c>
      <c r="C178" s="28" t="s">
        <v>91</v>
      </c>
      <c r="D178" s="28" t="s">
        <v>88</v>
      </c>
      <c r="E178" s="33">
        <v>5</v>
      </c>
      <c r="F178" s="28" t="s">
        <v>107</v>
      </c>
      <c r="G178" s="33">
        <v>30</v>
      </c>
      <c r="H178" s="33">
        <v>62</v>
      </c>
      <c r="I178" s="28"/>
      <c r="J178" s="37">
        <f>IF(tblBoard[[#This Row],[Date]]="","",IFERROR(INDEX(tblProducts[Takt time (s)],MATCH(tblBoard[[#This Row],[Product]],tblProducts[Product],0)),""))</f>
        <v>30</v>
      </c>
      <c r="K178" s="38">
        <f>IF(tblBoard[[#This Row],[Date]]="","",IF(OR(tblBoard[[#This Row],[Takt (s)]]="",tblBoard[[#This Row],[Available (min)]]=""),"",INT(tblBoard[[#This Row],[Available (min)]]*60/tblBoard[[#This Row],[Takt (s)]])))</f>
        <v>60</v>
      </c>
      <c r="L178" s="38">
        <f>IF(tblBoard[[#This Row],[Date]]="","",IF(tblBoard[[#This Row],[Target (units)]]="","",tblBoard[[#This Row],[Actual (units)]]-tblBoard[[#This Row],[Target (units)]]))</f>
        <v>2</v>
      </c>
      <c r="M178" s="38">
        <f>IF(tblBoard[[#This Row],[Date]]="","",IF(tblBoard[[#This Row],[Target (units)]]="","",MAX(0,tblBoard[[#This Row],[Target (units)]]-tblBoard[[#This Row],[Actual (units)]])))</f>
        <v>0</v>
      </c>
      <c r="N178" s="39">
        <f>IF(tblBoard[[#This Row],[Date]]="","",IF(N(tblBoard[[#This Row],[Target (units)]])&gt;0,tblBoard[[#This Row],[Actual (units)]]/tblBoard[[#This Row],[Target (units)]],""))</f>
        <v>1.03333333333333</v>
      </c>
      <c r="O178" s="38">
        <f>IF(tblBoard[[#This Row],[Date]]="","",IF(N(tblBoard[[#This Row],[Target (units)]])&gt;0,IF(tblBoard[[#This Row],[Actual (units)]]&gt;=tblBoard[[#This Row],[Target (units)]]*TargetHour,1,0),""))</f>
        <v>1</v>
      </c>
      <c r="P178" s="40" t="str">
        <f>IF(NOT(ISNUMBER(tblBoard[[#This Row],[Attainment]])),"",IF(tblBoard[[#This Row],[Attainment]]&gt;=TargetHour,"On target",IF(tblBoard[[#This Row],[Attainment]]&gt;=TargetHour*(1-0.05),"Near target","Below target")))</f>
        <v>On target</v>
      </c>
      <c r="Q178" s="38">
        <f>IF(tblBoard[[#This Row],[Date]]="","",IF(tblBoard[[#This Row],[Hour]]="","",SUMIFS(tblBoard[Target (units)],tblBoard[Date],tblBoard[[#This Row],[Date]],tblBoard[Shift],tblBoard[[#This Row],[Shift]],tblBoard[Line],tblBoard[[#This Row],[Line]],tblBoard[Hour],"&lt;="&amp;tblBoard[[#This Row],[Hour]])))</f>
        <v>520</v>
      </c>
      <c r="R178" s="38">
        <f>IF(tblBoard[[#This Row],[Date]]="","",IF(tblBoard[[#This Row],[Hour]]="","",SUMIFS(tblBoard[Actual (units)],tblBoard[Date],tblBoard[[#This Row],[Date]],tblBoard[Shift],tblBoard[[#This Row],[Shift]],tblBoard[Line],tblBoard[[#This Row],[Line]],tblBoard[Hour],"&lt;="&amp;tblBoard[[#This Row],[Hour]])))</f>
        <v>493</v>
      </c>
      <c r="S178" s="38">
        <f>IF(tblBoard[[#This Row],[Date]]="","",IF(tblBoard[[#This Row],[Cum. target]]="","",tblBoard[[#This Row],[Cum. actual]]-tblBoard[[#This Row],[Cum. target]]))</f>
        <v>-27</v>
      </c>
      <c r="T178" s="41">
        <f>IF(tblBoard[[#This Row],[Date]]="","",IF(AND(tblBoard[[#This Row],[Date]]&gt;=FFrom,tblBoard[[#This Row],[Date]]&lt;=FTo,OR(DashLine="",tblBoard[[#This Row],[Line]]=DashLine)),tblBoard[[#This Row],[Date]],""))</f>
        <v>46307</v>
      </c>
      <c r="U17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8" s="43" t="s">
        <v>97</v>
      </c>
    </row>
    <row r="179" spans="2:22" x14ac:dyDescent="0.25">
      <c r="B179" s="36">
        <v>46307</v>
      </c>
      <c r="C179" s="28" t="s">
        <v>91</v>
      </c>
      <c r="D179" s="28" t="s">
        <v>88</v>
      </c>
      <c r="E179" s="33">
        <v>6</v>
      </c>
      <c r="F179" s="28" t="s">
        <v>107</v>
      </c>
      <c r="G179" s="33">
        <v>60</v>
      </c>
      <c r="H179" s="33">
        <v>119</v>
      </c>
      <c r="I179" s="28" t="s">
        <v>114</v>
      </c>
      <c r="J179" s="37">
        <f>IF(tblBoard[[#This Row],[Date]]="","",IFERROR(INDEX(tblProducts[Takt time (s)],MATCH(tblBoard[[#This Row],[Product]],tblProducts[Product],0)),""))</f>
        <v>30</v>
      </c>
      <c r="K179" s="38">
        <f>IF(tblBoard[[#This Row],[Date]]="","",IF(OR(tblBoard[[#This Row],[Takt (s)]]="",tblBoard[[#This Row],[Available (min)]]=""),"",INT(tblBoard[[#This Row],[Available (min)]]*60/tblBoard[[#This Row],[Takt (s)]])))</f>
        <v>120</v>
      </c>
      <c r="L179" s="38">
        <f>IF(tblBoard[[#This Row],[Date]]="","",IF(tblBoard[[#This Row],[Target (units)]]="","",tblBoard[[#This Row],[Actual (units)]]-tblBoard[[#This Row],[Target (units)]]))</f>
        <v>-1</v>
      </c>
      <c r="M179" s="38">
        <f>IF(tblBoard[[#This Row],[Date]]="","",IF(tblBoard[[#This Row],[Target (units)]]="","",MAX(0,tblBoard[[#This Row],[Target (units)]]-tblBoard[[#This Row],[Actual (units)]])))</f>
        <v>1</v>
      </c>
      <c r="N179" s="39">
        <f>IF(tblBoard[[#This Row],[Date]]="","",IF(N(tblBoard[[#This Row],[Target (units)]])&gt;0,tblBoard[[#This Row],[Actual (units)]]/tblBoard[[#This Row],[Target (units)]],""))</f>
        <v>0.991666666666667</v>
      </c>
      <c r="O179" s="38">
        <f>IF(tblBoard[[#This Row],[Date]]="","",IF(N(tblBoard[[#This Row],[Target (units)]])&gt;0,IF(tblBoard[[#This Row],[Actual (units)]]&gt;=tblBoard[[#This Row],[Target (units)]]*TargetHour,1,0),""))</f>
        <v>0</v>
      </c>
      <c r="P179" s="40" t="str">
        <f>IF(NOT(ISNUMBER(tblBoard[[#This Row],[Attainment]])),"",IF(tblBoard[[#This Row],[Attainment]]&gt;=TargetHour,"On target",IF(tblBoard[[#This Row],[Attainment]]&gt;=TargetHour*(1-0.05),"Near target","Below target")))</f>
        <v>Near target</v>
      </c>
      <c r="Q179" s="38">
        <f>IF(tblBoard[[#This Row],[Date]]="","",IF(tblBoard[[#This Row],[Hour]]="","",SUMIFS(tblBoard[Target (units)],tblBoard[Date],tblBoard[[#This Row],[Date]],tblBoard[Shift],tblBoard[[#This Row],[Shift]],tblBoard[Line],tblBoard[[#This Row],[Line]],tblBoard[Hour],"&lt;="&amp;tblBoard[[#This Row],[Hour]])))</f>
        <v>640</v>
      </c>
      <c r="R179" s="38">
        <f>IF(tblBoard[[#This Row],[Date]]="","",IF(tblBoard[[#This Row],[Hour]]="","",SUMIFS(tblBoard[Actual (units)],tblBoard[Date],tblBoard[[#This Row],[Date]],tblBoard[Shift],tblBoard[[#This Row],[Shift]],tblBoard[Line],tblBoard[[#This Row],[Line]],tblBoard[Hour],"&lt;="&amp;tblBoard[[#This Row],[Hour]])))</f>
        <v>612</v>
      </c>
      <c r="S179" s="38">
        <f>IF(tblBoard[[#This Row],[Date]]="","",IF(tblBoard[[#This Row],[Cum. target]]="","",tblBoard[[#This Row],[Cum. actual]]-tblBoard[[#This Row],[Cum. target]]))</f>
        <v>-28</v>
      </c>
      <c r="T179" s="41">
        <f>IF(tblBoard[[#This Row],[Date]]="","",IF(AND(tblBoard[[#This Row],[Date]]&gt;=FFrom,tblBoard[[#This Row],[Date]]&lt;=FTo,OR(DashLine="",tblBoard[[#This Row],[Line]]=DashLine)),tblBoard[[#This Row],[Date]],""))</f>
        <v>46307</v>
      </c>
      <c r="U17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79" s="43" t="s">
        <v>97</v>
      </c>
    </row>
    <row r="180" spans="2:22" x14ac:dyDescent="0.25">
      <c r="B180" s="36">
        <v>46307</v>
      </c>
      <c r="C180" s="28" t="s">
        <v>91</v>
      </c>
      <c r="D180" s="28" t="s">
        <v>88</v>
      </c>
      <c r="E180" s="33">
        <v>7</v>
      </c>
      <c r="F180" s="28" t="s">
        <v>107</v>
      </c>
      <c r="G180" s="33">
        <v>50</v>
      </c>
      <c r="H180" s="33">
        <v>104</v>
      </c>
      <c r="I180" s="28"/>
      <c r="J180" s="37">
        <f>IF(tblBoard[[#This Row],[Date]]="","",IFERROR(INDEX(tblProducts[Takt time (s)],MATCH(tblBoard[[#This Row],[Product]],tblProducts[Product],0)),""))</f>
        <v>30</v>
      </c>
      <c r="K180" s="38">
        <f>IF(tblBoard[[#This Row],[Date]]="","",IF(OR(tblBoard[[#This Row],[Takt (s)]]="",tblBoard[[#This Row],[Available (min)]]=""),"",INT(tblBoard[[#This Row],[Available (min)]]*60/tblBoard[[#This Row],[Takt (s)]])))</f>
        <v>100</v>
      </c>
      <c r="L180" s="38">
        <f>IF(tblBoard[[#This Row],[Date]]="","",IF(tblBoard[[#This Row],[Target (units)]]="","",tblBoard[[#This Row],[Actual (units)]]-tblBoard[[#This Row],[Target (units)]]))</f>
        <v>4</v>
      </c>
      <c r="M180" s="38">
        <f>IF(tblBoard[[#This Row],[Date]]="","",IF(tblBoard[[#This Row],[Target (units)]]="","",MAX(0,tblBoard[[#This Row],[Target (units)]]-tblBoard[[#This Row],[Actual (units)]])))</f>
        <v>0</v>
      </c>
      <c r="N180" s="39">
        <f>IF(tblBoard[[#This Row],[Date]]="","",IF(N(tblBoard[[#This Row],[Target (units)]])&gt;0,tblBoard[[#This Row],[Actual (units)]]/tblBoard[[#This Row],[Target (units)]],""))</f>
        <v>1.04</v>
      </c>
      <c r="O180" s="38">
        <f>IF(tblBoard[[#This Row],[Date]]="","",IF(N(tblBoard[[#This Row],[Target (units)]])&gt;0,IF(tblBoard[[#This Row],[Actual (units)]]&gt;=tblBoard[[#This Row],[Target (units)]]*TargetHour,1,0),""))</f>
        <v>1</v>
      </c>
      <c r="P180" s="40" t="str">
        <f>IF(NOT(ISNUMBER(tblBoard[[#This Row],[Attainment]])),"",IF(tblBoard[[#This Row],[Attainment]]&gt;=TargetHour,"On target",IF(tblBoard[[#This Row],[Attainment]]&gt;=TargetHour*(1-0.05),"Near target","Below target")))</f>
        <v>On target</v>
      </c>
      <c r="Q180" s="38">
        <f>IF(tblBoard[[#This Row],[Date]]="","",IF(tblBoard[[#This Row],[Hour]]="","",SUMIFS(tblBoard[Target (units)],tblBoard[Date],tblBoard[[#This Row],[Date]],tblBoard[Shift],tblBoard[[#This Row],[Shift]],tblBoard[Line],tblBoard[[#This Row],[Line]],tblBoard[Hour],"&lt;="&amp;tblBoard[[#This Row],[Hour]])))</f>
        <v>740</v>
      </c>
      <c r="R180" s="38">
        <f>IF(tblBoard[[#This Row],[Date]]="","",IF(tblBoard[[#This Row],[Hour]]="","",SUMIFS(tblBoard[Actual (units)],tblBoard[Date],tblBoard[[#This Row],[Date]],tblBoard[Shift],tblBoard[[#This Row],[Shift]],tblBoard[Line],tblBoard[[#This Row],[Line]],tblBoard[Hour],"&lt;="&amp;tblBoard[[#This Row],[Hour]])))</f>
        <v>716</v>
      </c>
      <c r="S180" s="38">
        <f>IF(tblBoard[[#This Row],[Date]]="","",IF(tblBoard[[#This Row],[Cum. target]]="","",tblBoard[[#This Row],[Cum. actual]]-tblBoard[[#This Row],[Cum. target]]))</f>
        <v>-24</v>
      </c>
      <c r="T180" s="41">
        <f>IF(tblBoard[[#This Row],[Date]]="","",IF(AND(tblBoard[[#This Row],[Date]]&gt;=FFrom,tblBoard[[#This Row],[Date]]&lt;=FTo,OR(DashLine="",tblBoard[[#This Row],[Line]]=DashLine)),tblBoard[[#This Row],[Date]],""))</f>
        <v>46307</v>
      </c>
      <c r="U18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0" s="43" t="s">
        <v>97</v>
      </c>
    </row>
    <row r="181" spans="2:22" x14ac:dyDescent="0.25">
      <c r="B181" s="36">
        <v>46307</v>
      </c>
      <c r="C181" s="28" t="s">
        <v>91</v>
      </c>
      <c r="D181" s="28" t="s">
        <v>88</v>
      </c>
      <c r="E181" s="33">
        <v>8</v>
      </c>
      <c r="F181" s="28" t="s">
        <v>107</v>
      </c>
      <c r="G181" s="33">
        <v>50</v>
      </c>
      <c r="H181" s="33">
        <v>104</v>
      </c>
      <c r="I181" s="28"/>
      <c r="J181" s="37">
        <f>IF(tblBoard[[#This Row],[Date]]="","",IFERROR(INDEX(tblProducts[Takt time (s)],MATCH(tblBoard[[#This Row],[Product]],tblProducts[Product],0)),""))</f>
        <v>30</v>
      </c>
      <c r="K181" s="38">
        <f>IF(tblBoard[[#This Row],[Date]]="","",IF(OR(tblBoard[[#This Row],[Takt (s)]]="",tblBoard[[#This Row],[Available (min)]]=""),"",INT(tblBoard[[#This Row],[Available (min)]]*60/tblBoard[[#This Row],[Takt (s)]])))</f>
        <v>100</v>
      </c>
      <c r="L181" s="38">
        <f>IF(tblBoard[[#This Row],[Date]]="","",IF(tblBoard[[#This Row],[Target (units)]]="","",tblBoard[[#This Row],[Actual (units)]]-tblBoard[[#This Row],[Target (units)]]))</f>
        <v>4</v>
      </c>
      <c r="M181" s="38">
        <f>IF(tblBoard[[#This Row],[Date]]="","",IF(tblBoard[[#This Row],[Target (units)]]="","",MAX(0,tblBoard[[#This Row],[Target (units)]]-tblBoard[[#This Row],[Actual (units)]])))</f>
        <v>0</v>
      </c>
      <c r="N181" s="39">
        <f>IF(tblBoard[[#This Row],[Date]]="","",IF(N(tblBoard[[#This Row],[Target (units)]])&gt;0,tblBoard[[#This Row],[Actual (units)]]/tblBoard[[#This Row],[Target (units)]],""))</f>
        <v>1.04</v>
      </c>
      <c r="O181" s="38">
        <f>IF(tblBoard[[#This Row],[Date]]="","",IF(N(tblBoard[[#This Row],[Target (units)]])&gt;0,IF(tblBoard[[#This Row],[Actual (units)]]&gt;=tblBoard[[#This Row],[Target (units)]]*TargetHour,1,0),""))</f>
        <v>1</v>
      </c>
      <c r="P181" s="40" t="str">
        <f>IF(NOT(ISNUMBER(tblBoard[[#This Row],[Attainment]])),"",IF(tblBoard[[#This Row],[Attainment]]&gt;=TargetHour,"On target",IF(tblBoard[[#This Row],[Attainment]]&gt;=TargetHour*(1-0.05),"Near target","Below target")))</f>
        <v>On target</v>
      </c>
      <c r="Q181" s="38">
        <f>IF(tblBoard[[#This Row],[Date]]="","",IF(tblBoard[[#This Row],[Hour]]="","",SUMIFS(tblBoard[Target (units)],tblBoard[Date],tblBoard[[#This Row],[Date]],tblBoard[Shift],tblBoard[[#This Row],[Shift]],tblBoard[Line],tblBoard[[#This Row],[Line]],tblBoard[Hour],"&lt;="&amp;tblBoard[[#This Row],[Hour]])))</f>
        <v>840</v>
      </c>
      <c r="R181" s="38">
        <f>IF(tblBoard[[#This Row],[Date]]="","",IF(tblBoard[[#This Row],[Hour]]="","",SUMIFS(tblBoard[Actual (units)],tblBoard[Date],tblBoard[[#This Row],[Date]],tblBoard[Shift],tblBoard[[#This Row],[Shift]],tblBoard[Line],tblBoard[[#This Row],[Line]],tblBoard[Hour],"&lt;="&amp;tblBoard[[#This Row],[Hour]])))</f>
        <v>820</v>
      </c>
      <c r="S181" s="38">
        <f>IF(tblBoard[[#This Row],[Date]]="","",IF(tblBoard[[#This Row],[Cum. target]]="","",tblBoard[[#This Row],[Cum. actual]]-tblBoard[[#This Row],[Cum. target]]))</f>
        <v>-20</v>
      </c>
      <c r="T181" s="41">
        <f>IF(tblBoard[[#This Row],[Date]]="","",IF(AND(tblBoard[[#This Row],[Date]]&gt;=FFrom,tblBoard[[#This Row],[Date]]&lt;=FTo,OR(DashLine="",tblBoard[[#This Row],[Line]]=DashLine)),tblBoard[[#This Row],[Date]],""))</f>
        <v>46307</v>
      </c>
      <c r="U18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1" s="43" t="s">
        <v>97</v>
      </c>
    </row>
    <row r="182" spans="2:22" x14ac:dyDescent="0.25">
      <c r="B182" s="36">
        <v>46307</v>
      </c>
      <c r="C182" s="28" t="s">
        <v>93</v>
      </c>
      <c r="D182" s="28" t="s">
        <v>85</v>
      </c>
      <c r="E182" s="33">
        <v>1</v>
      </c>
      <c r="F182" s="28" t="s">
        <v>103</v>
      </c>
      <c r="G182" s="33">
        <v>60</v>
      </c>
      <c r="H182" s="33">
        <v>83</v>
      </c>
      <c r="I182" s="28" t="s">
        <v>110</v>
      </c>
      <c r="J182" s="37">
        <f>IF(tblBoard[[#This Row],[Date]]="","",IFERROR(INDEX(tblProducts[Takt time (s)],MATCH(tblBoard[[#This Row],[Product]],tblProducts[Product],0)),""))</f>
        <v>40</v>
      </c>
      <c r="K182" s="38">
        <f>IF(tblBoard[[#This Row],[Date]]="","",IF(OR(tblBoard[[#This Row],[Takt (s)]]="",tblBoard[[#This Row],[Available (min)]]=""),"",INT(tblBoard[[#This Row],[Available (min)]]*60/tblBoard[[#This Row],[Takt (s)]])))</f>
        <v>90</v>
      </c>
      <c r="L182" s="38">
        <f>IF(tblBoard[[#This Row],[Date]]="","",IF(tblBoard[[#This Row],[Target (units)]]="","",tblBoard[[#This Row],[Actual (units)]]-tblBoard[[#This Row],[Target (units)]]))</f>
        <v>-7</v>
      </c>
      <c r="M182" s="38">
        <f>IF(tblBoard[[#This Row],[Date]]="","",IF(tblBoard[[#This Row],[Target (units)]]="","",MAX(0,tblBoard[[#This Row],[Target (units)]]-tblBoard[[#This Row],[Actual (units)]])))</f>
        <v>7</v>
      </c>
      <c r="N182" s="39">
        <f>IF(tblBoard[[#This Row],[Date]]="","",IF(N(tblBoard[[#This Row],[Target (units)]])&gt;0,tblBoard[[#This Row],[Actual (units)]]/tblBoard[[#This Row],[Target (units)]],""))</f>
        <v>0.922222222222222</v>
      </c>
      <c r="O182" s="38">
        <f>IF(tblBoard[[#This Row],[Date]]="","",IF(N(tblBoard[[#This Row],[Target (units)]])&gt;0,IF(tblBoard[[#This Row],[Actual (units)]]&gt;=tblBoard[[#This Row],[Target (units)]]*TargetHour,1,0),""))</f>
        <v>0</v>
      </c>
      <c r="P182" s="40" t="str">
        <f>IF(NOT(ISNUMBER(tblBoard[[#This Row],[Attainment]])),"",IF(tblBoard[[#This Row],[Attainment]]&gt;=TargetHour,"On target",IF(tblBoard[[#This Row],[Attainment]]&gt;=TargetHour*(1-0.05),"Near target","Below target")))</f>
        <v>Below target</v>
      </c>
      <c r="Q182" s="38">
        <f>IF(tblBoard[[#This Row],[Date]]="","",IF(tblBoard[[#This Row],[Hour]]="","",SUMIFS(tblBoard[Target (units)],tblBoard[Date],tblBoard[[#This Row],[Date]],tblBoard[Shift],tblBoard[[#This Row],[Shift]],tblBoard[Line],tblBoard[[#This Row],[Line]],tblBoard[Hour],"&lt;="&amp;tblBoard[[#This Row],[Hour]])))</f>
        <v>90</v>
      </c>
      <c r="R182" s="38">
        <f>IF(tblBoard[[#This Row],[Date]]="","",IF(tblBoard[[#This Row],[Hour]]="","",SUMIFS(tblBoard[Actual (units)],tblBoard[Date],tblBoard[[#This Row],[Date]],tblBoard[Shift],tblBoard[[#This Row],[Shift]],tblBoard[Line],tblBoard[[#This Row],[Line]],tblBoard[Hour],"&lt;="&amp;tblBoard[[#This Row],[Hour]])))</f>
        <v>83</v>
      </c>
      <c r="S182" s="38">
        <f>IF(tblBoard[[#This Row],[Date]]="","",IF(tblBoard[[#This Row],[Cum. target]]="","",tblBoard[[#This Row],[Cum. actual]]-tblBoard[[#This Row],[Cum. target]]))</f>
        <v>-7</v>
      </c>
      <c r="T182" s="41">
        <f>IF(tblBoard[[#This Row],[Date]]="","",IF(AND(tblBoard[[#This Row],[Date]]&gt;=FFrom,tblBoard[[#This Row],[Date]]&lt;=FTo,OR(DashLine="",tblBoard[[#This Row],[Line]]=DashLine)),tblBoard[[#This Row],[Date]],""))</f>
        <v>46307</v>
      </c>
      <c r="U18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2" s="43" t="s">
        <v>97</v>
      </c>
    </row>
    <row r="183" spans="2:22" x14ac:dyDescent="0.25">
      <c r="B183" s="36">
        <v>46307</v>
      </c>
      <c r="C183" s="28" t="s">
        <v>93</v>
      </c>
      <c r="D183" s="28" t="s">
        <v>85</v>
      </c>
      <c r="E183" s="33">
        <v>2</v>
      </c>
      <c r="F183" s="28" t="s">
        <v>103</v>
      </c>
      <c r="G183" s="33">
        <v>60</v>
      </c>
      <c r="H183" s="33">
        <v>87</v>
      </c>
      <c r="I183" s="28" t="s">
        <v>114</v>
      </c>
      <c r="J183" s="37">
        <f>IF(tblBoard[[#This Row],[Date]]="","",IFERROR(INDEX(tblProducts[Takt time (s)],MATCH(tblBoard[[#This Row],[Product]],tblProducts[Product],0)),""))</f>
        <v>40</v>
      </c>
      <c r="K183" s="38">
        <f>IF(tblBoard[[#This Row],[Date]]="","",IF(OR(tblBoard[[#This Row],[Takt (s)]]="",tblBoard[[#This Row],[Available (min)]]=""),"",INT(tblBoard[[#This Row],[Available (min)]]*60/tblBoard[[#This Row],[Takt (s)]])))</f>
        <v>90</v>
      </c>
      <c r="L183" s="38">
        <f>IF(tblBoard[[#This Row],[Date]]="","",IF(tblBoard[[#This Row],[Target (units)]]="","",tblBoard[[#This Row],[Actual (units)]]-tblBoard[[#This Row],[Target (units)]]))</f>
        <v>-3</v>
      </c>
      <c r="M183" s="38">
        <f>IF(tblBoard[[#This Row],[Date]]="","",IF(tblBoard[[#This Row],[Target (units)]]="","",MAX(0,tblBoard[[#This Row],[Target (units)]]-tblBoard[[#This Row],[Actual (units)]])))</f>
        <v>3</v>
      </c>
      <c r="N183" s="39">
        <f>IF(tblBoard[[#This Row],[Date]]="","",IF(N(tblBoard[[#This Row],[Target (units)]])&gt;0,tblBoard[[#This Row],[Actual (units)]]/tblBoard[[#This Row],[Target (units)]],""))</f>
        <v>0.966666666666667</v>
      </c>
      <c r="O183" s="38">
        <f>IF(tblBoard[[#This Row],[Date]]="","",IF(N(tblBoard[[#This Row],[Target (units)]])&gt;0,IF(tblBoard[[#This Row],[Actual (units)]]&gt;=tblBoard[[#This Row],[Target (units)]]*TargetHour,1,0),""))</f>
        <v>0</v>
      </c>
      <c r="P183" s="40" t="str">
        <f>IF(NOT(ISNUMBER(tblBoard[[#This Row],[Attainment]])),"",IF(tblBoard[[#This Row],[Attainment]]&gt;=TargetHour,"On target",IF(tblBoard[[#This Row],[Attainment]]&gt;=TargetHour*(1-0.05),"Near target","Below target")))</f>
        <v>Near target</v>
      </c>
      <c r="Q183" s="38">
        <f>IF(tblBoard[[#This Row],[Date]]="","",IF(tblBoard[[#This Row],[Hour]]="","",SUMIFS(tblBoard[Target (units)],tblBoard[Date],tblBoard[[#This Row],[Date]],tblBoard[Shift],tblBoard[[#This Row],[Shift]],tblBoard[Line],tblBoard[[#This Row],[Line]],tblBoard[Hour],"&lt;="&amp;tblBoard[[#This Row],[Hour]])))</f>
        <v>180</v>
      </c>
      <c r="R183" s="38">
        <f>IF(tblBoard[[#This Row],[Date]]="","",IF(tblBoard[[#This Row],[Hour]]="","",SUMIFS(tblBoard[Actual (units)],tblBoard[Date],tblBoard[[#This Row],[Date]],tblBoard[Shift],tblBoard[[#This Row],[Shift]],tblBoard[Line],tblBoard[[#This Row],[Line]],tblBoard[Hour],"&lt;="&amp;tblBoard[[#This Row],[Hour]])))</f>
        <v>170</v>
      </c>
      <c r="S183" s="38">
        <f>IF(tblBoard[[#This Row],[Date]]="","",IF(tblBoard[[#This Row],[Cum. target]]="","",tblBoard[[#This Row],[Cum. actual]]-tblBoard[[#This Row],[Cum. target]]))</f>
        <v>-10</v>
      </c>
      <c r="T183" s="41">
        <f>IF(tblBoard[[#This Row],[Date]]="","",IF(AND(tblBoard[[#This Row],[Date]]&gt;=FFrom,tblBoard[[#This Row],[Date]]&lt;=FTo,OR(DashLine="",tblBoard[[#This Row],[Line]]=DashLine)),tblBoard[[#This Row],[Date]],""))</f>
        <v>46307</v>
      </c>
      <c r="U18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3" s="43" t="s">
        <v>97</v>
      </c>
    </row>
    <row r="184" spans="2:22" x14ac:dyDescent="0.25">
      <c r="B184" s="36">
        <v>46307</v>
      </c>
      <c r="C184" s="28" t="s">
        <v>93</v>
      </c>
      <c r="D184" s="28" t="s">
        <v>85</v>
      </c>
      <c r="E184" s="33">
        <v>3</v>
      </c>
      <c r="F184" s="28" t="s">
        <v>103</v>
      </c>
      <c r="G184" s="33">
        <v>50</v>
      </c>
      <c r="H184" s="33">
        <v>79</v>
      </c>
      <c r="I184" s="28"/>
      <c r="J184" s="37">
        <f>IF(tblBoard[[#This Row],[Date]]="","",IFERROR(INDEX(tblProducts[Takt time (s)],MATCH(tblBoard[[#This Row],[Product]],tblProducts[Product],0)),""))</f>
        <v>40</v>
      </c>
      <c r="K184" s="38">
        <f>IF(tblBoard[[#This Row],[Date]]="","",IF(OR(tblBoard[[#This Row],[Takt (s)]]="",tblBoard[[#This Row],[Available (min)]]=""),"",INT(tblBoard[[#This Row],[Available (min)]]*60/tblBoard[[#This Row],[Takt (s)]])))</f>
        <v>75</v>
      </c>
      <c r="L184" s="38">
        <f>IF(tblBoard[[#This Row],[Date]]="","",IF(tblBoard[[#This Row],[Target (units)]]="","",tblBoard[[#This Row],[Actual (units)]]-tblBoard[[#This Row],[Target (units)]]))</f>
        <v>4</v>
      </c>
      <c r="M184" s="38">
        <f>IF(tblBoard[[#This Row],[Date]]="","",IF(tblBoard[[#This Row],[Target (units)]]="","",MAX(0,tblBoard[[#This Row],[Target (units)]]-tblBoard[[#This Row],[Actual (units)]])))</f>
        <v>0</v>
      </c>
      <c r="N184" s="39">
        <f>IF(tblBoard[[#This Row],[Date]]="","",IF(N(tblBoard[[#This Row],[Target (units)]])&gt;0,tblBoard[[#This Row],[Actual (units)]]/tblBoard[[#This Row],[Target (units)]],""))</f>
        <v>1.05333333333333</v>
      </c>
      <c r="O184" s="38">
        <f>IF(tblBoard[[#This Row],[Date]]="","",IF(N(tblBoard[[#This Row],[Target (units)]])&gt;0,IF(tblBoard[[#This Row],[Actual (units)]]&gt;=tblBoard[[#This Row],[Target (units)]]*TargetHour,1,0),""))</f>
        <v>1</v>
      </c>
      <c r="P184" s="40" t="str">
        <f>IF(NOT(ISNUMBER(tblBoard[[#This Row],[Attainment]])),"",IF(tblBoard[[#This Row],[Attainment]]&gt;=TargetHour,"On target",IF(tblBoard[[#This Row],[Attainment]]&gt;=TargetHour*(1-0.05),"Near target","Below target")))</f>
        <v>On target</v>
      </c>
      <c r="Q184" s="38">
        <f>IF(tblBoard[[#This Row],[Date]]="","",IF(tblBoard[[#This Row],[Hour]]="","",SUMIFS(tblBoard[Target (units)],tblBoard[Date],tblBoard[[#This Row],[Date]],tblBoard[Shift],tblBoard[[#This Row],[Shift]],tblBoard[Line],tblBoard[[#This Row],[Line]],tblBoard[Hour],"&lt;="&amp;tblBoard[[#This Row],[Hour]])))</f>
        <v>255</v>
      </c>
      <c r="R184" s="38">
        <f>IF(tblBoard[[#This Row],[Date]]="","",IF(tblBoard[[#This Row],[Hour]]="","",SUMIFS(tblBoard[Actual (units)],tblBoard[Date],tblBoard[[#This Row],[Date]],tblBoard[Shift],tblBoard[[#This Row],[Shift]],tblBoard[Line],tblBoard[[#This Row],[Line]],tblBoard[Hour],"&lt;="&amp;tblBoard[[#This Row],[Hour]])))</f>
        <v>249</v>
      </c>
      <c r="S184" s="38">
        <f>IF(tblBoard[[#This Row],[Date]]="","",IF(tblBoard[[#This Row],[Cum. target]]="","",tblBoard[[#This Row],[Cum. actual]]-tblBoard[[#This Row],[Cum. target]]))</f>
        <v>-6</v>
      </c>
      <c r="T184" s="41">
        <f>IF(tblBoard[[#This Row],[Date]]="","",IF(AND(tblBoard[[#This Row],[Date]]&gt;=FFrom,tblBoard[[#This Row],[Date]]&lt;=FTo,OR(DashLine="",tblBoard[[#This Row],[Line]]=DashLine)),tblBoard[[#This Row],[Date]],""))</f>
        <v>46307</v>
      </c>
      <c r="U18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4" s="43" t="s">
        <v>97</v>
      </c>
    </row>
    <row r="185" spans="2:22" x14ac:dyDescent="0.25">
      <c r="B185" s="36">
        <v>46307</v>
      </c>
      <c r="C185" s="28" t="s">
        <v>93</v>
      </c>
      <c r="D185" s="28" t="s">
        <v>85</v>
      </c>
      <c r="E185" s="33">
        <v>4</v>
      </c>
      <c r="F185" s="28" t="s">
        <v>103</v>
      </c>
      <c r="G185" s="33">
        <v>60</v>
      </c>
      <c r="H185" s="33">
        <v>89</v>
      </c>
      <c r="I185" s="28" t="s">
        <v>118</v>
      </c>
      <c r="J185" s="37">
        <f>IF(tblBoard[[#This Row],[Date]]="","",IFERROR(INDEX(tblProducts[Takt time (s)],MATCH(tblBoard[[#This Row],[Product]],tblProducts[Product],0)),""))</f>
        <v>40</v>
      </c>
      <c r="K185" s="38">
        <f>IF(tblBoard[[#This Row],[Date]]="","",IF(OR(tblBoard[[#This Row],[Takt (s)]]="",tblBoard[[#This Row],[Available (min)]]=""),"",INT(tblBoard[[#This Row],[Available (min)]]*60/tblBoard[[#This Row],[Takt (s)]])))</f>
        <v>90</v>
      </c>
      <c r="L185" s="38">
        <f>IF(tblBoard[[#This Row],[Date]]="","",IF(tblBoard[[#This Row],[Target (units)]]="","",tblBoard[[#This Row],[Actual (units)]]-tblBoard[[#This Row],[Target (units)]]))</f>
        <v>-1</v>
      </c>
      <c r="M185" s="38">
        <f>IF(tblBoard[[#This Row],[Date]]="","",IF(tblBoard[[#This Row],[Target (units)]]="","",MAX(0,tblBoard[[#This Row],[Target (units)]]-tblBoard[[#This Row],[Actual (units)]])))</f>
        <v>1</v>
      </c>
      <c r="N185" s="39">
        <f>IF(tblBoard[[#This Row],[Date]]="","",IF(N(tblBoard[[#This Row],[Target (units)]])&gt;0,tblBoard[[#This Row],[Actual (units)]]/tblBoard[[#This Row],[Target (units)]],""))</f>
        <v>0.988888888888889</v>
      </c>
      <c r="O185" s="38">
        <f>IF(tblBoard[[#This Row],[Date]]="","",IF(N(tblBoard[[#This Row],[Target (units)]])&gt;0,IF(tblBoard[[#This Row],[Actual (units)]]&gt;=tblBoard[[#This Row],[Target (units)]]*TargetHour,1,0),""))</f>
        <v>0</v>
      </c>
      <c r="P185" s="40" t="str">
        <f>IF(NOT(ISNUMBER(tblBoard[[#This Row],[Attainment]])),"",IF(tblBoard[[#This Row],[Attainment]]&gt;=TargetHour,"On target",IF(tblBoard[[#This Row],[Attainment]]&gt;=TargetHour*(1-0.05),"Near target","Below target")))</f>
        <v>Near target</v>
      </c>
      <c r="Q185" s="38">
        <f>IF(tblBoard[[#This Row],[Date]]="","",IF(tblBoard[[#This Row],[Hour]]="","",SUMIFS(tblBoard[Target (units)],tblBoard[Date],tblBoard[[#This Row],[Date]],tblBoard[Shift],tblBoard[[#This Row],[Shift]],tblBoard[Line],tblBoard[[#This Row],[Line]],tblBoard[Hour],"&lt;="&amp;tblBoard[[#This Row],[Hour]])))</f>
        <v>345</v>
      </c>
      <c r="R185" s="38">
        <f>IF(tblBoard[[#This Row],[Date]]="","",IF(tblBoard[[#This Row],[Hour]]="","",SUMIFS(tblBoard[Actual (units)],tblBoard[Date],tblBoard[[#This Row],[Date]],tblBoard[Shift],tblBoard[[#This Row],[Shift]],tblBoard[Line],tblBoard[[#This Row],[Line]],tblBoard[Hour],"&lt;="&amp;tblBoard[[#This Row],[Hour]])))</f>
        <v>338</v>
      </c>
      <c r="S185" s="38">
        <f>IF(tblBoard[[#This Row],[Date]]="","",IF(tblBoard[[#This Row],[Cum. target]]="","",tblBoard[[#This Row],[Cum. actual]]-tblBoard[[#This Row],[Cum. target]]))</f>
        <v>-7</v>
      </c>
      <c r="T185" s="41">
        <f>IF(tblBoard[[#This Row],[Date]]="","",IF(AND(tblBoard[[#This Row],[Date]]&gt;=FFrom,tblBoard[[#This Row],[Date]]&lt;=FTo,OR(DashLine="",tblBoard[[#This Row],[Line]]=DashLine)),tblBoard[[#This Row],[Date]],""))</f>
        <v>46307</v>
      </c>
      <c r="U18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5" s="43" t="s">
        <v>97</v>
      </c>
    </row>
    <row r="186" spans="2:22" x14ac:dyDescent="0.25">
      <c r="B186" s="36">
        <v>46307</v>
      </c>
      <c r="C186" s="28" t="s">
        <v>93</v>
      </c>
      <c r="D186" s="28" t="s">
        <v>85</v>
      </c>
      <c r="E186" s="33">
        <v>5</v>
      </c>
      <c r="F186" s="28" t="s">
        <v>103</v>
      </c>
      <c r="G186" s="33">
        <v>30</v>
      </c>
      <c r="H186" s="33">
        <v>45</v>
      </c>
      <c r="I186" s="28"/>
      <c r="J186" s="37">
        <f>IF(tblBoard[[#This Row],[Date]]="","",IFERROR(INDEX(tblProducts[Takt time (s)],MATCH(tblBoard[[#This Row],[Product]],tblProducts[Product],0)),""))</f>
        <v>40</v>
      </c>
      <c r="K186" s="38">
        <f>IF(tblBoard[[#This Row],[Date]]="","",IF(OR(tblBoard[[#This Row],[Takt (s)]]="",tblBoard[[#This Row],[Available (min)]]=""),"",INT(tblBoard[[#This Row],[Available (min)]]*60/tblBoard[[#This Row],[Takt (s)]])))</f>
        <v>45</v>
      </c>
      <c r="L186" s="38">
        <f>IF(tblBoard[[#This Row],[Date]]="","",IF(tblBoard[[#This Row],[Target (units)]]="","",tblBoard[[#This Row],[Actual (units)]]-tblBoard[[#This Row],[Target (units)]]))</f>
        <v>0</v>
      </c>
      <c r="M186" s="38">
        <f>IF(tblBoard[[#This Row],[Date]]="","",IF(tblBoard[[#This Row],[Target (units)]]="","",MAX(0,tblBoard[[#This Row],[Target (units)]]-tblBoard[[#This Row],[Actual (units)]])))</f>
        <v>0</v>
      </c>
      <c r="N186" s="39">
        <f>IF(tblBoard[[#This Row],[Date]]="","",IF(N(tblBoard[[#This Row],[Target (units)]])&gt;0,tblBoard[[#This Row],[Actual (units)]]/tblBoard[[#This Row],[Target (units)]],""))</f>
        <v>1</v>
      </c>
      <c r="O186" s="38">
        <f>IF(tblBoard[[#This Row],[Date]]="","",IF(N(tblBoard[[#This Row],[Target (units)]])&gt;0,IF(tblBoard[[#This Row],[Actual (units)]]&gt;=tblBoard[[#This Row],[Target (units)]]*TargetHour,1,0),""))</f>
        <v>1</v>
      </c>
      <c r="P186" s="40" t="str">
        <f>IF(NOT(ISNUMBER(tblBoard[[#This Row],[Attainment]])),"",IF(tblBoard[[#This Row],[Attainment]]&gt;=TargetHour,"On target",IF(tblBoard[[#This Row],[Attainment]]&gt;=TargetHour*(1-0.05),"Near target","Below target")))</f>
        <v>On target</v>
      </c>
      <c r="Q186" s="38">
        <f>IF(tblBoard[[#This Row],[Date]]="","",IF(tblBoard[[#This Row],[Hour]]="","",SUMIFS(tblBoard[Target (units)],tblBoard[Date],tblBoard[[#This Row],[Date]],tblBoard[Shift],tblBoard[[#This Row],[Shift]],tblBoard[Line],tblBoard[[#This Row],[Line]],tblBoard[Hour],"&lt;="&amp;tblBoard[[#This Row],[Hour]])))</f>
        <v>390</v>
      </c>
      <c r="R186" s="38">
        <f>IF(tblBoard[[#This Row],[Date]]="","",IF(tblBoard[[#This Row],[Hour]]="","",SUMIFS(tblBoard[Actual (units)],tblBoard[Date],tblBoard[[#This Row],[Date]],tblBoard[Shift],tblBoard[[#This Row],[Shift]],tblBoard[Line],tblBoard[[#This Row],[Line]],tblBoard[Hour],"&lt;="&amp;tblBoard[[#This Row],[Hour]])))</f>
        <v>383</v>
      </c>
      <c r="S186" s="38">
        <f>IF(tblBoard[[#This Row],[Date]]="","",IF(tblBoard[[#This Row],[Cum. target]]="","",tblBoard[[#This Row],[Cum. actual]]-tblBoard[[#This Row],[Cum. target]]))</f>
        <v>-7</v>
      </c>
      <c r="T186" s="41">
        <f>IF(tblBoard[[#This Row],[Date]]="","",IF(AND(tblBoard[[#This Row],[Date]]&gt;=FFrom,tblBoard[[#This Row],[Date]]&lt;=FTo,OR(DashLine="",tblBoard[[#This Row],[Line]]=DashLine)),tblBoard[[#This Row],[Date]],""))</f>
        <v>46307</v>
      </c>
      <c r="U18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6" s="43" t="s">
        <v>97</v>
      </c>
    </row>
    <row r="187" spans="2:22" x14ac:dyDescent="0.25">
      <c r="B187" s="36">
        <v>46307</v>
      </c>
      <c r="C187" s="28" t="s">
        <v>93</v>
      </c>
      <c r="D187" s="28" t="s">
        <v>85</v>
      </c>
      <c r="E187" s="33">
        <v>6</v>
      </c>
      <c r="F187" s="28" t="s">
        <v>103</v>
      </c>
      <c r="G187" s="33">
        <v>60</v>
      </c>
      <c r="H187" s="33">
        <v>88</v>
      </c>
      <c r="I187" s="28" t="s">
        <v>116</v>
      </c>
      <c r="J187" s="37">
        <f>IF(tblBoard[[#This Row],[Date]]="","",IFERROR(INDEX(tblProducts[Takt time (s)],MATCH(tblBoard[[#This Row],[Product]],tblProducts[Product],0)),""))</f>
        <v>40</v>
      </c>
      <c r="K187" s="38">
        <f>IF(tblBoard[[#This Row],[Date]]="","",IF(OR(tblBoard[[#This Row],[Takt (s)]]="",tblBoard[[#This Row],[Available (min)]]=""),"",INT(tblBoard[[#This Row],[Available (min)]]*60/tblBoard[[#This Row],[Takt (s)]])))</f>
        <v>90</v>
      </c>
      <c r="L187" s="38">
        <f>IF(tblBoard[[#This Row],[Date]]="","",IF(tblBoard[[#This Row],[Target (units)]]="","",tblBoard[[#This Row],[Actual (units)]]-tblBoard[[#This Row],[Target (units)]]))</f>
        <v>-2</v>
      </c>
      <c r="M187" s="38">
        <f>IF(tblBoard[[#This Row],[Date]]="","",IF(tblBoard[[#This Row],[Target (units)]]="","",MAX(0,tblBoard[[#This Row],[Target (units)]]-tblBoard[[#This Row],[Actual (units)]])))</f>
        <v>2</v>
      </c>
      <c r="N187" s="39">
        <f>IF(tblBoard[[#This Row],[Date]]="","",IF(N(tblBoard[[#This Row],[Target (units)]])&gt;0,tblBoard[[#This Row],[Actual (units)]]/tblBoard[[#This Row],[Target (units)]],""))</f>
        <v>0.977777777777778</v>
      </c>
      <c r="O187" s="38">
        <f>IF(tblBoard[[#This Row],[Date]]="","",IF(N(tblBoard[[#This Row],[Target (units)]])&gt;0,IF(tblBoard[[#This Row],[Actual (units)]]&gt;=tblBoard[[#This Row],[Target (units)]]*TargetHour,1,0),""))</f>
        <v>0</v>
      </c>
      <c r="P187" s="40" t="str">
        <f>IF(NOT(ISNUMBER(tblBoard[[#This Row],[Attainment]])),"",IF(tblBoard[[#This Row],[Attainment]]&gt;=TargetHour,"On target",IF(tblBoard[[#This Row],[Attainment]]&gt;=TargetHour*(1-0.05),"Near target","Below target")))</f>
        <v>Near target</v>
      </c>
      <c r="Q187" s="38">
        <f>IF(tblBoard[[#This Row],[Date]]="","",IF(tblBoard[[#This Row],[Hour]]="","",SUMIFS(tblBoard[Target (units)],tblBoard[Date],tblBoard[[#This Row],[Date]],tblBoard[Shift],tblBoard[[#This Row],[Shift]],tblBoard[Line],tblBoard[[#This Row],[Line]],tblBoard[Hour],"&lt;="&amp;tblBoard[[#This Row],[Hour]])))</f>
        <v>480</v>
      </c>
      <c r="R187" s="38">
        <f>IF(tblBoard[[#This Row],[Date]]="","",IF(tblBoard[[#This Row],[Hour]]="","",SUMIFS(tblBoard[Actual (units)],tblBoard[Date],tblBoard[[#This Row],[Date]],tblBoard[Shift],tblBoard[[#This Row],[Shift]],tblBoard[Line],tblBoard[[#This Row],[Line]],tblBoard[Hour],"&lt;="&amp;tblBoard[[#This Row],[Hour]])))</f>
        <v>471</v>
      </c>
      <c r="S187" s="38">
        <f>IF(tblBoard[[#This Row],[Date]]="","",IF(tblBoard[[#This Row],[Cum. target]]="","",tblBoard[[#This Row],[Cum. actual]]-tblBoard[[#This Row],[Cum. target]]))</f>
        <v>-9</v>
      </c>
      <c r="T187" s="41">
        <f>IF(tblBoard[[#This Row],[Date]]="","",IF(AND(tblBoard[[#This Row],[Date]]&gt;=FFrom,tblBoard[[#This Row],[Date]]&lt;=FTo,OR(DashLine="",tblBoard[[#This Row],[Line]]=DashLine)),tblBoard[[#This Row],[Date]],""))</f>
        <v>46307</v>
      </c>
      <c r="U18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7" s="43" t="s">
        <v>146</v>
      </c>
    </row>
    <row r="188" spans="2:22" x14ac:dyDescent="0.25">
      <c r="B188" s="36">
        <v>46307</v>
      </c>
      <c r="C188" s="28" t="s">
        <v>93</v>
      </c>
      <c r="D188" s="28" t="s">
        <v>85</v>
      </c>
      <c r="E188" s="33">
        <v>7</v>
      </c>
      <c r="F188" s="28" t="s">
        <v>103</v>
      </c>
      <c r="G188" s="33">
        <v>50</v>
      </c>
      <c r="H188" s="33">
        <v>78</v>
      </c>
      <c r="I188" s="28"/>
      <c r="J188" s="37">
        <f>IF(tblBoard[[#This Row],[Date]]="","",IFERROR(INDEX(tblProducts[Takt time (s)],MATCH(tblBoard[[#This Row],[Product]],tblProducts[Product],0)),""))</f>
        <v>40</v>
      </c>
      <c r="K188" s="38">
        <f>IF(tblBoard[[#This Row],[Date]]="","",IF(OR(tblBoard[[#This Row],[Takt (s)]]="",tblBoard[[#This Row],[Available (min)]]=""),"",INT(tblBoard[[#This Row],[Available (min)]]*60/tblBoard[[#This Row],[Takt (s)]])))</f>
        <v>75</v>
      </c>
      <c r="L188" s="38">
        <f>IF(tblBoard[[#This Row],[Date]]="","",IF(tblBoard[[#This Row],[Target (units)]]="","",tblBoard[[#This Row],[Actual (units)]]-tblBoard[[#This Row],[Target (units)]]))</f>
        <v>3</v>
      </c>
      <c r="M188" s="38">
        <f>IF(tblBoard[[#This Row],[Date]]="","",IF(tblBoard[[#This Row],[Target (units)]]="","",MAX(0,tblBoard[[#This Row],[Target (units)]]-tblBoard[[#This Row],[Actual (units)]])))</f>
        <v>0</v>
      </c>
      <c r="N188" s="39">
        <f>IF(tblBoard[[#This Row],[Date]]="","",IF(N(tblBoard[[#This Row],[Target (units)]])&gt;0,tblBoard[[#This Row],[Actual (units)]]/tblBoard[[#This Row],[Target (units)]],""))</f>
        <v>1.04</v>
      </c>
      <c r="O188" s="38">
        <f>IF(tblBoard[[#This Row],[Date]]="","",IF(N(tblBoard[[#This Row],[Target (units)]])&gt;0,IF(tblBoard[[#This Row],[Actual (units)]]&gt;=tblBoard[[#This Row],[Target (units)]]*TargetHour,1,0),""))</f>
        <v>1</v>
      </c>
      <c r="P188" s="40" t="str">
        <f>IF(NOT(ISNUMBER(tblBoard[[#This Row],[Attainment]])),"",IF(tblBoard[[#This Row],[Attainment]]&gt;=TargetHour,"On target",IF(tblBoard[[#This Row],[Attainment]]&gt;=TargetHour*(1-0.05),"Near target","Below target")))</f>
        <v>On target</v>
      </c>
      <c r="Q188" s="38">
        <f>IF(tblBoard[[#This Row],[Date]]="","",IF(tblBoard[[#This Row],[Hour]]="","",SUMIFS(tblBoard[Target (units)],tblBoard[Date],tblBoard[[#This Row],[Date]],tblBoard[Shift],tblBoard[[#This Row],[Shift]],tblBoard[Line],tblBoard[[#This Row],[Line]],tblBoard[Hour],"&lt;="&amp;tblBoard[[#This Row],[Hour]])))</f>
        <v>555</v>
      </c>
      <c r="R188" s="38">
        <f>IF(tblBoard[[#This Row],[Date]]="","",IF(tblBoard[[#This Row],[Hour]]="","",SUMIFS(tblBoard[Actual (units)],tblBoard[Date],tblBoard[[#This Row],[Date]],tblBoard[Shift],tblBoard[[#This Row],[Shift]],tblBoard[Line],tblBoard[[#This Row],[Line]],tblBoard[Hour],"&lt;="&amp;tblBoard[[#This Row],[Hour]])))</f>
        <v>549</v>
      </c>
      <c r="S188" s="38">
        <f>IF(tblBoard[[#This Row],[Date]]="","",IF(tblBoard[[#This Row],[Cum. target]]="","",tblBoard[[#This Row],[Cum. actual]]-tblBoard[[#This Row],[Cum. target]]))</f>
        <v>-6</v>
      </c>
      <c r="T188" s="41">
        <f>IF(tblBoard[[#This Row],[Date]]="","",IF(AND(tblBoard[[#This Row],[Date]]&gt;=FFrom,tblBoard[[#This Row],[Date]]&lt;=FTo,OR(DashLine="",tblBoard[[#This Row],[Line]]=DashLine)),tblBoard[[#This Row],[Date]],""))</f>
        <v>46307</v>
      </c>
      <c r="U18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8" s="43" t="s">
        <v>97</v>
      </c>
    </row>
    <row r="189" spans="2:22" x14ac:dyDescent="0.25">
      <c r="B189" s="36">
        <v>46307</v>
      </c>
      <c r="C189" s="28" t="s">
        <v>93</v>
      </c>
      <c r="D189" s="28" t="s">
        <v>85</v>
      </c>
      <c r="E189" s="33">
        <v>8</v>
      </c>
      <c r="F189" s="28" t="s">
        <v>103</v>
      </c>
      <c r="G189" s="33">
        <v>50</v>
      </c>
      <c r="H189" s="33">
        <v>77</v>
      </c>
      <c r="I189" s="28"/>
      <c r="J189" s="37">
        <f>IF(tblBoard[[#This Row],[Date]]="","",IFERROR(INDEX(tblProducts[Takt time (s)],MATCH(tblBoard[[#This Row],[Product]],tblProducts[Product],0)),""))</f>
        <v>40</v>
      </c>
      <c r="K189" s="38">
        <f>IF(tblBoard[[#This Row],[Date]]="","",IF(OR(tblBoard[[#This Row],[Takt (s)]]="",tblBoard[[#This Row],[Available (min)]]=""),"",INT(tblBoard[[#This Row],[Available (min)]]*60/tblBoard[[#This Row],[Takt (s)]])))</f>
        <v>75</v>
      </c>
      <c r="L189" s="38">
        <f>IF(tblBoard[[#This Row],[Date]]="","",IF(tblBoard[[#This Row],[Target (units)]]="","",tblBoard[[#This Row],[Actual (units)]]-tblBoard[[#This Row],[Target (units)]]))</f>
        <v>2</v>
      </c>
      <c r="M189" s="38">
        <f>IF(tblBoard[[#This Row],[Date]]="","",IF(tblBoard[[#This Row],[Target (units)]]="","",MAX(0,tblBoard[[#This Row],[Target (units)]]-tblBoard[[#This Row],[Actual (units)]])))</f>
        <v>0</v>
      </c>
      <c r="N189" s="39">
        <f>IF(tblBoard[[#This Row],[Date]]="","",IF(N(tblBoard[[#This Row],[Target (units)]])&gt;0,tblBoard[[#This Row],[Actual (units)]]/tblBoard[[#This Row],[Target (units)]],""))</f>
        <v>1.02666666666667</v>
      </c>
      <c r="O189" s="38">
        <f>IF(tblBoard[[#This Row],[Date]]="","",IF(N(tblBoard[[#This Row],[Target (units)]])&gt;0,IF(tblBoard[[#This Row],[Actual (units)]]&gt;=tblBoard[[#This Row],[Target (units)]]*TargetHour,1,0),""))</f>
        <v>1</v>
      </c>
      <c r="P189" s="40" t="str">
        <f>IF(NOT(ISNUMBER(tblBoard[[#This Row],[Attainment]])),"",IF(tblBoard[[#This Row],[Attainment]]&gt;=TargetHour,"On target",IF(tblBoard[[#This Row],[Attainment]]&gt;=TargetHour*(1-0.05),"Near target","Below target")))</f>
        <v>On target</v>
      </c>
      <c r="Q189" s="38">
        <f>IF(tblBoard[[#This Row],[Date]]="","",IF(tblBoard[[#This Row],[Hour]]="","",SUMIFS(tblBoard[Target (units)],tblBoard[Date],tblBoard[[#This Row],[Date]],tblBoard[Shift],tblBoard[[#This Row],[Shift]],tblBoard[Line],tblBoard[[#This Row],[Line]],tblBoard[Hour],"&lt;="&amp;tblBoard[[#This Row],[Hour]])))</f>
        <v>630</v>
      </c>
      <c r="R189" s="38">
        <f>IF(tblBoard[[#This Row],[Date]]="","",IF(tblBoard[[#This Row],[Hour]]="","",SUMIFS(tblBoard[Actual (units)],tblBoard[Date],tblBoard[[#This Row],[Date]],tblBoard[Shift],tblBoard[[#This Row],[Shift]],tblBoard[Line],tblBoard[[#This Row],[Line]],tblBoard[Hour],"&lt;="&amp;tblBoard[[#This Row],[Hour]])))</f>
        <v>626</v>
      </c>
      <c r="S189" s="38">
        <f>IF(tblBoard[[#This Row],[Date]]="","",IF(tblBoard[[#This Row],[Cum. target]]="","",tblBoard[[#This Row],[Cum. actual]]-tblBoard[[#This Row],[Cum. target]]))</f>
        <v>-4</v>
      </c>
      <c r="T189" s="41">
        <f>IF(tblBoard[[#This Row],[Date]]="","",IF(AND(tblBoard[[#This Row],[Date]]&gt;=FFrom,tblBoard[[#This Row],[Date]]&lt;=FTo,OR(DashLine="",tblBoard[[#This Row],[Line]]=DashLine)),tblBoard[[#This Row],[Date]],""))</f>
        <v>46307</v>
      </c>
      <c r="U18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89" s="43" t="s">
        <v>97</v>
      </c>
    </row>
    <row r="190" spans="2:22" x14ac:dyDescent="0.25">
      <c r="B190" s="36">
        <v>46307</v>
      </c>
      <c r="C190" s="28" t="s">
        <v>93</v>
      </c>
      <c r="D190" s="28" t="s">
        <v>88</v>
      </c>
      <c r="E190" s="33">
        <v>1</v>
      </c>
      <c r="F190" s="28" t="s">
        <v>107</v>
      </c>
      <c r="G190" s="33">
        <v>60</v>
      </c>
      <c r="H190" s="33">
        <v>101</v>
      </c>
      <c r="I190" s="28" t="s">
        <v>110</v>
      </c>
      <c r="J190" s="37">
        <f>IF(tblBoard[[#This Row],[Date]]="","",IFERROR(INDEX(tblProducts[Takt time (s)],MATCH(tblBoard[[#This Row],[Product]],tblProducts[Product],0)),""))</f>
        <v>30</v>
      </c>
      <c r="K190" s="38">
        <f>IF(tblBoard[[#This Row],[Date]]="","",IF(OR(tblBoard[[#This Row],[Takt (s)]]="",tblBoard[[#This Row],[Available (min)]]=""),"",INT(tblBoard[[#This Row],[Available (min)]]*60/tblBoard[[#This Row],[Takt (s)]])))</f>
        <v>120</v>
      </c>
      <c r="L190" s="38">
        <f>IF(tblBoard[[#This Row],[Date]]="","",IF(tblBoard[[#This Row],[Target (units)]]="","",tblBoard[[#This Row],[Actual (units)]]-tblBoard[[#This Row],[Target (units)]]))</f>
        <v>-19</v>
      </c>
      <c r="M190" s="38">
        <f>IF(tblBoard[[#This Row],[Date]]="","",IF(tblBoard[[#This Row],[Target (units)]]="","",MAX(0,tblBoard[[#This Row],[Target (units)]]-tblBoard[[#This Row],[Actual (units)]])))</f>
        <v>19</v>
      </c>
      <c r="N190" s="39">
        <f>IF(tblBoard[[#This Row],[Date]]="","",IF(N(tblBoard[[#This Row],[Target (units)]])&gt;0,tblBoard[[#This Row],[Actual (units)]]/tblBoard[[#This Row],[Target (units)]],""))</f>
        <v>0.841666666666667</v>
      </c>
      <c r="O190" s="38">
        <f>IF(tblBoard[[#This Row],[Date]]="","",IF(N(tblBoard[[#This Row],[Target (units)]])&gt;0,IF(tblBoard[[#This Row],[Actual (units)]]&gt;=tblBoard[[#This Row],[Target (units)]]*TargetHour,1,0),""))</f>
        <v>0</v>
      </c>
      <c r="P190" s="40" t="str">
        <f>IF(NOT(ISNUMBER(tblBoard[[#This Row],[Attainment]])),"",IF(tblBoard[[#This Row],[Attainment]]&gt;=TargetHour,"On target",IF(tblBoard[[#This Row],[Attainment]]&gt;=TargetHour*(1-0.05),"Near target","Below target")))</f>
        <v>Below target</v>
      </c>
      <c r="Q190" s="38">
        <f>IF(tblBoard[[#This Row],[Date]]="","",IF(tblBoard[[#This Row],[Hour]]="","",SUMIFS(tblBoard[Target (units)],tblBoard[Date],tblBoard[[#This Row],[Date]],tblBoard[Shift],tblBoard[[#This Row],[Shift]],tblBoard[Line],tblBoard[[#This Row],[Line]],tblBoard[Hour],"&lt;="&amp;tblBoard[[#This Row],[Hour]])))</f>
        <v>120</v>
      </c>
      <c r="R190" s="38">
        <f>IF(tblBoard[[#This Row],[Date]]="","",IF(tblBoard[[#This Row],[Hour]]="","",SUMIFS(tblBoard[Actual (units)],tblBoard[Date],tblBoard[[#This Row],[Date]],tblBoard[Shift],tblBoard[[#This Row],[Shift]],tblBoard[Line],tblBoard[[#This Row],[Line]],tblBoard[Hour],"&lt;="&amp;tblBoard[[#This Row],[Hour]])))</f>
        <v>101</v>
      </c>
      <c r="S190" s="38">
        <f>IF(tblBoard[[#This Row],[Date]]="","",IF(tblBoard[[#This Row],[Cum. target]]="","",tblBoard[[#This Row],[Cum. actual]]-tblBoard[[#This Row],[Cum. target]]))</f>
        <v>-19</v>
      </c>
      <c r="T190" s="41">
        <f>IF(tblBoard[[#This Row],[Date]]="","",IF(AND(tblBoard[[#This Row],[Date]]&gt;=FFrom,tblBoard[[#This Row],[Date]]&lt;=FTo,OR(DashLine="",tblBoard[[#This Row],[Line]]=DashLine)),tblBoard[[#This Row],[Date]],""))</f>
        <v>46307</v>
      </c>
      <c r="U19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0" s="43" t="s">
        <v>144</v>
      </c>
    </row>
    <row r="191" spans="2:22" x14ac:dyDescent="0.25">
      <c r="B191" s="36">
        <v>46307</v>
      </c>
      <c r="C191" s="28" t="s">
        <v>93</v>
      </c>
      <c r="D191" s="28" t="s">
        <v>88</v>
      </c>
      <c r="E191" s="33">
        <v>2</v>
      </c>
      <c r="F191" s="28" t="s">
        <v>107</v>
      </c>
      <c r="G191" s="33">
        <v>60</v>
      </c>
      <c r="H191" s="33">
        <v>125</v>
      </c>
      <c r="I191" s="28"/>
      <c r="J191" s="37">
        <f>IF(tblBoard[[#This Row],[Date]]="","",IFERROR(INDEX(tblProducts[Takt time (s)],MATCH(tblBoard[[#This Row],[Product]],tblProducts[Product],0)),""))</f>
        <v>30</v>
      </c>
      <c r="K191" s="38">
        <f>IF(tblBoard[[#This Row],[Date]]="","",IF(OR(tblBoard[[#This Row],[Takt (s)]]="",tblBoard[[#This Row],[Available (min)]]=""),"",INT(tblBoard[[#This Row],[Available (min)]]*60/tblBoard[[#This Row],[Takt (s)]])))</f>
        <v>120</v>
      </c>
      <c r="L191" s="38">
        <f>IF(tblBoard[[#This Row],[Date]]="","",IF(tblBoard[[#This Row],[Target (units)]]="","",tblBoard[[#This Row],[Actual (units)]]-tblBoard[[#This Row],[Target (units)]]))</f>
        <v>5</v>
      </c>
      <c r="M191" s="38">
        <f>IF(tblBoard[[#This Row],[Date]]="","",IF(tblBoard[[#This Row],[Target (units)]]="","",MAX(0,tblBoard[[#This Row],[Target (units)]]-tblBoard[[#This Row],[Actual (units)]])))</f>
        <v>0</v>
      </c>
      <c r="N191" s="39">
        <f>IF(tblBoard[[#This Row],[Date]]="","",IF(N(tblBoard[[#This Row],[Target (units)]])&gt;0,tblBoard[[#This Row],[Actual (units)]]/tblBoard[[#This Row],[Target (units)]],""))</f>
        <v>1.04166666666667</v>
      </c>
      <c r="O191" s="38">
        <f>IF(tblBoard[[#This Row],[Date]]="","",IF(N(tblBoard[[#This Row],[Target (units)]])&gt;0,IF(tblBoard[[#This Row],[Actual (units)]]&gt;=tblBoard[[#This Row],[Target (units)]]*TargetHour,1,0),""))</f>
        <v>1</v>
      </c>
      <c r="P191" s="40" t="str">
        <f>IF(NOT(ISNUMBER(tblBoard[[#This Row],[Attainment]])),"",IF(tblBoard[[#This Row],[Attainment]]&gt;=TargetHour,"On target",IF(tblBoard[[#This Row],[Attainment]]&gt;=TargetHour*(1-0.05),"Near target","Below target")))</f>
        <v>On target</v>
      </c>
      <c r="Q191" s="38">
        <f>IF(tblBoard[[#This Row],[Date]]="","",IF(tblBoard[[#This Row],[Hour]]="","",SUMIFS(tblBoard[Target (units)],tblBoard[Date],tblBoard[[#This Row],[Date]],tblBoard[Shift],tblBoard[[#This Row],[Shift]],tblBoard[Line],tblBoard[[#This Row],[Line]],tblBoard[Hour],"&lt;="&amp;tblBoard[[#This Row],[Hour]])))</f>
        <v>240</v>
      </c>
      <c r="R191" s="38">
        <f>IF(tblBoard[[#This Row],[Date]]="","",IF(tblBoard[[#This Row],[Hour]]="","",SUMIFS(tblBoard[Actual (units)],tblBoard[Date],tblBoard[[#This Row],[Date]],tblBoard[Shift],tblBoard[[#This Row],[Shift]],tblBoard[Line],tblBoard[[#This Row],[Line]],tblBoard[Hour],"&lt;="&amp;tblBoard[[#This Row],[Hour]])))</f>
        <v>226</v>
      </c>
      <c r="S191" s="38">
        <f>IF(tblBoard[[#This Row],[Date]]="","",IF(tblBoard[[#This Row],[Cum. target]]="","",tblBoard[[#This Row],[Cum. actual]]-tblBoard[[#This Row],[Cum. target]]))</f>
        <v>-14</v>
      </c>
      <c r="T191" s="41">
        <f>IF(tblBoard[[#This Row],[Date]]="","",IF(AND(tblBoard[[#This Row],[Date]]&gt;=FFrom,tblBoard[[#This Row],[Date]]&lt;=FTo,OR(DashLine="",tblBoard[[#This Row],[Line]]=DashLine)),tblBoard[[#This Row],[Date]],""))</f>
        <v>46307</v>
      </c>
      <c r="U19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1" s="43" t="s">
        <v>97</v>
      </c>
    </row>
    <row r="192" spans="2:22" x14ac:dyDescent="0.25">
      <c r="B192" s="36">
        <v>46307</v>
      </c>
      <c r="C192" s="28" t="s">
        <v>93</v>
      </c>
      <c r="D192" s="28" t="s">
        <v>88</v>
      </c>
      <c r="E192" s="33">
        <v>3</v>
      </c>
      <c r="F192" s="28" t="s">
        <v>107</v>
      </c>
      <c r="G192" s="33">
        <v>50</v>
      </c>
      <c r="H192" s="33">
        <v>95</v>
      </c>
      <c r="I192" s="28" t="s">
        <v>116</v>
      </c>
      <c r="J192" s="37">
        <f>IF(tblBoard[[#This Row],[Date]]="","",IFERROR(INDEX(tblProducts[Takt time (s)],MATCH(tblBoard[[#This Row],[Product]],tblProducts[Product],0)),""))</f>
        <v>30</v>
      </c>
      <c r="K192" s="38">
        <f>IF(tblBoard[[#This Row],[Date]]="","",IF(OR(tblBoard[[#This Row],[Takt (s)]]="",tblBoard[[#This Row],[Available (min)]]=""),"",INT(tblBoard[[#This Row],[Available (min)]]*60/tblBoard[[#This Row],[Takt (s)]])))</f>
        <v>100</v>
      </c>
      <c r="L192" s="38">
        <f>IF(tblBoard[[#This Row],[Date]]="","",IF(tblBoard[[#This Row],[Target (units)]]="","",tblBoard[[#This Row],[Actual (units)]]-tblBoard[[#This Row],[Target (units)]]))</f>
        <v>-5</v>
      </c>
      <c r="M192" s="38">
        <f>IF(tblBoard[[#This Row],[Date]]="","",IF(tblBoard[[#This Row],[Target (units)]]="","",MAX(0,tblBoard[[#This Row],[Target (units)]]-tblBoard[[#This Row],[Actual (units)]])))</f>
        <v>5</v>
      </c>
      <c r="N192" s="39">
        <f>IF(tblBoard[[#This Row],[Date]]="","",IF(N(tblBoard[[#This Row],[Target (units)]])&gt;0,tblBoard[[#This Row],[Actual (units)]]/tblBoard[[#This Row],[Target (units)]],""))</f>
        <v>0.95</v>
      </c>
      <c r="O192" s="38">
        <f>IF(tblBoard[[#This Row],[Date]]="","",IF(N(tblBoard[[#This Row],[Target (units)]])&gt;0,IF(tblBoard[[#This Row],[Actual (units)]]&gt;=tblBoard[[#This Row],[Target (units)]]*TargetHour,1,0),""))</f>
        <v>0</v>
      </c>
      <c r="P192" s="40" t="str">
        <f>IF(NOT(ISNUMBER(tblBoard[[#This Row],[Attainment]])),"",IF(tblBoard[[#This Row],[Attainment]]&gt;=TargetHour,"On target",IF(tblBoard[[#This Row],[Attainment]]&gt;=TargetHour*(1-0.05),"Near target","Below target")))</f>
        <v>Near target</v>
      </c>
      <c r="Q192" s="38">
        <f>IF(tblBoard[[#This Row],[Date]]="","",IF(tblBoard[[#This Row],[Hour]]="","",SUMIFS(tblBoard[Target (units)],tblBoard[Date],tblBoard[[#This Row],[Date]],tblBoard[Shift],tblBoard[[#This Row],[Shift]],tblBoard[Line],tblBoard[[#This Row],[Line]],tblBoard[Hour],"&lt;="&amp;tblBoard[[#This Row],[Hour]])))</f>
        <v>340</v>
      </c>
      <c r="R192" s="38">
        <f>IF(tblBoard[[#This Row],[Date]]="","",IF(tblBoard[[#This Row],[Hour]]="","",SUMIFS(tblBoard[Actual (units)],tblBoard[Date],tblBoard[[#This Row],[Date]],tblBoard[Shift],tblBoard[[#This Row],[Shift]],tblBoard[Line],tblBoard[[#This Row],[Line]],tblBoard[Hour],"&lt;="&amp;tblBoard[[#This Row],[Hour]])))</f>
        <v>321</v>
      </c>
      <c r="S192" s="38">
        <f>IF(tblBoard[[#This Row],[Date]]="","",IF(tblBoard[[#This Row],[Cum. target]]="","",tblBoard[[#This Row],[Cum. actual]]-tblBoard[[#This Row],[Cum. target]]))</f>
        <v>-19</v>
      </c>
      <c r="T192" s="41">
        <f>IF(tblBoard[[#This Row],[Date]]="","",IF(AND(tblBoard[[#This Row],[Date]]&gt;=FFrom,tblBoard[[#This Row],[Date]]&lt;=FTo,OR(DashLine="",tblBoard[[#This Row],[Line]]=DashLine)),tblBoard[[#This Row],[Date]],""))</f>
        <v>46307</v>
      </c>
      <c r="U19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2" s="43" t="s">
        <v>146</v>
      </c>
    </row>
    <row r="193" spans="2:22" x14ac:dyDescent="0.25">
      <c r="B193" s="36">
        <v>46307</v>
      </c>
      <c r="C193" s="28" t="s">
        <v>93</v>
      </c>
      <c r="D193" s="28" t="s">
        <v>88</v>
      </c>
      <c r="E193" s="33">
        <v>4</v>
      </c>
      <c r="F193" s="28" t="s">
        <v>107</v>
      </c>
      <c r="G193" s="33">
        <v>60</v>
      </c>
      <c r="H193" s="33">
        <v>118</v>
      </c>
      <c r="I193" s="28" t="s">
        <v>118</v>
      </c>
      <c r="J193" s="37">
        <f>IF(tblBoard[[#This Row],[Date]]="","",IFERROR(INDEX(tblProducts[Takt time (s)],MATCH(tblBoard[[#This Row],[Product]],tblProducts[Product],0)),""))</f>
        <v>30</v>
      </c>
      <c r="K193" s="38">
        <f>IF(tblBoard[[#This Row],[Date]]="","",IF(OR(tblBoard[[#This Row],[Takt (s)]]="",tblBoard[[#This Row],[Available (min)]]=""),"",INT(tblBoard[[#This Row],[Available (min)]]*60/tblBoard[[#This Row],[Takt (s)]])))</f>
        <v>120</v>
      </c>
      <c r="L193" s="38">
        <f>IF(tblBoard[[#This Row],[Date]]="","",IF(tblBoard[[#This Row],[Target (units)]]="","",tblBoard[[#This Row],[Actual (units)]]-tblBoard[[#This Row],[Target (units)]]))</f>
        <v>-2</v>
      </c>
      <c r="M193" s="38">
        <f>IF(tblBoard[[#This Row],[Date]]="","",IF(tblBoard[[#This Row],[Target (units)]]="","",MAX(0,tblBoard[[#This Row],[Target (units)]]-tblBoard[[#This Row],[Actual (units)]])))</f>
        <v>2</v>
      </c>
      <c r="N193" s="39">
        <f>IF(tblBoard[[#This Row],[Date]]="","",IF(N(tblBoard[[#This Row],[Target (units)]])&gt;0,tblBoard[[#This Row],[Actual (units)]]/tblBoard[[#This Row],[Target (units)]],""))</f>
        <v>0.983333333333333</v>
      </c>
      <c r="O193" s="38">
        <f>IF(tblBoard[[#This Row],[Date]]="","",IF(N(tblBoard[[#This Row],[Target (units)]])&gt;0,IF(tblBoard[[#This Row],[Actual (units)]]&gt;=tblBoard[[#This Row],[Target (units)]]*TargetHour,1,0),""))</f>
        <v>0</v>
      </c>
      <c r="P193" s="40" t="str">
        <f>IF(NOT(ISNUMBER(tblBoard[[#This Row],[Attainment]])),"",IF(tblBoard[[#This Row],[Attainment]]&gt;=TargetHour,"On target",IF(tblBoard[[#This Row],[Attainment]]&gt;=TargetHour*(1-0.05),"Near target","Below target")))</f>
        <v>Near target</v>
      </c>
      <c r="Q193" s="38">
        <f>IF(tblBoard[[#This Row],[Date]]="","",IF(tblBoard[[#This Row],[Hour]]="","",SUMIFS(tblBoard[Target (units)],tblBoard[Date],tblBoard[[#This Row],[Date]],tblBoard[Shift],tblBoard[[#This Row],[Shift]],tblBoard[Line],tblBoard[[#This Row],[Line]],tblBoard[Hour],"&lt;="&amp;tblBoard[[#This Row],[Hour]])))</f>
        <v>460</v>
      </c>
      <c r="R193" s="38">
        <f>IF(tblBoard[[#This Row],[Date]]="","",IF(tblBoard[[#This Row],[Hour]]="","",SUMIFS(tblBoard[Actual (units)],tblBoard[Date],tblBoard[[#This Row],[Date]],tblBoard[Shift],tblBoard[[#This Row],[Shift]],tblBoard[Line],tblBoard[[#This Row],[Line]],tblBoard[Hour],"&lt;="&amp;tblBoard[[#This Row],[Hour]])))</f>
        <v>439</v>
      </c>
      <c r="S193" s="38">
        <f>IF(tblBoard[[#This Row],[Date]]="","",IF(tblBoard[[#This Row],[Cum. target]]="","",tblBoard[[#This Row],[Cum. actual]]-tblBoard[[#This Row],[Cum. target]]))</f>
        <v>-21</v>
      </c>
      <c r="T193" s="41">
        <f>IF(tblBoard[[#This Row],[Date]]="","",IF(AND(tblBoard[[#This Row],[Date]]&gt;=FFrom,tblBoard[[#This Row],[Date]]&lt;=FTo,OR(DashLine="",tblBoard[[#This Row],[Line]]=DashLine)),tblBoard[[#This Row],[Date]],""))</f>
        <v>46307</v>
      </c>
      <c r="U19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3" s="43" t="s">
        <v>97</v>
      </c>
    </row>
    <row r="194" spans="2:22" x14ac:dyDescent="0.25">
      <c r="B194" s="36">
        <v>46307</v>
      </c>
      <c r="C194" s="28" t="s">
        <v>93</v>
      </c>
      <c r="D194" s="28" t="s">
        <v>88</v>
      </c>
      <c r="E194" s="33">
        <v>5</v>
      </c>
      <c r="F194" s="28" t="s">
        <v>107</v>
      </c>
      <c r="G194" s="33">
        <v>30</v>
      </c>
      <c r="H194" s="33">
        <v>63</v>
      </c>
      <c r="I194" s="28"/>
      <c r="J194" s="37">
        <f>IF(tblBoard[[#This Row],[Date]]="","",IFERROR(INDEX(tblProducts[Takt time (s)],MATCH(tblBoard[[#This Row],[Product]],tblProducts[Product],0)),""))</f>
        <v>30</v>
      </c>
      <c r="K194" s="38">
        <f>IF(tblBoard[[#This Row],[Date]]="","",IF(OR(tblBoard[[#This Row],[Takt (s)]]="",tblBoard[[#This Row],[Available (min)]]=""),"",INT(tblBoard[[#This Row],[Available (min)]]*60/tblBoard[[#This Row],[Takt (s)]])))</f>
        <v>60</v>
      </c>
      <c r="L194" s="38">
        <f>IF(tblBoard[[#This Row],[Date]]="","",IF(tblBoard[[#This Row],[Target (units)]]="","",tblBoard[[#This Row],[Actual (units)]]-tblBoard[[#This Row],[Target (units)]]))</f>
        <v>3</v>
      </c>
      <c r="M194" s="38">
        <f>IF(tblBoard[[#This Row],[Date]]="","",IF(tblBoard[[#This Row],[Target (units)]]="","",MAX(0,tblBoard[[#This Row],[Target (units)]]-tblBoard[[#This Row],[Actual (units)]])))</f>
        <v>0</v>
      </c>
      <c r="N194" s="39">
        <f>IF(tblBoard[[#This Row],[Date]]="","",IF(N(tblBoard[[#This Row],[Target (units)]])&gt;0,tblBoard[[#This Row],[Actual (units)]]/tblBoard[[#This Row],[Target (units)]],""))</f>
        <v>1.05</v>
      </c>
      <c r="O194" s="38">
        <f>IF(tblBoard[[#This Row],[Date]]="","",IF(N(tblBoard[[#This Row],[Target (units)]])&gt;0,IF(tblBoard[[#This Row],[Actual (units)]]&gt;=tblBoard[[#This Row],[Target (units)]]*TargetHour,1,0),""))</f>
        <v>1</v>
      </c>
      <c r="P194" s="40" t="str">
        <f>IF(NOT(ISNUMBER(tblBoard[[#This Row],[Attainment]])),"",IF(tblBoard[[#This Row],[Attainment]]&gt;=TargetHour,"On target",IF(tblBoard[[#This Row],[Attainment]]&gt;=TargetHour*(1-0.05),"Near target","Below target")))</f>
        <v>On target</v>
      </c>
      <c r="Q194" s="38">
        <f>IF(tblBoard[[#This Row],[Date]]="","",IF(tblBoard[[#This Row],[Hour]]="","",SUMIFS(tblBoard[Target (units)],tblBoard[Date],tblBoard[[#This Row],[Date]],tblBoard[Shift],tblBoard[[#This Row],[Shift]],tblBoard[Line],tblBoard[[#This Row],[Line]],tblBoard[Hour],"&lt;="&amp;tblBoard[[#This Row],[Hour]])))</f>
        <v>520</v>
      </c>
      <c r="R194" s="38">
        <f>IF(tblBoard[[#This Row],[Date]]="","",IF(tblBoard[[#This Row],[Hour]]="","",SUMIFS(tblBoard[Actual (units)],tblBoard[Date],tblBoard[[#This Row],[Date]],tblBoard[Shift],tblBoard[[#This Row],[Shift]],tblBoard[Line],tblBoard[[#This Row],[Line]],tblBoard[Hour],"&lt;="&amp;tblBoard[[#This Row],[Hour]])))</f>
        <v>502</v>
      </c>
      <c r="S194" s="38">
        <f>IF(tblBoard[[#This Row],[Date]]="","",IF(tblBoard[[#This Row],[Cum. target]]="","",tblBoard[[#This Row],[Cum. actual]]-tblBoard[[#This Row],[Cum. target]]))</f>
        <v>-18</v>
      </c>
      <c r="T194" s="41">
        <f>IF(tblBoard[[#This Row],[Date]]="","",IF(AND(tblBoard[[#This Row],[Date]]&gt;=FFrom,tblBoard[[#This Row],[Date]]&lt;=FTo,OR(DashLine="",tblBoard[[#This Row],[Line]]=DashLine)),tblBoard[[#This Row],[Date]],""))</f>
        <v>46307</v>
      </c>
      <c r="U19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4" s="43" t="s">
        <v>97</v>
      </c>
    </row>
    <row r="195" spans="2:22" x14ac:dyDescent="0.25">
      <c r="B195" s="36">
        <v>46307</v>
      </c>
      <c r="C195" s="28" t="s">
        <v>93</v>
      </c>
      <c r="D195" s="28" t="s">
        <v>88</v>
      </c>
      <c r="E195" s="33">
        <v>6</v>
      </c>
      <c r="F195" s="28" t="s">
        <v>107</v>
      </c>
      <c r="G195" s="33">
        <v>60</v>
      </c>
      <c r="H195" s="33">
        <v>111</v>
      </c>
      <c r="I195" s="28" t="s">
        <v>124</v>
      </c>
      <c r="J195" s="37">
        <f>IF(tblBoard[[#This Row],[Date]]="","",IFERROR(INDEX(tblProducts[Takt time (s)],MATCH(tblBoard[[#This Row],[Product]],tblProducts[Product],0)),""))</f>
        <v>30</v>
      </c>
      <c r="K195" s="38">
        <f>IF(tblBoard[[#This Row],[Date]]="","",IF(OR(tblBoard[[#This Row],[Takt (s)]]="",tblBoard[[#This Row],[Available (min)]]=""),"",INT(tblBoard[[#This Row],[Available (min)]]*60/tblBoard[[#This Row],[Takt (s)]])))</f>
        <v>120</v>
      </c>
      <c r="L195" s="38">
        <f>IF(tblBoard[[#This Row],[Date]]="","",IF(tblBoard[[#This Row],[Target (units)]]="","",tblBoard[[#This Row],[Actual (units)]]-tblBoard[[#This Row],[Target (units)]]))</f>
        <v>-9</v>
      </c>
      <c r="M195" s="38">
        <f>IF(tblBoard[[#This Row],[Date]]="","",IF(tblBoard[[#This Row],[Target (units)]]="","",MAX(0,tblBoard[[#This Row],[Target (units)]]-tblBoard[[#This Row],[Actual (units)]])))</f>
        <v>9</v>
      </c>
      <c r="N195" s="39">
        <f>IF(tblBoard[[#This Row],[Date]]="","",IF(N(tblBoard[[#This Row],[Target (units)]])&gt;0,tblBoard[[#This Row],[Actual (units)]]/tblBoard[[#This Row],[Target (units)]],""))</f>
        <v>0.925</v>
      </c>
      <c r="O195" s="38">
        <f>IF(tblBoard[[#This Row],[Date]]="","",IF(N(tblBoard[[#This Row],[Target (units)]])&gt;0,IF(tblBoard[[#This Row],[Actual (units)]]&gt;=tblBoard[[#This Row],[Target (units)]]*TargetHour,1,0),""))</f>
        <v>0</v>
      </c>
      <c r="P195" s="40" t="str">
        <f>IF(NOT(ISNUMBER(tblBoard[[#This Row],[Attainment]])),"",IF(tblBoard[[#This Row],[Attainment]]&gt;=TargetHour,"On target",IF(tblBoard[[#This Row],[Attainment]]&gt;=TargetHour*(1-0.05),"Near target","Below target")))</f>
        <v>Below target</v>
      </c>
      <c r="Q195" s="38">
        <f>IF(tblBoard[[#This Row],[Date]]="","",IF(tblBoard[[#This Row],[Hour]]="","",SUMIFS(tblBoard[Target (units)],tblBoard[Date],tblBoard[[#This Row],[Date]],tblBoard[Shift],tblBoard[[#This Row],[Shift]],tblBoard[Line],tblBoard[[#This Row],[Line]],tblBoard[Hour],"&lt;="&amp;tblBoard[[#This Row],[Hour]])))</f>
        <v>640</v>
      </c>
      <c r="R195" s="38">
        <f>IF(tblBoard[[#This Row],[Date]]="","",IF(tblBoard[[#This Row],[Hour]]="","",SUMIFS(tblBoard[Actual (units)],tblBoard[Date],tblBoard[[#This Row],[Date]],tblBoard[Shift],tblBoard[[#This Row],[Shift]],tblBoard[Line],tblBoard[[#This Row],[Line]],tblBoard[Hour],"&lt;="&amp;tblBoard[[#This Row],[Hour]])))</f>
        <v>613</v>
      </c>
      <c r="S195" s="38">
        <f>IF(tblBoard[[#This Row],[Date]]="","",IF(tblBoard[[#This Row],[Cum. target]]="","",tblBoard[[#This Row],[Cum. actual]]-tblBoard[[#This Row],[Cum. target]]))</f>
        <v>-27</v>
      </c>
      <c r="T195" s="41">
        <f>IF(tblBoard[[#This Row],[Date]]="","",IF(AND(tblBoard[[#This Row],[Date]]&gt;=FFrom,tblBoard[[#This Row],[Date]]&lt;=FTo,OR(DashLine="",tblBoard[[#This Row],[Line]]=DashLine)),tblBoard[[#This Row],[Date]],""))</f>
        <v>46307</v>
      </c>
      <c r="U19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5" s="43" t="s">
        <v>97</v>
      </c>
    </row>
    <row r="196" spans="2:22" x14ac:dyDescent="0.25">
      <c r="B196" s="36">
        <v>46307</v>
      </c>
      <c r="C196" s="28" t="s">
        <v>93</v>
      </c>
      <c r="D196" s="28" t="s">
        <v>88</v>
      </c>
      <c r="E196" s="33">
        <v>7</v>
      </c>
      <c r="F196" s="28" t="s">
        <v>107</v>
      </c>
      <c r="G196" s="33">
        <v>50</v>
      </c>
      <c r="H196" s="33">
        <v>104</v>
      </c>
      <c r="I196" s="28"/>
      <c r="J196" s="37">
        <f>IF(tblBoard[[#This Row],[Date]]="","",IFERROR(INDEX(tblProducts[Takt time (s)],MATCH(tblBoard[[#This Row],[Product]],tblProducts[Product],0)),""))</f>
        <v>30</v>
      </c>
      <c r="K196" s="38">
        <f>IF(tblBoard[[#This Row],[Date]]="","",IF(OR(tblBoard[[#This Row],[Takt (s)]]="",tblBoard[[#This Row],[Available (min)]]=""),"",INT(tblBoard[[#This Row],[Available (min)]]*60/tblBoard[[#This Row],[Takt (s)]])))</f>
        <v>100</v>
      </c>
      <c r="L196" s="38">
        <f>IF(tblBoard[[#This Row],[Date]]="","",IF(tblBoard[[#This Row],[Target (units)]]="","",tblBoard[[#This Row],[Actual (units)]]-tblBoard[[#This Row],[Target (units)]]))</f>
        <v>4</v>
      </c>
      <c r="M196" s="38">
        <f>IF(tblBoard[[#This Row],[Date]]="","",IF(tblBoard[[#This Row],[Target (units)]]="","",MAX(0,tblBoard[[#This Row],[Target (units)]]-tblBoard[[#This Row],[Actual (units)]])))</f>
        <v>0</v>
      </c>
      <c r="N196" s="39">
        <f>IF(tblBoard[[#This Row],[Date]]="","",IF(N(tblBoard[[#This Row],[Target (units)]])&gt;0,tblBoard[[#This Row],[Actual (units)]]/tblBoard[[#This Row],[Target (units)]],""))</f>
        <v>1.04</v>
      </c>
      <c r="O196" s="38">
        <f>IF(tblBoard[[#This Row],[Date]]="","",IF(N(tblBoard[[#This Row],[Target (units)]])&gt;0,IF(tblBoard[[#This Row],[Actual (units)]]&gt;=tblBoard[[#This Row],[Target (units)]]*TargetHour,1,0),""))</f>
        <v>1</v>
      </c>
      <c r="P196" s="40" t="str">
        <f>IF(NOT(ISNUMBER(tblBoard[[#This Row],[Attainment]])),"",IF(tblBoard[[#This Row],[Attainment]]&gt;=TargetHour,"On target",IF(tblBoard[[#This Row],[Attainment]]&gt;=TargetHour*(1-0.05),"Near target","Below target")))</f>
        <v>On target</v>
      </c>
      <c r="Q196" s="38">
        <f>IF(tblBoard[[#This Row],[Date]]="","",IF(tblBoard[[#This Row],[Hour]]="","",SUMIFS(tblBoard[Target (units)],tblBoard[Date],tblBoard[[#This Row],[Date]],tblBoard[Shift],tblBoard[[#This Row],[Shift]],tblBoard[Line],tblBoard[[#This Row],[Line]],tblBoard[Hour],"&lt;="&amp;tblBoard[[#This Row],[Hour]])))</f>
        <v>740</v>
      </c>
      <c r="R196" s="38">
        <f>IF(tblBoard[[#This Row],[Date]]="","",IF(tblBoard[[#This Row],[Hour]]="","",SUMIFS(tblBoard[Actual (units)],tblBoard[Date],tblBoard[[#This Row],[Date]],tblBoard[Shift],tblBoard[[#This Row],[Shift]],tblBoard[Line],tblBoard[[#This Row],[Line]],tblBoard[Hour],"&lt;="&amp;tblBoard[[#This Row],[Hour]])))</f>
        <v>717</v>
      </c>
      <c r="S196" s="38">
        <f>IF(tblBoard[[#This Row],[Date]]="","",IF(tblBoard[[#This Row],[Cum. target]]="","",tblBoard[[#This Row],[Cum. actual]]-tblBoard[[#This Row],[Cum. target]]))</f>
        <v>-23</v>
      </c>
      <c r="T196" s="41">
        <f>IF(tblBoard[[#This Row],[Date]]="","",IF(AND(tblBoard[[#This Row],[Date]]&gt;=FFrom,tblBoard[[#This Row],[Date]]&lt;=FTo,OR(DashLine="",tblBoard[[#This Row],[Line]]=DashLine)),tblBoard[[#This Row],[Date]],""))</f>
        <v>46307</v>
      </c>
      <c r="U19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6" s="43" t="s">
        <v>97</v>
      </c>
    </row>
    <row r="197" spans="2:22" x14ac:dyDescent="0.25">
      <c r="B197" s="36">
        <v>46307</v>
      </c>
      <c r="C197" s="28" t="s">
        <v>93</v>
      </c>
      <c r="D197" s="28" t="s">
        <v>88</v>
      </c>
      <c r="E197" s="33">
        <v>8</v>
      </c>
      <c r="F197" s="28" t="s">
        <v>107</v>
      </c>
      <c r="G197" s="33">
        <v>50</v>
      </c>
      <c r="H197" s="33">
        <v>102</v>
      </c>
      <c r="I197" s="28"/>
      <c r="J197" s="37">
        <f>IF(tblBoard[[#This Row],[Date]]="","",IFERROR(INDEX(tblProducts[Takt time (s)],MATCH(tblBoard[[#This Row],[Product]],tblProducts[Product],0)),""))</f>
        <v>30</v>
      </c>
      <c r="K197" s="38">
        <f>IF(tblBoard[[#This Row],[Date]]="","",IF(OR(tblBoard[[#This Row],[Takt (s)]]="",tblBoard[[#This Row],[Available (min)]]=""),"",INT(tblBoard[[#This Row],[Available (min)]]*60/tblBoard[[#This Row],[Takt (s)]])))</f>
        <v>100</v>
      </c>
      <c r="L197" s="38">
        <f>IF(tblBoard[[#This Row],[Date]]="","",IF(tblBoard[[#This Row],[Target (units)]]="","",tblBoard[[#This Row],[Actual (units)]]-tblBoard[[#This Row],[Target (units)]]))</f>
        <v>2</v>
      </c>
      <c r="M197" s="38">
        <f>IF(tblBoard[[#This Row],[Date]]="","",IF(tblBoard[[#This Row],[Target (units)]]="","",MAX(0,tblBoard[[#This Row],[Target (units)]]-tblBoard[[#This Row],[Actual (units)]])))</f>
        <v>0</v>
      </c>
      <c r="N197" s="39">
        <f>IF(tblBoard[[#This Row],[Date]]="","",IF(N(tblBoard[[#This Row],[Target (units)]])&gt;0,tblBoard[[#This Row],[Actual (units)]]/tblBoard[[#This Row],[Target (units)]],""))</f>
        <v>1.02</v>
      </c>
      <c r="O197" s="38">
        <f>IF(tblBoard[[#This Row],[Date]]="","",IF(N(tblBoard[[#This Row],[Target (units)]])&gt;0,IF(tblBoard[[#This Row],[Actual (units)]]&gt;=tblBoard[[#This Row],[Target (units)]]*TargetHour,1,0),""))</f>
        <v>1</v>
      </c>
      <c r="P197" s="40" t="str">
        <f>IF(NOT(ISNUMBER(tblBoard[[#This Row],[Attainment]])),"",IF(tblBoard[[#This Row],[Attainment]]&gt;=TargetHour,"On target",IF(tblBoard[[#This Row],[Attainment]]&gt;=TargetHour*(1-0.05),"Near target","Below target")))</f>
        <v>On target</v>
      </c>
      <c r="Q197" s="38">
        <f>IF(tblBoard[[#This Row],[Date]]="","",IF(tblBoard[[#This Row],[Hour]]="","",SUMIFS(tblBoard[Target (units)],tblBoard[Date],tblBoard[[#This Row],[Date]],tblBoard[Shift],tblBoard[[#This Row],[Shift]],tblBoard[Line],tblBoard[[#This Row],[Line]],tblBoard[Hour],"&lt;="&amp;tblBoard[[#This Row],[Hour]])))</f>
        <v>840</v>
      </c>
      <c r="R197" s="38">
        <f>IF(tblBoard[[#This Row],[Date]]="","",IF(tblBoard[[#This Row],[Hour]]="","",SUMIFS(tblBoard[Actual (units)],tblBoard[Date],tblBoard[[#This Row],[Date]],tblBoard[Shift],tblBoard[[#This Row],[Shift]],tblBoard[Line],tblBoard[[#This Row],[Line]],tblBoard[Hour],"&lt;="&amp;tblBoard[[#This Row],[Hour]])))</f>
        <v>819</v>
      </c>
      <c r="S197" s="38">
        <f>IF(tblBoard[[#This Row],[Date]]="","",IF(tblBoard[[#This Row],[Cum. target]]="","",tblBoard[[#This Row],[Cum. actual]]-tblBoard[[#This Row],[Cum. target]]))</f>
        <v>-21</v>
      </c>
      <c r="T197" s="41">
        <f>IF(tblBoard[[#This Row],[Date]]="","",IF(AND(tblBoard[[#This Row],[Date]]&gt;=FFrom,tblBoard[[#This Row],[Date]]&lt;=FTo,OR(DashLine="",tblBoard[[#This Row],[Line]]=DashLine)),tblBoard[[#This Row],[Date]],""))</f>
        <v>46307</v>
      </c>
      <c r="U19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7" s="43" t="s">
        <v>97</v>
      </c>
    </row>
    <row r="198" spans="2:22" x14ac:dyDescent="0.25">
      <c r="B198" s="36">
        <v>46308</v>
      </c>
      <c r="C198" s="28" t="s">
        <v>91</v>
      </c>
      <c r="D198" s="28" t="s">
        <v>85</v>
      </c>
      <c r="E198" s="33">
        <v>1</v>
      </c>
      <c r="F198" s="28" t="s">
        <v>103</v>
      </c>
      <c r="G198" s="33">
        <v>60</v>
      </c>
      <c r="H198" s="33">
        <v>82</v>
      </c>
      <c r="I198" s="28" t="s">
        <v>110</v>
      </c>
      <c r="J198" s="37">
        <f>IF(tblBoard[[#This Row],[Date]]="","",IFERROR(INDEX(tblProducts[Takt time (s)],MATCH(tblBoard[[#This Row],[Product]],tblProducts[Product],0)),""))</f>
        <v>40</v>
      </c>
      <c r="K198" s="38">
        <f>IF(tblBoard[[#This Row],[Date]]="","",IF(OR(tblBoard[[#This Row],[Takt (s)]]="",tblBoard[[#This Row],[Available (min)]]=""),"",INT(tblBoard[[#This Row],[Available (min)]]*60/tblBoard[[#This Row],[Takt (s)]])))</f>
        <v>90</v>
      </c>
      <c r="L198" s="38">
        <f>IF(tblBoard[[#This Row],[Date]]="","",IF(tblBoard[[#This Row],[Target (units)]]="","",tblBoard[[#This Row],[Actual (units)]]-tblBoard[[#This Row],[Target (units)]]))</f>
        <v>-8</v>
      </c>
      <c r="M198" s="38">
        <f>IF(tblBoard[[#This Row],[Date]]="","",IF(tblBoard[[#This Row],[Target (units)]]="","",MAX(0,tblBoard[[#This Row],[Target (units)]]-tblBoard[[#This Row],[Actual (units)]])))</f>
        <v>8</v>
      </c>
      <c r="N198" s="39">
        <f>IF(tblBoard[[#This Row],[Date]]="","",IF(N(tblBoard[[#This Row],[Target (units)]])&gt;0,tblBoard[[#This Row],[Actual (units)]]/tblBoard[[#This Row],[Target (units)]],""))</f>
        <v>0.911111111111111</v>
      </c>
      <c r="O198" s="38">
        <f>IF(tblBoard[[#This Row],[Date]]="","",IF(N(tblBoard[[#This Row],[Target (units)]])&gt;0,IF(tblBoard[[#This Row],[Actual (units)]]&gt;=tblBoard[[#This Row],[Target (units)]]*TargetHour,1,0),""))</f>
        <v>0</v>
      </c>
      <c r="P198" s="40" t="str">
        <f>IF(NOT(ISNUMBER(tblBoard[[#This Row],[Attainment]])),"",IF(tblBoard[[#This Row],[Attainment]]&gt;=TargetHour,"On target",IF(tblBoard[[#This Row],[Attainment]]&gt;=TargetHour*(1-0.05),"Near target","Below target")))</f>
        <v>Below target</v>
      </c>
      <c r="Q198" s="38">
        <f>IF(tblBoard[[#This Row],[Date]]="","",IF(tblBoard[[#This Row],[Hour]]="","",SUMIFS(tblBoard[Target (units)],tblBoard[Date],tblBoard[[#This Row],[Date]],tblBoard[Shift],tblBoard[[#This Row],[Shift]],tblBoard[Line],tblBoard[[#This Row],[Line]],tblBoard[Hour],"&lt;="&amp;tblBoard[[#This Row],[Hour]])))</f>
        <v>90</v>
      </c>
      <c r="R198" s="38">
        <f>IF(tblBoard[[#This Row],[Date]]="","",IF(tblBoard[[#This Row],[Hour]]="","",SUMIFS(tblBoard[Actual (units)],tblBoard[Date],tblBoard[[#This Row],[Date]],tblBoard[Shift],tblBoard[[#This Row],[Shift]],tblBoard[Line],tblBoard[[#This Row],[Line]],tblBoard[Hour],"&lt;="&amp;tblBoard[[#This Row],[Hour]])))</f>
        <v>82</v>
      </c>
      <c r="S198" s="38">
        <f>IF(tblBoard[[#This Row],[Date]]="","",IF(tblBoard[[#This Row],[Cum. target]]="","",tblBoard[[#This Row],[Cum. actual]]-tblBoard[[#This Row],[Cum. target]]))</f>
        <v>-8</v>
      </c>
      <c r="T198" s="41">
        <f>IF(tblBoard[[#This Row],[Date]]="","",IF(AND(tblBoard[[#This Row],[Date]]&gt;=FFrom,tblBoard[[#This Row],[Date]]&lt;=FTo,OR(DashLine="",tblBoard[[#This Row],[Line]]=DashLine)),tblBoard[[#This Row],[Date]],""))</f>
        <v>46308</v>
      </c>
      <c r="U19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8" s="43" t="s">
        <v>97</v>
      </c>
    </row>
    <row r="199" spans="2:22" x14ac:dyDescent="0.25">
      <c r="B199" s="36">
        <v>46308</v>
      </c>
      <c r="C199" s="28" t="s">
        <v>91</v>
      </c>
      <c r="D199" s="28" t="s">
        <v>85</v>
      </c>
      <c r="E199" s="33">
        <v>2</v>
      </c>
      <c r="F199" s="28" t="s">
        <v>103</v>
      </c>
      <c r="G199" s="33">
        <v>60</v>
      </c>
      <c r="H199" s="33">
        <v>85</v>
      </c>
      <c r="I199" s="28" t="s">
        <v>114</v>
      </c>
      <c r="J199" s="37">
        <f>IF(tblBoard[[#This Row],[Date]]="","",IFERROR(INDEX(tblProducts[Takt time (s)],MATCH(tblBoard[[#This Row],[Product]],tblProducts[Product],0)),""))</f>
        <v>40</v>
      </c>
      <c r="K199" s="38">
        <f>IF(tblBoard[[#This Row],[Date]]="","",IF(OR(tblBoard[[#This Row],[Takt (s)]]="",tblBoard[[#This Row],[Available (min)]]=""),"",INT(tblBoard[[#This Row],[Available (min)]]*60/tblBoard[[#This Row],[Takt (s)]])))</f>
        <v>90</v>
      </c>
      <c r="L199" s="38">
        <f>IF(tblBoard[[#This Row],[Date]]="","",IF(tblBoard[[#This Row],[Target (units)]]="","",tblBoard[[#This Row],[Actual (units)]]-tblBoard[[#This Row],[Target (units)]]))</f>
        <v>-5</v>
      </c>
      <c r="M199" s="38">
        <f>IF(tblBoard[[#This Row],[Date]]="","",IF(tblBoard[[#This Row],[Target (units)]]="","",MAX(0,tblBoard[[#This Row],[Target (units)]]-tblBoard[[#This Row],[Actual (units)]])))</f>
        <v>5</v>
      </c>
      <c r="N199" s="39">
        <f>IF(tblBoard[[#This Row],[Date]]="","",IF(N(tblBoard[[#This Row],[Target (units)]])&gt;0,tblBoard[[#This Row],[Actual (units)]]/tblBoard[[#This Row],[Target (units)]],""))</f>
        <v>0.944444444444444</v>
      </c>
      <c r="O199" s="38">
        <f>IF(tblBoard[[#This Row],[Date]]="","",IF(N(tblBoard[[#This Row],[Target (units)]])&gt;0,IF(tblBoard[[#This Row],[Actual (units)]]&gt;=tblBoard[[#This Row],[Target (units)]]*TargetHour,1,0),""))</f>
        <v>0</v>
      </c>
      <c r="P199" s="40" t="str">
        <f>IF(NOT(ISNUMBER(tblBoard[[#This Row],[Attainment]])),"",IF(tblBoard[[#This Row],[Attainment]]&gt;=TargetHour,"On target",IF(tblBoard[[#This Row],[Attainment]]&gt;=TargetHour*(1-0.05),"Near target","Below target")))</f>
        <v>Below target</v>
      </c>
      <c r="Q199" s="38">
        <f>IF(tblBoard[[#This Row],[Date]]="","",IF(tblBoard[[#This Row],[Hour]]="","",SUMIFS(tblBoard[Target (units)],tblBoard[Date],tblBoard[[#This Row],[Date]],tblBoard[Shift],tblBoard[[#This Row],[Shift]],tblBoard[Line],tblBoard[[#This Row],[Line]],tblBoard[Hour],"&lt;="&amp;tblBoard[[#This Row],[Hour]])))</f>
        <v>180</v>
      </c>
      <c r="R199" s="38">
        <f>IF(tblBoard[[#This Row],[Date]]="","",IF(tblBoard[[#This Row],[Hour]]="","",SUMIFS(tblBoard[Actual (units)],tblBoard[Date],tblBoard[[#This Row],[Date]],tblBoard[Shift],tblBoard[[#This Row],[Shift]],tblBoard[Line],tblBoard[[#This Row],[Line]],tblBoard[Hour],"&lt;="&amp;tblBoard[[#This Row],[Hour]])))</f>
        <v>167</v>
      </c>
      <c r="S199" s="38">
        <f>IF(tblBoard[[#This Row],[Date]]="","",IF(tblBoard[[#This Row],[Cum. target]]="","",tblBoard[[#This Row],[Cum. actual]]-tblBoard[[#This Row],[Cum. target]]))</f>
        <v>-13</v>
      </c>
      <c r="T199" s="41">
        <f>IF(tblBoard[[#This Row],[Date]]="","",IF(AND(tblBoard[[#This Row],[Date]]&gt;=FFrom,tblBoard[[#This Row],[Date]]&lt;=FTo,OR(DashLine="",tblBoard[[#This Row],[Line]]=DashLine)),tblBoard[[#This Row],[Date]],""))</f>
        <v>46308</v>
      </c>
      <c r="U19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199" s="43" t="s">
        <v>97</v>
      </c>
    </row>
    <row r="200" spans="2:22" x14ac:dyDescent="0.25">
      <c r="B200" s="36">
        <v>46308</v>
      </c>
      <c r="C200" s="28" t="s">
        <v>91</v>
      </c>
      <c r="D200" s="28" t="s">
        <v>85</v>
      </c>
      <c r="E200" s="33">
        <v>3</v>
      </c>
      <c r="F200" s="28" t="s">
        <v>103</v>
      </c>
      <c r="G200" s="33">
        <v>50</v>
      </c>
      <c r="H200" s="33">
        <v>73</v>
      </c>
      <c r="I200" s="28" t="s">
        <v>114</v>
      </c>
      <c r="J200" s="37">
        <f>IF(tblBoard[[#This Row],[Date]]="","",IFERROR(INDEX(tblProducts[Takt time (s)],MATCH(tblBoard[[#This Row],[Product]],tblProducts[Product],0)),""))</f>
        <v>40</v>
      </c>
      <c r="K200" s="38">
        <f>IF(tblBoard[[#This Row],[Date]]="","",IF(OR(tblBoard[[#This Row],[Takt (s)]]="",tblBoard[[#This Row],[Available (min)]]=""),"",INT(tblBoard[[#This Row],[Available (min)]]*60/tblBoard[[#This Row],[Takt (s)]])))</f>
        <v>75</v>
      </c>
      <c r="L200" s="38">
        <f>IF(tblBoard[[#This Row],[Date]]="","",IF(tblBoard[[#This Row],[Target (units)]]="","",tblBoard[[#This Row],[Actual (units)]]-tblBoard[[#This Row],[Target (units)]]))</f>
        <v>-2</v>
      </c>
      <c r="M200" s="38">
        <f>IF(tblBoard[[#This Row],[Date]]="","",IF(tblBoard[[#This Row],[Target (units)]]="","",MAX(0,tblBoard[[#This Row],[Target (units)]]-tblBoard[[#This Row],[Actual (units)]])))</f>
        <v>2</v>
      </c>
      <c r="N200" s="39">
        <f>IF(tblBoard[[#This Row],[Date]]="","",IF(N(tblBoard[[#This Row],[Target (units)]])&gt;0,tblBoard[[#This Row],[Actual (units)]]/tblBoard[[#This Row],[Target (units)]],""))</f>
        <v>0.973333333333333</v>
      </c>
      <c r="O200" s="38">
        <f>IF(tblBoard[[#This Row],[Date]]="","",IF(N(tblBoard[[#This Row],[Target (units)]])&gt;0,IF(tblBoard[[#This Row],[Actual (units)]]&gt;=tblBoard[[#This Row],[Target (units)]]*TargetHour,1,0),""))</f>
        <v>0</v>
      </c>
      <c r="P200" s="40" t="str">
        <f>IF(NOT(ISNUMBER(tblBoard[[#This Row],[Attainment]])),"",IF(tblBoard[[#This Row],[Attainment]]&gt;=TargetHour,"On target",IF(tblBoard[[#This Row],[Attainment]]&gt;=TargetHour*(1-0.05),"Near target","Below target")))</f>
        <v>Near target</v>
      </c>
      <c r="Q200" s="38">
        <f>IF(tblBoard[[#This Row],[Date]]="","",IF(tblBoard[[#This Row],[Hour]]="","",SUMIFS(tblBoard[Target (units)],tblBoard[Date],tblBoard[[#This Row],[Date]],tblBoard[Shift],tblBoard[[#This Row],[Shift]],tblBoard[Line],tblBoard[[#This Row],[Line]],tblBoard[Hour],"&lt;="&amp;tblBoard[[#This Row],[Hour]])))</f>
        <v>255</v>
      </c>
      <c r="R200" s="38">
        <f>IF(tblBoard[[#This Row],[Date]]="","",IF(tblBoard[[#This Row],[Hour]]="","",SUMIFS(tblBoard[Actual (units)],tblBoard[Date],tblBoard[[#This Row],[Date]],tblBoard[Shift],tblBoard[[#This Row],[Shift]],tblBoard[Line],tblBoard[[#This Row],[Line]],tblBoard[Hour],"&lt;="&amp;tblBoard[[#This Row],[Hour]])))</f>
        <v>240</v>
      </c>
      <c r="S200" s="38">
        <f>IF(tblBoard[[#This Row],[Date]]="","",IF(tblBoard[[#This Row],[Cum. target]]="","",tblBoard[[#This Row],[Cum. actual]]-tblBoard[[#This Row],[Cum. target]]))</f>
        <v>-15</v>
      </c>
      <c r="T200" s="41">
        <f>IF(tblBoard[[#This Row],[Date]]="","",IF(AND(tblBoard[[#This Row],[Date]]&gt;=FFrom,tblBoard[[#This Row],[Date]]&lt;=FTo,OR(DashLine="",tblBoard[[#This Row],[Line]]=DashLine)),tblBoard[[#This Row],[Date]],""))</f>
        <v>46308</v>
      </c>
      <c r="U20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0" s="43" t="s">
        <v>97</v>
      </c>
    </row>
    <row r="201" spans="2:22" x14ac:dyDescent="0.25">
      <c r="B201" s="36">
        <v>46308</v>
      </c>
      <c r="C201" s="28" t="s">
        <v>91</v>
      </c>
      <c r="D201" s="28" t="s">
        <v>85</v>
      </c>
      <c r="E201" s="33">
        <v>4</v>
      </c>
      <c r="F201" s="28" t="s">
        <v>103</v>
      </c>
      <c r="G201" s="33">
        <v>60</v>
      </c>
      <c r="H201" s="33">
        <v>90</v>
      </c>
      <c r="I201" s="28"/>
      <c r="J201" s="37">
        <f>IF(tblBoard[[#This Row],[Date]]="","",IFERROR(INDEX(tblProducts[Takt time (s)],MATCH(tblBoard[[#This Row],[Product]],tblProducts[Product],0)),""))</f>
        <v>40</v>
      </c>
      <c r="K201" s="38">
        <f>IF(tblBoard[[#This Row],[Date]]="","",IF(OR(tblBoard[[#This Row],[Takt (s)]]="",tblBoard[[#This Row],[Available (min)]]=""),"",INT(tblBoard[[#This Row],[Available (min)]]*60/tblBoard[[#This Row],[Takt (s)]])))</f>
        <v>90</v>
      </c>
      <c r="L201" s="38">
        <f>IF(tblBoard[[#This Row],[Date]]="","",IF(tblBoard[[#This Row],[Target (units)]]="","",tblBoard[[#This Row],[Actual (units)]]-tblBoard[[#This Row],[Target (units)]]))</f>
        <v>0</v>
      </c>
      <c r="M201" s="38">
        <f>IF(tblBoard[[#This Row],[Date]]="","",IF(tblBoard[[#This Row],[Target (units)]]="","",MAX(0,tblBoard[[#This Row],[Target (units)]]-tblBoard[[#This Row],[Actual (units)]])))</f>
        <v>0</v>
      </c>
      <c r="N201" s="39">
        <f>IF(tblBoard[[#This Row],[Date]]="","",IF(N(tblBoard[[#This Row],[Target (units)]])&gt;0,tblBoard[[#This Row],[Actual (units)]]/tblBoard[[#This Row],[Target (units)]],""))</f>
        <v>1</v>
      </c>
      <c r="O201" s="38">
        <f>IF(tblBoard[[#This Row],[Date]]="","",IF(N(tblBoard[[#This Row],[Target (units)]])&gt;0,IF(tblBoard[[#This Row],[Actual (units)]]&gt;=tblBoard[[#This Row],[Target (units)]]*TargetHour,1,0),""))</f>
        <v>1</v>
      </c>
      <c r="P201" s="40" t="str">
        <f>IF(NOT(ISNUMBER(tblBoard[[#This Row],[Attainment]])),"",IF(tblBoard[[#This Row],[Attainment]]&gt;=TargetHour,"On target",IF(tblBoard[[#This Row],[Attainment]]&gt;=TargetHour*(1-0.05),"Near target","Below target")))</f>
        <v>On target</v>
      </c>
      <c r="Q201" s="38">
        <f>IF(tblBoard[[#This Row],[Date]]="","",IF(tblBoard[[#This Row],[Hour]]="","",SUMIFS(tblBoard[Target (units)],tblBoard[Date],tblBoard[[#This Row],[Date]],tblBoard[Shift],tblBoard[[#This Row],[Shift]],tblBoard[Line],tblBoard[[#This Row],[Line]],tblBoard[Hour],"&lt;="&amp;tblBoard[[#This Row],[Hour]])))</f>
        <v>345</v>
      </c>
      <c r="R201" s="38">
        <f>IF(tblBoard[[#This Row],[Date]]="","",IF(tblBoard[[#This Row],[Hour]]="","",SUMIFS(tblBoard[Actual (units)],tblBoard[Date],tblBoard[[#This Row],[Date]],tblBoard[Shift],tblBoard[[#This Row],[Shift]],tblBoard[Line],tblBoard[[#This Row],[Line]],tblBoard[Hour],"&lt;="&amp;tblBoard[[#This Row],[Hour]])))</f>
        <v>330</v>
      </c>
      <c r="S201" s="38">
        <f>IF(tblBoard[[#This Row],[Date]]="","",IF(tblBoard[[#This Row],[Cum. target]]="","",tblBoard[[#This Row],[Cum. actual]]-tblBoard[[#This Row],[Cum. target]]))</f>
        <v>-15</v>
      </c>
      <c r="T201" s="41">
        <f>IF(tblBoard[[#This Row],[Date]]="","",IF(AND(tblBoard[[#This Row],[Date]]&gt;=FFrom,tblBoard[[#This Row],[Date]]&lt;=FTo,OR(DashLine="",tblBoard[[#This Row],[Line]]=DashLine)),tblBoard[[#This Row],[Date]],""))</f>
        <v>46308</v>
      </c>
      <c r="U20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1" s="43" t="s">
        <v>97</v>
      </c>
    </row>
    <row r="202" spans="2:22" x14ac:dyDescent="0.25">
      <c r="B202" s="36">
        <v>46308</v>
      </c>
      <c r="C202" s="28" t="s">
        <v>91</v>
      </c>
      <c r="D202" s="28" t="s">
        <v>85</v>
      </c>
      <c r="E202" s="33">
        <v>5</v>
      </c>
      <c r="F202" s="28" t="s">
        <v>103</v>
      </c>
      <c r="G202" s="33">
        <v>30</v>
      </c>
      <c r="H202" s="33">
        <v>44</v>
      </c>
      <c r="I202" s="28" t="s">
        <v>118</v>
      </c>
      <c r="J202" s="37">
        <f>IF(tblBoard[[#This Row],[Date]]="","",IFERROR(INDEX(tblProducts[Takt time (s)],MATCH(tblBoard[[#This Row],[Product]],tblProducts[Product],0)),""))</f>
        <v>40</v>
      </c>
      <c r="K202" s="38">
        <f>IF(tblBoard[[#This Row],[Date]]="","",IF(OR(tblBoard[[#This Row],[Takt (s)]]="",tblBoard[[#This Row],[Available (min)]]=""),"",INT(tblBoard[[#This Row],[Available (min)]]*60/tblBoard[[#This Row],[Takt (s)]])))</f>
        <v>45</v>
      </c>
      <c r="L202" s="38">
        <f>IF(tblBoard[[#This Row],[Date]]="","",IF(tblBoard[[#This Row],[Target (units)]]="","",tblBoard[[#This Row],[Actual (units)]]-tblBoard[[#This Row],[Target (units)]]))</f>
        <v>-1</v>
      </c>
      <c r="M202" s="38">
        <f>IF(tblBoard[[#This Row],[Date]]="","",IF(tblBoard[[#This Row],[Target (units)]]="","",MAX(0,tblBoard[[#This Row],[Target (units)]]-tblBoard[[#This Row],[Actual (units)]])))</f>
        <v>1</v>
      </c>
      <c r="N202" s="39">
        <f>IF(tblBoard[[#This Row],[Date]]="","",IF(N(tblBoard[[#This Row],[Target (units)]])&gt;0,tblBoard[[#This Row],[Actual (units)]]/tblBoard[[#This Row],[Target (units)]],""))</f>
        <v>0.977777777777778</v>
      </c>
      <c r="O202" s="38">
        <f>IF(tblBoard[[#This Row],[Date]]="","",IF(N(tblBoard[[#This Row],[Target (units)]])&gt;0,IF(tblBoard[[#This Row],[Actual (units)]]&gt;=tblBoard[[#This Row],[Target (units)]]*TargetHour,1,0),""))</f>
        <v>0</v>
      </c>
      <c r="P202" s="40" t="str">
        <f>IF(NOT(ISNUMBER(tblBoard[[#This Row],[Attainment]])),"",IF(tblBoard[[#This Row],[Attainment]]&gt;=TargetHour,"On target",IF(tblBoard[[#This Row],[Attainment]]&gt;=TargetHour*(1-0.05),"Near target","Below target")))</f>
        <v>Near target</v>
      </c>
      <c r="Q202" s="38">
        <f>IF(tblBoard[[#This Row],[Date]]="","",IF(tblBoard[[#This Row],[Hour]]="","",SUMIFS(tblBoard[Target (units)],tblBoard[Date],tblBoard[[#This Row],[Date]],tblBoard[Shift],tblBoard[[#This Row],[Shift]],tblBoard[Line],tblBoard[[#This Row],[Line]],tblBoard[Hour],"&lt;="&amp;tblBoard[[#This Row],[Hour]])))</f>
        <v>390</v>
      </c>
      <c r="R202" s="38">
        <f>IF(tblBoard[[#This Row],[Date]]="","",IF(tblBoard[[#This Row],[Hour]]="","",SUMIFS(tblBoard[Actual (units)],tblBoard[Date],tblBoard[[#This Row],[Date]],tblBoard[Shift],tblBoard[[#This Row],[Shift]],tblBoard[Line],tblBoard[[#This Row],[Line]],tblBoard[Hour],"&lt;="&amp;tblBoard[[#This Row],[Hour]])))</f>
        <v>374</v>
      </c>
      <c r="S202" s="38">
        <f>IF(tblBoard[[#This Row],[Date]]="","",IF(tblBoard[[#This Row],[Cum. target]]="","",tblBoard[[#This Row],[Cum. actual]]-tblBoard[[#This Row],[Cum. target]]))</f>
        <v>-16</v>
      </c>
      <c r="T202" s="41">
        <f>IF(tblBoard[[#This Row],[Date]]="","",IF(AND(tblBoard[[#This Row],[Date]]&gt;=FFrom,tblBoard[[#This Row],[Date]]&lt;=FTo,OR(DashLine="",tblBoard[[#This Row],[Line]]=DashLine)),tblBoard[[#This Row],[Date]],""))</f>
        <v>46308</v>
      </c>
      <c r="U20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2" s="43" t="s">
        <v>97</v>
      </c>
    </row>
    <row r="203" spans="2:22" x14ac:dyDescent="0.25">
      <c r="B203" s="36">
        <v>46308</v>
      </c>
      <c r="C203" s="28" t="s">
        <v>91</v>
      </c>
      <c r="D203" s="28" t="s">
        <v>85</v>
      </c>
      <c r="E203" s="33">
        <v>6</v>
      </c>
      <c r="F203" s="28" t="s">
        <v>103</v>
      </c>
      <c r="G203" s="33">
        <v>60</v>
      </c>
      <c r="H203" s="33">
        <v>81</v>
      </c>
      <c r="I203" s="28" t="s">
        <v>114</v>
      </c>
      <c r="J203" s="37">
        <f>IF(tblBoard[[#This Row],[Date]]="","",IFERROR(INDEX(tblProducts[Takt time (s)],MATCH(tblBoard[[#This Row],[Product]],tblProducts[Product],0)),""))</f>
        <v>40</v>
      </c>
      <c r="K203" s="38">
        <f>IF(tblBoard[[#This Row],[Date]]="","",IF(OR(tblBoard[[#This Row],[Takt (s)]]="",tblBoard[[#This Row],[Available (min)]]=""),"",INT(tblBoard[[#This Row],[Available (min)]]*60/tblBoard[[#This Row],[Takt (s)]])))</f>
        <v>90</v>
      </c>
      <c r="L203" s="38">
        <f>IF(tblBoard[[#This Row],[Date]]="","",IF(tblBoard[[#This Row],[Target (units)]]="","",tblBoard[[#This Row],[Actual (units)]]-tblBoard[[#This Row],[Target (units)]]))</f>
        <v>-9</v>
      </c>
      <c r="M203" s="38">
        <f>IF(tblBoard[[#This Row],[Date]]="","",IF(tblBoard[[#This Row],[Target (units)]]="","",MAX(0,tblBoard[[#This Row],[Target (units)]]-tblBoard[[#This Row],[Actual (units)]])))</f>
        <v>9</v>
      </c>
      <c r="N203" s="39">
        <f>IF(tblBoard[[#This Row],[Date]]="","",IF(N(tblBoard[[#This Row],[Target (units)]])&gt;0,tblBoard[[#This Row],[Actual (units)]]/tblBoard[[#This Row],[Target (units)]],""))</f>
        <v>0.9</v>
      </c>
      <c r="O203" s="38">
        <f>IF(tblBoard[[#This Row],[Date]]="","",IF(N(tblBoard[[#This Row],[Target (units)]])&gt;0,IF(tblBoard[[#This Row],[Actual (units)]]&gt;=tblBoard[[#This Row],[Target (units)]]*TargetHour,1,0),""))</f>
        <v>0</v>
      </c>
      <c r="P203" s="40" t="str">
        <f>IF(NOT(ISNUMBER(tblBoard[[#This Row],[Attainment]])),"",IF(tblBoard[[#This Row],[Attainment]]&gt;=TargetHour,"On target",IF(tblBoard[[#This Row],[Attainment]]&gt;=TargetHour*(1-0.05),"Near target","Below target")))</f>
        <v>Below target</v>
      </c>
      <c r="Q203" s="38">
        <f>IF(tblBoard[[#This Row],[Date]]="","",IF(tblBoard[[#This Row],[Hour]]="","",SUMIFS(tblBoard[Target (units)],tblBoard[Date],tblBoard[[#This Row],[Date]],tblBoard[Shift],tblBoard[[#This Row],[Shift]],tblBoard[Line],tblBoard[[#This Row],[Line]],tblBoard[Hour],"&lt;="&amp;tblBoard[[#This Row],[Hour]])))</f>
        <v>480</v>
      </c>
      <c r="R203" s="38">
        <f>IF(tblBoard[[#This Row],[Date]]="","",IF(tblBoard[[#This Row],[Hour]]="","",SUMIFS(tblBoard[Actual (units)],tblBoard[Date],tblBoard[[#This Row],[Date]],tblBoard[Shift],tblBoard[[#This Row],[Shift]],tblBoard[Line],tblBoard[[#This Row],[Line]],tblBoard[Hour],"&lt;="&amp;tblBoard[[#This Row],[Hour]])))</f>
        <v>455</v>
      </c>
      <c r="S203" s="38">
        <f>IF(tblBoard[[#This Row],[Date]]="","",IF(tblBoard[[#This Row],[Cum. target]]="","",tblBoard[[#This Row],[Cum. actual]]-tblBoard[[#This Row],[Cum. target]]))</f>
        <v>-25</v>
      </c>
      <c r="T203" s="41">
        <f>IF(tblBoard[[#This Row],[Date]]="","",IF(AND(tblBoard[[#This Row],[Date]]&gt;=FFrom,tblBoard[[#This Row],[Date]]&lt;=FTo,OR(DashLine="",tblBoard[[#This Row],[Line]]=DashLine)),tblBoard[[#This Row],[Date]],""))</f>
        <v>46308</v>
      </c>
      <c r="U20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3" s="43" t="s">
        <v>97</v>
      </c>
    </row>
    <row r="204" spans="2:22" x14ac:dyDescent="0.25">
      <c r="B204" s="36">
        <v>46308</v>
      </c>
      <c r="C204" s="28" t="s">
        <v>91</v>
      </c>
      <c r="D204" s="28" t="s">
        <v>85</v>
      </c>
      <c r="E204" s="33">
        <v>7</v>
      </c>
      <c r="F204" s="28" t="s">
        <v>103</v>
      </c>
      <c r="G204" s="33">
        <v>50</v>
      </c>
      <c r="H204" s="33">
        <v>76</v>
      </c>
      <c r="I204" s="28"/>
      <c r="J204" s="37">
        <f>IF(tblBoard[[#This Row],[Date]]="","",IFERROR(INDEX(tblProducts[Takt time (s)],MATCH(tblBoard[[#This Row],[Product]],tblProducts[Product],0)),""))</f>
        <v>40</v>
      </c>
      <c r="K204" s="38">
        <f>IF(tblBoard[[#This Row],[Date]]="","",IF(OR(tblBoard[[#This Row],[Takt (s)]]="",tblBoard[[#This Row],[Available (min)]]=""),"",INT(tblBoard[[#This Row],[Available (min)]]*60/tblBoard[[#This Row],[Takt (s)]])))</f>
        <v>75</v>
      </c>
      <c r="L204" s="38">
        <f>IF(tblBoard[[#This Row],[Date]]="","",IF(tblBoard[[#This Row],[Target (units)]]="","",tblBoard[[#This Row],[Actual (units)]]-tblBoard[[#This Row],[Target (units)]]))</f>
        <v>1</v>
      </c>
      <c r="M204" s="38">
        <f>IF(tblBoard[[#This Row],[Date]]="","",IF(tblBoard[[#This Row],[Target (units)]]="","",MAX(0,tblBoard[[#This Row],[Target (units)]]-tblBoard[[#This Row],[Actual (units)]])))</f>
        <v>0</v>
      </c>
      <c r="N204" s="39">
        <f>IF(tblBoard[[#This Row],[Date]]="","",IF(N(tblBoard[[#This Row],[Target (units)]])&gt;0,tblBoard[[#This Row],[Actual (units)]]/tblBoard[[#This Row],[Target (units)]],""))</f>
        <v>1.01333333333333</v>
      </c>
      <c r="O204" s="38">
        <f>IF(tblBoard[[#This Row],[Date]]="","",IF(N(tblBoard[[#This Row],[Target (units)]])&gt;0,IF(tblBoard[[#This Row],[Actual (units)]]&gt;=tblBoard[[#This Row],[Target (units)]]*TargetHour,1,0),""))</f>
        <v>1</v>
      </c>
      <c r="P204" s="40" t="str">
        <f>IF(NOT(ISNUMBER(tblBoard[[#This Row],[Attainment]])),"",IF(tblBoard[[#This Row],[Attainment]]&gt;=TargetHour,"On target",IF(tblBoard[[#This Row],[Attainment]]&gt;=TargetHour*(1-0.05),"Near target","Below target")))</f>
        <v>On target</v>
      </c>
      <c r="Q204" s="38">
        <f>IF(tblBoard[[#This Row],[Date]]="","",IF(tblBoard[[#This Row],[Hour]]="","",SUMIFS(tblBoard[Target (units)],tblBoard[Date],tblBoard[[#This Row],[Date]],tblBoard[Shift],tblBoard[[#This Row],[Shift]],tblBoard[Line],tblBoard[[#This Row],[Line]],tblBoard[Hour],"&lt;="&amp;tblBoard[[#This Row],[Hour]])))</f>
        <v>555</v>
      </c>
      <c r="R204" s="38">
        <f>IF(tblBoard[[#This Row],[Date]]="","",IF(tblBoard[[#This Row],[Hour]]="","",SUMIFS(tblBoard[Actual (units)],tblBoard[Date],tblBoard[[#This Row],[Date]],tblBoard[Shift],tblBoard[[#This Row],[Shift]],tblBoard[Line],tblBoard[[#This Row],[Line]],tblBoard[Hour],"&lt;="&amp;tblBoard[[#This Row],[Hour]])))</f>
        <v>531</v>
      </c>
      <c r="S204" s="38">
        <f>IF(tblBoard[[#This Row],[Date]]="","",IF(tblBoard[[#This Row],[Cum. target]]="","",tblBoard[[#This Row],[Cum. actual]]-tblBoard[[#This Row],[Cum. target]]))</f>
        <v>-24</v>
      </c>
      <c r="T204" s="41">
        <f>IF(tblBoard[[#This Row],[Date]]="","",IF(AND(tblBoard[[#This Row],[Date]]&gt;=FFrom,tblBoard[[#This Row],[Date]]&lt;=FTo,OR(DashLine="",tblBoard[[#This Row],[Line]]=DashLine)),tblBoard[[#This Row],[Date]],""))</f>
        <v>46308</v>
      </c>
      <c r="U20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4" s="43" t="s">
        <v>97</v>
      </c>
    </row>
    <row r="205" spans="2:22" x14ac:dyDescent="0.25">
      <c r="B205" s="36">
        <v>46308</v>
      </c>
      <c r="C205" s="28" t="s">
        <v>91</v>
      </c>
      <c r="D205" s="28" t="s">
        <v>85</v>
      </c>
      <c r="E205" s="33">
        <v>8</v>
      </c>
      <c r="F205" s="28" t="s">
        <v>103</v>
      </c>
      <c r="G205" s="33">
        <v>50</v>
      </c>
      <c r="H205" s="33">
        <v>73</v>
      </c>
      <c r="I205" s="28" t="s">
        <v>114</v>
      </c>
      <c r="J205" s="37">
        <f>IF(tblBoard[[#This Row],[Date]]="","",IFERROR(INDEX(tblProducts[Takt time (s)],MATCH(tblBoard[[#This Row],[Product]],tblProducts[Product],0)),""))</f>
        <v>40</v>
      </c>
      <c r="K205" s="38">
        <f>IF(tblBoard[[#This Row],[Date]]="","",IF(OR(tblBoard[[#This Row],[Takt (s)]]="",tblBoard[[#This Row],[Available (min)]]=""),"",INT(tblBoard[[#This Row],[Available (min)]]*60/tblBoard[[#This Row],[Takt (s)]])))</f>
        <v>75</v>
      </c>
      <c r="L205" s="38">
        <f>IF(tblBoard[[#This Row],[Date]]="","",IF(tblBoard[[#This Row],[Target (units)]]="","",tblBoard[[#This Row],[Actual (units)]]-tblBoard[[#This Row],[Target (units)]]))</f>
        <v>-2</v>
      </c>
      <c r="M205" s="38">
        <f>IF(tblBoard[[#This Row],[Date]]="","",IF(tblBoard[[#This Row],[Target (units)]]="","",MAX(0,tblBoard[[#This Row],[Target (units)]]-tblBoard[[#This Row],[Actual (units)]])))</f>
        <v>2</v>
      </c>
      <c r="N205" s="39">
        <f>IF(tblBoard[[#This Row],[Date]]="","",IF(N(tblBoard[[#This Row],[Target (units)]])&gt;0,tblBoard[[#This Row],[Actual (units)]]/tblBoard[[#This Row],[Target (units)]],""))</f>
        <v>0.973333333333333</v>
      </c>
      <c r="O205" s="38">
        <f>IF(tblBoard[[#This Row],[Date]]="","",IF(N(tblBoard[[#This Row],[Target (units)]])&gt;0,IF(tblBoard[[#This Row],[Actual (units)]]&gt;=tblBoard[[#This Row],[Target (units)]]*TargetHour,1,0),""))</f>
        <v>0</v>
      </c>
      <c r="P205" s="40" t="str">
        <f>IF(NOT(ISNUMBER(tblBoard[[#This Row],[Attainment]])),"",IF(tblBoard[[#This Row],[Attainment]]&gt;=TargetHour,"On target",IF(tblBoard[[#This Row],[Attainment]]&gt;=TargetHour*(1-0.05),"Near target","Below target")))</f>
        <v>Near target</v>
      </c>
      <c r="Q205" s="38">
        <f>IF(tblBoard[[#This Row],[Date]]="","",IF(tblBoard[[#This Row],[Hour]]="","",SUMIFS(tblBoard[Target (units)],tblBoard[Date],tblBoard[[#This Row],[Date]],tblBoard[Shift],tblBoard[[#This Row],[Shift]],tblBoard[Line],tblBoard[[#This Row],[Line]],tblBoard[Hour],"&lt;="&amp;tblBoard[[#This Row],[Hour]])))</f>
        <v>630</v>
      </c>
      <c r="R205" s="38">
        <f>IF(tblBoard[[#This Row],[Date]]="","",IF(tblBoard[[#This Row],[Hour]]="","",SUMIFS(tblBoard[Actual (units)],tblBoard[Date],tblBoard[[#This Row],[Date]],tblBoard[Shift],tblBoard[[#This Row],[Shift]],tblBoard[Line],tblBoard[[#This Row],[Line]],tblBoard[Hour],"&lt;="&amp;tblBoard[[#This Row],[Hour]])))</f>
        <v>604</v>
      </c>
      <c r="S205" s="38">
        <f>IF(tblBoard[[#This Row],[Date]]="","",IF(tblBoard[[#This Row],[Cum. target]]="","",tblBoard[[#This Row],[Cum. actual]]-tblBoard[[#This Row],[Cum. target]]))</f>
        <v>-26</v>
      </c>
      <c r="T205" s="41">
        <f>IF(tblBoard[[#This Row],[Date]]="","",IF(AND(tblBoard[[#This Row],[Date]]&gt;=FFrom,tblBoard[[#This Row],[Date]]&lt;=FTo,OR(DashLine="",tblBoard[[#This Row],[Line]]=DashLine)),tblBoard[[#This Row],[Date]],""))</f>
        <v>46308</v>
      </c>
      <c r="U20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5" s="43" t="s">
        <v>97</v>
      </c>
    </row>
    <row r="206" spans="2:22" x14ac:dyDescent="0.25">
      <c r="B206" s="36">
        <v>46308</v>
      </c>
      <c r="C206" s="28" t="s">
        <v>91</v>
      </c>
      <c r="D206" s="28" t="s">
        <v>88</v>
      </c>
      <c r="E206" s="33">
        <v>1</v>
      </c>
      <c r="F206" s="28" t="s">
        <v>107</v>
      </c>
      <c r="G206" s="33">
        <v>60</v>
      </c>
      <c r="H206" s="33">
        <v>110</v>
      </c>
      <c r="I206" s="28" t="s">
        <v>110</v>
      </c>
      <c r="J206" s="37">
        <f>IF(tblBoard[[#This Row],[Date]]="","",IFERROR(INDEX(tblProducts[Takt time (s)],MATCH(tblBoard[[#This Row],[Product]],tblProducts[Product],0)),""))</f>
        <v>30</v>
      </c>
      <c r="K206" s="38">
        <f>IF(tblBoard[[#This Row],[Date]]="","",IF(OR(tblBoard[[#This Row],[Takt (s)]]="",tblBoard[[#This Row],[Available (min)]]=""),"",INT(tblBoard[[#This Row],[Available (min)]]*60/tblBoard[[#This Row],[Takt (s)]])))</f>
        <v>120</v>
      </c>
      <c r="L206" s="38">
        <f>IF(tblBoard[[#This Row],[Date]]="","",IF(tblBoard[[#This Row],[Target (units)]]="","",tblBoard[[#This Row],[Actual (units)]]-tblBoard[[#This Row],[Target (units)]]))</f>
        <v>-10</v>
      </c>
      <c r="M206" s="38">
        <f>IF(tblBoard[[#This Row],[Date]]="","",IF(tblBoard[[#This Row],[Target (units)]]="","",MAX(0,tblBoard[[#This Row],[Target (units)]]-tblBoard[[#This Row],[Actual (units)]])))</f>
        <v>10</v>
      </c>
      <c r="N206" s="39">
        <f>IF(tblBoard[[#This Row],[Date]]="","",IF(N(tblBoard[[#This Row],[Target (units)]])&gt;0,tblBoard[[#This Row],[Actual (units)]]/tblBoard[[#This Row],[Target (units)]],""))</f>
        <v>0.916666666666667</v>
      </c>
      <c r="O206" s="38">
        <f>IF(tblBoard[[#This Row],[Date]]="","",IF(N(tblBoard[[#This Row],[Target (units)]])&gt;0,IF(tblBoard[[#This Row],[Actual (units)]]&gt;=tblBoard[[#This Row],[Target (units)]]*TargetHour,1,0),""))</f>
        <v>0</v>
      </c>
      <c r="P206" s="40" t="str">
        <f>IF(NOT(ISNUMBER(tblBoard[[#This Row],[Attainment]])),"",IF(tblBoard[[#This Row],[Attainment]]&gt;=TargetHour,"On target",IF(tblBoard[[#This Row],[Attainment]]&gt;=TargetHour*(1-0.05),"Near target","Below target")))</f>
        <v>Below target</v>
      </c>
      <c r="Q206" s="38">
        <f>IF(tblBoard[[#This Row],[Date]]="","",IF(tblBoard[[#This Row],[Hour]]="","",SUMIFS(tblBoard[Target (units)],tblBoard[Date],tblBoard[[#This Row],[Date]],tblBoard[Shift],tblBoard[[#This Row],[Shift]],tblBoard[Line],tblBoard[[#This Row],[Line]],tblBoard[Hour],"&lt;="&amp;tblBoard[[#This Row],[Hour]])))</f>
        <v>120</v>
      </c>
      <c r="R206" s="38">
        <f>IF(tblBoard[[#This Row],[Date]]="","",IF(tblBoard[[#This Row],[Hour]]="","",SUMIFS(tblBoard[Actual (units)],tblBoard[Date],tblBoard[[#This Row],[Date]],tblBoard[Shift],tblBoard[[#This Row],[Shift]],tblBoard[Line],tblBoard[[#This Row],[Line]],tblBoard[Hour],"&lt;="&amp;tblBoard[[#This Row],[Hour]])))</f>
        <v>110</v>
      </c>
      <c r="S206" s="38">
        <f>IF(tblBoard[[#This Row],[Date]]="","",IF(tblBoard[[#This Row],[Cum. target]]="","",tblBoard[[#This Row],[Cum. actual]]-tblBoard[[#This Row],[Cum. target]]))</f>
        <v>-10</v>
      </c>
      <c r="T206" s="41">
        <f>IF(tblBoard[[#This Row],[Date]]="","",IF(AND(tblBoard[[#This Row],[Date]]&gt;=FFrom,tblBoard[[#This Row],[Date]]&lt;=FTo,OR(DashLine="",tblBoard[[#This Row],[Line]]=DashLine)),tblBoard[[#This Row],[Date]],""))</f>
        <v>46308</v>
      </c>
      <c r="U20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6" s="43" t="s">
        <v>97</v>
      </c>
    </row>
    <row r="207" spans="2:22" x14ac:dyDescent="0.25">
      <c r="B207" s="36">
        <v>46308</v>
      </c>
      <c r="C207" s="28" t="s">
        <v>91</v>
      </c>
      <c r="D207" s="28" t="s">
        <v>88</v>
      </c>
      <c r="E207" s="33">
        <v>2</v>
      </c>
      <c r="F207" s="28" t="s">
        <v>107</v>
      </c>
      <c r="G207" s="33">
        <v>60</v>
      </c>
      <c r="H207" s="33">
        <v>120</v>
      </c>
      <c r="I207" s="28"/>
      <c r="J207" s="37">
        <f>IF(tblBoard[[#This Row],[Date]]="","",IFERROR(INDEX(tblProducts[Takt time (s)],MATCH(tblBoard[[#This Row],[Product]],tblProducts[Product],0)),""))</f>
        <v>30</v>
      </c>
      <c r="K207" s="38">
        <f>IF(tblBoard[[#This Row],[Date]]="","",IF(OR(tblBoard[[#This Row],[Takt (s)]]="",tblBoard[[#This Row],[Available (min)]]=""),"",INT(tblBoard[[#This Row],[Available (min)]]*60/tblBoard[[#This Row],[Takt (s)]])))</f>
        <v>120</v>
      </c>
      <c r="L207" s="38">
        <f>IF(tblBoard[[#This Row],[Date]]="","",IF(tblBoard[[#This Row],[Target (units)]]="","",tblBoard[[#This Row],[Actual (units)]]-tblBoard[[#This Row],[Target (units)]]))</f>
        <v>0</v>
      </c>
      <c r="M207" s="38">
        <f>IF(tblBoard[[#This Row],[Date]]="","",IF(tblBoard[[#This Row],[Target (units)]]="","",MAX(0,tblBoard[[#This Row],[Target (units)]]-tblBoard[[#This Row],[Actual (units)]])))</f>
        <v>0</v>
      </c>
      <c r="N207" s="39">
        <f>IF(tblBoard[[#This Row],[Date]]="","",IF(N(tblBoard[[#This Row],[Target (units)]])&gt;0,tblBoard[[#This Row],[Actual (units)]]/tblBoard[[#This Row],[Target (units)]],""))</f>
        <v>1</v>
      </c>
      <c r="O207" s="38">
        <f>IF(tblBoard[[#This Row],[Date]]="","",IF(N(tblBoard[[#This Row],[Target (units)]])&gt;0,IF(tblBoard[[#This Row],[Actual (units)]]&gt;=tblBoard[[#This Row],[Target (units)]]*TargetHour,1,0),""))</f>
        <v>1</v>
      </c>
      <c r="P207" s="40" t="str">
        <f>IF(NOT(ISNUMBER(tblBoard[[#This Row],[Attainment]])),"",IF(tblBoard[[#This Row],[Attainment]]&gt;=TargetHour,"On target",IF(tblBoard[[#This Row],[Attainment]]&gt;=TargetHour*(1-0.05),"Near target","Below target")))</f>
        <v>On target</v>
      </c>
      <c r="Q207" s="38">
        <f>IF(tblBoard[[#This Row],[Date]]="","",IF(tblBoard[[#This Row],[Hour]]="","",SUMIFS(tblBoard[Target (units)],tblBoard[Date],tblBoard[[#This Row],[Date]],tblBoard[Shift],tblBoard[[#This Row],[Shift]],tblBoard[Line],tblBoard[[#This Row],[Line]],tblBoard[Hour],"&lt;="&amp;tblBoard[[#This Row],[Hour]])))</f>
        <v>240</v>
      </c>
      <c r="R207" s="38">
        <f>IF(tblBoard[[#This Row],[Date]]="","",IF(tblBoard[[#This Row],[Hour]]="","",SUMIFS(tblBoard[Actual (units)],tblBoard[Date],tblBoard[[#This Row],[Date]],tblBoard[Shift],tblBoard[[#This Row],[Shift]],tblBoard[Line],tblBoard[[#This Row],[Line]],tblBoard[Hour],"&lt;="&amp;tblBoard[[#This Row],[Hour]])))</f>
        <v>230</v>
      </c>
      <c r="S207" s="38">
        <f>IF(tblBoard[[#This Row],[Date]]="","",IF(tblBoard[[#This Row],[Cum. target]]="","",tblBoard[[#This Row],[Cum. actual]]-tblBoard[[#This Row],[Cum. target]]))</f>
        <v>-10</v>
      </c>
      <c r="T207" s="41">
        <f>IF(tblBoard[[#This Row],[Date]]="","",IF(AND(tblBoard[[#This Row],[Date]]&gt;=FFrom,tblBoard[[#This Row],[Date]]&lt;=FTo,OR(DashLine="",tblBoard[[#This Row],[Line]]=DashLine)),tblBoard[[#This Row],[Date]],""))</f>
        <v>46308</v>
      </c>
      <c r="U20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7" s="43" t="s">
        <v>97</v>
      </c>
    </row>
    <row r="208" spans="2:22" x14ac:dyDescent="0.25">
      <c r="B208" s="36">
        <v>46308</v>
      </c>
      <c r="C208" s="28" t="s">
        <v>91</v>
      </c>
      <c r="D208" s="28" t="s">
        <v>88</v>
      </c>
      <c r="E208" s="33">
        <v>3</v>
      </c>
      <c r="F208" s="28" t="s">
        <v>107</v>
      </c>
      <c r="G208" s="33">
        <v>50</v>
      </c>
      <c r="H208" s="33">
        <v>53</v>
      </c>
      <c r="I208" s="28" t="s">
        <v>112</v>
      </c>
      <c r="J208" s="37">
        <f>IF(tblBoard[[#This Row],[Date]]="","",IFERROR(INDEX(tblProducts[Takt time (s)],MATCH(tblBoard[[#This Row],[Product]],tblProducts[Product],0)),""))</f>
        <v>30</v>
      </c>
      <c r="K208" s="38">
        <f>IF(tblBoard[[#This Row],[Date]]="","",IF(OR(tblBoard[[#This Row],[Takt (s)]]="",tblBoard[[#This Row],[Available (min)]]=""),"",INT(tblBoard[[#This Row],[Available (min)]]*60/tblBoard[[#This Row],[Takt (s)]])))</f>
        <v>100</v>
      </c>
      <c r="L208" s="38">
        <f>IF(tblBoard[[#This Row],[Date]]="","",IF(tblBoard[[#This Row],[Target (units)]]="","",tblBoard[[#This Row],[Actual (units)]]-tblBoard[[#This Row],[Target (units)]]))</f>
        <v>-47</v>
      </c>
      <c r="M208" s="38">
        <f>IF(tblBoard[[#This Row],[Date]]="","",IF(tblBoard[[#This Row],[Target (units)]]="","",MAX(0,tblBoard[[#This Row],[Target (units)]]-tblBoard[[#This Row],[Actual (units)]])))</f>
        <v>47</v>
      </c>
      <c r="N208" s="39">
        <f>IF(tblBoard[[#This Row],[Date]]="","",IF(N(tblBoard[[#This Row],[Target (units)]])&gt;0,tblBoard[[#This Row],[Actual (units)]]/tblBoard[[#This Row],[Target (units)]],""))</f>
        <v>0.53</v>
      </c>
      <c r="O208" s="38">
        <f>IF(tblBoard[[#This Row],[Date]]="","",IF(N(tblBoard[[#This Row],[Target (units)]])&gt;0,IF(tblBoard[[#This Row],[Actual (units)]]&gt;=tblBoard[[#This Row],[Target (units)]]*TargetHour,1,0),""))</f>
        <v>0</v>
      </c>
      <c r="P208" s="40" t="str">
        <f>IF(NOT(ISNUMBER(tblBoard[[#This Row],[Attainment]])),"",IF(tblBoard[[#This Row],[Attainment]]&gt;=TargetHour,"On target",IF(tblBoard[[#This Row],[Attainment]]&gt;=TargetHour*(1-0.05),"Near target","Below target")))</f>
        <v>Below target</v>
      </c>
      <c r="Q208" s="38">
        <f>IF(tblBoard[[#This Row],[Date]]="","",IF(tblBoard[[#This Row],[Hour]]="","",SUMIFS(tblBoard[Target (units)],tblBoard[Date],tblBoard[[#This Row],[Date]],tblBoard[Shift],tblBoard[[#This Row],[Shift]],tblBoard[Line],tblBoard[[#This Row],[Line]],tblBoard[Hour],"&lt;="&amp;tblBoard[[#This Row],[Hour]])))</f>
        <v>340</v>
      </c>
      <c r="R208" s="38">
        <f>IF(tblBoard[[#This Row],[Date]]="","",IF(tblBoard[[#This Row],[Hour]]="","",SUMIFS(tblBoard[Actual (units)],tblBoard[Date],tblBoard[[#This Row],[Date]],tblBoard[Shift],tblBoard[[#This Row],[Shift]],tblBoard[Line],tblBoard[[#This Row],[Line]],tblBoard[Hour],"&lt;="&amp;tblBoard[[#This Row],[Hour]])))</f>
        <v>283</v>
      </c>
      <c r="S208" s="38">
        <f>IF(tblBoard[[#This Row],[Date]]="","",IF(tblBoard[[#This Row],[Cum. target]]="","",tblBoard[[#This Row],[Cum. actual]]-tblBoard[[#This Row],[Cum. target]]))</f>
        <v>-57</v>
      </c>
      <c r="T208" s="41">
        <f>IF(tblBoard[[#This Row],[Date]]="","",IF(AND(tblBoard[[#This Row],[Date]]&gt;=FFrom,tblBoard[[#This Row],[Date]]&lt;=FTo,OR(DashLine="",tblBoard[[#This Row],[Line]]=DashLine)),tblBoard[[#This Row],[Date]],""))</f>
        <v>46308</v>
      </c>
      <c r="U20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8" s="43" t="s">
        <v>145</v>
      </c>
    </row>
    <row r="209" spans="2:22" x14ac:dyDescent="0.25">
      <c r="B209" s="36">
        <v>46308</v>
      </c>
      <c r="C209" s="28" t="s">
        <v>91</v>
      </c>
      <c r="D209" s="28" t="s">
        <v>88</v>
      </c>
      <c r="E209" s="33">
        <v>4</v>
      </c>
      <c r="F209" s="28" t="s">
        <v>107</v>
      </c>
      <c r="G209" s="33">
        <v>60</v>
      </c>
      <c r="H209" s="33">
        <v>125</v>
      </c>
      <c r="I209" s="28"/>
      <c r="J209" s="37">
        <f>IF(tblBoard[[#This Row],[Date]]="","",IFERROR(INDEX(tblProducts[Takt time (s)],MATCH(tblBoard[[#This Row],[Product]],tblProducts[Product],0)),""))</f>
        <v>30</v>
      </c>
      <c r="K209" s="38">
        <f>IF(tblBoard[[#This Row],[Date]]="","",IF(OR(tblBoard[[#This Row],[Takt (s)]]="",tblBoard[[#This Row],[Available (min)]]=""),"",INT(tblBoard[[#This Row],[Available (min)]]*60/tblBoard[[#This Row],[Takt (s)]])))</f>
        <v>120</v>
      </c>
      <c r="L209" s="38">
        <f>IF(tblBoard[[#This Row],[Date]]="","",IF(tblBoard[[#This Row],[Target (units)]]="","",tblBoard[[#This Row],[Actual (units)]]-tblBoard[[#This Row],[Target (units)]]))</f>
        <v>5</v>
      </c>
      <c r="M209" s="38">
        <f>IF(tblBoard[[#This Row],[Date]]="","",IF(tblBoard[[#This Row],[Target (units)]]="","",MAX(0,tblBoard[[#This Row],[Target (units)]]-tblBoard[[#This Row],[Actual (units)]])))</f>
        <v>0</v>
      </c>
      <c r="N209" s="39">
        <f>IF(tblBoard[[#This Row],[Date]]="","",IF(N(tblBoard[[#This Row],[Target (units)]])&gt;0,tblBoard[[#This Row],[Actual (units)]]/tblBoard[[#This Row],[Target (units)]],""))</f>
        <v>1.04166666666667</v>
      </c>
      <c r="O209" s="38">
        <f>IF(tblBoard[[#This Row],[Date]]="","",IF(N(tblBoard[[#This Row],[Target (units)]])&gt;0,IF(tblBoard[[#This Row],[Actual (units)]]&gt;=tblBoard[[#This Row],[Target (units)]]*TargetHour,1,0),""))</f>
        <v>1</v>
      </c>
      <c r="P209" s="40" t="str">
        <f>IF(NOT(ISNUMBER(tblBoard[[#This Row],[Attainment]])),"",IF(tblBoard[[#This Row],[Attainment]]&gt;=TargetHour,"On target",IF(tblBoard[[#This Row],[Attainment]]&gt;=TargetHour*(1-0.05),"Near target","Below target")))</f>
        <v>On target</v>
      </c>
      <c r="Q209" s="38">
        <f>IF(tblBoard[[#This Row],[Date]]="","",IF(tblBoard[[#This Row],[Hour]]="","",SUMIFS(tblBoard[Target (units)],tblBoard[Date],tblBoard[[#This Row],[Date]],tblBoard[Shift],tblBoard[[#This Row],[Shift]],tblBoard[Line],tblBoard[[#This Row],[Line]],tblBoard[Hour],"&lt;="&amp;tblBoard[[#This Row],[Hour]])))</f>
        <v>460</v>
      </c>
      <c r="R209" s="38">
        <f>IF(tblBoard[[#This Row],[Date]]="","",IF(tblBoard[[#This Row],[Hour]]="","",SUMIFS(tblBoard[Actual (units)],tblBoard[Date],tblBoard[[#This Row],[Date]],tblBoard[Shift],tblBoard[[#This Row],[Shift]],tblBoard[Line],tblBoard[[#This Row],[Line]],tblBoard[Hour],"&lt;="&amp;tblBoard[[#This Row],[Hour]])))</f>
        <v>408</v>
      </c>
      <c r="S209" s="38">
        <f>IF(tblBoard[[#This Row],[Date]]="","",IF(tblBoard[[#This Row],[Cum. target]]="","",tblBoard[[#This Row],[Cum. actual]]-tblBoard[[#This Row],[Cum. target]]))</f>
        <v>-52</v>
      </c>
      <c r="T209" s="41">
        <f>IF(tblBoard[[#This Row],[Date]]="","",IF(AND(tblBoard[[#This Row],[Date]]&gt;=FFrom,tblBoard[[#This Row],[Date]]&lt;=FTo,OR(DashLine="",tblBoard[[#This Row],[Line]]=DashLine)),tblBoard[[#This Row],[Date]],""))</f>
        <v>46308</v>
      </c>
      <c r="U20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09" s="43" t="s">
        <v>97</v>
      </c>
    </row>
    <row r="210" spans="2:22" x14ac:dyDescent="0.25">
      <c r="B210" s="36">
        <v>46308</v>
      </c>
      <c r="C210" s="28" t="s">
        <v>91</v>
      </c>
      <c r="D210" s="28" t="s">
        <v>88</v>
      </c>
      <c r="E210" s="33">
        <v>5</v>
      </c>
      <c r="F210" s="28" t="s">
        <v>107</v>
      </c>
      <c r="G210" s="33">
        <v>30</v>
      </c>
      <c r="H210" s="33">
        <v>61</v>
      </c>
      <c r="I210" s="28"/>
      <c r="J210" s="37">
        <f>IF(tblBoard[[#This Row],[Date]]="","",IFERROR(INDEX(tblProducts[Takt time (s)],MATCH(tblBoard[[#This Row],[Product]],tblProducts[Product],0)),""))</f>
        <v>30</v>
      </c>
      <c r="K210" s="38">
        <f>IF(tblBoard[[#This Row],[Date]]="","",IF(OR(tblBoard[[#This Row],[Takt (s)]]="",tblBoard[[#This Row],[Available (min)]]=""),"",INT(tblBoard[[#This Row],[Available (min)]]*60/tblBoard[[#This Row],[Takt (s)]])))</f>
        <v>60</v>
      </c>
      <c r="L210" s="38">
        <f>IF(tblBoard[[#This Row],[Date]]="","",IF(tblBoard[[#This Row],[Target (units)]]="","",tblBoard[[#This Row],[Actual (units)]]-tblBoard[[#This Row],[Target (units)]]))</f>
        <v>1</v>
      </c>
      <c r="M210" s="38">
        <f>IF(tblBoard[[#This Row],[Date]]="","",IF(tblBoard[[#This Row],[Target (units)]]="","",MAX(0,tblBoard[[#This Row],[Target (units)]]-tblBoard[[#This Row],[Actual (units)]])))</f>
        <v>0</v>
      </c>
      <c r="N210" s="39">
        <f>IF(tblBoard[[#This Row],[Date]]="","",IF(N(tblBoard[[#This Row],[Target (units)]])&gt;0,tblBoard[[#This Row],[Actual (units)]]/tblBoard[[#This Row],[Target (units)]],""))</f>
        <v>1.01666666666667</v>
      </c>
      <c r="O210" s="38">
        <f>IF(tblBoard[[#This Row],[Date]]="","",IF(N(tblBoard[[#This Row],[Target (units)]])&gt;0,IF(tblBoard[[#This Row],[Actual (units)]]&gt;=tblBoard[[#This Row],[Target (units)]]*TargetHour,1,0),""))</f>
        <v>1</v>
      </c>
      <c r="P210" s="40" t="str">
        <f>IF(NOT(ISNUMBER(tblBoard[[#This Row],[Attainment]])),"",IF(tblBoard[[#This Row],[Attainment]]&gt;=TargetHour,"On target",IF(tblBoard[[#This Row],[Attainment]]&gt;=TargetHour*(1-0.05),"Near target","Below target")))</f>
        <v>On target</v>
      </c>
      <c r="Q210" s="38">
        <f>IF(tblBoard[[#This Row],[Date]]="","",IF(tblBoard[[#This Row],[Hour]]="","",SUMIFS(tblBoard[Target (units)],tblBoard[Date],tblBoard[[#This Row],[Date]],tblBoard[Shift],tblBoard[[#This Row],[Shift]],tblBoard[Line],tblBoard[[#This Row],[Line]],tblBoard[Hour],"&lt;="&amp;tblBoard[[#This Row],[Hour]])))</f>
        <v>520</v>
      </c>
      <c r="R210" s="38">
        <f>IF(tblBoard[[#This Row],[Date]]="","",IF(tblBoard[[#This Row],[Hour]]="","",SUMIFS(tblBoard[Actual (units)],tblBoard[Date],tblBoard[[#This Row],[Date]],tblBoard[Shift],tblBoard[[#This Row],[Shift]],tblBoard[Line],tblBoard[[#This Row],[Line]],tblBoard[Hour],"&lt;="&amp;tblBoard[[#This Row],[Hour]])))</f>
        <v>469</v>
      </c>
      <c r="S210" s="38">
        <f>IF(tblBoard[[#This Row],[Date]]="","",IF(tblBoard[[#This Row],[Cum. target]]="","",tblBoard[[#This Row],[Cum. actual]]-tblBoard[[#This Row],[Cum. target]]))</f>
        <v>-51</v>
      </c>
      <c r="T210" s="41">
        <f>IF(tblBoard[[#This Row],[Date]]="","",IF(AND(tblBoard[[#This Row],[Date]]&gt;=FFrom,tblBoard[[#This Row],[Date]]&lt;=FTo,OR(DashLine="",tblBoard[[#This Row],[Line]]=DashLine)),tblBoard[[#This Row],[Date]],""))</f>
        <v>46308</v>
      </c>
      <c r="U21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0" s="43" t="s">
        <v>97</v>
      </c>
    </row>
    <row r="211" spans="2:22" x14ac:dyDescent="0.25">
      <c r="B211" s="36">
        <v>46308</v>
      </c>
      <c r="C211" s="28" t="s">
        <v>91</v>
      </c>
      <c r="D211" s="28" t="s">
        <v>88</v>
      </c>
      <c r="E211" s="33">
        <v>6</v>
      </c>
      <c r="F211" s="28" t="s">
        <v>107</v>
      </c>
      <c r="G211" s="33">
        <v>60</v>
      </c>
      <c r="H211" s="33">
        <v>117</v>
      </c>
      <c r="I211" s="28" t="s">
        <v>114</v>
      </c>
      <c r="J211" s="37">
        <f>IF(tblBoard[[#This Row],[Date]]="","",IFERROR(INDEX(tblProducts[Takt time (s)],MATCH(tblBoard[[#This Row],[Product]],tblProducts[Product],0)),""))</f>
        <v>30</v>
      </c>
      <c r="K211" s="38">
        <f>IF(tblBoard[[#This Row],[Date]]="","",IF(OR(tblBoard[[#This Row],[Takt (s)]]="",tblBoard[[#This Row],[Available (min)]]=""),"",INT(tblBoard[[#This Row],[Available (min)]]*60/tblBoard[[#This Row],[Takt (s)]])))</f>
        <v>120</v>
      </c>
      <c r="L211" s="38">
        <f>IF(tblBoard[[#This Row],[Date]]="","",IF(tblBoard[[#This Row],[Target (units)]]="","",tblBoard[[#This Row],[Actual (units)]]-tblBoard[[#This Row],[Target (units)]]))</f>
        <v>-3</v>
      </c>
      <c r="M211" s="38">
        <f>IF(tblBoard[[#This Row],[Date]]="","",IF(tblBoard[[#This Row],[Target (units)]]="","",MAX(0,tblBoard[[#This Row],[Target (units)]]-tblBoard[[#This Row],[Actual (units)]])))</f>
        <v>3</v>
      </c>
      <c r="N211" s="39">
        <f>IF(tblBoard[[#This Row],[Date]]="","",IF(N(tblBoard[[#This Row],[Target (units)]])&gt;0,tblBoard[[#This Row],[Actual (units)]]/tblBoard[[#This Row],[Target (units)]],""))</f>
        <v>0.975</v>
      </c>
      <c r="O211" s="38">
        <f>IF(tblBoard[[#This Row],[Date]]="","",IF(N(tblBoard[[#This Row],[Target (units)]])&gt;0,IF(tblBoard[[#This Row],[Actual (units)]]&gt;=tblBoard[[#This Row],[Target (units)]]*TargetHour,1,0),""))</f>
        <v>0</v>
      </c>
      <c r="P211" s="40" t="str">
        <f>IF(NOT(ISNUMBER(tblBoard[[#This Row],[Attainment]])),"",IF(tblBoard[[#This Row],[Attainment]]&gt;=TargetHour,"On target",IF(tblBoard[[#This Row],[Attainment]]&gt;=TargetHour*(1-0.05),"Near target","Below target")))</f>
        <v>Near target</v>
      </c>
      <c r="Q211" s="38">
        <f>IF(tblBoard[[#This Row],[Date]]="","",IF(tblBoard[[#This Row],[Hour]]="","",SUMIFS(tblBoard[Target (units)],tblBoard[Date],tblBoard[[#This Row],[Date]],tblBoard[Shift],tblBoard[[#This Row],[Shift]],tblBoard[Line],tblBoard[[#This Row],[Line]],tblBoard[Hour],"&lt;="&amp;tblBoard[[#This Row],[Hour]])))</f>
        <v>640</v>
      </c>
      <c r="R211" s="38">
        <f>IF(tblBoard[[#This Row],[Date]]="","",IF(tblBoard[[#This Row],[Hour]]="","",SUMIFS(tblBoard[Actual (units)],tblBoard[Date],tblBoard[[#This Row],[Date]],tblBoard[Shift],tblBoard[[#This Row],[Shift]],tblBoard[Line],tblBoard[[#This Row],[Line]],tblBoard[Hour],"&lt;="&amp;tblBoard[[#This Row],[Hour]])))</f>
        <v>586</v>
      </c>
      <c r="S211" s="38">
        <f>IF(tblBoard[[#This Row],[Date]]="","",IF(tblBoard[[#This Row],[Cum. target]]="","",tblBoard[[#This Row],[Cum. actual]]-tblBoard[[#This Row],[Cum. target]]))</f>
        <v>-54</v>
      </c>
      <c r="T211" s="41">
        <f>IF(tblBoard[[#This Row],[Date]]="","",IF(AND(tblBoard[[#This Row],[Date]]&gt;=FFrom,tblBoard[[#This Row],[Date]]&lt;=FTo,OR(DashLine="",tblBoard[[#This Row],[Line]]=DashLine)),tblBoard[[#This Row],[Date]],""))</f>
        <v>46308</v>
      </c>
      <c r="U21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1" s="43" t="s">
        <v>97</v>
      </c>
    </row>
    <row r="212" spans="2:22" x14ac:dyDescent="0.25">
      <c r="B212" s="36">
        <v>46308</v>
      </c>
      <c r="C212" s="28" t="s">
        <v>91</v>
      </c>
      <c r="D212" s="28" t="s">
        <v>88</v>
      </c>
      <c r="E212" s="33">
        <v>7</v>
      </c>
      <c r="F212" s="28" t="s">
        <v>107</v>
      </c>
      <c r="G212" s="33">
        <v>50</v>
      </c>
      <c r="H212" s="33">
        <v>101</v>
      </c>
      <c r="I212" s="28"/>
      <c r="J212" s="37">
        <f>IF(tblBoard[[#This Row],[Date]]="","",IFERROR(INDEX(tblProducts[Takt time (s)],MATCH(tblBoard[[#This Row],[Product]],tblProducts[Product],0)),""))</f>
        <v>30</v>
      </c>
      <c r="K212" s="38">
        <f>IF(tblBoard[[#This Row],[Date]]="","",IF(OR(tblBoard[[#This Row],[Takt (s)]]="",tblBoard[[#This Row],[Available (min)]]=""),"",INT(tblBoard[[#This Row],[Available (min)]]*60/tblBoard[[#This Row],[Takt (s)]])))</f>
        <v>100</v>
      </c>
      <c r="L212" s="38">
        <f>IF(tblBoard[[#This Row],[Date]]="","",IF(tblBoard[[#This Row],[Target (units)]]="","",tblBoard[[#This Row],[Actual (units)]]-tblBoard[[#This Row],[Target (units)]]))</f>
        <v>1</v>
      </c>
      <c r="M212" s="38">
        <f>IF(tblBoard[[#This Row],[Date]]="","",IF(tblBoard[[#This Row],[Target (units)]]="","",MAX(0,tblBoard[[#This Row],[Target (units)]]-tblBoard[[#This Row],[Actual (units)]])))</f>
        <v>0</v>
      </c>
      <c r="N212" s="39">
        <f>IF(tblBoard[[#This Row],[Date]]="","",IF(N(tblBoard[[#This Row],[Target (units)]])&gt;0,tblBoard[[#This Row],[Actual (units)]]/tblBoard[[#This Row],[Target (units)]],""))</f>
        <v>1.01</v>
      </c>
      <c r="O212" s="38">
        <f>IF(tblBoard[[#This Row],[Date]]="","",IF(N(tblBoard[[#This Row],[Target (units)]])&gt;0,IF(tblBoard[[#This Row],[Actual (units)]]&gt;=tblBoard[[#This Row],[Target (units)]]*TargetHour,1,0),""))</f>
        <v>1</v>
      </c>
      <c r="P212" s="40" t="str">
        <f>IF(NOT(ISNUMBER(tblBoard[[#This Row],[Attainment]])),"",IF(tblBoard[[#This Row],[Attainment]]&gt;=TargetHour,"On target",IF(tblBoard[[#This Row],[Attainment]]&gt;=TargetHour*(1-0.05),"Near target","Below target")))</f>
        <v>On target</v>
      </c>
      <c r="Q212" s="38">
        <f>IF(tblBoard[[#This Row],[Date]]="","",IF(tblBoard[[#This Row],[Hour]]="","",SUMIFS(tblBoard[Target (units)],tblBoard[Date],tblBoard[[#This Row],[Date]],tblBoard[Shift],tblBoard[[#This Row],[Shift]],tblBoard[Line],tblBoard[[#This Row],[Line]],tblBoard[Hour],"&lt;="&amp;tblBoard[[#This Row],[Hour]])))</f>
        <v>740</v>
      </c>
      <c r="R212" s="38">
        <f>IF(tblBoard[[#This Row],[Date]]="","",IF(tblBoard[[#This Row],[Hour]]="","",SUMIFS(tblBoard[Actual (units)],tblBoard[Date],tblBoard[[#This Row],[Date]],tblBoard[Shift],tblBoard[[#This Row],[Shift]],tblBoard[Line],tblBoard[[#This Row],[Line]],tblBoard[Hour],"&lt;="&amp;tblBoard[[#This Row],[Hour]])))</f>
        <v>687</v>
      </c>
      <c r="S212" s="38">
        <f>IF(tblBoard[[#This Row],[Date]]="","",IF(tblBoard[[#This Row],[Cum. target]]="","",tblBoard[[#This Row],[Cum. actual]]-tblBoard[[#This Row],[Cum. target]]))</f>
        <v>-53</v>
      </c>
      <c r="T212" s="41">
        <f>IF(tblBoard[[#This Row],[Date]]="","",IF(AND(tblBoard[[#This Row],[Date]]&gt;=FFrom,tblBoard[[#This Row],[Date]]&lt;=FTo,OR(DashLine="",tblBoard[[#This Row],[Line]]=DashLine)),tblBoard[[#This Row],[Date]],""))</f>
        <v>46308</v>
      </c>
      <c r="U21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2" s="43" t="s">
        <v>97</v>
      </c>
    </row>
    <row r="213" spans="2:22" x14ac:dyDescent="0.25">
      <c r="B213" s="36">
        <v>46308</v>
      </c>
      <c r="C213" s="28" t="s">
        <v>91</v>
      </c>
      <c r="D213" s="28" t="s">
        <v>88</v>
      </c>
      <c r="E213" s="33">
        <v>8</v>
      </c>
      <c r="F213" s="28" t="s">
        <v>107</v>
      </c>
      <c r="G213" s="33">
        <v>50</v>
      </c>
      <c r="H213" s="33">
        <v>99</v>
      </c>
      <c r="I213" s="28" t="s">
        <v>114</v>
      </c>
      <c r="J213" s="37">
        <f>IF(tblBoard[[#This Row],[Date]]="","",IFERROR(INDEX(tblProducts[Takt time (s)],MATCH(tblBoard[[#This Row],[Product]],tblProducts[Product],0)),""))</f>
        <v>30</v>
      </c>
      <c r="K213" s="38">
        <f>IF(tblBoard[[#This Row],[Date]]="","",IF(OR(tblBoard[[#This Row],[Takt (s)]]="",tblBoard[[#This Row],[Available (min)]]=""),"",INT(tblBoard[[#This Row],[Available (min)]]*60/tblBoard[[#This Row],[Takt (s)]])))</f>
        <v>100</v>
      </c>
      <c r="L213" s="38">
        <f>IF(tblBoard[[#This Row],[Date]]="","",IF(tblBoard[[#This Row],[Target (units)]]="","",tblBoard[[#This Row],[Actual (units)]]-tblBoard[[#This Row],[Target (units)]]))</f>
        <v>-1</v>
      </c>
      <c r="M213" s="38">
        <f>IF(tblBoard[[#This Row],[Date]]="","",IF(tblBoard[[#This Row],[Target (units)]]="","",MAX(0,tblBoard[[#This Row],[Target (units)]]-tblBoard[[#This Row],[Actual (units)]])))</f>
        <v>1</v>
      </c>
      <c r="N213" s="39">
        <f>IF(tblBoard[[#This Row],[Date]]="","",IF(N(tblBoard[[#This Row],[Target (units)]])&gt;0,tblBoard[[#This Row],[Actual (units)]]/tblBoard[[#This Row],[Target (units)]],""))</f>
        <v>0.99</v>
      </c>
      <c r="O213" s="38">
        <f>IF(tblBoard[[#This Row],[Date]]="","",IF(N(tblBoard[[#This Row],[Target (units)]])&gt;0,IF(tblBoard[[#This Row],[Actual (units)]]&gt;=tblBoard[[#This Row],[Target (units)]]*TargetHour,1,0),""))</f>
        <v>0</v>
      </c>
      <c r="P213" s="40" t="str">
        <f>IF(NOT(ISNUMBER(tblBoard[[#This Row],[Attainment]])),"",IF(tblBoard[[#This Row],[Attainment]]&gt;=TargetHour,"On target",IF(tblBoard[[#This Row],[Attainment]]&gt;=TargetHour*(1-0.05),"Near target","Below target")))</f>
        <v>Near target</v>
      </c>
      <c r="Q213" s="38">
        <f>IF(tblBoard[[#This Row],[Date]]="","",IF(tblBoard[[#This Row],[Hour]]="","",SUMIFS(tblBoard[Target (units)],tblBoard[Date],tblBoard[[#This Row],[Date]],tblBoard[Shift],tblBoard[[#This Row],[Shift]],tblBoard[Line],tblBoard[[#This Row],[Line]],tblBoard[Hour],"&lt;="&amp;tblBoard[[#This Row],[Hour]])))</f>
        <v>840</v>
      </c>
      <c r="R213" s="38">
        <f>IF(tblBoard[[#This Row],[Date]]="","",IF(tblBoard[[#This Row],[Hour]]="","",SUMIFS(tblBoard[Actual (units)],tblBoard[Date],tblBoard[[#This Row],[Date]],tblBoard[Shift],tblBoard[[#This Row],[Shift]],tblBoard[Line],tblBoard[[#This Row],[Line]],tblBoard[Hour],"&lt;="&amp;tblBoard[[#This Row],[Hour]])))</f>
        <v>786</v>
      </c>
      <c r="S213" s="38">
        <f>IF(tblBoard[[#This Row],[Date]]="","",IF(tblBoard[[#This Row],[Cum. target]]="","",tblBoard[[#This Row],[Cum. actual]]-tblBoard[[#This Row],[Cum. target]]))</f>
        <v>-54</v>
      </c>
      <c r="T213" s="41">
        <f>IF(tblBoard[[#This Row],[Date]]="","",IF(AND(tblBoard[[#This Row],[Date]]&gt;=FFrom,tblBoard[[#This Row],[Date]]&lt;=FTo,OR(DashLine="",tblBoard[[#This Row],[Line]]=DashLine)),tblBoard[[#This Row],[Date]],""))</f>
        <v>46308</v>
      </c>
      <c r="U21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3" s="43" t="s">
        <v>97</v>
      </c>
    </row>
    <row r="214" spans="2:22" x14ac:dyDescent="0.25">
      <c r="B214" s="36">
        <v>46308</v>
      </c>
      <c r="C214" s="28" t="s">
        <v>93</v>
      </c>
      <c r="D214" s="28" t="s">
        <v>85</v>
      </c>
      <c r="E214" s="33">
        <v>1</v>
      </c>
      <c r="F214" s="28" t="s">
        <v>103</v>
      </c>
      <c r="G214" s="33">
        <v>60</v>
      </c>
      <c r="H214" s="33">
        <v>72</v>
      </c>
      <c r="I214" s="28" t="s">
        <v>110</v>
      </c>
      <c r="J214" s="37">
        <f>IF(tblBoard[[#This Row],[Date]]="","",IFERROR(INDEX(tblProducts[Takt time (s)],MATCH(tblBoard[[#This Row],[Product]],tblProducts[Product],0)),""))</f>
        <v>40</v>
      </c>
      <c r="K214" s="38">
        <f>IF(tblBoard[[#This Row],[Date]]="","",IF(OR(tblBoard[[#This Row],[Takt (s)]]="",tblBoard[[#This Row],[Available (min)]]=""),"",INT(tblBoard[[#This Row],[Available (min)]]*60/tblBoard[[#This Row],[Takt (s)]])))</f>
        <v>90</v>
      </c>
      <c r="L214" s="38">
        <f>IF(tblBoard[[#This Row],[Date]]="","",IF(tblBoard[[#This Row],[Target (units)]]="","",tblBoard[[#This Row],[Actual (units)]]-tblBoard[[#This Row],[Target (units)]]))</f>
        <v>-18</v>
      </c>
      <c r="M214" s="38">
        <f>IF(tblBoard[[#This Row],[Date]]="","",IF(tblBoard[[#This Row],[Target (units)]]="","",MAX(0,tblBoard[[#This Row],[Target (units)]]-tblBoard[[#This Row],[Actual (units)]])))</f>
        <v>18</v>
      </c>
      <c r="N214" s="39">
        <f>IF(tblBoard[[#This Row],[Date]]="","",IF(N(tblBoard[[#This Row],[Target (units)]])&gt;0,tblBoard[[#This Row],[Actual (units)]]/tblBoard[[#This Row],[Target (units)]],""))</f>
        <v>0.8</v>
      </c>
      <c r="O214" s="38">
        <f>IF(tblBoard[[#This Row],[Date]]="","",IF(N(tblBoard[[#This Row],[Target (units)]])&gt;0,IF(tblBoard[[#This Row],[Actual (units)]]&gt;=tblBoard[[#This Row],[Target (units)]]*TargetHour,1,0),""))</f>
        <v>0</v>
      </c>
      <c r="P214" s="40" t="str">
        <f>IF(NOT(ISNUMBER(tblBoard[[#This Row],[Attainment]])),"",IF(tblBoard[[#This Row],[Attainment]]&gt;=TargetHour,"On target",IF(tblBoard[[#This Row],[Attainment]]&gt;=TargetHour*(1-0.05),"Near target","Below target")))</f>
        <v>Below target</v>
      </c>
      <c r="Q214" s="38">
        <f>IF(tblBoard[[#This Row],[Date]]="","",IF(tblBoard[[#This Row],[Hour]]="","",SUMIFS(tblBoard[Target (units)],tblBoard[Date],tblBoard[[#This Row],[Date]],tblBoard[Shift],tblBoard[[#This Row],[Shift]],tblBoard[Line],tblBoard[[#This Row],[Line]],tblBoard[Hour],"&lt;="&amp;tblBoard[[#This Row],[Hour]])))</f>
        <v>90</v>
      </c>
      <c r="R214" s="38">
        <f>IF(tblBoard[[#This Row],[Date]]="","",IF(tblBoard[[#This Row],[Hour]]="","",SUMIFS(tblBoard[Actual (units)],tblBoard[Date],tblBoard[[#This Row],[Date]],tblBoard[Shift],tblBoard[[#This Row],[Shift]],tblBoard[Line],tblBoard[[#This Row],[Line]],tblBoard[Hour],"&lt;="&amp;tblBoard[[#This Row],[Hour]])))</f>
        <v>72</v>
      </c>
      <c r="S214" s="38">
        <f>IF(tblBoard[[#This Row],[Date]]="","",IF(tblBoard[[#This Row],[Cum. target]]="","",tblBoard[[#This Row],[Cum. actual]]-tblBoard[[#This Row],[Cum. target]]))</f>
        <v>-18</v>
      </c>
      <c r="T214" s="41">
        <f>IF(tblBoard[[#This Row],[Date]]="","",IF(AND(tblBoard[[#This Row],[Date]]&gt;=FFrom,tblBoard[[#This Row],[Date]]&lt;=FTo,OR(DashLine="",tblBoard[[#This Row],[Line]]=DashLine)),tblBoard[[#This Row],[Date]],""))</f>
        <v>46308</v>
      </c>
      <c r="U21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4" s="43" t="s">
        <v>144</v>
      </c>
    </row>
    <row r="215" spans="2:22" x14ac:dyDescent="0.25">
      <c r="B215" s="36">
        <v>46308</v>
      </c>
      <c r="C215" s="28" t="s">
        <v>93</v>
      </c>
      <c r="D215" s="28" t="s">
        <v>85</v>
      </c>
      <c r="E215" s="33">
        <v>2</v>
      </c>
      <c r="F215" s="28" t="s">
        <v>103</v>
      </c>
      <c r="G215" s="33">
        <v>60</v>
      </c>
      <c r="H215" s="33">
        <v>85</v>
      </c>
      <c r="I215" s="28" t="s">
        <v>114</v>
      </c>
      <c r="J215" s="37">
        <f>IF(tblBoard[[#This Row],[Date]]="","",IFERROR(INDEX(tblProducts[Takt time (s)],MATCH(tblBoard[[#This Row],[Product]],tblProducts[Product],0)),""))</f>
        <v>40</v>
      </c>
      <c r="K215" s="38">
        <f>IF(tblBoard[[#This Row],[Date]]="","",IF(OR(tblBoard[[#This Row],[Takt (s)]]="",tblBoard[[#This Row],[Available (min)]]=""),"",INT(tblBoard[[#This Row],[Available (min)]]*60/tblBoard[[#This Row],[Takt (s)]])))</f>
        <v>90</v>
      </c>
      <c r="L215" s="38">
        <f>IF(tblBoard[[#This Row],[Date]]="","",IF(tblBoard[[#This Row],[Target (units)]]="","",tblBoard[[#This Row],[Actual (units)]]-tblBoard[[#This Row],[Target (units)]]))</f>
        <v>-5</v>
      </c>
      <c r="M215" s="38">
        <f>IF(tblBoard[[#This Row],[Date]]="","",IF(tblBoard[[#This Row],[Target (units)]]="","",MAX(0,tblBoard[[#This Row],[Target (units)]]-tblBoard[[#This Row],[Actual (units)]])))</f>
        <v>5</v>
      </c>
      <c r="N215" s="39">
        <f>IF(tblBoard[[#This Row],[Date]]="","",IF(N(tblBoard[[#This Row],[Target (units)]])&gt;0,tblBoard[[#This Row],[Actual (units)]]/tblBoard[[#This Row],[Target (units)]],""))</f>
        <v>0.944444444444444</v>
      </c>
      <c r="O215" s="38">
        <f>IF(tblBoard[[#This Row],[Date]]="","",IF(N(tblBoard[[#This Row],[Target (units)]])&gt;0,IF(tblBoard[[#This Row],[Actual (units)]]&gt;=tblBoard[[#This Row],[Target (units)]]*TargetHour,1,0),""))</f>
        <v>0</v>
      </c>
      <c r="P215" s="40" t="str">
        <f>IF(NOT(ISNUMBER(tblBoard[[#This Row],[Attainment]])),"",IF(tblBoard[[#This Row],[Attainment]]&gt;=TargetHour,"On target",IF(tblBoard[[#This Row],[Attainment]]&gt;=TargetHour*(1-0.05),"Near target","Below target")))</f>
        <v>Below target</v>
      </c>
      <c r="Q215" s="38">
        <f>IF(tblBoard[[#This Row],[Date]]="","",IF(tblBoard[[#This Row],[Hour]]="","",SUMIFS(tblBoard[Target (units)],tblBoard[Date],tblBoard[[#This Row],[Date]],tblBoard[Shift],tblBoard[[#This Row],[Shift]],tblBoard[Line],tblBoard[[#This Row],[Line]],tblBoard[Hour],"&lt;="&amp;tblBoard[[#This Row],[Hour]])))</f>
        <v>180</v>
      </c>
      <c r="R215" s="38">
        <f>IF(tblBoard[[#This Row],[Date]]="","",IF(tblBoard[[#This Row],[Hour]]="","",SUMIFS(tblBoard[Actual (units)],tblBoard[Date],tblBoard[[#This Row],[Date]],tblBoard[Shift],tblBoard[[#This Row],[Shift]],tblBoard[Line],tblBoard[[#This Row],[Line]],tblBoard[Hour],"&lt;="&amp;tblBoard[[#This Row],[Hour]])))</f>
        <v>157</v>
      </c>
      <c r="S215" s="38">
        <f>IF(tblBoard[[#This Row],[Date]]="","",IF(tblBoard[[#This Row],[Cum. target]]="","",tblBoard[[#This Row],[Cum. actual]]-tblBoard[[#This Row],[Cum. target]]))</f>
        <v>-23</v>
      </c>
      <c r="T215" s="41">
        <f>IF(tblBoard[[#This Row],[Date]]="","",IF(AND(tblBoard[[#This Row],[Date]]&gt;=FFrom,tblBoard[[#This Row],[Date]]&lt;=FTo,OR(DashLine="",tblBoard[[#This Row],[Line]]=DashLine)),tblBoard[[#This Row],[Date]],""))</f>
        <v>46308</v>
      </c>
      <c r="U21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5" s="43" t="s">
        <v>97</v>
      </c>
    </row>
    <row r="216" spans="2:22" x14ac:dyDescent="0.25">
      <c r="B216" s="36">
        <v>46308</v>
      </c>
      <c r="C216" s="28" t="s">
        <v>93</v>
      </c>
      <c r="D216" s="28" t="s">
        <v>85</v>
      </c>
      <c r="E216" s="33">
        <v>3</v>
      </c>
      <c r="F216" s="28" t="s">
        <v>103</v>
      </c>
      <c r="G216" s="33">
        <v>50</v>
      </c>
      <c r="H216" s="33">
        <v>77</v>
      </c>
      <c r="I216" s="28"/>
      <c r="J216" s="37">
        <f>IF(tblBoard[[#This Row],[Date]]="","",IFERROR(INDEX(tblProducts[Takt time (s)],MATCH(tblBoard[[#This Row],[Product]],tblProducts[Product],0)),""))</f>
        <v>40</v>
      </c>
      <c r="K216" s="38">
        <f>IF(tblBoard[[#This Row],[Date]]="","",IF(OR(tblBoard[[#This Row],[Takt (s)]]="",tblBoard[[#This Row],[Available (min)]]=""),"",INT(tblBoard[[#This Row],[Available (min)]]*60/tblBoard[[#This Row],[Takt (s)]])))</f>
        <v>75</v>
      </c>
      <c r="L216" s="38">
        <f>IF(tblBoard[[#This Row],[Date]]="","",IF(tblBoard[[#This Row],[Target (units)]]="","",tblBoard[[#This Row],[Actual (units)]]-tblBoard[[#This Row],[Target (units)]]))</f>
        <v>2</v>
      </c>
      <c r="M216" s="38">
        <f>IF(tblBoard[[#This Row],[Date]]="","",IF(tblBoard[[#This Row],[Target (units)]]="","",MAX(0,tblBoard[[#This Row],[Target (units)]]-tblBoard[[#This Row],[Actual (units)]])))</f>
        <v>0</v>
      </c>
      <c r="N216" s="39">
        <f>IF(tblBoard[[#This Row],[Date]]="","",IF(N(tblBoard[[#This Row],[Target (units)]])&gt;0,tblBoard[[#This Row],[Actual (units)]]/tblBoard[[#This Row],[Target (units)]],""))</f>
        <v>1.02666666666667</v>
      </c>
      <c r="O216" s="38">
        <f>IF(tblBoard[[#This Row],[Date]]="","",IF(N(tblBoard[[#This Row],[Target (units)]])&gt;0,IF(tblBoard[[#This Row],[Actual (units)]]&gt;=tblBoard[[#This Row],[Target (units)]]*TargetHour,1,0),""))</f>
        <v>1</v>
      </c>
      <c r="P216" s="40" t="str">
        <f>IF(NOT(ISNUMBER(tblBoard[[#This Row],[Attainment]])),"",IF(tblBoard[[#This Row],[Attainment]]&gt;=TargetHour,"On target",IF(tblBoard[[#This Row],[Attainment]]&gt;=TargetHour*(1-0.05),"Near target","Below target")))</f>
        <v>On target</v>
      </c>
      <c r="Q216" s="38">
        <f>IF(tblBoard[[#This Row],[Date]]="","",IF(tblBoard[[#This Row],[Hour]]="","",SUMIFS(tblBoard[Target (units)],tblBoard[Date],tblBoard[[#This Row],[Date]],tblBoard[Shift],tblBoard[[#This Row],[Shift]],tblBoard[Line],tblBoard[[#This Row],[Line]],tblBoard[Hour],"&lt;="&amp;tblBoard[[#This Row],[Hour]])))</f>
        <v>255</v>
      </c>
      <c r="R216" s="38">
        <f>IF(tblBoard[[#This Row],[Date]]="","",IF(tblBoard[[#This Row],[Hour]]="","",SUMIFS(tblBoard[Actual (units)],tblBoard[Date],tblBoard[[#This Row],[Date]],tblBoard[Shift],tblBoard[[#This Row],[Shift]],tblBoard[Line],tblBoard[[#This Row],[Line]],tblBoard[Hour],"&lt;="&amp;tblBoard[[#This Row],[Hour]])))</f>
        <v>234</v>
      </c>
      <c r="S216" s="38">
        <f>IF(tblBoard[[#This Row],[Date]]="","",IF(tblBoard[[#This Row],[Cum. target]]="","",tblBoard[[#This Row],[Cum. actual]]-tblBoard[[#This Row],[Cum. target]]))</f>
        <v>-21</v>
      </c>
      <c r="T216" s="41">
        <f>IF(tblBoard[[#This Row],[Date]]="","",IF(AND(tblBoard[[#This Row],[Date]]&gt;=FFrom,tblBoard[[#This Row],[Date]]&lt;=FTo,OR(DashLine="",tblBoard[[#This Row],[Line]]=DashLine)),tblBoard[[#This Row],[Date]],""))</f>
        <v>46308</v>
      </c>
      <c r="U21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6" s="43" t="s">
        <v>97</v>
      </c>
    </row>
    <row r="217" spans="2:22" x14ac:dyDescent="0.25">
      <c r="B217" s="36">
        <v>46308</v>
      </c>
      <c r="C217" s="28" t="s">
        <v>93</v>
      </c>
      <c r="D217" s="28" t="s">
        <v>85</v>
      </c>
      <c r="E217" s="33">
        <v>4</v>
      </c>
      <c r="F217" s="28" t="s">
        <v>103</v>
      </c>
      <c r="G217" s="33">
        <v>60</v>
      </c>
      <c r="H217" s="33">
        <v>89</v>
      </c>
      <c r="I217" s="28" t="s">
        <v>118</v>
      </c>
      <c r="J217" s="37">
        <f>IF(tblBoard[[#This Row],[Date]]="","",IFERROR(INDEX(tblProducts[Takt time (s)],MATCH(tblBoard[[#This Row],[Product]],tblProducts[Product],0)),""))</f>
        <v>40</v>
      </c>
      <c r="K217" s="38">
        <f>IF(tblBoard[[#This Row],[Date]]="","",IF(OR(tblBoard[[#This Row],[Takt (s)]]="",tblBoard[[#This Row],[Available (min)]]=""),"",INT(tblBoard[[#This Row],[Available (min)]]*60/tblBoard[[#This Row],[Takt (s)]])))</f>
        <v>90</v>
      </c>
      <c r="L217" s="38">
        <f>IF(tblBoard[[#This Row],[Date]]="","",IF(tblBoard[[#This Row],[Target (units)]]="","",tblBoard[[#This Row],[Actual (units)]]-tblBoard[[#This Row],[Target (units)]]))</f>
        <v>-1</v>
      </c>
      <c r="M217" s="38">
        <f>IF(tblBoard[[#This Row],[Date]]="","",IF(tblBoard[[#This Row],[Target (units)]]="","",MAX(0,tblBoard[[#This Row],[Target (units)]]-tblBoard[[#This Row],[Actual (units)]])))</f>
        <v>1</v>
      </c>
      <c r="N217" s="39">
        <f>IF(tblBoard[[#This Row],[Date]]="","",IF(N(tblBoard[[#This Row],[Target (units)]])&gt;0,tblBoard[[#This Row],[Actual (units)]]/tblBoard[[#This Row],[Target (units)]],""))</f>
        <v>0.988888888888889</v>
      </c>
      <c r="O217" s="38">
        <f>IF(tblBoard[[#This Row],[Date]]="","",IF(N(tblBoard[[#This Row],[Target (units)]])&gt;0,IF(tblBoard[[#This Row],[Actual (units)]]&gt;=tblBoard[[#This Row],[Target (units)]]*TargetHour,1,0),""))</f>
        <v>0</v>
      </c>
      <c r="P217" s="40" t="str">
        <f>IF(NOT(ISNUMBER(tblBoard[[#This Row],[Attainment]])),"",IF(tblBoard[[#This Row],[Attainment]]&gt;=TargetHour,"On target",IF(tblBoard[[#This Row],[Attainment]]&gt;=TargetHour*(1-0.05),"Near target","Below target")))</f>
        <v>Near target</v>
      </c>
      <c r="Q217" s="38">
        <f>IF(tblBoard[[#This Row],[Date]]="","",IF(tblBoard[[#This Row],[Hour]]="","",SUMIFS(tblBoard[Target (units)],tblBoard[Date],tblBoard[[#This Row],[Date]],tblBoard[Shift],tblBoard[[#This Row],[Shift]],tblBoard[Line],tblBoard[[#This Row],[Line]],tblBoard[Hour],"&lt;="&amp;tblBoard[[#This Row],[Hour]])))</f>
        <v>345</v>
      </c>
      <c r="R217" s="38">
        <f>IF(tblBoard[[#This Row],[Date]]="","",IF(tblBoard[[#This Row],[Hour]]="","",SUMIFS(tblBoard[Actual (units)],tblBoard[Date],tblBoard[[#This Row],[Date]],tblBoard[Shift],tblBoard[[#This Row],[Shift]],tblBoard[Line],tblBoard[[#This Row],[Line]],tblBoard[Hour],"&lt;="&amp;tblBoard[[#This Row],[Hour]])))</f>
        <v>323</v>
      </c>
      <c r="S217" s="38">
        <f>IF(tblBoard[[#This Row],[Date]]="","",IF(tblBoard[[#This Row],[Cum. target]]="","",tblBoard[[#This Row],[Cum. actual]]-tblBoard[[#This Row],[Cum. target]]))</f>
        <v>-22</v>
      </c>
      <c r="T217" s="41">
        <f>IF(tblBoard[[#This Row],[Date]]="","",IF(AND(tblBoard[[#This Row],[Date]]&gt;=FFrom,tblBoard[[#This Row],[Date]]&lt;=FTo,OR(DashLine="",tblBoard[[#This Row],[Line]]=DashLine)),tblBoard[[#This Row],[Date]],""))</f>
        <v>46308</v>
      </c>
      <c r="U21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7" s="43" t="s">
        <v>97</v>
      </c>
    </row>
    <row r="218" spans="2:22" x14ac:dyDescent="0.25">
      <c r="B218" s="36">
        <v>46308</v>
      </c>
      <c r="C218" s="28" t="s">
        <v>93</v>
      </c>
      <c r="D218" s="28" t="s">
        <v>85</v>
      </c>
      <c r="E218" s="33">
        <v>5</v>
      </c>
      <c r="F218" s="28" t="s">
        <v>103</v>
      </c>
      <c r="G218" s="33">
        <v>30</v>
      </c>
      <c r="H218" s="33">
        <v>43</v>
      </c>
      <c r="I218" s="28" t="s">
        <v>114</v>
      </c>
      <c r="J218" s="37">
        <f>IF(tblBoard[[#This Row],[Date]]="","",IFERROR(INDEX(tblProducts[Takt time (s)],MATCH(tblBoard[[#This Row],[Product]],tblProducts[Product],0)),""))</f>
        <v>40</v>
      </c>
      <c r="K218" s="38">
        <f>IF(tblBoard[[#This Row],[Date]]="","",IF(OR(tblBoard[[#This Row],[Takt (s)]]="",tblBoard[[#This Row],[Available (min)]]=""),"",INT(tblBoard[[#This Row],[Available (min)]]*60/tblBoard[[#This Row],[Takt (s)]])))</f>
        <v>45</v>
      </c>
      <c r="L218" s="38">
        <f>IF(tblBoard[[#This Row],[Date]]="","",IF(tblBoard[[#This Row],[Target (units)]]="","",tblBoard[[#This Row],[Actual (units)]]-tblBoard[[#This Row],[Target (units)]]))</f>
        <v>-2</v>
      </c>
      <c r="M218" s="38">
        <f>IF(tblBoard[[#This Row],[Date]]="","",IF(tblBoard[[#This Row],[Target (units)]]="","",MAX(0,tblBoard[[#This Row],[Target (units)]]-tblBoard[[#This Row],[Actual (units)]])))</f>
        <v>2</v>
      </c>
      <c r="N218" s="39">
        <f>IF(tblBoard[[#This Row],[Date]]="","",IF(N(tblBoard[[#This Row],[Target (units)]])&gt;0,tblBoard[[#This Row],[Actual (units)]]/tblBoard[[#This Row],[Target (units)]],""))</f>
        <v>0.955555555555556</v>
      </c>
      <c r="O218" s="38">
        <f>IF(tblBoard[[#This Row],[Date]]="","",IF(N(tblBoard[[#This Row],[Target (units)]])&gt;0,IF(tblBoard[[#This Row],[Actual (units)]]&gt;=tblBoard[[#This Row],[Target (units)]]*TargetHour,1,0),""))</f>
        <v>0</v>
      </c>
      <c r="P218" s="40" t="str">
        <f>IF(NOT(ISNUMBER(tblBoard[[#This Row],[Attainment]])),"",IF(tblBoard[[#This Row],[Attainment]]&gt;=TargetHour,"On target",IF(tblBoard[[#This Row],[Attainment]]&gt;=TargetHour*(1-0.05),"Near target","Below target")))</f>
        <v>Near target</v>
      </c>
      <c r="Q218" s="38">
        <f>IF(tblBoard[[#This Row],[Date]]="","",IF(tblBoard[[#This Row],[Hour]]="","",SUMIFS(tblBoard[Target (units)],tblBoard[Date],tblBoard[[#This Row],[Date]],tblBoard[Shift],tblBoard[[#This Row],[Shift]],tblBoard[Line],tblBoard[[#This Row],[Line]],tblBoard[Hour],"&lt;="&amp;tblBoard[[#This Row],[Hour]])))</f>
        <v>390</v>
      </c>
      <c r="R218" s="38">
        <f>IF(tblBoard[[#This Row],[Date]]="","",IF(tblBoard[[#This Row],[Hour]]="","",SUMIFS(tblBoard[Actual (units)],tblBoard[Date],tblBoard[[#This Row],[Date]],tblBoard[Shift],tblBoard[[#This Row],[Shift]],tblBoard[Line],tblBoard[[#This Row],[Line]],tblBoard[Hour],"&lt;="&amp;tblBoard[[#This Row],[Hour]])))</f>
        <v>366</v>
      </c>
      <c r="S218" s="38">
        <f>IF(tblBoard[[#This Row],[Date]]="","",IF(tblBoard[[#This Row],[Cum. target]]="","",tblBoard[[#This Row],[Cum. actual]]-tblBoard[[#This Row],[Cum. target]]))</f>
        <v>-24</v>
      </c>
      <c r="T218" s="41">
        <f>IF(tblBoard[[#This Row],[Date]]="","",IF(AND(tblBoard[[#This Row],[Date]]&gt;=FFrom,tblBoard[[#This Row],[Date]]&lt;=FTo,OR(DashLine="",tblBoard[[#This Row],[Line]]=DashLine)),tblBoard[[#This Row],[Date]],""))</f>
        <v>46308</v>
      </c>
      <c r="U21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8" s="43" t="s">
        <v>97</v>
      </c>
    </row>
    <row r="219" spans="2:22" x14ac:dyDescent="0.25">
      <c r="B219" s="36">
        <v>46308</v>
      </c>
      <c r="C219" s="28" t="s">
        <v>93</v>
      </c>
      <c r="D219" s="28" t="s">
        <v>85</v>
      </c>
      <c r="E219" s="33">
        <v>6</v>
      </c>
      <c r="F219" s="28" t="s">
        <v>103</v>
      </c>
      <c r="G219" s="33">
        <v>60</v>
      </c>
      <c r="H219" s="33">
        <v>83</v>
      </c>
      <c r="I219" s="28" t="s">
        <v>118</v>
      </c>
      <c r="J219" s="37">
        <f>IF(tblBoard[[#This Row],[Date]]="","",IFERROR(INDEX(tblProducts[Takt time (s)],MATCH(tblBoard[[#This Row],[Product]],tblProducts[Product],0)),""))</f>
        <v>40</v>
      </c>
      <c r="K219" s="38">
        <f>IF(tblBoard[[#This Row],[Date]]="","",IF(OR(tblBoard[[#This Row],[Takt (s)]]="",tblBoard[[#This Row],[Available (min)]]=""),"",INT(tblBoard[[#This Row],[Available (min)]]*60/tblBoard[[#This Row],[Takt (s)]])))</f>
        <v>90</v>
      </c>
      <c r="L219" s="38">
        <f>IF(tblBoard[[#This Row],[Date]]="","",IF(tblBoard[[#This Row],[Target (units)]]="","",tblBoard[[#This Row],[Actual (units)]]-tblBoard[[#This Row],[Target (units)]]))</f>
        <v>-7</v>
      </c>
      <c r="M219" s="38">
        <f>IF(tblBoard[[#This Row],[Date]]="","",IF(tblBoard[[#This Row],[Target (units)]]="","",MAX(0,tblBoard[[#This Row],[Target (units)]]-tblBoard[[#This Row],[Actual (units)]])))</f>
        <v>7</v>
      </c>
      <c r="N219" s="39">
        <f>IF(tblBoard[[#This Row],[Date]]="","",IF(N(tblBoard[[#This Row],[Target (units)]])&gt;0,tblBoard[[#This Row],[Actual (units)]]/tblBoard[[#This Row],[Target (units)]],""))</f>
        <v>0.922222222222222</v>
      </c>
      <c r="O219" s="38">
        <f>IF(tblBoard[[#This Row],[Date]]="","",IF(N(tblBoard[[#This Row],[Target (units)]])&gt;0,IF(tblBoard[[#This Row],[Actual (units)]]&gt;=tblBoard[[#This Row],[Target (units)]]*TargetHour,1,0),""))</f>
        <v>0</v>
      </c>
      <c r="P219" s="40" t="str">
        <f>IF(NOT(ISNUMBER(tblBoard[[#This Row],[Attainment]])),"",IF(tblBoard[[#This Row],[Attainment]]&gt;=TargetHour,"On target",IF(tblBoard[[#This Row],[Attainment]]&gt;=TargetHour*(1-0.05),"Near target","Below target")))</f>
        <v>Below target</v>
      </c>
      <c r="Q219" s="38">
        <f>IF(tblBoard[[#This Row],[Date]]="","",IF(tblBoard[[#This Row],[Hour]]="","",SUMIFS(tblBoard[Target (units)],tblBoard[Date],tblBoard[[#This Row],[Date]],tblBoard[Shift],tblBoard[[#This Row],[Shift]],tblBoard[Line],tblBoard[[#This Row],[Line]],tblBoard[Hour],"&lt;="&amp;tblBoard[[#This Row],[Hour]])))</f>
        <v>480</v>
      </c>
      <c r="R219" s="38">
        <f>IF(tblBoard[[#This Row],[Date]]="","",IF(tblBoard[[#This Row],[Hour]]="","",SUMIFS(tblBoard[Actual (units)],tblBoard[Date],tblBoard[[#This Row],[Date]],tblBoard[Shift],tblBoard[[#This Row],[Shift]],tblBoard[Line],tblBoard[[#This Row],[Line]],tblBoard[Hour],"&lt;="&amp;tblBoard[[#This Row],[Hour]])))</f>
        <v>449</v>
      </c>
      <c r="S219" s="38">
        <f>IF(tblBoard[[#This Row],[Date]]="","",IF(tblBoard[[#This Row],[Cum. target]]="","",tblBoard[[#This Row],[Cum. actual]]-tblBoard[[#This Row],[Cum. target]]))</f>
        <v>-31</v>
      </c>
      <c r="T219" s="41">
        <f>IF(tblBoard[[#This Row],[Date]]="","",IF(AND(tblBoard[[#This Row],[Date]]&gt;=FFrom,tblBoard[[#This Row],[Date]]&lt;=FTo,OR(DashLine="",tblBoard[[#This Row],[Line]]=DashLine)),tblBoard[[#This Row],[Date]],""))</f>
        <v>46308</v>
      </c>
      <c r="U21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19" s="43" t="s">
        <v>97</v>
      </c>
    </row>
    <row r="220" spans="2:22" x14ac:dyDescent="0.25">
      <c r="B220" s="36">
        <v>46308</v>
      </c>
      <c r="C220" s="28" t="s">
        <v>93</v>
      </c>
      <c r="D220" s="28" t="s">
        <v>85</v>
      </c>
      <c r="E220" s="33">
        <v>7</v>
      </c>
      <c r="F220" s="28" t="s">
        <v>103</v>
      </c>
      <c r="G220" s="33">
        <v>50</v>
      </c>
      <c r="H220" s="33">
        <v>73</v>
      </c>
      <c r="I220" s="28" t="s">
        <v>114</v>
      </c>
      <c r="J220" s="37">
        <f>IF(tblBoard[[#This Row],[Date]]="","",IFERROR(INDEX(tblProducts[Takt time (s)],MATCH(tblBoard[[#This Row],[Product]],tblProducts[Product],0)),""))</f>
        <v>40</v>
      </c>
      <c r="K220" s="38">
        <f>IF(tblBoard[[#This Row],[Date]]="","",IF(OR(tblBoard[[#This Row],[Takt (s)]]="",tblBoard[[#This Row],[Available (min)]]=""),"",INT(tblBoard[[#This Row],[Available (min)]]*60/tblBoard[[#This Row],[Takt (s)]])))</f>
        <v>75</v>
      </c>
      <c r="L220" s="38">
        <f>IF(tblBoard[[#This Row],[Date]]="","",IF(tblBoard[[#This Row],[Target (units)]]="","",tblBoard[[#This Row],[Actual (units)]]-tblBoard[[#This Row],[Target (units)]]))</f>
        <v>-2</v>
      </c>
      <c r="M220" s="38">
        <f>IF(tblBoard[[#This Row],[Date]]="","",IF(tblBoard[[#This Row],[Target (units)]]="","",MAX(0,tblBoard[[#This Row],[Target (units)]]-tblBoard[[#This Row],[Actual (units)]])))</f>
        <v>2</v>
      </c>
      <c r="N220" s="39">
        <f>IF(tblBoard[[#This Row],[Date]]="","",IF(N(tblBoard[[#This Row],[Target (units)]])&gt;0,tblBoard[[#This Row],[Actual (units)]]/tblBoard[[#This Row],[Target (units)]],""))</f>
        <v>0.973333333333333</v>
      </c>
      <c r="O220" s="38">
        <f>IF(tblBoard[[#This Row],[Date]]="","",IF(N(tblBoard[[#This Row],[Target (units)]])&gt;0,IF(tblBoard[[#This Row],[Actual (units)]]&gt;=tblBoard[[#This Row],[Target (units)]]*TargetHour,1,0),""))</f>
        <v>0</v>
      </c>
      <c r="P220" s="40" t="str">
        <f>IF(NOT(ISNUMBER(tblBoard[[#This Row],[Attainment]])),"",IF(tblBoard[[#This Row],[Attainment]]&gt;=TargetHour,"On target",IF(tblBoard[[#This Row],[Attainment]]&gt;=TargetHour*(1-0.05),"Near target","Below target")))</f>
        <v>Near target</v>
      </c>
      <c r="Q220" s="38">
        <f>IF(tblBoard[[#This Row],[Date]]="","",IF(tblBoard[[#This Row],[Hour]]="","",SUMIFS(tblBoard[Target (units)],tblBoard[Date],tblBoard[[#This Row],[Date]],tblBoard[Shift],tblBoard[[#This Row],[Shift]],tblBoard[Line],tblBoard[[#This Row],[Line]],tblBoard[Hour],"&lt;="&amp;tblBoard[[#This Row],[Hour]])))</f>
        <v>555</v>
      </c>
      <c r="R220" s="38">
        <f>IF(tblBoard[[#This Row],[Date]]="","",IF(tblBoard[[#This Row],[Hour]]="","",SUMIFS(tblBoard[Actual (units)],tblBoard[Date],tblBoard[[#This Row],[Date]],tblBoard[Shift],tblBoard[[#This Row],[Shift]],tblBoard[Line],tblBoard[[#This Row],[Line]],tblBoard[Hour],"&lt;="&amp;tblBoard[[#This Row],[Hour]])))</f>
        <v>522</v>
      </c>
      <c r="S220" s="38">
        <f>IF(tblBoard[[#This Row],[Date]]="","",IF(tblBoard[[#This Row],[Cum. target]]="","",tblBoard[[#This Row],[Cum. actual]]-tblBoard[[#This Row],[Cum. target]]))</f>
        <v>-33</v>
      </c>
      <c r="T220" s="41">
        <f>IF(tblBoard[[#This Row],[Date]]="","",IF(AND(tblBoard[[#This Row],[Date]]&gt;=FFrom,tblBoard[[#This Row],[Date]]&lt;=FTo,OR(DashLine="",tblBoard[[#This Row],[Line]]=DashLine)),tblBoard[[#This Row],[Date]],""))</f>
        <v>46308</v>
      </c>
      <c r="U22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0" s="43" t="s">
        <v>97</v>
      </c>
    </row>
    <row r="221" spans="2:22" x14ac:dyDescent="0.25">
      <c r="B221" s="36">
        <v>46308</v>
      </c>
      <c r="C221" s="28" t="s">
        <v>93</v>
      </c>
      <c r="D221" s="28" t="s">
        <v>85</v>
      </c>
      <c r="E221" s="33">
        <v>8</v>
      </c>
      <c r="F221" s="28" t="s">
        <v>103</v>
      </c>
      <c r="G221" s="33">
        <v>50</v>
      </c>
      <c r="H221" s="33">
        <v>72</v>
      </c>
      <c r="I221" s="28" t="s">
        <v>118</v>
      </c>
      <c r="J221" s="37">
        <f>IF(tblBoard[[#This Row],[Date]]="","",IFERROR(INDEX(tblProducts[Takt time (s)],MATCH(tblBoard[[#This Row],[Product]],tblProducts[Product],0)),""))</f>
        <v>40</v>
      </c>
      <c r="K221" s="38">
        <f>IF(tblBoard[[#This Row],[Date]]="","",IF(OR(tblBoard[[#This Row],[Takt (s)]]="",tblBoard[[#This Row],[Available (min)]]=""),"",INT(tblBoard[[#This Row],[Available (min)]]*60/tblBoard[[#This Row],[Takt (s)]])))</f>
        <v>75</v>
      </c>
      <c r="L221" s="38">
        <f>IF(tblBoard[[#This Row],[Date]]="","",IF(tblBoard[[#This Row],[Target (units)]]="","",tblBoard[[#This Row],[Actual (units)]]-tblBoard[[#This Row],[Target (units)]]))</f>
        <v>-3</v>
      </c>
      <c r="M221" s="38">
        <f>IF(tblBoard[[#This Row],[Date]]="","",IF(tblBoard[[#This Row],[Target (units)]]="","",MAX(0,tblBoard[[#This Row],[Target (units)]]-tblBoard[[#This Row],[Actual (units)]])))</f>
        <v>3</v>
      </c>
      <c r="N221" s="39">
        <f>IF(tblBoard[[#This Row],[Date]]="","",IF(N(tblBoard[[#This Row],[Target (units)]])&gt;0,tblBoard[[#This Row],[Actual (units)]]/tblBoard[[#This Row],[Target (units)]],""))</f>
        <v>0.96</v>
      </c>
      <c r="O221" s="38">
        <f>IF(tblBoard[[#This Row],[Date]]="","",IF(N(tblBoard[[#This Row],[Target (units)]])&gt;0,IF(tblBoard[[#This Row],[Actual (units)]]&gt;=tblBoard[[#This Row],[Target (units)]]*TargetHour,1,0),""))</f>
        <v>0</v>
      </c>
      <c r="P221" s="40" t="str">
        <f>IF(NOT(ISNUMBER(tblBoard[[#This Row],[Attainment]])),"",IF(tblBoard[[#This Row],[Attainment]]&gt;=TargetHour,"On target",IF(tblBoard[[#This Row],[Attainment]]&gt;=TargetHour*(1-0.05),"Near target","Below target")))</f>
        <v>Near target</v>
      </c>
      <c r="Q221" s="38">
        <f>IF(tblBoard[[#This Row],[Date]]="","",IF(tblBoard[[#This Row],[Hour]]="","",SUMIFS(tblBoard[Target (units)],tblBoard[Date],tblBoard[[#This Row],[Date]],tblBoard[Shift],tblBoard[[#This Row],[Shift]],tblBoard[Line],tblBoard[[#This Row],[Line]],tblBoard[Hour],"&lt;="&amp;tblBoard[[#This Row],[Hour]])))</f>
        <v>630</v>
      </c>
      <c r="R221" s="38">
        <f>IF(tblBoard[[#This Row],[Date]]="","",IF(tblBoard[[#This Row],[Hour]]="","",SUMIFS(tblBoard[Actual (units)],tblBoard[Date],tblBoard[[#This Row],[Date]],tblBoard[Shift],tblBoard[[#This Row],[Shift]],tblBoard[Line],tblBoard[[#This Row],[Line]],tblBoard[Hour],"&lt;="&amp;tblBoard[[#This Row],[Hour]])))</f>
        <v>594</v>
      </c>
      <c r="S221" s="38">
        <f>IF(tblBoard[[#This Row],[Date]]="","",IF(tblBoard[[#This Row],[Cum. target]]="","",tblBoard[[#This Row],[Cum. actual]]-tblBoard[[#This Row],[Cum. target]]))</f>
        <v>-36</v>
      </c>
      <c r="T221" s="41">
        <f>IF(tblBoard[[#This Row],[Date]]="","",IF(AND(tblBoard[[#This Row],[Date]]&gt;=FFrom,tblBoard[[#This Row],[Date]]&lt;=FTo,OR(DashLine="",tblBoard[[#This Row],[Line]]=DashLine)),tblBoard[[#This Row],[Date]],""))</f>
        <v>46308</v>
      </c>
      <c r="U22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1" s="43" t="s">
        <v>97</v>
      </c>
    </row>
    <row r="222" spans="2:22" x14ac:dyDescent="0.25">
      <c r="B222" s="36">
        <v>46308</v>
      </c>
      <c r="C222" s="28" t="s">
        <v>93</v>
      </c>
      <c r="D222" s="28" t="s">
        <v>88</v>
      </c>
      <c r="E222" s="33">
        <v>1</v>
      </c>
      <c r="F222" s="28" t="s">
        <v>107</v>
      </c>
      <c r="G222" s="33">
        <v>60</v>
      </c>
      <c r="H222" s="33">
        <v>115</v>
      </c>
      <c r="I222" s="28" t="s">
        <v>110</v>
      </c>
      <c r="J222" s="37">
        <f>IF(tblBoard[[#This Row],[Date]]="","",IFERROR(INDEX(tblProducts[Takt time (s)],MATCH(tblBoard[[#This Row],[Product]],tblProducts[Product],0)),""))</f>
        <v>30</v>
      </c>
      <c r="K222" s="38">
        <f>IF(tblBoard[[#This Row],[Date]]="","",IF(OR(tblBoard[[#This Row],[Takt (s)]]="",tblBoard[[#This Row],[Available (min)]]=""),"",INT(tblBoard[[#This Row],[Available (min)]]*60/tblBoard[[#This Row],[Takt (s)]])))</f>
        <v>120</v>
      </c>
      <c r="L222" s="38">
        <f>IF(tblBoard[[#This Row],[Date]]="","",IF(tblBoard[[#This Row],[Target (units)]]="","",tblBoard[[#This Row],[Actual (units)]]-tblBoard[[#This Row],[Target (units)]]))</f>
        <v>-5</v>
      </c>
      <c r="M222" s="38">
        <f>IF(tblBoard[[#This Row],[Date]]="","",IF(tblBoard[[#This Row],[Target (units)]]="","",MAX(0,tblBoard[[#This Row],[Target (units)]]-tblBoard[[#This Row],[Actual (units)]])))</f>
        <v>5</v>
      </c>
      <c r="N222" s="39">
        <f>IF(tblBoard[[#This Row],[Date]]="","",IF(N(tblBoard[[#This Row],[Target (units)]])&gt;0,tblBoard[[#This Row],[Actual (units)]]/tblBoard[[#This Row],[Target (units)]],""))</f>
        <v>0.958333333333333</v>
      </c>
      <c r="O222" s="38">
        <f>IF(tblBoard[[#This Row],[Date]]="","",IF(N(tblBoard[[#This Row],[Target (units)]])&gt;0,IF(tblBoard[[#This Row],[Actual (units)]]&gt;=tblBoard[[#This Row],[Target (units)]]*TargetHour,1,0),""))</f>
        <v>0</v>
      </c>
      <c r="P222" s="40" t="str">
        <f>IF(NOT(ISNUMBER(tblBoard[[#This Row],[Attainment]])),"",IF(tblBoard[[#This Row],[Attainment]]&gt;=TargetHour,"On target",IF(tblBoard[[#This Row],[Attainment]]&gt;=TargetHour*(1-0.05),"Near target","Below target")))</f>
        <v>Near target</v>
      </c>
      <c r="Q222" s="38">
        <f>IF(tblBoard[[#This Row],[Date]]="","",IF(tblBoard[[#This Row],[Hour]]="","",SUMIFS(tblBoard[Target (units)],tblBoard[Date],tblBoard[[#This Row],[Date]],tblBoard[Shift],tblBoard[[#This Row],[Shift]],tblBoard[Line],tblBoard[[#This Row],[Line]],tblBoard[Hour],"&lt;="&amp;tblBoard[[#This Row],[Hour]])))</f>
        <v>120</v>
      </c>
      <c r="R222" s="38">
        <f>IF(tblBoard[[#This Row],[Date]]="","",IF(tblBoard[[#This Row],[Hour]]="","",SUMIFS(tblBoard[Actual (units)],tblBoard[Date],tblBoard[[#This Row],[Date]],tblBoard[Shift],tblBoard[[#This Row],[Shift]],tblBoard[Line],tblBoard[[#This Row],[Line]],tblBoard[Hour],"&lt;="&amp;tblBoard[[#This Row],[Hour]])))</f>
        <v>115</v>
      </c>
      <c r="S222" s="38">
        <f>IF(tblBoard[[#This Row],[Date]]="","",IF(tblBoard[[#This Row],[Cum. target]]="","",tblBoard[[#This Row],[Cum. actual]]-tblBoard[[#This Row],[Cum. target]]))</f>
        <v>-5</v>
      </c>
      <c r="T222" s="41">
        <f>IF(tblBoard[[#This Row],[Date]]="","",IF(AND(tblBoard[[#This Row],[Date]]&gt;=FFrom,tblBoard[[#This Row],[Date]]&lt;=FTo,OR(DashLine="",tblBoard[[#This Row],[Line]]=DashLine)),tblBoard[[#This Row],[Date]],""))</f>
        <v>46308</v>
      </c>
      <c r="U22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2" s="43" t="s">
        <v>97</v>
      </c>
    </row>
    <row r="223" spans="2:22" x14ac:dyDescent="0.25">
      <c r="B223" s="36">
        <v>46308</v>
      </c>
      <c r="C223" s="28" t="s">
        <v>93</v>
      </c>
      <c r="D223" s="28" t="s">
        <v>88</v>
      </c>
      <c r="E223" s="33">
        <v>2</v>
      </c>
      <c r="F223" s="28" t="s">
        <v>107</v>
      </c>
      <c r="G223" s="33">
        <v>60</v>
      </c>
      <c r="H223" s="33">
        <v>116</v>
      </c>
      <c r="I223" s="28" t="s">
        <v>114</v>
      </c>
      <c r="J223" s="37">
        <f>IF(tblBoard[[#This Row],[Date]]="","",IFERROR(INDEX(tblProducts[Takt time (s)],MATCH(tblBoard[[#This Row],[Product]],tblProducts[Product],0)),""))</f>
        <v>30</v>
      </c>
      <c r="K223" s="38">
        <f>IF(tblBoard[[#This Row],[Date]]="","",IF(OR(tblBoard[[#This Row],[Takt (s)]]="",tblBoard[[#This Row],[Available (min)]]=""),"",INT(tblBoard[[#This Row],[Available (min)]]*60/tblBoard[[#This Row],[Takt (s)]])))</f>
        <v>120</v>
      </c>
      <c r="L223" s="38">
        <f>IF(tblBoard[[#This Row],[Date]]="","",IF(tblBoard[[#This Row],[Target (units)]]="","",tblBoard[[#This Row],[Actual (units)]]-tblBoard[[#This Row],[Target (units)]]))</f>
        <v>-4</v>
      </c>
      <c r="M223" s="38">
        <f>IF(tblBoard[[#This Row],[Date]]="","",IF(tblBoard[[#This Row],[Target (units)]]="","",MAX(0,tblBoard[[#This Row],[Target (units)]]-tblBoard[[#This Row],[Actual (units)]])))</f>
        <v>4</v>
      </c>
      <c r="N223" s="39">
        <f>IF(tblBoard[[#This Row],[Date]]="","",IF(N(tblBoard[[#This Row],[Target (units)]])&gt;0,tblBoard[[#This Row],[Actual (units)]]/tblBoard[[#This Row],[Target (units)]],""))</f>
        <v>0.966666666666667</v>
      </c>
      <c r="O223" s="38">
        <f>IF(tblBoard[[#This Row],[Date]]="","",IF(N(tblBoard[[#This Row],[Target (units)]])&gt;0,IF(tblBoard[[#This Row],[Actual (units)]]&gt;=tblBoard[[#This Row],[Target (units)]]*TargetHour,1,0),""))</f>
        <v>0</v>
      </c>
      <c r="P223" s="40" t="str">
        <f>IF(NOT(ISNUMBER(tblBoard[[#This Row],[Attainment]])),"",IF(tblBoard[[#This Row],[Attainment]]&gt;=TargetHour,"On target",IF(tblBoard[[#This Row],[Attainment]]&gt;=TargetHour*(1-0.05),"Near target","Below target")))</f>
        <v>Near target</v>
      </c>
      <c r="Q223" s="38">
        <f>IF(tblBoard[[#This Row],[Date]]="","",IF(tblBoard[[#This Row],[Hour]]="","",SUMIFS(tblBoard[Target (units)],tblBoard[Date],tblBoard[[#This Row],[Date]],tblBoard[Shift],tblBoard[[#This Row],[Shift]],tblBoard[Line],tblBoard[[#This Row],[Line]],tblBoard[Hour],"&lt;="&amp;tblBoard[[#This Row],[Hour]])))</f>
        <v>240</v>
      </c>
      <c r="R223" s="38">
        <f>IF(tblBoard[[#This Row],[Date]]="","",IF(tblBoard[[#This Row],[Hour]]="","",SUMIFS(tblBoard[Actual (units)],tblBoard[Date],tblBoard[[#This Row],[Date]],tblBoard[Shift],tblBoard[[#This Row],[Shift]],tblBoard[Line],tblBoard[[#This Row],[Line]],tblBoard[Hour],"&lt;="&amp;tblBoard[[#This Row],[Hour]])))</f>
        <v>231</v>
      </c>
      <c r="S223" s="38">
        <f>IF(tblBoard[[#This Row],[Date]]="","",IF(tblBoard[[#This Row],[Cum. target]]="","",tblBoard[[#This Row],[Cum. actual]]-tblBoard[[#This Row],[Cum. target]]))</f>
        <v>-9</v>
      </c>
      <c r="T223" s="41">
        <f>IF(tblBoard[[#This Row],[Date]]="","",IF(AND(tblBoard[[#This Row],[Date]]&gt;=FFrom,tblBoard[[#This Row],[Date]]&lt;=FTo,OR(DashLine="",tblBoard[[#This Row],[Line]]=DashLine)),tblBoard[[#This Row],[Date]],""))</f>
        <v>46308</v>
      </c>
      <c r="U22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3" s="43" t="s">
        <v>97</v>
      </c>
    </row>
    <row r="224" spans="2:22" x14ac:dyDescent="0.25">
      <c r="B224" s="36">
        <v>46308</v>
      </c>
      <c r="C224" s="28" t="s">
        <v>93</v>
      </c>
      <c r="D224" s="28" t="s">
        <v>88</v>
      </c>
      <c r="E224" s="33">
        <v>3</v>
      </c>
      <c r="F224" s="28" t="s">
        <v>107</v>
      </c>
      <c r="G224" s="33">
        <v>50</v>
      </c>
      <c r="H224" s="33">
        <v>58</v>
      </c>
      <c r="I224" s="28" t="s">
        <v>112</v>
      </c>
      <c r="J224" s="37">
        <f>IF(tblBoard[[#This Row],[Date]]="","",IFERROR(INDEX(tblProducts[Takt time (s)],MATCH(tblBoard[[#This Row],[Product]],tblProducts[Product],0)),""))</f>
        <v>30</v>
      </c>
      <c r="K224" s="38">
        <f>IF(tblBoard[[#This Row],[Date]]="","",IF(OR(tblBoard[[#This Row],[Takt (s)]]="",tblBoard[[#This Row],[Available (min)]]=""),"",INT(tblBoard[[#This Row],[Available (min)]]*60/tblBoard[[#This Row],[Takt (s)]])))</f>
        <v>100</v>
      </c>
      <c r="L224" s="38">
        <f>IF(tblBoard[[#This Row],[Date]]="","",IF(tblBoard[[#This Row],[Target (units)]]="","",tblBoard[[#This Row],[Actual (units)]]-tblBoard[[#This Row],[Target (units)]]))</f>
        <v>-42</v>
      </c>
      <c r="M224" s="38">
        <f>IF(tblBoard[[#This Row],[Date]]="","",IF(tblBoard[[#This Row],[Target (units)]]="","",MAX(0,tblBoard[[#This Row],[Target (units)]]-tblBoard[[#This Row],[Actual (units)]])))</f>
        <v>42</v>
      </c>
      <c r="N224" s="39">
        <f>IF(tblBoard[[#This Row],[Date]]="","",IF(N(tblBoard[[#This Row],[Target (units)]])&gt;0,tblBoard[[#This Row],[Actual (units)]]/tblBoard[[#This Row],[Target (units)]],""))</f>
        <v>0.58</v>
      </c>
      <c r="O224" s="38">
        <f>IF(tblBoard[[#This Row],[Date]]="","",IF(N(tblBoard[[#This Row],[Target (units)]])&gt;0,IF(tblBoard[[#This Row],[Actual (units)]]&gt;=tblBoard[[#This Row],[Target (units)]]*TargetHour,1,0),""))</f>
        <v>0</v>
      </c>
      <c r="P224" s="40" t="str">
        <f>IF(NOT(ISNUMBER(tblBoard[[#This Row],[Attainment]])),"",IF(tblBoard[[#This Row],[Attainment]]&gt;=TargetHour,"On target",IF(tblBoard[[#This Row],[Attainment]]&gt;=TargetHour*(1-0.05),"Near target","Below target")))</f>
        <v>Below target</v>
      </c>
      <c r="Q224" s="38">
        <f>IF(tblBoard[[#This Row],[Date]]="","",IF(tblBoard[[#This Row],[Hour]]="","",SUMIFS(tblBoard[Target (units)],tblBoard[Date],tblBoard[[#This Row],[Date]],tblBoard[Shift],tblBoard[[#This Row],[Shift]],tblBoard[Line],tblBoard[[#This Row],[Line]],tblBoard[Hour],"&lt;="&amp;tblBoard[[#This Row],[Hour]])))</f>
        <v>340</v>
      </c>
      <c r="R224" s="38">
        <f>IF(tblBoard[[#This Row],[Date]]="","",IF(tblBoard[[#This Row],[Hour]]="","",SUMIFS(tblBoard[Actual (units)],tblBoard[Date],tblBoard[[#This Row],[Date]],tblBoard[Shift],tblBoard[[#This Row],[Shift]],tblBoard[Line],tblBoard[[#This Row],[Line]],tblBoard[Hour],"&lt;="&amp;tblBoard[[#This Row],[Hour]])))</f>
        <v>289</v>
      </c>
      <c r="S224" s="38">
        <f>IF(tblBoard[[#This Row],[Date]]="","",IF(tblBoard[[#This Row],[Cum. target]]="","",tblBoard[[#This Row],[Cum. actual]]-tblBoard[[#This Row],[Cum. target]]))</f>
        <v>-51</v>
      </c>
      <c r="T224" s="41">
        <f>IF(tblBoard[[#This Row],[Date]]="","",IF(AND(tblBoard[[#This Row],[Date]]&gt;=FFrom,tblBoard[[#This Row],[Date]]&lt;=FTo,OR(DashLine="",tblBoard[[#This Row],[Line]]=DashLine)),tblBoard[[#This Row],[Date]],""))</f>
        <v>46308</v>
      </c>
      <c r="U22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4" s="43" t="s">
        <v>145</v>
      </c>
    </row>
    <row r="225" spans="2:22" x14ac:dyDescent="0.25">
      <c r="B225" s="36">
        <v>46308</v>
      </c>
      <c r="C225" s="28" t="s">
        <v>93</v>
      </c>
      <c r="D225" s="28" t="s">
        <v>88</v>
      </c>
      <c r="E225" s="33">
        <v>4</v>
      </c>
      <c r="F225" s="28" t="s">
        <v>107</v>
      </c>
      <c r="G225" s="33">
        <v>60</v>
      </c>
      <c r="H225" s="33">
        <v>125</v>
      </c>
      <c r="I225" s="28"/>
      <c r="J225" s="37">
        <f>IF(tblBoard[[#This Row],[Date]]="","",IFERROR(INDEX(tblProducts[Takt time (s)],MATCH(tblBoard[[#This Row],[Product]],tblProducts[Product],0)),""))</f>
        <v>30</v>
      </c>
      <c r="K225" s="38">
        <f>IF(tblBoard[[#This Row],[Date]]="","",IF(OR(tblBoard[[#This Row],[Takt (s)]]="",tblBoard[[#This Row],[Available (min)]]=""),"",INT(tblBoard[[#This Row],[Available (min)]]*60/tblBoard[[#This Row],[Takt (s)]])))</f>
        <v>120</v>
      </c>
      <c r="L225" s="38">
        <f>IF(tblBoard[[#This Row],[Date]]="","",IF(tblBoard[[#This Row],[Target (units)]]="","",tblBoard[[#This Row],[Actual (units)]]-tblBoard[[#This Row],[Target (units)]]))</f>
        <v>5</v>
      </c>
      <c r="M225" s="38">
        <f>IF(tblBoard[[#This Row],[Date]]="","",IF(tblBoard[[#This Row],[Target (units)]]="","",MAX(0,tblBoard[[#This Row],[Target (units)]]-tblBoard[[#This Row],[Actual (units)]])))</f>
        <v>0</v>
      </c>
      <c r="N225" s="39">
        <f>IF(tblBoard[[#This Row],[Date]]="","",IF(N(tblBoard[[#This Row],[Target (units)]])&gt;0,tblBoard[[#This Row],[Actual (units)]]/tblBoard[[#This Row],[Target (units)]],""))</f>
        <v>1.04166666666667</v>
      </c>
      <c r="O225" s="38">
        <f>IF(tblBoard[[#This Row],[Date]]="","",IF(N(tblBoard[[#This Row],[Target (units)]])&gt;0,IF(tblBoard[[#This Row],[Actual (units)]]&gt;=tblBoard[[#This Row],[Target (units)]]*TargetHour,1,0),""))</f>
        <v>1</v>
      </c>
      <c r="P225" s="40" t="str">
        <f>IF(NOT(ISNUMBER(tblBoard[[#This Row],[Attainment]])),"",IF(tblBoard[[#This Row],[Attainment]]&gt;=TargetHour,"On target",IF(tblBoard[[#This Row],[Attainment]]&gt;=TargetHour*(1-0.05),"Near target","Below target")))</f>
        <v>On target</v>
      </c>
      <c r="Q225" s="38">
        <f>IF(tblBoard[[#This Row],[Date]]="","",IF(tblBoard[[#This Row],[Hour]]="","",SUMIFS(tblBoard[Target (units)],tblBoard[Date],tblBoard[[#This Row],[Date]],tblBoard[Shift],tblBoard[[#This Row],[Shift]],tblBoard[Line],tblBoard[[#This Row],[Line]],tblBoard[Hour],"&lt;="&amp;tblBoard[[#This Row],[Hour]])))</f>
        <v>460</v>
      </c>
      <c r="R225" s="38">
        <f>IF(tblBoard[[#This Row],[Date]]="","",IF(tblBoard[[#This Row],[Hour]]="","",SUMIFS(tblBoard[Actual (units)],tblBoard[Date],tblBoard[[#This Row],[Date]],tblBoard[Shift],tblBoard[[#This Row],[Shift]],tblBoard[Line],tblBoard[[#This Row],[Line]],tblBoard[Hour],"&lt;="&amp;tblBoard[[#This Row],[Hour]])))</f>
        <v>414</v>
      </c>
      <c r="S225" s="38">
        <f>IF(tblBoard[[#This Row],[Date]]="","",IF(tblBoard[[#This Row],[Cum. target]]="","",tblBoard[[#This Row],[Cum. actual]]-tblBoard[[#This Row],[Cum. target]]))</f>
        <v>-46</v>
      </c>
      <c r="T225" s="41">
        <f>IF(tblBoard[[#This Row],[Date]]="","",IF(AND(tblBoard[[#This Row],[Date]]&gt;=FFrom,tblBoard[[#This Row],[Date]]&lt;=FTo,OR(DashLine="",tblBoard[[#This Row],[Line]]=DashLine)),tblBoard[[#This Row],[Date]],""))</f>
        <v>46308</v>
      </c>
      <c r="U22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5" s="43" t="s">
        <v>97</v>
      </c>
    </row>
    <row r="226" spans="2:22" x14ac:dyDescent="0.25">
      <c r="B226" s="36">
        <v>46308</v>
      </c>
      <c r="C226" s="28" t="s">
        <v>93</v>
      </c>
      <c r="D226" s="28" t="s">
        <v>88</v>
      </c>
      <c r="E226" s="33">
        <v>5</v>
      </c>
      <c r="F226" s="28" t="s">
        <v>107</v>
      </c>
      <c r="G226" s="33">
        <v>30</v>
      </c>
      <c r="H226" s="33">
        <v>62</v>
      </c>
      <c r="I226" s="28"/>
      <c r="J226" s="37">
        <f>IF(tblBoard[[#This Row],[Date]]="","",IFERROR(INDEX(tblProducts[Takt time (s)],MATCH(tblBoard[[#This Row],[Product]],tblProducts[Product],0)),""))</f>
        <v>30</v>
      </c>
      <c r="K226" s="38">
        <f>IF(tblBoard[[#This Row],[Date]]="","",IF(OR(tblBoard[[#This Row],[Takt (s)]]="",tblBoard[[#This Row],[Available (min)]]=""),"",INT(tblBoard[[#This Row],[Available (min)]]*60/tblBoard[[#This Row],[Takt (s)]])))</f>
        <v>60</v>
      </c>
      <c r="L226" s="38">
        <f>IF(tblBoard[[#This Row],[Date]]="","",IF(tblBoard[[#This Row],[Target (units)]]="","",tblBoard[[#This Row],[Actual (units)]]-tblBoard[[#This Row],[Target (units)]]))</f>
        <v>2</v>
      </c>
      <c r="M226" s="38">
        <f>IF(tblBoard[[#This Row],[Date]]="","",IF(tblBoard[[#This Row],[Target (units)]]="","",MAX(0,tblBoard[[#This Row],[Target (units)]]-tblBoard[[#This Row],[Actual (units)]])))</f>
        <v>0</v>
      </c>
      <c r="N226" s="39">
        <f>IF(tblBoard[[#This Row],[Date]]="","",IF(N(tblBoard[[#This Row],[Target (units)]])&gt;0,tblBoard[[#This Row],[Actual (units)]]/tblBoard[[#This Row],[Target (units)]],""))</f>
        <v>1.03333333333333</v>
      </c>
      <c r="O226" s="38">
        <f>IF(tblBoard[[#This Row],[Date]]="","",IF(N(tblBoard[[#This Row],[Target (units)]])&gt;0,IF(tblBoard[[#This Row],[Actual (units)]]&gt;=tblBoard[[#This Row],[Target (units)]]*TargetHour,1,0),""))</f>
        <v>1</v>
      </c>
      <c r="P226" s="40" t="str">
        <f>IF(NOT(ISNUMBER(tblBoard[[#This Row],[Attainment]])),"",IF(tblBoard[[#This Row],[Attainment]]&gt;=TargetHour,"On target",IF(tblBoard[[#This Row],[Attainment]]&gt;=TargetHour*(1-0.05),"Near target","Below target")))</f>
        <v>On target</v>
      </c>
      <c r="Q226" s="38">
        <f>IF(tblBoard[[#This Row],[Date]]="","",IF(tblBoard[[#This Row],[Hour]]="","",SUMIFS(tblBoard[Target (units)],tblBoard[Date],tblBoard[[#This Row],[Date]],tblBoard[Shift],tblBoard[[#This Row],[Shift]],tblBoard[Line],tblBoard[[#This Row],[Line]],tblBoard[Hour],"&lt;="&amp;tblBoard[[#This Row],[Hour]])))</f>
        <v>520</v>
      </c>
      <c r="R226" s="38">
        <f>IF(tblBoard[[#This Row],[Date]]="","",IF(tblBoard[[#This Row],[Hour]]="","",SUMIFS(tblBoard[Actual (units)],tblBoard[Date],tblBoard[[#This Row],[Date]],tblBoard[Shift],tblBoard[[#This Row],[Shift]],tblBoard[Line],tblBoard[[#This Row],[Line]],tblBoard[Hour],"&lt;="&amp;tblBoard[[#This Row],[Hour]])))</f>
        <v>476</v>
      </c>
      <c r="S226" s="38">
        <f>IF(tblBoard[[#This Row],[Date]]="","",IF(tblBoard[[#This Row],[Cum. target]]="","",tblBoard[[#This Row],[Cum. actual]]-tblBoard[[#This Row],[Cum. target]]))</f>
        <v>-44</v>
      </c>
      <c r="T226" s="41">
        <f>IF(tblBoard[[#This Row],[Date]]="","",IF(AND(tblBoard[[#This Row],[Date]]&gt;=FFrom,tblBoard[[#This Row],[Date]]&lt;=FTo,OR(DashLine="",tblBoard[[#This Row],[Line]]=DashLine)),tblBoard[[#This Row],[Date]],""))</f>
        <v>46308</v>
      </c>
      <c r="U22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6" s="43" t="s">
        <v>97</v>
      </c>
    </row>
    <row r="227" spans="2:22" x14ac:dyDescent="0.25">
      <c r="B227" s="36">
        <v>46308</v>
      </c>
      <c r="C227" s="28" t="s">
        <v>93</v>
      </c>
      <c r="D227" s="28" t="s">
        <v>88</v>
      </c>
      <c r="E227" s="33">
        <v>6</v>
      </c>
      <c r="F227" s="28" t="s">
        <v>107</v>
      </c>
      <c r="G227" s="33">
        <v>60</v>
      </c>
      <c r="H227" s="33">
        <v>113</v>
      </c>
      <c r="I227" s="28" t="s">
        <v>114</v>
      </c>
      <c r="J227" s="37">
        <f>IF(tblBoard[[#This Row],[Date]]="","",IFERROR(INDEX(tblProducts[Takt time (s)],MATCH(tblBoard[[#This Row],[Product]],tblProducts[Product],0)),""))</f>
        <v>30</v>
      </c>
      <c r="K227" s="38">
        <f>IF(tblBoard[[#This Row],[Date]]="","",IF(OR(tblBoard[[#This Row],[Takt (s)]]="",tblBoard[[#This Row],[Available (min)]]=""),"",INT(tblBoard[[#This Row],[Available (min)]]*60/tblBoard[[#This Row],[Takt (s)]])))</f>
        <v>120</v>
      </c>
      <c r="L227" s="38">
        <f>IF(tblBoard[[#This Row],[Date]]="","",IF(tblBoard[[#This Row],[Target (units)]]="","",tblBoard[[#This Row],[Actual (units)]]-tblBoard[[#This Row],[Target (units)]]))</f>
        <v>-7</v>
      </c>
      <c r="M227" s="38">
        <f>IF(tblBoard[[#This Row],[Date]]="","",IF(tblBoard[[#This Row],[Target (units)]]="","",MAX(0,tblBoard[[#This Row],[Target (units)]]-tblBoard[[#This Row],[Actual (units)]])))</f>
        <v>7</v>
      </c>
      <c r="N227" s="39">
        <f>IF(tblBoard[[#This Row],[Date]]="","",IF(N(tblBoard[[#This Row],[Target (units)]])&gt;0,tblBoard[[#This Row],[Actual (units)]]/tblBoard[[#This Row],[Target (units)]],""))</f>
        <v>0.941666666666667</v>
      </c>
      <c r="O227" s="38">
        <f>IF(tblBoard[[#This Row],[Date]]="","",IF(N(tblBoard[[#This Row],[Target (units)]])&gt;0,IF(tblBoard[[#This Row],[Actual (units)]]&gt;=tblBoard[[#This Row],[Target (units)]]*TargetHour,1,0),""))</f>
        <v>0</v>
      </c>
      <c r="P227" s="40" t="str">
        <f>IF(NOT(ISNUMBER(tblBoard[[#This Row],[Attainment]])),"",IF(tblBoard[[#This Row],[Attainment]]&gt;=TargetHour,"On target",IF(tblBoard[[#This Row],[Attainment]]&gt;=TargetHour*(1-0.05),"Near target","Below target")))</f>
        <v>Below target</v>
      </c>
      <c r="Q227" s="38">
        <f>IF(tblBoard[[#This Row],[Date]]="","",IF(tblBoard[[#This Row],[Hour]]="","",SUMIFS(tblBoard[Target (units)],tblBoard[Date],tblBoard[[#This Row],[Date]],tblBoard[Shift],tblBoard[[#This Row],[Shift]],tblBoard[Line],tblBoard[[#This Row],[Line]],tblBoard[Hour],"&lt;="&amp;tblBoard[[#This Row],[Hour]])))</f>
        <v>640</v>
      </c>
      <c r="R227" s="38">
        <f>IF(tblBoard[[#This Row],[Date]]="","",IF(tblBoard[[#This Row],[Hour]]="","",SUMIFS(tblBoard[Actual (units)],tblBoard[Date],tblBoard[[#This Row],[Date]],tblBoard[Shift],tblBoard[[#This Row],[Shift]],tblBoard[Line],tblBoard[[#This Row],[Line]],tblBoard[Hour],"&lt;="&amp;tblBoard[[#This Row],[Hour]])))</f>
        <v>589</v>
      </c>
      <c r="S227" s="38">
        <f>IF(tblBoard[[#This Row],[Date]]="","",IF(tblBoard[[#This Row],[Cum. target]]="","",tblBoard[[#This Row],[Cum. actual]]-tblBoard[[#This Row],[Cum. target]]))</f>
        <v>-51</v>
      </c>
      <c r="T227" s="41">
        <f>IF(tblBoard[[#This Row],[Date]]="","",IF(AND(tblBoard[[#This Row],[Date]]&gt;=FFrom,tblBoard[[#This Row],[Date]]&lt;=FTo,OR(DashLine="",tblBoard[[#This Row],[Line]]=DashLine)),tblBoard[[#This Row],[Date]],""))</f>
        <v>46308</v>
      </c>
      <c r="U22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7" s="43" t="s">
        <v>97</v>
      </c>
    </row>
    <row r="228" spans="2:22" x14ac:dyDescent="0.25">
      <c r="B228" s="36">
        <v>46308</v>
      </c>
      <c r="C228" s="28" t="s">
        <v>93</v>
      </c>
      <c r="D228" s="28" t="s">
        <v>88</v>
      </c>
      <c r="E228" s="33">
        <v>7</v>
      </c>
      <c r="F228" s="28" t="s">
        <v>107</v>
      </c>
      <c r="G228" s="33">
        <v>50</v>
      </c>
      <c r="H228" s="33">
        <v>97</v>
      </c>
      <c r="I228" s="28" t="s">
        <v>124</v>
      </c>
      <c r="J228" s="37">
        <f>IF(tblBoard[[#This Row],[Date]]="","",IFERROR(INDEX(tblProducts[Takt time (s)],MATCH(tblBoard[[#This Row],[Product]],tblProducts[Product],0)),""))</f>
        <v>30</v>
      </c>
      <c r="K228" s="38">
        <f>IF(tblBoard[[#This Row],[Date]]="","",IF(OR(tblBoard[[#This Row],[Takt (s)]]="",tblBoard[[#This Row],[Available (min)]]=""),"",INT(tblBoard[[#This Row],[Available (min)]]*60/tblBoard[[#This Row],[Takt (s)]])))</f>
        <v>100</v>
      </c>
      <c r="L228" s="38">
        <f>IF(tblBoard[[#This Row],[Date]]="","",IF(tblBoard[[#This Row],[Target (units)]]="","",tblBoard[[#This Row],[Actual (units)]]-tblBoard[[#This Row],[Target (units)]]))</f>
        <v>-3</v>
      </c>
      <c r="M228" s="38">
        <f>IF(tblBoard[[#This Row],[Date]]="","",IF(tblBoard[[#This Row],[Target (units)]]="","",MAX(0,tblBoard[[#This Row],[Target (units)]]-tblBoard[[#This Row],[Actual (units)]])))</f>
        <v>3</v>
      </c>
      <c r="N228" s="39">
        <f>IF(tblBoard[[#This Row],[Date]]="","",IF(N(tblBoard[[#This Row],[Target (units)]])&gt;0,tblBoard[[#This Row],[Actual (units)]]/tblBoard[[#This Row],[Target (units)]],""))</f>
        <v>0.97</v>
      </c>
      <c r="O228" s="38">
        <f>IF(tblBoard[[#This Row],[Date]]="","",IF(N(tblBoard[[#This Row],[Target (units)]])&gt;0,IF(tblBoard[[#This Row],[Actual (units)]]&gt;=tblBoard[[#This Row],[Target (units)]]*TargetHour,1,0),""))</f>
        <v>0</v>
      </c>
      <c r="P228" s="40" t="str">
        <f>IF(NOT(ISNUMBER(tblBoard[[#This Row],[Attainment]])),"",IF(tblBoard[[#This Row],[Attainment]]&gt;=TargetHour,"On target",IF(tblBoard[[#This Row],[Attainment]]&gt;=TargetHour*(1-0.05),"Near target","Below target")))</f>
        <v>Near target</v>
      </c>
      <c r="Q228" s="38">
        <f>IF(tblBoard[[#This Row],[Date]]="","",IF(tblBoard[[#This Row],[Hour]]="","",SUMIFS(tblBoard[Target (units)],tblBoard[Date],tblBoard[[#This Row],[Date]],tblBoard[Shift],tblBoard[[#This Row],[Shift]],tblBoard[Line],tblBoard[[#This Row],[Line]],tblBoard[Hour],"&lt;="&amp;tblBoard[[#This Row],[Hour]])))</f>
        <v>740</v>
      </c>
      <c r="R228" s="38">
        <f>IF(tblBoard[[#This Row],[Date]]="","",IF(tblBoard[[#This Row],[Hour]]="","",SUMIFS(tblBoard[Actual (units)],tblBoard[Date],tblBoard[[#This Row],[Date]],tblBoard[Shift],tblBoard[[#This Row],[Shift]],tblBoard[Line],tblBoard[[#This Row],[Line]],tblBoard[Hour],"&lt;="&amp;tblBoard[[#This Row],[Hour]])))</f>
        <v>686</v>
      </c>
      <c r="S228" s="38">
        <f>IF(tblBoard[[#This Row],[Date]]="","",IF(tblBoard[[#This Row],[Cum. target]]="","",tblBoard[[#This Row],[Cum. actual]]-tblBoard[[#This Row],[Cum. target]]))</f>
        <v>-54</v>
      </c>
      <c r="T228" s="41">
        <f>IF(tblBoard[[#This Row],[Date]]="","",IF(AND(tblBoard[[#This Row],[Date]]&gt;=FFrom,tblBoard[[#This Row],[Date]]&lt;=FTo,OR(DashLine="",tblBoard[[#This Row],[Line]]=DashLine)),tblBoard[[#This Row],[Date]],""))</f>
        <v>46308</v>
      </c>
      <c r="U22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8" s="43" t="s">
        <v>97</v>
      </c>
    </row>
    <row r="229" spans="2:22" x14ac:dyDescent="0.25">
      <c r="B229" s="36">
        <v>46308</v>
      </c>
      <c r="C229" s="28" t="s">
        <v>93</v>
      </c>
      <c r="D229" s="28" t="s">
        <v>88</v>
      </c>
      <c r="E229" s="33">
        <v>8</v>
      </c>
      <c r="F229" s="28" t="s">
        <v>107</v>
      </c>
      <c r="G229" s="33">
        <v>50</v>
      </c>
      <c r="H229" s="33">
        <v>96</v>
      </c>
      <c r="I229" s="28" t="s">
        <v>114</v>
      </c>
      <c r="J229" s="37">
        <f>IF(tblBoard[[#This Row],[Date]]="","",IFERROR(INDEX(tblProducts[Takt time (s)],MATCH(tblBoard[[#This Row],[Product]],tblProducts[Product],0)),""))</f>
        <v>30</v>
      </c>
      <c r="K229" s="38">
        <f>IF(tblBoard[[#This Row],[Date]]="","",IF(OR(tblBoard[[#This Row],[Takt (s)]]="",tblBoard[[#This Row],[Available (min)]]=""),"",INT(tblBoard[[#This Row],[Available (min)]]*60/tblBoard[[#This Row],[Takt (s)]])))</f>
        <v>100</v>
      </c>
      <c r="L229" s="38">
        <f>IF(tblBoard[[#This Row],[Date]]="","",IF(tblBoard[[#This Row],[Target (units)]]="","",tblBoard[[#This Row],[Actual (units)]]-tblBoard[[#This Row],[Target (units)]]))</f>
        <v>-4</v>
      </c>
      <c r="M229" s="38">
        <f>IF(tblBoard[[#This Row],[Date]]="","",IF(tblBoard[[#This Row],[Target (units)]]="","",MAX(0,tblBoard[[#This Row],[Target (units)]]-tblBoard[[#This Row],[Actual (units)]])))</f>
        <v>4</v>
      </c>
      <c r="N229" s="39">
        <f>IF(tblBoard[[#This Row],[Date]]="","",IF(N(tblBoard[[#This Row],[Target (units)]])&gt;0,tblBoard[[#This Row],[Actual (units)]]/tblBoard[[#This Row],[Target (units)]],""))</f>
        <v>0.96</v>
      </c>
      <c r="O229" s="38">
        <f>IF(tblBoard[[#This Row],[Date]]="","",IF(N(tblBoard[[#This Row],[Target (units)]])&gt;0,IF(tblBoard[[#This Row],[Actual (units)]]&gt;=tblBoard[[#This Row],[Target (units)]]*TargetHour,1,0),""))</f>
        <v>0</v>
      </c>
      <c r="P229" s="40" t="str">
        <f>IF(NOT(ISNUMBER(tblBoard[[#This Row],[Attainment]])),"",IF(tblBoard[[#This Row],[Attainment]]&gt;=TargetHour,"On target",IF(tblBoard[[#This Row],[Attainment]]&gt;=TargetHour*(1-0.05),"Near target","Below target")))</f>
        <v>Near target</v>
      </c>
      <c r="Q229" s="38">
        <f>IF(tblBoard[[#This Row],[Date]]="","",IF(tblBoard[[#This Row],[Hour]]="","",SUMIFS(tblBoard[Target (units)],tblBoard[Date],tblBoard[[#This Row],[Date]],tblBoard[Shift],tblBoard[[#This Row],[Shift]],tblBoard[Line],tblBoard[[#This Row],[Line]],tblBoard[Hour],"&lt;="&amp;tblBoard[[#This Row],[Hour]])))</f>
        <v>840</v>
      </c>
      <c r="R229" s="38">
        <f>IF(tblBoard[[#This Row],[Date]]="","",IF(tblBoard[[#This Row],[Hour]]="","",SUMIFS(tblBoard[Actual (units)],tblBoard[Date],tblBoard[[#This Row],[Date]],tblBoard[Shift],tblBoard[[#This Row],[Shift]],tblBoard[Line],tblBoard[[#This Row],[Line]],tblBoard[Hour],"&lt;="&amp;tblBoard[[#This Row],[Hour]])))</f>
        <v>782</v>
      </c>
      <c r="S229" s="38">
        <f>IF(tblBoard[[#This Row],[Date]]="","",IF(tblBoard[[#This Row],[Cum. target]]="","",tblBoard[[#This Row],[Cum. actual]]-tblBoard[[#This Row],[Cum. target]]))</f>
        <v>-58</v>
      </c>
      <c r="T229" s="41">
        <f>IF(tblBoard[[#This Row],[Date]]="","",IF(AND(tblBoard[[#This Row],[Date]]&gt;=FFrom,tblBoard[[#This Row],[Date]]&lt;=FTo,OR(DashLine="",tblBoard[[#This Row],[Line]]=DashLine)),tblBoard[[#This Row],[Date]],""))</f>
        <v>46308</v>
      </c>
      <c r="U22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29" s="43" t="s">
        <v>97</v>
      </c>
    </row>
    <row r="230" spans="2:22" x14ac:dyDescent="0.25">
      <c r="B230" s="36">
        <v>46309</v>
      </c>
      <c r="C230" s="28" t="s">
        <v>91</v>
      </c>
      <c r="D230" s="28" t="s">
        <v>85</v>
      </c>
      <c r="E230" s="33">
        <v>1</v>
      </c>
      <c r="F230" s="28" t="s">
        <v>105</v>
      </c>
      <c r="G230" s="33">
        <v>60</v>
      </c>
      <c r="H230" s="33">
        <v>66</v>
      </c>
      <c r="I230" s="28" t="s">
        <v>110</v>
      </c>
      <c r="J230" s="37">
        <f>IF(tblBoard[[#This Row],[Date]]="","",IFERROR(INDEX(tblProducts[Takt time (s)],MATCH(tblBoard[[#This Row],[Product]],tblProducts[Product],0)),""))</f>
        <v>48</v>
      </c>
      <c r="K230" s="38">
        <f>IF(tblBoard[[#This Row],[Date]]="","",IF(OR(tblBoard[[#This Row],[Takt (s)]]="",tblBoard[[#This Row],[Available (min)]]=""),"",INT(tblBoard[[#This Row],[Available (min)]]*60/tblBoard[[#This Row],[Takt (s)]])))</f>
        <v>75</v>
      </c>
      <c r="L230" s="38">
        <f>IF(tblBoard[[#This Row],[Date]]="","",IF(tblBoard[[#This Row],[Target (units)]]="","",tblBoard[[#This Row],[Actual (units)]]-tblBoard[[#This Row],[Target (units)]]))</f>
        <v>-9</v>
      </c>
      <c r="M230" s="38">
        <f>IF(tblBoard[[#This Row],[Date]]="","",IF(tblBoard[[#This Row],[Target (units)]]="","",MAX(0,tblBoard[[#This Row],[Target (units)]]-tblBoard[[#This Row],[Actual (units)]])))</f>
        <v>9</v>
      </c>
      <c r="N230" s="39">
        <f>IF(tblBoard[[#This Row],[Date]]="","",IF(N(tblBoard[[#This Row],[Target (units)]])&gt;0,tblBoard[[#This Row],[Actual (units)]]/tblBoard[[#This Row],[Target (units)]],""))</f>
        <v>0.88</v>
      </c>
      <c r="O230" s="38">
        <f>IF(tblBoard[[#This Row],[Date]]="","",IF(N(tblBoard[[#This Row],[Target (units)]])&gt;0,IF(tblBoard[[#This Row],[Actual (units)]]&gt;=tblBoard[[#This Row],[Target (units)]]*TargetHour,1,0),""))</f>
        <v>0</v>
      </c>
      <c r="P230" s="40" t="str">
        <f>IF(NOT(ISNUMBER(tblBoard[[#This Row],[Attainment]])),"",IF(tblBoard[[#This Row],[Attainment]]&gt;=TargetHour,"On target",IF(tblBoard[[#This Row],[Attainment]]&gt;=TargetHour*(1-0.05),"Near target","Below target")))</f>
        <v>Below target</v>
      </c>
      <c r="Q230" s="38">
        <f>IF(tblBoard[[#This Row],[Date]]="","",IF(tblBoard[[#This Row],[Hour]]="","",SUMIFS(tblBoard[Target (units)],tblBoard[Date],tblBoard[[#This Row],[Date]],tblBoard[Shift],tblBoard[[#This Row],[Shift]],tblBoard[Line],tblBoard[[#This Row],[Line]],tblBoard[Hour],"&lt;="&amp;tblBoard[[#This Row],[Hour]])))</f>
        <v>75</v>
      </c>
      <c r="R230" s="38">
        <f>IF(tblBoard[[#This Row],[Date]]="","",IF(tblBoard[[#This Row],[Hour]]="","",SUMIFS(tblBoard[Actual (units)],tblBoard[Date],tblBoard[[#This Row],[Date]],tblBoard[Shift],tblBoard[[#This Row],[Shift]],tblBoard[Line],tblBoard[[#This Row],[Line]],tblBoard[Hour],"&lt;="&amp;tblBoard[[#This Row],[Hour]])))</f>
        <v>66</v>
      </c>
      <c r="S230" s="38">
        <f>IF(tblBoard[[#This Row],[Date]]="","",IF(tblBoard[[#This Row],[Cum. target]]="","",tblBoard[[#This Row],[Cum. actual]]-tblBoard[[#This Row],[Cum. target]]))</f>
        <v>-9</v>
      </c>
      <c r="T230" s="41">
        <f>IF(tblBoard[[#This Row],[Date]]="","",IF(AND(tblBoard[[#This Row],[Date]]&gt;=FFrom,tblBoard[[#This Row],[Date]]&lt;=FTo,OR(DashLine="",tblBoard[[#This Row],[Line]]=DashLine)),tblBoard[[#This Row],[Date]],""))</f>
        <v>46309</v>
      </c>
      <c r="U23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0" s="43" t="s">
        <v>97</v>
      </c>
    </row>
    <row r="231" spans="2:22" x14ac:dyDescent="0.25">
      <c r="B231" s="36">
        <v>46309</v>
      </c>
      <c r="C231" s="28" t="s">
        <v>91</v>
      </c>
      <c r="D231" s="28" t="s">
        <v>85</v>
      </c>
      <c r="E231" s="33">
        <v>2</v>
      </c>
      <c r="F231" s="28" t="s">
        <v>105</v>
      </c>
      <c r="G231" s="33">
        <v>60</v>
      </c>
      <c r="H231" s="33">
        <v>79</v>
      </c>
      <c r="I231" s="28"/>
      <c r="J231" s="37">
        <f>IF(tblBoard[[#This Row],[Date]]="","",IFERROR(INDEX(tblProducts[Takt time (s)],MATCH(tblBoard[[#This Row],[Product]],tblProducts[Product],0)),""))</f>
        <v>48</v>
      </c>
      <c r="K231" s="38">
        <f>IF(tblBoard[[#This Row],[Date]]="","",IF(OR(tblBoard[[#This Row],[Takt (s)]]="",tblBoard[[#This Row],[Available (min)]]=""),"",INT(tblBoard[[#This Row],[Available (min)]]*60/tblBoard[[#This Row],[Takt (s)]])))</f>
        <v>75</v>
      </c>
      <c r="L231" s="38">
        <f>IF(tblBoard[[#This Row],[Date]]="","",IF(tblBoard[[#This Row],[Target (units)]]="","",tblBoard[[#This Row],[Actual (units)]]-tblBoard[[#This Row],[Target (units)]]))</f>
        <v>4</v>
      </c>
      <c r="M231" s="38">
        <f>IF(tblBoard[[#This Row],[Date]]="","",IF(tblBoard[[#This Row],[Target (units)]]="","",MAX(0,tblBoard[[#This Row],[Target (units)]]-tblBoard[[#This Row],[Actual (units)]])))</f>
        <v>0</v>
      </c>
      <c r="N231" s="39">
        <f>IF(tblBoard[[#This Row],[Date]]="","",IF(N(tblBoard[[#This Row],[Target (units)]])&gt;0,tblBoard[[#This Row],[Actual (units)]]/tblBoard[[#This Row],[Target (units)]],""))</f>
        <v>1.05333333333333</v>
      </c>
      <c r="O231" s="38">
        <f>IF(tblBoard[[#This Row],[Date]]="","",IF(N(tblBoard[[#This Row],[Target (units)]])&gt;0,IF(tblBoard[[#This Row],[Actual (units)]]&gt;=tblBoard[[#This Row],[Target (units)]]*TargetHour,1,0),""))</f>
        <v>1</v>
      </c>
      <c r="P231" s="40" t="str">
        <f>IF(NOT(ISNUMBER(tblBoard[[#This Row],[Attainment]])),"",IF(tblBoard[[#This Row],[Attainment]]&gt;=TargetHour,"On target",IF(tblBoard[[#This Row],[Attainment]]&gt;=TargetHour*(1-0.05),"Near target","Below target")))</f>
        <v>On target</v>
      </c>
      <c r="Q231" s="38">
        <f>IF(tblBoard[[#This Row],[Date]]="","",IF(tblBoard[[#This Row],[Hour]]="","",SUMIFS(tblBoard[Target (units)],tblBoard[Date],tblBoard[[#This Row],[Date]],tblBoard[Shift],tblBoard[[#This Row],[Shift]],tblBoard[Line],tblBoard[[#This Row],[Line]],tblBoard[Hour],"&lt;="&amp;tblBoard[[#This Row],[Hour]])))</f>
        <v>150</v>
      </c>
      <c r="R231" s="38">
        <f>IF(tblBoard[[#This Row],[Date]]="","",IF(tblBoard[[#This Row],[Hour]]="","",SUMIFS(tblBoard[Actual (units)],tblBoard[Date],tblBoard[[#This Row],[Date]],tblBoard[Shift],tblBoard[[#This Row],[Shift]],tblBoard[Line],tblBoard[[#This Row],[Line]],tblBoard[Hour],"&lt;="&amp;tblBoard[[#This Row],[Hour]])))</f>
        <v>145</v>
      </c>
      <c r="S231" s="38">
        <f>IF(tblBoard[[#This Row],[Date]]="","",IF(tblBoard[[#This Row],[Cum. target]]="","",tblBoard[[#This Row],[Cum. actual]]-tblBoard[[#This Row],[Cum. target]]))</f>
        <v>-5</v>
      </c>
      <c r="T231" s="41">
        <f>IF(tblBoard[[#This Row],[Date]]="","",IF(AND(tblBoard[[#This Row],[Date]]&gt;=FFrom,tblBoard[[#This Row],[Date]]&lt;=FTo,OR(DashLine="",tblBoard[[#This Row],[Line]]=DashLine)),tblBoard[[#This Row],[Date]],""))</f>
        <v>46309</v>
      </c>
      <c r="U23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1" s="43" t="s">
        <v>97</v>
      </c>
    </row>
    <row r="232" spans="2:22" x14ac:dyDescent="0.25">
      <c r="B232" s="36">
        <v>46309</v>
      </c>
      <c r="C232" s="28" t="s">
        <v>91</v>
      </c>
      <c r="D232" s="28" t="s">
        <v>85</v>
      </c>
      <c r="E232" s="33">
        <v>3</v>
      </c>
      <c r="F232" s="28" t="s">
        <v>105</v>
      </c>
      <c r="G232" s="33">
        <v>50</v>
      </c>
      <c r="H232" s="33">
        <v>61</v>
      </c>
      <c r="I232" s="28" t="s">
        <v>114</v>
      </c>
      <c r="J232" s="37">
        <f>IF(tblBoard[[#This Row],[Date]]="","",IFERROR(INDEX(tblProducts[Takt time (s)],MATCH(tblBoard[[#This Row],[Product]],tblProducts[Product],0)),""))</f>
        <v>48</v>
      </c>
      <c r="K232" s="38">
        <f>IF(tblBoard[[#This Row],[Date]]="","",IF(OR(tblBoard[[#This Row],[Takt (s)]]="",tblBoard[[#This Row],[Available (min)]]=""),"",INT(tblBoard[[#This Row],[Available (min)]]*60/tblBoard[[#This Row],[Takt (s)]])))</f>
        <v>62</v>
      </c>
      <c r="L232" s="38">
        <f>IF(tblBoard[[#This Row],[Date]]="","",IF(tblBoard[[#This Row],[Target (units)]]="","",tblBoard[[#This Row],[Actual (units)]]-tblBoard[[#This Row],[Target (units)]]))</f>
        <v>-1</v>
      </c>
      <c r="M232" s="38">
        <f>IF(tblBoard[[#This Row],[Date]]="","",IF(tblBoard[[#This Row],[Target (units)]]="","",MAX(0,tblBoard[[#This Row],[Target (units)]]-tblBoard[[#This Row],[Actual (units)]])))</f>
        <v>1</v>
      </c>
      <c r="N232" s="39">
        <f>IF(tblBoard[[#This Row],[Date]]="","",IF(N(tblBoard[[#This Row],[Target (units)]])&gt;0,tblBoard[[#This Row],[Actual (units)]]/tblBoard[[#This Row],[Target (units)]],""))</f>
        <v>0.983870967741936</v>
      </c>
      <c r="O232" s="38">
        <f>IF(tblBoard[[#This Row],[Date]]="","",IF(N(tblBoard[[#This Row],[Target (units)]])&gt;0,IF(tblBoard[[#This Row],[Actual (units)]]&gt;=tblBoard[[#This Row],[Target (units)]]*TargetHour,1,0),""))</f>
        <v>0</v>
      </c>
      <c r="P232" s="40" t="str">
        <f>IF(NOT(ISNUMBER(tblBoard[[#This Row],[Attainment]])),"",IF(tblBoard[[#This Row],[Attainment]]&gt;=TargetHour,"On target",IF(tblBoard[[#This Row],[Attainment]]&gt;=TargetHour*(1-0.05),"Near target","Below target")))</f>
        <v>Near target</v>
      </c>
      <c r="Q232" s="38">
        <f>IF(tblBoard[[#This Row],[Date]]="","",IF(tblBoard[[#This Row],[Hour]]="","",SUMIFS(tblBoard[Target (units)],tblBoard[Date],tblBoard[[#This Row],[Date]],tblBoard[Shift],tblBoard[[#This Row],[Shift]],tblBoard[Line],tblBoard[[#This Row],[Line]],tblBoard[Hour],"&lt;="&amp;tblBoard[[#This Row],[Hour]])))</f>
        <v>212</v>
      </c>
      <c r="R232" s="38">
        <f>IF(tblBoard[[#This Row],[Date]]="","",IF(tblBoard[[#This Row],[Hour]]="","",SUMIFS(tblBoard[Actual (units)],tblBoard[Date],tblBoard[[#This Row],[Date]],tblBoard[Shift],tblBoard[[#This Row],[Shift]],tblBoard[Line],tblBoard[[#This Row],[Line]],tblBoard[Hour],"&lt;="&amp;tblBoard[[#This Row],[Hour]])))</f>
        <v>206</v>
      </c>
      <c r="S232" s="38">
        <f>IF(tblBoard[[#This Row],[Date]]="","",IF(tblBoard[[#This Row],[Cum. target]]="","",tblBoard[[#This Row],[Cum. actual]]-tblBoard[[#This Row],[Cum. target]]))</f>
        <v>-6</v>
      </c>
      <c r="T232" s="41">
        <f>IF(tblBoard[[#This Row],[Date]]="","",IF(AND(tblBoard[[#This Row],[Date]]&gt;=FFrom,tblBoard[[#This Row],[Date]]&lt;=FTo,OR(DashLine="",tblBoard[[#This Row],[Line]]=DashLine)),tblBoard[[#This Row],[Date]],""))</f>
        <v>46309</v>
      </c>
      <c r="U23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2" s="43" t="s">
        <v>97</v>
      </c>
    </row>
    <row r="233" spans="2:22" x14ac:dyDescent="0.25">
      <c r="B233" s="36">
        <v>46309</v>
      </c>
      <c r="C233" s="28" t="s">
        <v>91</v>
      </c>
      <c r="D233" s="28" t="s">
        <v>85</v>
      </c>
      <c r="E233" s="33">
        <v>4</v>
      </c>
      <c r="F233" s="28" t="s">
        <v>105</v>
      </c>
      <c r="G233" s="33">
        <v>60</v>
      </c>
      <c r="H233" s="33">
        <v>76</v>
      </c>
      <c r="I233" s="28"/>
      <c r="J233" s="37">
        <f>IF(tblBoard[[#This Row],[Date]]="","",IFERROR(INDEX(tblProducts[Takt time (s)],MATCH(tblBoard[[#This Row],[Product]],tblProducts[Product],0)),""))</f>
        <v>48</v>
      </c>
      <c r="K233" s="38">
        <f>IF(tblBoard[[#This Row],[Date]]="","",IF(OR(tblBoard[[#This Row],[Takt (s)]]="",tblBoard[[#This Row],[Available (min)]]=""),"",INT(tblBoard[[#This Row],[Available (min)]]*60/tblBoard[[#This Row],[Takt (s)]])))</f>
        <v>75</v>
      </c>
      <c r="L233" s="38">
        <f>IF(tblBoard[[#This Row],[Date]]="","",IF(tblBoard[[#This Row],[Target (units)]]="","",tblBoard[[#This Row],[Actual (units)]]-tblBoard[[#This Row],[Target (units)]]))</f>
        <v>1</v>
      </c>
      <c r="M233" s="38">
        <f>IF(tblBoard[[#This Row],[Date]]="","",IF(tblBoard[[#This Row],[Target (units)]]="","",MAX(0,tblBoard[[#This Row],[Target (units)]]-tblBoard[[#This Row],[Actual (units)]])))</f>
        <v>0</v>
      </c>
      <c r="N233" s="39">
        <f>IF(tblBoard[[#This Row],[Date]]="","",IF(N(tblBoard[[#This Row],[Target (units)]])&gt;0,tblBoard[[#This Row],[Actual (units)]]/tblBoard[[#This Row],[Target (units)]],""))</f>
        <v>1.01333333333333</v>
      </c>
      <c r="O233" s="38">
        <f>IF(tblBoard[[#This Row],[Date]]="","",IF(N(tblBoard[[#This Row],[Target (units)]])&gt;0,IF(tblBoard[[#This Row],[Actual (units)]]&gt;=tblBoard[[#This Row],[Target (units)]]*TargetHour,1,0),""))</f>
        <v>1</v>
      </c>
      <c r="P233" s="40" t="str">
        <f>IF(NOT(ISNUMBER(tblBoard[[#This Row],[Attainment]])),"",IF(tblBoard[[#This Row],[Attainment]]&gt;=TargetHour,"On target",IF(tblBoard[[#This Row],[Attainment]]&gt;=TargetHour*(1-0.05),"Near target","Below target")))</f>
        <v>On target</v>
      </c>
      <c r="Q233" s="38">
        <f>IF(tblBoard[[#This Row],[Date]]="","",IF(tblBoard[[#This Row],[Hour]]="","",SUMIFS(tblBoard[Target (units)],tblBoard[Date],tblBoard[[#This Row],[Date]],tblBoard[Shift],tblBoard[[#This Row],[Shift]],tblBoard[Line],tblBoard[[#This Row],[Line]],tblBoard[Hour],"&lt;="&amp;tblBoard[[#This Row],[Hour]])))</f>
        <v>287</v>
      </c>
      <c r="R233" s="38">
        <f>IF(tblBoard[[#This Row],[Date]]="","",IF(tblBoard[[#This Row],[Hour]]="","",SUMIFS(tblBoard[Actual (units)],tblBoard[Date],tblBoard[[#This Row],[Date]],tblBoard[Shift],tblBoard[[#This Row],[Shift]],tblBoard[Line],tblBoard[[#This Row],[Line]],tblBoard[Hour],"&lt;="&amp;tblBoard[[#This Row],[Hour]])))</f>
        <v>282</v>
      </c>
      <c r="S233" s="38">
        <f>IF(tblBoard[[#This Row],[Date]]="","",IF(tblBoard[[#This Row],[Cum. target]]="","",tblBoard[[#This Row],[Cum. actual]]-tblBoard[[#This Row],[Cum. target]]))</f>
        <v>-5</v>
      </c>
      <c r="T233" s="41">
        <f>IF(tblBoard[[#This Row],[Date]]="","",IF(AND(tblBoard[[#This Row],[Date]]&gt;=FFrom,tblBoard[[#This Row],[Date]]&lt;=FTo,OR(DashLine="",tblBoard[[#This Row],[Line]]=DashLine)),tblBoard[[#This Row],[Date]],""))</f>
        <v>46309</v>
      </c>
      <c r="U23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3" s="43" t="s">
        <v>97</v>
      </c>
    </row>
    <row r="234" spans="2:22" x14ac:dyDescent="0.25">
      <c r="B234" s="36">
        <v>46309</v>
      </c>
      <c r="C234" s="28" t="s">
        <v>91</v>
      </c>
      <c r="D234" s="28" t="s">
        <v>85</v>
      </c>
      <c r="E234" s="33">
        <v>5</v>
      </c>
      <c r="F234" s="28" t="s">
        <v>105</v>
      </c>
      <c r="G234" s="33">
        <v>30</v>
      </c>
      <c r="H234" s="33">
        <v>37</v>
      </c>
      <c r="I234" s="28"/>
      <c r="J234" s="37">
        <f>IF(tblBoard[[#This Row],[Date]]="","",IFERROR(INDEX(tblProducts[Takt time (s)],MATCH(tblBoard[[#This Row],[Product]],tblProducts[Product],0)),""))</f>
        <v>48</v>
      </c>
      <c r="K234" s="38">
        <f>IF(tblBoard[[#This Row],[Date]]="","",IF(OR(tblBoard[[#This Row],[Takt (s)]]="",tblBoard[[#This Row],[Available (min)]]=""),"",INT(tblBoard[[#This Row],[Available (min)]]*60/tblBoard[[#This Row],[Takt (s)]])))</f>
        <v>37</v>
      </c>
      <c r="L234" s="38">
        <f>IF(tblBoard[[#This Row],[Date]]="","",IF(tblBoard[[#This Row],[Target (units)]]="","",tblBoard[[#This Row],[Actual (units)]]-tblBoard[[#This Row],[Target (units)]]))</f>
        <v>0</v>
      </c>
      <c r="M234" s="38">
        <f>IF(tblBoard[[#This Row],[Date]]="","",IF(tblBoard[[#This Row],[Target (units)]]="","",MAX(0,tblBoard[[#This Row],[Target (units)]]-tblBoard[[#This Row],[Actual (units)]])))</f>
        <v>0</v>
      </c>
      <c r="N234" s="39">
        <f>IF(tblBoard[[#This Row],[Date]]="","",IF(N(tblBoard[[#This Row],[Target (units)]])&gt;0,tblBoard[[#This Row],[Actual (units)]]/tblBoard[[#This Row],[Target (units)]],""))</f>
        <v>1</v>
      </c>
      <c r="O234" s="38">
        <f>IF(tblBoard[[#This Row],[Date]]="","",IF(N(tblBoard[[#This Row],[Target (units)]])&gt;0,IF(tblBoard[[#This Row],[Actual (units)]]&gt;=tblBoard[[#This Row],[Target (units)]]*TargetHour,1,0),""))</f>
        <v>1</v>
      </c>
      <c r="P234" s="40" t="str">
        <f>IF(NOT(ISNUMBER(tblBoard[[#This Row],[Attainment]])),"",IF(tblBoard[[#This Row],[Attainment]]&gt;=TargetHour,"On target",IF(tblBoard[[#This Row],[Attainment]]&gt;=TargetHour*(1-0.05),"Near target","Below target")))</f>
        <v>On target</v>
      </c>
      <c r="Q234" s="38">
        <f>IF(tblBoard[[#This Row],[Date]]="","",IF(tblBoard[[#This Row],[Hour]]="","",SUMIFS(tblBoard[Target (units)],tblBoard[Date],tblBoard[[#This Row],[Date]],tblBoard[Shift],tblBoard[[#This Row],[Shift]],tblBoard[Line],tblBoard[[#This Row],[Line]],tblBoard[Hour],"&lt;="&amp;tblBoard[[#This Row],[Hour]])))</f>
        <v>324</v>
      </c>
      <c r="R234" s="38">
        <f>IF(tblBoard[[#This Row],[Date]]="","",IF(tblBoard[[#This Row],[Hour]]="","",SUMIFS(tblBoard[Actual (units)],tblBoard[Date],tblBoard[[#This Row],[Date]],tblBoard[Shift],tblBoard[[#This Row],[Shift]],tblBoard[Line],tblBoard[[#This Row],[Line]],tblBoard[Hour],"&lt;="&amp;tblBoard[[#This Row],[Hour]])))</f>
        <v>319</v>
      </c>
      <c r="S234" s="38">
        <f>IF(tblBoard[[#This Row],[Date]]="","",IF(tblBoard[[#This Row],[Cum. target]]="","",tblBoard[[#This Row],[Cum. actual]]-tblBoard[[#This Row],[Cum. target]]))</f>
        <v>-5</v>
      </c>
      <c r="T234" s="41">
        <f>IF(tblBoard[[#This Row],[Date]]="","",IF(AND(tblBoard[[#This Row],[Date]]&gt;=FFrom,tblBoard[[#This Row],[Date]]&lt;=FTo,OR(DashLine="",tblBoard[[#This Row],[Line]]=DashLine)),tblBoard[[#This Row],[Date]],""))</f>
        <v>46309</v>
      </c>
      <c r="U23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4" s="43" t="s">
        <v>97</v>
      </c>
    </row>
    <row r="235" spans="2:22" x14ac:dyDescent="0.25">
      <c r="B235" s="36">
        <v>46309</v>
      </c>
      <c r="C235" s="28" t="s">
        <v>91</v>
      </c>
      <c r="D235" s="28" t="s">
        <v>85</v>
      </c>
      <c r="E235" s="33">
        <v>6</v>
      </c>
      <c r="F235" s="28" t="s">
        <v>105</v>
      </c>
      <c r="G235" s="33">
        <v>60</v>
      </c>
      <c r="H235" s="33">
        <v>70</v>
      </c>
      <c r="I235" s="28" t="s">
        <v>114</v>
      </c>
      <c r="J235" s="37">
        <f>IF(tblBoard[[#This Row],[Date]]="","",IFERROR(INDEX(tblProducts[Takt time (s)],MATCH(tblBoard[[#This Row],[Product]],tblProducts[Product],0)),""))</f>
        <v>48</v>
      </c>
      <c r="K235" s="38">
        <f>IF(tblBoard[[#This Row],[Date]]="","",IF(OR(tblBoard[[#This Row],[Takt (s)]]="",tblBoard[[#This Row],[Available (min)]]=""),"",INT(tblBoard[[#This Row],[Available (min)]]*60/tblBoard[[#This Row],[Takt (s)]])))</f>
        <v>75</v>
      </c>
      <c r="L235" s="38">
        <f>IF(tblBoard[[#This Row],[Date]]="","",IF(tblBoard[[#This Row],[Target (units)]]="","",tblBoard[[#This Row],[Actual (units)]]-tblBoard[[#This Row],[Target (units)]]))</f>
        <v>-5</v>
      </c>
      <c r="M235" s="38">
        <f>IF(tblBoard[[#This Row],[Date]]="","",IF(tblBoard[[#This Row],[Target (units)]]="","",MAX(0,tblBoard[[#This Row],[Target (units)]]-tblBoard[[#This Row],[Actual (units)]])))</f>
        <v>5</v>
      </c>
      <c r="N235" s="39">
        <f>IF(tblBoard[[#This Row],[Date]]="","",IF(N(tblBoard[[#This Row],[Target (units)]])&gt;0,tblBoard[[#This Row],[Actual (units)]]/tblBoard[[#This Row],[Target (units)]],""))</f>
        <v>0.933333333333333</v>
      </c>
      <c r="O235" s="38">
        <f>IF(tblBoard[[#This Row],[Date]]="","",IF(N(tblBoard[[#This Row],[Target (units)]])&gt;0,IF(tblBoard[[#This Row],[Actual (units)]]&gt;=tblBoard[[#This Row],[Target (units)]]*TargetHour,1,0),""))</f>
        <v>0</v>
      </c>
      <c r="P235" s="40" t="str">
        <f>IF(NOT(ISNUMBER(tblBoard[[#This Row],[Attainment]])),"",IF(tblBoard[[#This Row],[Attainment]]&gt;=TargetHour,"On target",IF(tblBoard[[#This Row],[Attainment]]&gt;=TargetHour*(1-0.05),"Near target","Below target")))</f>
        <v>Below target</v>
      </c>
      <c r="Q235" s="38">
        <f>IF(tblBoard[[#This Row],[Date]]="","",IF(tblBoard[[#This Row],[Hour]]="","",SUMIFS(tblBoard[Target (units)],tblBoard[Date],tblBoard[[#This Row],[Date]],tblBoard[Shift],tblBoard[[#This Row],[Shift]],tblBoard[Line],tblBoard[[#This Row],[Line]],tblBoard[Hour],"&lt;="&amp;tblBoard[[#This Row],[Hour]])))</f>
        <v>399</v>
      </c>
      <c r="R235" s="38">
        <f>IF(tblBoard[[#This Row],[Date]]="","",IF(tblBoard[[#This Row],[Hour]]="","",SUMIFS(tblBoard[Actual (units)],tblBoard[Date],tblBoard[[#This Row],[Date]],tblBoard[Shift],tblBoard[[#This Row],[Shift]],tblBoard[Line],tblBoard[[#This Row],[Line]],tblBoard[Hour],"&lt;="&amp;tblBoard[[#This Row],[Hour]])))</f>
        <v>389</v>
      </c>
      <c r="S235" s="38">
        <f>IF(tblBoard[[#This Row],[Date]]="","",IF(tblBoard[[#This Row],[Cum. target]]="","",tblBoard[[#This Row],[Cum. actual]]-tblBoard[[#This Row],[Cum. target]]))</f>
        <v>-10</v>
      </c>
      <c r="T235" s="41">
        <f>IF(tblBoard[[#This Row],[Date]]="","",IF(AND(tblBoard[[#This Row],[Date]]&gt;=FFrom,tblBoard[[#This Row],[Date]]&lt;=FTo,OR(DashLine="",tblBoard[[#This Row],[Line]]=DashLine)),tblBoard[[#This Row],[Date]],""))</f>
        <v>46309</v>
      </c>
      <c r="U23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5" s="43" t="s">
        <v>97</v>
      </c>
    </row>
    <row r="236" spans="2:22" x14ac:dyDescent="0.25">
      <c r="B236" s="36">
        <v>46309</v>
      </c>
      <c r="C236" s="28" t="s">
        <v>91</v>
      </c>
      <c r="D236" s="28" t="s">
        <v>85</v>
      </c>
      <c r="E236" s="33">
        <v>7</v>
      </c>
      <c r="F236" s="28" t="s">
        <v>105</v>
      </c>
      <c r="G236" s="33">
        <v>50</v>
      </c>
      <c r="H236" s="33">
        <v>61</v>
      </c>
      <c r="I236" s="28" t="s">
        <v>116</v>
      </c>
      <c r="J236" s="37">
        <f>IF(tblBoard[[#This Row],[Date]]="","",IFERROR(INDEX(tblProducts[Takt time (s)],MATCH(tblBoard[[#This Row],[Product]],tblProducts[Product],0)),""))</f>
        <v>48</v>
      </c>
      <c r="K236" s="38">
        <f>IF(tblBoard[[#This Row],[Date]]="","",IF(OR(tblBoard[[#This Row],[Takt (s)]]="",tblBoard[[#This Row],[Available (min)]]=""),"",INT(tblBoard[[#This Row],[Available (min)]]*60/tblBoard[[#This Row],[Takt (s)]])))</f>
        <v>62</v>
      </c>
      <c r="L236" s="38">
        <f>IF(tblBoard[[#This Row],[Date]]="","",IF(tblBoard[[#This Row],[Target (units)]]="","",tblBoard[[#This Row],[Actual (units)]]-tblBoard[[#This Row],[Target (units)]]))</f>
        <v>-1</v>
      </c>
      <c r="M236" s="38">
        <f>IF(tblBoard[[#This Row],[Date]]="","",IF(tblBoard[[#This Row],[Target (units)]]="","",MAX(0,tblBoard[[#This Row],[Target (units)]]-tblBoard[[#This Row],[Actual (units)]])))</f>
        <v>1</v>
      </c>
      <c r="N236" s="39">
        <f>IF(tblBoard[[#This Row],[Date]]="","",IF(N(tblBoard[[#This Row],[Target (units)]])&gt;0,tblBoard[[#This Row],[Actual (units)]]/tblBoard[[#This Row],[Target (units)]],""))</f>
        <v>0.983870967741936</v>
      </c>
      <c r="O236" s="38">
        <f>IF(tblBoard[[#This Row],[Date]]="","",IF(N(tblBoard[[#This Row],[Target (units)]])&gt;0,IF(tblBoard[[#This Row],[Actual (units)]]&gt;=tblBoard[[#This Row],[Target (units)]]*TargetHour,1,0),""))</f>
        <v>0</v>
      </c>
      <c r="P236" s="40" t="str">
        <f>IF(NOT(ISNUMBER(tblBoard[[#This Row],[Attainment]])),"",IF(tblBoard[[#This Row],[Attainment]]&gt;=TargetHour,"On target",IF(tblBoard[[#This Row],[Attainment]]&gt;=TargetHour*(1-0.05),"Near target","Below target")))</f>
        <v>Near target</v>
      </c>
      <c r="Q236" s="38">
        <f>IF(tblBoard[[#This Row],[Date]]="","",IF(tblBoard[[#This Row],[Hour]]="","",SUMIFS(tblBoard[Target (units)],tblBoard[Date],tblBoard[[#This Row],[Date]],tblBoard[Shift],tblBoard[[#This Row],[Shift]],tblBoard[Line],tblBoard[[#This Row],[Line]],tblBoard[Hour],"&lt;="&amp;tblBoard[[#This Row],[Hour]])))</f>
        <v>461</v>
      </c>
      <c r="R236" s="38">
        <f>IF(tblBoard[[#This Row],[Date]]="","",IF(tblBoard[[#This Row],[Hour]]="","",SUMIFS(tblBoard[Actual (units)],tblBoard[Date],tblBoard[[#This Row],[Date]],tblBoard[Shift],tblBoard[[#This Row],[Shift]],tblBoard[Line],tblBoard[[#This Row],[Line]],tblBoard[Hour],"&lt;="&amp;tblBoard[[#This Row],[Hour]])))</f>
        <v>450</v>
      </c>
      <c r="S236" s="38">
        <f>IF(tblBoard[[#This Row],[Date]]="","",IF(tblBoard[[#This Row],[Cum. target]]="","",tblBoard[[#This Row],[Cum. actual]]-tblBoard[[#This Row],[Cum. target]]))</f>
        <v>-11</v>
      </c>
      <c r="T236" s="41">
        <f>IF(tblBoard[[#This Row],[Date]]="","",IF(AND(tblBoard[[#This Row],[Date]]&gt;=FFrom,tblBoard[[#This Row],[Date]]&lt;=FTo,OR(DashLine="",tblBoard[[#This Row],[Line]]=DashLine)),tblBoard[[#This Row],[Date]],""))</f>
        <v>46309</v>
      </c>
      <c r="U23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6" s="43" t="s">
        <v>146</v>
      </c>
    </row>
    <row r="237" spans="2:22" x14ac:dyDescent="0.25">
      <c r="B237" s="36">
        <v>46309</v>
      </c>
      <c r="C237" s="28" t="s">
        <v>91</v>
      </c>
      <c r="D237" s="28" t="s">
        <v>85</v>
      </c>
      <c r="E237" s="33">
        <v>8</v>
      </c>
      <c r="F237" s="28" t="s">
        <v>105</v>
      </c>
      <c r="G237" s="33">
        <v>50</v>
      </c>
      <c r="H237" s="33">
        <v>64</v>
      </c>
      <c r="I237" s="28"/>
      <c r="J237" s="37">
        <f>IF(tblBoard[[#This Row],[Date]]="","",IFERROR(INDEX(tblProducts[Takt time (s)],MATCH(tblBoard[[#This Row],[Product]],tblProducts[Product],0)),""))</f>
        <v>48</v>
      </c>
      <c r="K237" s="38">
        <f>IF(tblBoard[[#This Row],[Date]]="","",IF(OR(tblBoard[[#This Row],[Takt (s)]]="",tblBoard[[#This Row],[Available (min)]]=""),"",INT(tblBoard[[#This Row],[Available (min)]]*60/tblBoard[[#This Row],[Takt (s)]])))</f>
        <v>62</v>
      </c>
      <c r="L237" s="38">
        <f>IF(tblBoard[[#This Row],[Date]]="","",IF(tblBoard[[#This Row],[Target (units)]]="","",tblBoard[[#This Row],[Actual (units)]]-tblBoard[[#This Row],[Target (units)]]))</f>
        <v>2</v>
      </c>
      <c r="M237" s="38">
        <f>IF(tblBoard[[#This Row],[Date]]="","",IF(tblBoard[[#This Row],[Target (units)]]="","",MAX(0,tblBoard[[#This Row],[Target (units)]]-tblBoard[[#This Row],[Actual (units)]])))</f>
        <v>0</v>
      </c>
      <c r="N237" s="39">
        <f>IF(tblBoard[[#This Row],[Date]]="","",IF(N(tblBoard[[#This Row],[Target (units)]])&gt;0,tblBoard[[#This Row],[Actual (units)]]/tblBoard[[#This Row],[Target (units)]],""))</f>
        <v>1.03225806451613</v>
      </c>
      <c r="O237" s="38">
        <f>IF(tblBoard[[#This Row],[Date]]="","",IF(N(tblBoard[[#This Row],[Target (units)]])&gt;0,IF(tblBoard[[#This Row],[Actual (units)]]&gt;=tblBoard[[#This Row],[Target (units)]]*TargetHour,1,0),""))</f>
        <v>1</v>
      </c>
      <c r="P237" s="40" t="str">
        <f>IF(NOT(ISNUMBER(tblBoard[[#This Row],[Attainment]])),"",IF(tblBoard[[#This Row],[Attainment]]&gt;=TargetHour,"On target",IF(tblBoard[[#This Row],[Attainment]]&gt;=TargetHour*(1-0.05),"Near target","Below target")))</f>
        <v>On target</v>
      </c>
      <c r="Q237" s="38">
        <f>IF(tblBoard[[#This Row],[Date]]="","",IF(tblBoard[[#This Row],[Hour]]="","",SUMIFS(tblBoard[Target (units)],tblBoard[Date],tblBoard[[#This Row],[Date]],tblBoard[Shift],tblBoard[[#This Row],[Shift]],tblBoard[Line],tblBoard[[#This Row],[Line]],tblBoard[Hour],"&lt;="&amp;tblBoard[[#This Row],[Hour]])))</f>
        <v>523</v>
      </c>
      <c r="R237" s="38">
        <f>IF(tblBoard[[#This Row],[Date]]="","",IF(tblBoard[[#This Row],[Hour]]="","",SUMIFS(tblBoard[Actual (units)],tblBoard[Date],tblBoard[[#This Row],[Date]],tblBoard[Shift],tblBoard[[#This Row],[Shift]],tblBoard[Line],tblBoard[[#This Row],[Line]],tblBoard[Hour],"&lt;="&amp;tblBoard[[#This Row],[Hour]])))</f>
        <v>514</v>
      </c>
      <c r="S237" s="38">
        <f>IF(tblBoard[[#This Row],[Date]]="","",IF(tblBoard[[#This Row],[Cum. target]]="","",tblBoard[[#This Row],[Cum. actual]]-tblBoard[[#This Row],[Cum. target]]))</f>
        <v>-9</v>
      </c>
      <c r="T237" s="41">
        <f>IF(tblBoard[[#This Row],[Date]]="","",IF(AND(tblBoard[[#This Row],[Date]]&gt;=FFrom,tblBoard[[#This Row],[Date]]&lt;=FTo,OR(DashLine="",tblBoard[[#This Row],[Line]]=DashLine)),tblBoard[[#This Row],[Date]],""))</f>
        <v>46309</v>
      </c>
      <c r="U23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7" s="43" t="s">
        <v>97</v>
      </c>
    </row>
    <row r="238" spans="2:22" x14ac:dyDescent="0.25">
      <c r="B238" s="36">
        <v>46309</v>
      </c>
      <c r="C238" s="28" t="s">
        <v>91</v>
      </c>
      <c r="D238" s="28" t="s">
        <v>88</v>
      </c>
      <c r="E238" s="33">
        <v>1</v>
      </c>
      <c r="F238" s="28" t="s">
        <v>107</v>
      </c>
      <c r="G238" s="33">
        <v>60</v>
      </c>
      <c r="H238" s="33">
        <v>102</v>
      </c>
      <c r="I238" s="28" t="s">
        <v>110</v>
      </c>
      <c r="J238" s="37">
        <f>IF(tblBoard[[#This Row],[Date]]="","",IFERROR(INDEX(tblProducts[Takt time (s)],MATCH(tblBoard[[#This Row],[Product]],tblProducts[Product],0)),""))</f>
        <v>30</v>
      </c>
      <c r="K238" s="38">
        <f>IF(tblBoard[[#This Row],[Date]]="","",IF(OR(tblBoard[[#This Row],[Takt (s)]]="",tblBoard[[#This Row],[Available (min)]]=""),"",INT(tblBoard[[#This Row],[Available (min)]]*60/tblBoard[[#This Row],[Takt (s)]])))</f>
        <v>120</v>
      </c>
      <c r="L238" s="38">
        <f>IF(tblBoard[[#This Row],[Date]]="","",IF(tblBoard[[#This Row],[Target (units)]]="","",tblBoard[[#This Row],[Actual (units)]]-tblBoard[[#This Row],[Target (units)]]))</f>
        <v>-18</v>
      </c>
      <c r="M238" s="38">
        <f>IF(tblBoard[[#This Row],[Date]]="","",IF(tblBoard[[#This Row],[Target (units)]]="","",MAX(0,tblBoard[[#This Row],[Target (units)]]-tblBoard[[#This Row],[Actual (units)]])))</f>
        <v>18</v>
      </c>
      <c r="N238" s="39">
        <f>IF(tblBoard[[#This Row],[Date]]="","",IF(N(tblBoard[[#This Row],[Target (units)]])&gt;0,tblBoard[[#This Row],[Actual (units)]]/tblBoard[[#This Row],[Target (units)]],""))</f>
        <v>0.85</v>
      </c>
      <c r="O238" s="38">
        <f>IF(tblBoard[[#This Row],[Date]]="","",IF(N(tblBoard[[#This Row],[Target (units)]])&gt;0,IF(tblBoard[[#This Row],[Actual (units)]]&gt;=tblBoard[[#This Row],[Target (units)]]*TargetHour,1,0),""))</f>
        <v>0</v>
      </c>
      <c r="P238" s="40" t="str">
        <f>IF(NOT(ISNUMBER(tblBoard[[#This Row],[Attainment]])),"",IF(tblBoard[[#This Row],[Attainment]]&gt;=TargetHour,"On target",IF(tblBoard[[#This Row],[Attainment]]&gt;=TargetHour*(1-0.05),"Near target","Below target")))</f>
        <v>Below target</v>
      </c>
      <c r="Q238" s="38">
        <f>IF(tblBoard[[#This Row],[Date]]="","",IF(tblBoard[[#This Row],[Hour]]="","",SUMIFS(tblBoard[Target (units)],tblBoard[Date],tblBoard[[#This Row],[Date]],tblBoard[Shift],tblBoard[[#This Row],[Shift]],tblBoard[Line],tblBoard[[#This Row],[Line]],tblBoard[Hour],"&lt;="&amp;tblBoard[[#This Row],[Hour]])))</f>
        <v>120</v>
      </c>
      <c r="R238" s="38">
        <f>IF(tblBoard[[#This Row],[Date]]="","",IF(tblBoard[[#This Row],[Hour]]="","",SUMIFS(tblBoard[Actual (units)],tblBoard[Date],tblBoard[[#This Row],[Date]],tblBoard[Shift],tblBoard[[#This Row],[Shift]],tblBoard[Line],tblBoard[[#This Row],[Line]],tblBoard[Hour],"&lt;="&amp;tblBoard[[#This Row],[Hour]])))</f>
        <v>102</v>
      </c>
      <c r="S238" s="38">
        <f>IF(tblBoard[[#This Row],[Date]]="","",IF(tblBoard[[#This Row],[Cum. target]]="","",tblBoard[[#This Row],[Cum. actual]]-tblBoard[[#This Row],[Cum. target]]))</f>
        <v>-18</v>
      </c>
      <c r="T238" s="41">
        <f>IF(tblBoard[[#This Row],[Date]]="","",IF(AND(tblBoard[[#This Row],[Date]]&gt;=FFrom,tblBoard[[#This Row],[Date]]&lt;=FTo,OR(DashLine="",tblBoard[[#This Row],[Line]]=DashLine)),tblBoard[[#This Row],[Date]],""))</f>
        <v>46309</v>
      </c>
      <c r="U23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8" s="43" t="s">
        <v>144</v>
      </c>
    </row>
    <row r="239" spans="2:22" x14ac:dyDescent="0.25">
      <c r="B239" s="36">
        <v>46309</v>
      </c>
      <c r="C239" s="28" t="s">
        <v>91</v>
      </c>
      <c r="D239" s="28" t="s">
        <v>88</v>
      </c>
      <c r="E239" s="33">
        <v>2</v>
      </c>
      <c r="F239" s="28" t="s">
        <v>107</v>
      </c>
      <c r="G239" s="33">
        <v>60</v>
      </c>
      <c r="H239" s="33">
        <v>117</v>
      </c>
      <c r="I239" s="28" t="s">
        <v>122</v>
      </c>
      <c r="J239" s="37">
        <f>IF(tblBoard[[#This Row],[Date]]="","",IFERROR(INDEX(tblProducts[Takt time (s)],MATCH(tblBoard[[#This Row],[Product]],tblProducts[Product],0)),""))</f>
        <v>30</v>
      </c>
      <c r="K239" s="38">
        <f>IF(tblBoard[[#This Row],[Date]]="","",IF(OR(tblBoard[[#This Row],[Takt (s)]]="",tblBoard[[#This Row],[Available (min)]]=""),"",INT(tblBoard[[#This Row],[Available (min)]]*60/tblBoard[[#This Row],[Takt (s)]])))</f>
        <v>120</v>
      </c>
      <c r="L239" s="38">
        <f>IF(tblBoard[[#This Row],[Date]]="","",IF(tblBoard[[#This Row],[Target (units)]]="","",tblBoard[[#This Row],[Actual (units)]]-tblBoard[[#This Row],[Target (units)]]))</f>
        <v>-3</v>
      </c>
      <c r="M239" s="38">
        <f>IF(tblBoard[[#This Row],[Date]]="","",IF(tblBoard[[#This Row],[Target (units)]]="","",MAX(0,tblBoard[[#This Row],[Target (units)]]-tblBoard[[#This Row],[Actual (units)]])))</f>
        <v>3</v>
      </c>
      <c r="N239" s="39">
        <f>IF(tblBoard[[#This Row],[Date]]="","",IF(N(tblBoard[[#This Row],[Target (units)]])&gt;0,tblBoard[[#This Row],[Actual (units)]]/tblBoard[[#This Row],[Target (units)]],""))</f>
        <v>0.975</v>
      </c>
      <c r="O239" s="38">
        <f>IF(tblBoard[[#This Row],[Date]]="","",IF(N(tblBoard[[#This Row],[Target (units)]])&gt;0,IF(tblBoard[[#This Row],[Actual (units)]]&gt;=tblBoard[[#This Row],[Target (units)]]*TargetHour,1,0),""))</f>
        <v>0</v>
      </c>
      <c r="P239" s="40" t="str">
        <f>IF(NOT(ISNUMBER(tblBoard[[#This Row],[Attainment]])),"",IF(tblBoard[[#This Row],[Attainment]]&gt;=TargetHour,"On target",IF(tblBoard[[#This Row],[Attainment]]&gt;=TargetHour*(1-0.05),"Near target","Below target")))</f>
        <v>Near target</v>
      </c>
      <c r="Q239" s="38">
        <f>IF(tblBoard[[#This Row],[Date]]="","",IF(tblBoard[[#This Row],[Hour]]="","",SUMIFS(tblBoard[Target (units)],tblBoard[Date],tblBoard[[#This Row],[Date]],tblBoard[Shift],tblBoard[[#This Row],[Shift]],tblBoard[Line],tblBoard[[#This Row],[Line]],tblBoard[Hour],"&lt;="&amp;tblBoard[[#This Row],[Hour]])))</f>
        <v>240</v>
      </c>
      <c r="R239" s="38">
        <f>IF(tblBoard[[#This Row],[Date]]="","",IF(tblBoard[[#This Row],[Hour]]="","",SUMIFS(tblBoard[Actual (units)],tblBoard[Date],tblBoard[[#This Row],[Date]],tblBoard[Shift],tblBoard[[#This Row],[Shift]],tblBoard[Line],tblBoard[[#This Row],[Line]],tblBoard[Hour],"&lt;="&amp;tblBoard[[#This Row],[Hour]])))</f>
        <v>219</v>
      </c>
      <c r="S239" s="38">
        <f>IF(tblBoard[[#This Row],[Date]]="","",IF(tblBoard[[#This Row],[Cum. target]]="","",tblBoard[[#This Row],[Cum. actual]]-tblBoard[[#This Row],[Cum. target]]))</f>
        <v>-21</v>
      </c>
      <c r="T239" s="41">
        <f>IF(tblBoard[[#This Row],[Date]]="","",IF(AND(tblBoard[[#This Row],[Date]]&gt;=FFrom,tblBoard[[#This Row],[Date]]&lt;=FTo,OR(DashLine="",tblBoard[[#This Row],[Line]]=DashLine)),tblBoard[[#This Row],[Date]],""))</f>
        <v>46309</v>
      </c>
      <c r="U23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39" s="43" t="s">
        <v>97</v>
      </c>
    </row>
    <row r="240" spans="2:22" x14ac:dyDescent="0.25">
      <c r="B240" s="36">
        <v>46309</v>
      </c>
      <c r="C240" s="28" t="s">
        <v>91</v>
      </c>
      <c r="D240" s="28" t="s">
        <v>88</v>
      </c>
      <c r="E240" s="33">
        <v>3</v>
      </c>
      <c r="F240" s="28" t="s">
        <v>107</v>
      </c>
      <c r="G240" s="33">
        <v>50</v>
      </c>
      <c r="H240" s="33">
        <v>101</v>
      </c>
      <c r="I240" s="28"/>
      <c r="J240" s="37">
        <f>IF(tblBoard[[#This Row],[Date]]="","",IFERROR(INDEX(tblProducts[Takt time (s)],MATCH(tblBoard[[#This Row],[Product]],tblProducts[Product],0)),""))</f>
        <v>30</v>
      </c>
      <c r="K240" s="38">
        <f>IF(tblBoard[[#This Row],[Date]]="","",IF(OR(tblBoard[[#This Row],[Takt (s)]]="",tblBoard[[#This Row],[Available (min)]]=""),"",INT(tblBoard[[#This Row],[Available (min)]]*60/tblBoard[[#This Row],[Takt (s)]])))</f>
        <v>100</v>
      </c>
      <c r="L240" s="38">
        <f>IF(tblBoard[[#This Row],[Date]]="","",IF(tblBoard[[#This Row],[Target (units)]]="","",tblBoard[[#This Row],[Actual (units)]]-tblBoard[[#This Row],[Target (units)]]))</f>
        <v>1</v>
      </c>
      <c r="M240" s="38">
        <f>IF(tblBoard[[#This Row],[Date]]="","",IF(tblBoard[[#This Row],[Target (units)]]="","",MAX(0,tblBoard[[#This Row],[Target (units)]]-tblBoard[[#This Row],[Actual (units)]])))</f>
        <v>0</v>
      </c>
      <c r="N240" s="39">
        <f>IF(tblBoard[[#This Row],[Date]]="","",IF(N(tblBoard[[#This Row],[Target (units)]])&gt;0,tblBoard[[#This Row],[Actual (units)]]/tblBoard[[#This Row],[Target (units)]],""))</f>
        <v>1.01</v>
      </c>
      <c r="O240" s="38">
        <f>IF(tblBoard[[#This Row],[Date]]="","",IF(N(tblBoard[[#This Row],[Target (units)]])&gt;0,IF(tblBoard[[#This Row],[Actual (units)]]&gt;=tblBoard[[#This Row],[Target (units)]]*TargetHour,1,0),""))</f>
        <v>1</v>
      </c>
      <c r="P240" s="40" t="str">
        <f>IF(NOT(ISNUMBER(tblBoard[[#This Row],[Attainment]])),"",IF(tblBoard[[#This Row],[Attainment]]&gt;=TargetHour,"On target",IF(tblBoard[[#This Row],[Attainment]]&gt;=TargetHour*(1-0.05),"Near target","Below target")))</f>
        <v>On target</v>
      </c>
      <c r="Q240" s="38">
        <f>IF(tblBoard[[#This Row],[Date]]="","",IF(tblBoard[[#This Row],[Hour]]="","",SUMIFS(tblBoard[Target (units)],tblBoard[Date],tblBoard[[#This Row],[Date]],tblBoard[Shift],tblBoard[[#This Row],[Shift]],tblBoard[Line],tblBoard[[#This Row],[Line]],tblBoard[Hour],"&lt;="&amp;tblBoard[[#This Row],[Hour]])))</f>
        <v>340</v>
      </c>
      <c r="R240" s="38">
        <f>IF(tblBoard[[#This Row],[Date]]="","",IF(tblBoard[[#This Row],[Hour]]="","",SUMIFS(tblBoard[Actual (units)],tblBoard[Date],tblBoard[[#This Row],[Date]],tblBoard[Shift],tblBoard[[#This Row],[Shift]],tblBoard[Line],tblBoard[[#This Row],[Line]],tblBoard[Hour],"&lt;="&amp;tblBoard[[#This Row],[Hour]])))</f>
        <v>320</v>
      </c>
      <c r="S240" s="38">
        <f>IF(tblBoard[[#This Row],[Date]]="","",IF(tblBoard[[#This Row],[Cum. target]]="","",tblBoard[[#This Row],[Cum. actual]]-tblBoard[[#This Row],[Cum. target]]))</f>
        <v>-20</v>
      </c>
      <c r="T240" s="41">
        <f>IF(tblBoard[[#This Row],[Date]]="","",IF(AND(tblBoard[[#This Row],[Date]]&gt;=FFrom,tblBoard[[#This Row],[Date]]&lt;=FTo,OR(DashLine="",tblBoard[[#This Row],[Line]]=DashLine)),tblBoard[[#This Row],[Date]],""))</f>
        <v>46309</v>
      </c>
      <c r="U24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0" s="43" t="s">
        <v>97</v>
      </c>
    </row>
    <row r="241" spans="2:22" x14ac:dyDescent="0.25">
      <c r="B241" s="36">
        <v>46309</v>
      </c>
      <c r="C241" s="28" t="s">
        <v>91</v>
      </c>
      <c r="D241" s="28" t="s">
        <v>88</v>
      </c>
      <c r="E241" s="33">
        <v>4</v>
      </c>
      <c r="F241" s="28" t="s">
        <v>107</v>
      </c>
      <c r="G241" s="33">
        <v>60</v>
      </c>
      <c r="H241" s="33">
        <v>122</v>
      </c>
      <c r="I241" s="28"/>
      <c r="J241" s="37">
        <f>IF(tblBoard[[#This Row],[Date]]="","",IFERROR(INDEX(tblProducts[Takt time (s)],MATCH(tblBoard[[#This Row],[Product]],tblProducts[Product],0)),""))</f>
        <v>30</v>
      </c>
      <c r="K241" s="38">
        <f>IF(tblBoard[[#This Row],[Date]]="","",IF(OR(tblBoard[[#This Row],[Takt (s)]]="",tblBoard[[#This Row],[Available (min)]]=""),"",INT(tblBoard[[#This Row],[Available (min)]]*60/tblBoard[[#This Row],[Takt (s)]])))</f>
        <v>120</v>
      </c>
      <c r="L241" s="38">
        <f>IF(tblBoard[[#This Row],[Date]]="","",IF(tblBoard[[#This Row],[Target (units)]]="","",tblBoard[[#This Row],[Actual (units)]]-tblBoard[[#This Row],[Target (units)]]))</f>
        <v>2</v>
      </c>
      <c r="M241" s="38">
        <f>IF(tblBoard[[#This Row],[Date]]="","",IF(tblBoard[[#This Row],[Target (units)]]="","",MAX(0,tblBoard[[#This Row],[Target (units)]]-tblBoard[[#This Row],[Actual (units)]])))</f>
        <v>0</v>
      </c>
      <c r="N241" s="39">
        <f>IF(tblBoard[[#This Row],[Date]]="","",IF(N(tblBoard[[#This Row],[Target (units)]])&gt;0,tblBoard[[#This Row],[Actual (units)]]/tblBoard[[#This Row],[Target (units)]],""))</f>
        <v>1.01666666666667</v>
      </c>
      <c r="O241" s="38">
        <f>IF(tblBoard[[#This Row],[Date]]="","",IF(N(tblBoard[[#This Row],[Target (units)]])&gt;0,IF(tblBoard[[#This Row],[Actual (units)]]&gt;=tblBoard[[#This Row],[Target (units)]]*TargetHour,1,0),""))</f>
        <v>1</v>
      </c>
      <c r="P241" s="40" t="str">
        <f>IF(NOT(ISNUMBER(tblBoard[[#This Row],[Attainment]])),"",IF(tblBoard[[#This Row],[Attainment]]&gt;=TargetHour,"On target",IF(tblBoard[[#This Row],[Attainment]]&gt;=TargetHour*(1-0.05),"Near target","Below target")))</f>
        <v>On target</v>
      </c>
      <c r="Q241" s="38">
        <f>IF(tblBoard[[#This Row],[Date]]="","",IF(tblBoard[[#This Row],[Hour]]="","",SUMIFS(tblBoard[Target (units)],tblBoard[Date],tblBoard[[#This Row],[Date]],tblBoard[Shift],tblBoard[[#This Row],[Shift]],tblBoard[Line],tblBoard[[#This Row],[Line]],tblBoard[Hour],"&lt;="&amp;tblBoard[[#This Row],[Hour]])))</f>
        <v>460</v>
      </c>
      <c r="R241" s="38">
        <f>IF(tblBoard[[#This Row],[Date]]="","",IF(tblBoard[[#This Row],[Hour]]="","",SUMIFS(tblBoard[Actual (units)],tblBoard[Date],tblBoard[[#This Row],[Date]],tblBoard[Shift],tblBoard[[#This Row],[Shift]],tblBoard[Line],tblBoard[[#This Row],[Line]],tblBoard[Hour],"&lt;="&amp;tblBoard[[#This Row],[Hour]])))</f>
        <v>442</v>
      </c>
      <c r="S241" s="38">
        <f>IF(tblBoard[[#This Row],[Date]]="","",IF(tblBoard[[#This Row],[Cum. target]]="","",tblBoard[[#This Row],[Cum. actual]]-tblBoard[[#This Row],[Cum. target]]))</f>
        <v>-18</v>
      </c>
      <c r="T241" s="41">
        <f>IF(tblBoard[[#This Row],[Date]]="","",IF(AND(tblBoard[[#This Row],[Date]]&gt;=FFrom,tblBoard[[#This Row],[Date]]&lt;=FTo,OR(DashLine="",tblBoard[[#This Row],[Line]]=DashLine)),tblBoard[[#This Row],[Date]],""))</f>
        <v>46309</v>
      </c>
      <c r="U24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1" s="43" t="s">
        <v>97</v>
      </c>
    </row>
    <row r="242" spans="2:22" x14ac:dyDescent="0.25">
      <c r="B242" s="36">
        <v>46309</v>
      </c>
      <c r="C242" s="28" t="s">
        <v>91</v>
      </c>
      <c r="D242" s="28" t="s">
        <v>88</v>
      </c>
      <c r="E242" s="33">
        <v>5</v>
      </c>
      <c r="F242" s="28" t="s">
        <v>107</v>
      </c>
      <c r="G242" s="33">
        <v>30</v>
      </c>
      <c r="H242" s="33">
        <v>63</v>
      </c>
      <c r="I242" s="28"/>
      <c r="J242" s="37">
        <f>IF(tblBoard[[#This Row],[Date]]="","",IFERROR(INDEX(tblProducts[Takt time (s)],MATCH(tblBoard[[#This Row],[Product]],tblProducts[Product],0)),""))</f>
        <v>30</v>
      </c>
      <c r="K242" s="38">
        <f>IF(tblBoard[[#This Row],[Date]]="","",IF(OR(tblBoard[[#This Row],[Takt (s)]]="",tblBoard[[#This Row],[Available (min)]]=""),"",INT(tblBoard[[#This Row],[Available (min)]]*60/tblBoard[[#This Row],[Takt (s)]])))</f>
        <v>60</v>
      </c>
      <c r="L242" s="38">
        <f>IF(tblBoard[[#This Row],[Date]]="","",IF(tblBoard[[#This Row],[Target (units)]]="","",tblBoard[[#This Row],[Actual (units)]]-tblBoard[[#This Row],[Target (units)]]))</f>
        <v>3</v>
      </c>
      <c r="M242" s="38">
        <f>IF(tblBoard[[#This Row],[Date]]="","",IF(tblBoard[[#This Row],[Target (units)]]="","",MAX(0,tblBoard[[#This Row],[Target (units)]]-tblBoard[[#This Row],[Actual (units)]])))</f>
        <v>0</v>
      </c>
      <c r="N242" s="39">
        <f>IF(tblBoard[[#This Row],[Date]]="","",IF(N(tblBoard[[#This Row],[Target (units)]])&gt;0,tblBoard[[#This Row],[Actual (units)]]/tblBoard[[#This Row],[Target (units)]],""))</f>
        <v>1.05</v>
      </c>
      <c r="O242" s="38">
        <f>IF(tblBoard[[#This Row],[Date]]="","",IF(N(tblBoard[[#This Row],[Target (units)]])&gt;0,IF(tblBoard[[#This Row],[Actual (units)]]&gt;=tblBoard[[#This Row],[Target (units)]]*TargetHour,1,0),""))</f>
        <v>1</v>
      </c>
      <c r="P242" s="40" t="str">
        <f>IF(NOT(ISNUMBER(tblBoard[[#This Row],[Attainment]])),"",IF(tblBoard[[#This Row],[Attainment]]&gt;=TargetHour,"On target",IF(tblBoard[[#This Row],[Attainment]]&gt;=TargetHour*(1-0.05),"Near target","Below target")))</f>
        <v>On target</v>
      </c>
      <c r="Q242" s="38">
        <f>IF(tblBoard[[#This Row],[Date]]="","",IF(tblBoard[[#This Row],[Hour]]="","",SUMIFS(tblBoard[Target (units)],tblBoard[Date],tblBoard[[#This Row],[Date]],tblBoard[Shift],tblBoard[[#This Row],[Shift]],tblBoard[Line],tblBoard[[#This Row],[Line]],tblBoard[Hour],"&lt;="&amp;tblBoard[[#This Row],[Hour]])))</f>
        <v>520</v>
      </c>
      <c r="R242" s="38">
        <f>IF(tblBoard[[#This Row],[Date]]="","",IF(tblBoard[[#This Row],[Hour]]="","",SUMIFS(tblBoard[Actual (units)],tblBoard[Date],tblBoard[[#This Row],[Date]],tblBoard[Shift],tblBoard[[#This Row],[Shift]],tblBoard[Line],tblBoard[[#This Row],[Line]],tblBoard[Hour],"&lt;="&amp;tblBoard[[#This Row],[Hour]])))</f>
        <v>505</v>
      </c>
      <c r="S242" s="38">
        <f>IF(tblBoard[[#This Row],[Date]]="","",IF(tblBoard[[#This Row],[Cum. target]]="","",tblBoard[[#This Row],[Cum. actual]]-tblBoard[[#This Row],[Cum. target]]))</f>
        <v>-15</v>
      </c>
      <c r="T242" s="41">
        <f>IF(tblBoard[[#This Row],[Date]]="","",IF(AND(tblBoard[[#This Row],[Date]]&gt;=FFrom,tblBoard[[#This Row],[Date]]&lt;=FTo,OR(DashLine="",tblBoard[[#This Row],[Line]]=DashLine)),tblBoard[[#This Row],[Date]],""))</f>
        <v>46309</v>
      </c>
      <c r="U24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2" s="43" t="s">
        <v>97</v>
      </c>
    </row>
    <row r="243" spans="2:22" x14ac:dyDescent="0.25">
      <c r="B243" s="36">
        <v>46309</v>
      </c>
      <c r="C243" s="28" t="s">
        <v>91</v>
      </c>
      <c r="D243" s="28" t="s">
        <v>88</v>
      </c>
      <c r="E243" s="33">
        <v>6</v>
      </c>
      <c r="F243" s="28" t="s">
        <v>107</v>
      </c>
      <c r="G243" s="33">
        <v>60</v>
      </c>
      <c r="H243" s="33">
        <v>106</v>
      </c>
      <c r="I243" s="28" t="s">
        <v>122</v>
      </c>
      <c r="J243" s="37">
        <f>IF(tblBoard[[#This Row],[Date]]="","",IFERROR(INDEX(tblProducts[Takt time (s)],MATCH(tblBoard[[#This Row],[Product]],tblProducts[Product],0)),""))</f>
        <v>30</v>
      </c>
      <c r="K243" s="38">
        <f>IF(tblBoard[[#This Row],[Date]]="","",IF(OR(tblBoard[[#This Row],[Takt (s)]]="",tblBoard[[#This Row],[Available (min)]]=""),"",INT(tblBoard[[#This Row],[Available (min)]]*60/tblBoard[[#This Row],[Takt (s)]])))</f>
        <v>120</v>
      </c>
      <c r="L243" s="38">
        <f>IF(tblBoard[[#This Row],[Date]]="","",IF(tblBoard[[#This Row],[Target (units)]]="","",tblBoard[[#This Row],[Actual (units)]]-tblBoard[[#This Row],[Target (units)]]))</f>
        <v>-14</v>
      </c>
      <c r="M243" s="38">
        <f>IF(tblBoard[[#This Row],[Date]]="","",IF(tblBoard[[#This Row],[Target (units)]]="","",MAX(0,tblBoard[[#This Row],[Target (units)]]-tblBoard[[#This Row],[Actual (units)]])))</f>
        <v>14</v>
      </c>
      <c r="N243" s="39">
        <f>IF(tblBoard[[#This Row],[Date]]="","",IF(N(tblBoard[[#This Row],[Target (units)]])&gt;0,tblBoard[[#This Row],[Actual (units)]]/tblBoard[[#This Row],[Target (units)]],""))</f>
        <v>0.883333333333333</v>
      </c>
      <c r="O243" s="38">
        <f>IF(tblBoard[[#This Row],[Date]]="","",IF(N(tblBoard[[#This Row],[Target (units)]])&gt;0,IF(tblBoard[[#This Row],[Actual (units)]]&gt;=tblBoard[[#This Row],[Target (units)]]*TargetHour,1,0),""))</f>
        <v>0</v>
      </c>
      <c r="P243" s="40" t="str">
        <f>IF(NOT(ISNUMBER(tblBoard[[#This Row],[Attainment]])),"",IF(tblBoard[[#This Row],[Attainment]]&gt;=TargetHour,"On target",IF(tblBoard[[#This Row],[Attainment]]&gt;=TargetHour*(1-0.05),"Near target","Below target")))</f>
        <v>Below target</v>
      </c>
      <c r="Q243" s="38">
        <f>IF(tblBoard[[#This Row],[Date]]="","",IF(tblBoard[[#This Row],[Hour]]="","",SUMIFS(tblBoard[Target (units)],tblBoard[Date],tblBoard[[#This Row],[Date]],tblBoard[Shift],tblBoard[[#This Row],[Shift]],tblBoard[Line],tblBoard[[#This Row],[Line]],tblBoard[Hour],"&lt;="&amp;tblBoard[[#This Row],[Hour]])))</f>
        <v>640</v>
      </c>
      <c r="R243" s="38">
        <f>IF(tblBoard[[#This Row],[Date]]="","",IF(tblBoard[[#This Row],[Hour]]="","",SUMIFS(tblBoard[Actual (units)],tblBoard[Date],tblBoard[[#This Row],[Date]],tblBoard[Shift],tblBoard[[#This Row],[Shift]],tblBoard[Line],tblBoard[[#This Row],[Line]],tblBoard[Hour],"&lt;="&amp;tblBoard[[#This Row],[Hour]])))</f>
        <v>611</v>
      </c>
      <c r="S243" s="38">
        <f>IF(tblBoard[[#This Row],[Date]]="","",IF(tblBoard[[#This Row],[Cum. target]]="","",tblBoard[[#This Row],[Cum. actual]]-tblBoard[[#This Row],[Cum. target]]))</f>
        <v>-29</v>
      </c>
      <c r="T243" s="41">
        <f>IF(tblBoard[[#This Row],[Date]]="","",IF(AND(tblBoard[[#This Row],[Date]]&gt;=FFrom,tblBoard[[#This Row],[Date]]&lt;=FTo,OR(DashLine="",tblBoard[[#This Row],[Line]]=DashLine)),tblBoard[[#This Row],[Date]],""))</f>
        <v>46309</v>
      </c>
      <c r="U24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3" s="43" t="s">
        <v>97</v>
      </c>
    </row>
    <row r="244" spans="2:22" x14ac:dyDescent="0.25">
      <c r="B244" s="36">
        <v>46309</v>
      </c>
      <c r="C244" s="28" t="s">
        <v>91</v>
      </c>
      <c r="D244" s="28" t="s">
        <v>88</v>
      </c>
      <c r="E244" s="33">
        <v>7</v>
      </c>
      <c r="F244" s="28" t="s">
        <v>107</v>
      </c>
      <c r="G244" s="33">
        <v>50</v>
      </c>
      <c r="H244" s="33">
        <v>95</v>
      </c>
      <c r="I244" s="28" t="s">
        <v>114</v>
      </c>
      <c r="J244" s="37">
        <f>IF(tblBoard[[#This Row],[Date]]="","",IFERROR(INDEX(tblProducts[Takt time (s)],MATCH(tblBoard[[#This Row],[Product]],tblProducts[Product],0)),""))</f>
        <v>30</v>
      </c>
      <c r="K244" s="38">
        <f>IF(tblBoard[[#This Row],[Date]]="","",IF(OR(tblBoard[[#This Row],[Takt (s)]]="",tblBoard[[#This Row],[Available (min)]]=""),"",INT(tblBoard[[#This Row],[Available (min)]]*60/tblBoard[[#This Row],[Takt (s)]])))</f>
        <v>100</v>
      </c>
      <c r="L244" s="38">
        <f>IF(tblBoard[[#This Row],[Date]]="","",IF(tblBoard[[#This Row],[Target (units)]]="","",tblBoard[[#This Row],[Actual (units)]]-tblBoard[[#This Row],[Target (units)]]))</f>
        <v>-5</v>
      </c>
      <c r="M244" s="38">
        <f>IF(tblBoard[[#This Row],[Date]]="","",IF(tblBoard[[#This Row],[Target (units)]]="","",MAX(0,tblBoard[[#This Row],[Target (units)]]-tblBoard[[#This Row],[Actual (units)]])))</f>
        <v>5</v>
      </c>
      <c r="N244" s="39">
        <f>IF(tblBoard[[#This Row],[Date]]="","",IF(N(tblBoard[[#This Row],[Target (units)]])&gt;0,tblBoard[[#This Row],[Actual (units)]]/tblBoard[[#This Row],[Target (units)]],""))</f>
        <v>0.95</v>
      </c>
      <c r="O244" s="38">
        <f>IF(tblBoard[[#This Row],[Date]]="","",IF(N(tblBoard[[#This Row],[Target (units)]])&gt;0,IF(tblBoard[[#This Row],[Actual (units)]]&gt;=tblBoard[[#This Row],[Target (units)]]*TargetHour,1,0),""))</f>
        <v>0</v>
      </c>
      <c r="P244" s="40" t="str">
        <f>IF(NOT(ISNUMBER(tblBoard[[#This Row],[Attainment]])),"",IF(tblBoard[[#This Row],[Attainment]]&gt;=TargetHour,"On target",IF(tblBoard[[#This Row],[Attainment]]&gt;=TargetHour*(1-0.05),"Near target","Below target")))</f>
        <v>Near target</v>
      </c>
      <c r="Q244" s="38">
        <f>IF(tblBoard[[#This Row],[Date]]="","",IF(tblBoard[[#This Row],[Hour]]="","",SUMIFS(tblBoard[Target (units)],tblBoard[Date],tblBoard[[#This Row],[Date]],tblBoard[Shift],tblBoard[[#This Row],[Shift]],tblBoard[Line],tblBoard[[#This Row],[Line]],tblBoard[Hour],"&lt;="&amp;tblBoard[[#This Row],[Hour]])))</f>
        <v>740</v>
      </c>
      <c r="R244" s="38">
        <f>IF(tblBoard[[#This Row],[Date]]="","",IF(tblBoard[[#This Row],[Hour]]="","",SUMIFS(tblBoard[Actual (units)],tblBoard[Date],tblBoard[[#This Row],[Date]],tblBoard[Shift],tblBoard[[#This Row],[Shift]],tblBoard[Line],tblBoard[[#This Row],[Line]],tblBoard[Hour],"&lt;="&amp;tblBoard[[#This Row],[Hour]])))</f>
        <v>706</v>
      </c>
      <c r="S244" s="38">
        <f>IF(tblBoard[[#This Row],[Date]]="","",IF(tblBoard[[#This Row],[Cum. target]]="","",tblBoard[[#This Row],[Cum. actual]]-tblBoard[[#This Row],[Cum. target]]))</f>
        <v>-34</v>
      </c>
      <c r="T244" s="41">
        <f>IF(tblBoard[[#This Row],[Date]]="","",IF(AND(tblBoard[[#This Row],[Date]]&gt;=FFrom,tblBoard[[#This Row],[Date]]&lt;=FTo,OR(DashLine="",tblBoard[[#This Row],[Line]]=DashLine)),tblBoard[[#This Row],[Date]],""))</f>
        <v>46309</v>
      </c>
      <c r="U24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4" s="43" t="s">
        <v>97</v>
      </c>
    </row>
    <row r="245" spans="2:22" x14ac:dyDescent="0.25">
      <c r="B245" s="36">
        <v>46309</v>
      </c>
      <c r="C245" s="28" t="s">
        <v>91</v>
      </c>
      <c r="D245" s="28" t="s">
        <v>88</v>
      </c>
      <c r="E245" s="33">
        <v>8</v>
      </c>
      <c r="F245" s="28" t="s">
        <v>107</v>
      </c>
      <c r="G245" s="33">
        <v>50</v>
      </c>
      <c r="H245" s="33">
        <v>95</v>
      </c>
      <c r="I245" s="28" t="s">
        <v>114</v>
      </c>
      <c r="J245" s="37">
        <f>IF(tblBoard[[#This Row],[Date]]="","",IFERROR(INDEX(tblProducts[Takt time (s)],MATCH(tblBoard[[#This Row],[Product]],tblProducts[Product],0)),""))</f>
        <v>30</v>
      </c>
      <c r="K245" s="38">
        <f>IF(tblBoard[[#This Row],[Date]]="","",IF(OR(tblBoard[[#This Row],[Takt (s)]]="",tblBoard[[#This Row],[Available (min)]]=""),"",INT(tblBoard[[#This Row],[Available (min)]]*60/tblBoard[[#This Row],[Takt (s)]])))</f>
        <v>100</v>
      </c>
      <c r="L245" s="38">
        <f>IF(tblBoard[[#This Row],[Date]]="","",IF(tblBoard[[#This Row],[Target (units)]]="","",tblBoard[[#This Row],[Actual (units)]]-tblBoard[[#This Row],[Target (units)]]))</f>
        <v>-5</v>
      </c>
      <c r="M245" s="38">
        <f>IF(tblBoard[[#This Row],[Date]]="","",IF(tblBoard[[#This Row],[Target (units)]]="","",MAX(0,tblBoard[[#This Row],[Target (units)]]-tblBoard[[#This Row],[Actual (units)]])))</f>
        <v>5</v>
      </c>
      <c r="N245" s="39">
        <f>IF(tblBoard[[#This Row],[Date]]="","",IF(N(tblBoard[[#This Row],[Target (units)]])&gt;0,tblBoard[[#This Row],[Actual (units)]]/tblBoard[[#This Row],[Target (units)]],""))</f>
        <v>0.95</v>
      </c>
      <c r="O245" s="38">
        <f>IF(tblBoard[[#This Row],[Date]]="","",IF(N(tblBoard[[#This Row],[Target (units)]])&gt;0,IF(tblBoard[[#This Row],[Actual (units)]]&gt;=tblBoard[[#This Row],[Target (units)]]*TargetHour,1,0),""))</f>
        <v>0</v>
      </c>
      <c r="P245" s="40" t="str">
        <f>IF(NOT(ISNUMBER(tblBoard[[#This Row],[Attainment]])),"",IF(tblBoard[[#This Row],[Attainment]]&gt;=TargetHour,"On target",IF(tblBoard[[#This Row],[Attainment]]&gt;=TargetHour*(1-0.05),"Near target","Below target")))</f>
        <v>Near target</v>
      </c>
      <c r="Q245" s="38">
        <f>IF(tblBoard[[#This Row],[Date]]="","",IF(tblBoard[[#This Row],[Hour]]="","",SUMIFS(tblBoard[Target (units)],tblBoard[Date],tblBoard[[#This Row],[Date]],tblBoard[Shift],tblBoard[[#This Row],[Shift]],tblBoard[Line],tblBoard[[#This Row],[Line]],tblBoard[Hour],"&lt;="&amp;tblBoard[[#This Row],[Hour]])))</f>
        <v>840</v>
      </c>
      <c r="R245" s="38">
        <f>IF(tblBoard[[#This Row],[Date]]="","",IF(tblBoard[[#This Row],[Hour]]="","",SUMIFS(tblBoard[Actual (units)],tblBoard[Date],tblBoard[[#This Row],[Date]],tblBoard[Shift],tblBoard[[#This Row],[Shift]],tblBoard[Line],tblBoard[[#This Row],[Line]],tblBoard[Hour],"&lt;="&amp;tblBoard[[#This Row],[Hour]])))</f>
        <v>801</v>
      </c>
      <c r="S245" s="38">
        <f>IF(tblBoard[[#This Row],[Date]]="","",IF(tblBoard[[#This Row],[Cum. target]]="","",tblBoard[[#This Row],[Cum. actual]]-tblBoard[[#This Row],[Cum. target]]))</f>
        <v>-39</v>
      </c>
      <c r="T245" s="41">
        <f>IF(tblBoard[[#This Row],[Date]]="","",IF(AND(tblBoard[[#This Row],[Date]]&gt;=FFrom,tblBoard[[#This Row],[Date]]&lt;=FTo,OR(DashLine="",tblBoard[[#This Row],[Line]]=DashLine)),tblBoard[[#This Row],[Date]],""))</f>
        <v>46309</v>
      </c>
      <c r="U24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5" s="43" t="s">
        <v>97</v>
      </c>
    </row>
    <row r="246" spans="2:22" x14ac:dyDescent="0.25">
      <c r="B246" s="36">
        <v>46309</v>
      </c>
      <c r="C246" s="28" t="s">
        <v>93</v>
      </c>
      <c r="D246" s="28" t="s">
        <v>85</v>
      </c>
      <c r="E246" s="33">
        <v>1</v>
      </c>
      <c r="F246" s="28" t="s">
        <v>105</v>
      </c>
      <c r="G246" s="33">
        <v>60</v>
      </c>
      <c r="H246" s="33">
        <v>66</v>
      </c>
      <c r="I246" s="28" t="s">
        <v>110</v>
      </c>
      <c r="J246" s="37">
        <f>IF(tblBoard[[#This Row],[Date]]="","",IFERROR(INDEX(tblProducts[Takt time (s)],MATCH(tblBoard[[#This Row],[Product]],tblProducts[Product],0)),""))</f>
        <v>48</v>
      </c>
      <c r="K246" s="38">
        <f>IF(tblBoard[[#This Row],[Date]]="","",IF(OR(tblBoard[[#This Row],[Takt (s)]]="",tblBoard[[#This Row],[Available (min)]]=""),"",INT(tblBoard[[#This Row],[Available (min)]]*60/tblBoard[[#This Row],[Takt (s)]])))</f>
        <v>75</v>
      </c>
      <c r="L246" s="38">
        <f>IF(tblBoard[[#This Row],[Date]]="","",IF(tblBoard[[#This Row],[Target (units)]]="","",tblBoard[[#This Row],[Actual (units)]]-tblBoard[[#This Row],[Target (units)]]))</f>
        <v>-9</v>
      </c>
      <c r="M246" s="38">
        <f>IF(tblBoard[[#This Row],[Date]]="","",IF(tblBoard[[#This Row],[Target (units)]]="","",MAX(0,tblBoard[[#This Row],[Target (units)]]-tblBoard[[#This Row],[Actual (units)]])))</f>
        <v>9</v>
      </c>
      <c r="N246" s="39">
        <f>IF(tblBoard[[#This Row],[Date]]="","",IF(N(tblBoard[[#This Row],[Target (units)]])&gt;0,tblBoard[[#This Row],[Actual (units)]]/tblBoard[[#This Row],[Target (units)]],""))</f>
        <v>0.88</v>
      </c>
      <c r="O246" s="38">
        <f>IF(tblBoard[[#This Row],[Date]]="","",IF(N(tblBoard[[#This Row],[Target (units)]])&gt;0,IF(tblBoard[[#This Row],[Actual (units)]]&gt;=tblBoard[[#This Row],[Target (units)]]*TargetHour,1,0),""))</f>
        <v>0</v>
      </c>
      <c r="P246" s="40" t="str">
        <f>IF(NOT(ISNUMBER(tblBoard[[#This Row],[Attainment]])),"",IF(tblBoard[[#This Row],[Attainment]]&gt;=TargetHour,"On target",IF(tblBoard[[#This Row],[Attainment]]&gt;=TargetHour*(1-0.05),"Near target","Below target")))</f>
        <v>Below target</v>
      </c>
      <c r="Q246" s="38">
        <f>IF(tblBoard[[#This Row],[Date]]="","",IF(tblBoard[[#This Row],[Hour]]="","",SUMIFS(tblBoard[Target (units)],tblBoard[Date],tblBoard[[#This Row],[Date]],tblBoard[Shift],tblBoard[[#This Row],[Shift]],tblBoard[Line],tblBoard[[#This Row],[Line]],tblBoard[Hour],"&lt;="&amp;tblBoard[[#This Row],[Hour]])))</f>
        <v>75</v>
      </c>
      <c r="R246" s="38">
        <f>IF(tblBoard[[#This Row],[Date]]="","",IF(tblBoard[[#This Row],[Hour]]="","",SUMIFS(tblBoard[Actual (units)],tblBoard[Date],tblBoard[[#This Row],[Date]],tblBoard[Shift],tblBoard[[#This Row],[Shift]],tblBoard[Line],tblBoard[[#This Row],[Line]],tblBoard[Hour],"&lt;="&amp;tblBoard[[#This Row],[Hour]])))</f>
        <v>66</v>
      </c>
      <c r="S246" s="38">
        <f>IF(tblBoard[[#This Row],[Date]]="","",IF(tblBoard[[#This Row],[Cum. target]]="","",tblBoard[[#This Row],[Cum. actual]]-tblBoard[[#This Row],[Cum. target]]))</f>
        <v>-9</v>
      </c>
      <c r="T246" s="41">
        <f>IF(tblBoard[[#This Row],[Date]]="","",IF(AND(tblBoard[[#This Row],[Date]]&gt;=FFrom,tblBoard[[#This Row],[Date]]&lt;=FTo,OR(DashLine="",tblBoard[[#This Row],[Line]]=DashLine)),tblBoard[[#This Row],[Date]],""))</f>
        <v>46309</v>
      </c>
      <c r="U24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6" s="43" t="s">
        <v>97</v>
      </c>
    </row>
    <row r="247" spans="2:22" x14ac:dyDescent="0.25">
      <c r="B247" s="36">
        <v>46309</v>
      </c>
      <c r="C247" s="28" t="s">
        <v>93</v>
      </c>
      <c r="D247" s="28" t="s">
        <v>85</v>
      </c>
      <c r="E247" s="33">
        <v>2</v>
      </c>
      <c r="F247" s="28" t="s">
        <v>105</v>
      </c>
      <c r="G247" s="33">
        <v>60</v>
      </c>
      <c r="H247" s="33">
        <v>74</v>
      </c>
      <c r="I247" s="28" t="s">
        <v>114</v>
      </c>
      <c r="J247" s="37">
        <f>IF(tblBoard[[#This Row],[Date]]="","",IFERROR(INDEX(tblProducts[Takt time (s)],MATCH(tblBoard[[#This Row],[Product]],tblProducts[Product],0)),""))</f>
        <v>48</v>
      </c>
      <c r="K247" s="38">
        <f>IF(tblBoard[[#This Row],[Date]]="","",IF(OR(tblBoard[[#This Row],[Takt (s)]]="",tblBoard[[#This Row],[Available (min)]]=""),"",INT(tblBoard[[#This Row],[Available (min)]]*60/tblBoard[[#This Row],[Takt (s)]])))</f>
        <v>75</v>
      </c>
      <c r="L247" s="38">
        <f>IF(tblBoard[[#This Row],[Date]]="","",IF(tblBoard[[#This Row],[Target (units)]]="","",tblBoard[[#This Row],[Actual (units)]]-tblBoard[[#This Row],[Target (units)]]))</f>
        <v>-1</v>
      </c>
      <c r="M247" s="38">
        <f>IF(tblBoard[[#This Row],[Date]]="","",IF(tblBoard[[#This Row],[Target (units)]]="","",MAX(0,tblBoard[[#This Row],[Target (units)]]-tblBoard[[#This Row],[Actual (units)]])))</f>
        <v>1</v>
      </c>
      <c r="N247" s="39">
        <f>IF(tblBoard[[#This Row],[Date]]="","",IF(N(tblBoard[[#This Row],[Target (units)]])&gt;0,tblBoard[[#This Row],[Actual (units)]]/tblBoard[[#This Row],[Target (units)]],""))</f>
        <v>0.986666666666667</v>
      </c>
      <c r="O247" s="38">
        <f>IF(tblBoard[[#This Row],[Date]]="","",IF(N(tblBoard[[#This Row],[Target (units)]])&gt;0,IF(tblBoard[[#This Row],[Actual (units)]]&gt;=tblBoard[[#This Row],[Target (units)]]*TargetHour,1,0),""))</f>
        <v>0</v>
      </c>
      <c r="P247" s="40" t="str">
        <f>IF(NOT(ISNUMBER(tblBoard[[#This Row],[Attainment]])),"",IF(tblBoard[[#This Row],[Attainment]]&gt;=TargetHour,"On target",IF(tblBoard[[#This Row],[Attainment]]&gt;=TargetHour*(1-0.05),"Near target","Below target")))</f>
        <v>Near target</v>
      </c>
      <c r="Q247" s="38">
        <f>IF(tblBoard[[#This Row],[Date]]="","",IF(tblBoard[[#This Row],[Hour]]="","",SUMIFS(tblBoard[Target (units)],tblBoard[Date],tblBoard[[#This Row],[Date]],tblBoard[Shift],tblBoard[[#This Row],[Shift]],tblBoard[Line],tblBoard[[#This Row],[Line]],tblBoard[Hour],"&lt;="&amp;tblBoard[[#This Row],[Hour]])))</f>
        <v>150</v>
      </c>
      <c r="R247" s="38">
        <f>IF(tblBoard[[#This Row],[Date]]="","",IF(tblBoard[[#This Row],[Hour]]="","",SUMIFS(tblBoard[Actual (units)],tblBoard[Date],tblBoard[[#This Row],[Date]],tblBoard[Shift],tblBoard[[#This Row],[Shift]],tblBoard[Line],tblBoard[[#This Row],[Line]],tblBoard[Hour],"&lt;="&amp;tblBoard[[#This Row],[Hour]])))</f>
        <v>140</v>
      </c>
      <c r="S247" s="38">
        <f>IF(tblBoard[[#This Row],[Date]]="","",IF(tblBoard[[#This Row],[Cum. target]]="","",tblBoard[[#This Row],[Cum. actual]]-tblBoard[[#This Row],[Cum. target]]))</f>
        <v>-10</v>
      </c>
      <c r="T247" s="41">
        <f>IF(tblBoard[[#This Row],[Date]]="","",IF(AND(tblBoard[[#This Row],[Date]]&gt;=FFrom,tblBoard[[#This Row],[Date]]&lt;=FTo,OR(DashLine="",tblBoard[[#This Row],[Line]]=DashLine)),tblBoard[[#This Row],[Date]],""))</f>
        <v>46309</v>
      </c>
      <c r="U24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7" s="43" t="s">
        <v>97</v>
      </c>
    </row>
    <row r="248" spans="2:22" x14ac:dyDescent="0.25">
      <c r="B248" s="36">
        <v>46309</v>
      </c>
      <c r="C248" s="28" t="s">
        <v>93</v>
      </c>
      <c r="D248" s="28" t="s">
        <v>85</v>
      </c>
      <c r="E248" s="33">
        <v>3</v>
      </c>
      <c r="F248" s="28" t="s">
        <v>105</v>
      </c>
      <c r="G248" s="33">
        <v>50</v>
      </c>
      <c r="H248" s="33">
        <v>59</v>
      </c>
      <c r="I248" s="28" t="s">
        <v>114</v>
      </c>
      <c r="J248" s="37">
        <f>IF(tblBoard[[#This Row],[Date]]="","",IFERROR(INDEX(tblProducts[Takt time (s)],MATCH(tblBoard[[#This Row],[Product]],tblProducts[Product],0)),""))</f>
        <v>48</v>
      </c>
      <c r="K248" s="38">
        <f>IF(tblBoard[[#This Row],[Date]]="","",IF(OR(tblBoard[[#This Row],[Takt (s)]]="",tblBoard[[#This Row],[Available (min)]]=""),"",INT(tblBoard[[#This Row],[Available (min)]]*60/tblBoard[[#This Row],[Takt (s)]])))</f>
        <v>62</v>
      </c>
      <c r="L248" s="38">
        <f>IF(tblBoard[[#This Row],[Date]]="","",IF(tblBoard[[#This Row],[Target (units)]]="","",tblBoard[[#This Row],[Actual (units)]]-tblBoard[[#This Row],[Target (units)]]))</f>
        <v>-3</v>
      </c>
      <c r="M248" s="38">
        <f>IF(tblBoard[[#This Row],[Date]]="","",IF(tblBoard[[#This Row],[Target (units)]]="","",MAX(0,tblBoard[[#This Row],[Target (units)]]-tblBoard[[#This Row],[Actual (units)]])))</f>
        <v>3</v>
      </c>
      <c r="N248" s="39">
        <f>IF(tblBoard[[#This Row],[Date]]="","",IF(N(tblBoard[[#This Row],[Target (units)]])&gt;0,tblBoard[[#This Row],[Actual (units)]]/tblBoard[[#This Row],[Target (units)]],""))</f>
        <v>0.951612903225807</v>
      </c>
      <c r="O248" s="38">
        <f>IF(tblBoard[[#This Row],[Date]]="","",IF(N(tblBoard[[#This Row],[Target (units)]])&gt;0,IF(tblBoard[[#This Row],[Actual (units)]]&gt;=tblBoard[[#This Row],[Target (units)]]*TargetHour,1,0),""))</f>
        <v>0</v>
      </c>
      <c r="P248" s="40" t="str">
        <f>IF(NOT(ISNUMBER(tblBoard[[#This Row],[Attainment]])),"",IF(tblBoard[[#This Row],[Attainment]]&gt;=TargetHour,"On target",IF(tblBoard[[#This Row],[Attainment]]&gt;=TargetHour*(1-0.05),"Near target","Below target")))</f>
        <v>Near target</v>
      </c>
      <c r="Q248" s="38">
        <f>IF(tblBoard[[#This Row],[Date]]="","",IF(tblBoard[[#This Row],[Hour]]="","",SUMIFS(tblBoard[Target (units)],tblBoard[Date],tblBoard[[#This Row],[Date]],tblBoard[Shift],tblBoard[[#This Row],[Shift]],tblBoard[Line],tblBoard[[#This Row],[Line]],tblBoard[Hour],"&lt;="&amp;tblBoard[[#This Row],[Hour]])))</f>
        <v>212</v>
      </c>
      <c r="R248" s="38">
        <f>IF(tblBoard[[#This Row],[Date]]="","",IF(tblBoard[[#This Row],[Hour]]="","",SUMIFS(tblBoard[Actual (units)],tblBoard[Date],tblBoard[[#This Row],[Date]],tblBoard[Shift],tblBoard[[#This Row],[Shift]],tblBoard[Line],tblBoard[[#This Row],[Line]],tblBoard[Hour],"&lt;="&amp;tblBoard[[#This Row],[Hour]])))</f>
        <v>199</v>
      </c>
      <c r="S248" s="38">
        <f>IF(tblBoard[[#This Row],[Date]]="","",IF(tblBoard[[#This Row],[Cum. target]]="","",tblBoard[[#This Row],[Cum. actual]]-tblBoard[[#This Row],[Cum. target]]))</f>
        <v>-13</v>
      </c>
      <c r="T248" s="41">
        <f>IF(tblBoard[[#This Row],[Date]]="","",IF(AND(tblBoard[[#This Row],[Date]]&gt;=FFrom,tblBoard[[#This Row],[Date]]&lt;=FTo,OR(DashLine="",tblBoard[[#This Row],[Line]]=DashLine)),tblBoard[[#This Row],[Date]],""))</f>
        <v>46309</v>
      </c>
      <c r="U24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8" s="43" t="s">
        <v>97</v>
      </c>
    </row>
    <row r="249" spans="2:22" x14ac:dyDescent="0.25">
      <c r="B249" s="36">
        <v>46309</v>
      </c>
      <c r="C249" s="28" t="s">
        <v>93</v>
      </c>
      <c r="D249" s="28" t="s">
        <v>85</v>
      </c>
      <c r="E249" s="33">
        <v>4</v>
      </c>
      <c r="F249" s="28" t="s">
        <v>105</v>
      </c>
      <c r="G249" s="33">
        <v>60</v>
      </c>
      <c r="H249" s="33">
        <v>71</v>
      </c>
      <c r="I249" s="28" t="s">
        <v>118</v>
      </c>
      <c r="J249" s="37">
        <f>IF(tblBoard[[#This Row],[Date]]="","",IFERROR(INDEX(tblProducts[Takt time (s)],MATCH(tblBoard[[#This Row],[Product]],tblProducts[Product],0)),""))</f>
        <v>48</v>
      </c>
      <c r="K249" s="38">
        <f>IF(tblBoard[[#This Row],[Date]]="","",IF(OR(tblBoard[[#This Row],[Takt (s)]]="",tblBoard[[#This Row],[Available (min)]]=""),"",INT(tblBoard[[#This Row],[Available (min)]]*60/tblBoard[[#This Row],[Takt (s)]])))</f>
        <v>75</v>
      </c>
      <c r="L249" s="38">
        <f>IF(tblBoard[[#This Row],[Date]]="","",IF(tblBoard[[#This Row],[Target (units)]]="","",tblBoard[[#This Row],[Actual (units)]]-tblBoard[[#This Row],[Target (units)]]))</f>
        <v>-4</v>
      </c>
      <c r="M249" s="38">
        <f>IF(tblBoard[[#This Row],[Date]]="","",IF(tblBoard[[#This Row],[Target (units)]]="","",MAX(0,tblBoard[[#This Row],[Target (units)]]-tblBoard[[#This Row],[Actual (units)]])))</f>
        <v>4</v>
      </c>
      <c r="N249" s="39">
        <f>IF(tblBoard[[#This Row],[Date]]="","",IF(N(tblBoard[[#This Row],[Target (units)]])&gt;0,tblBoard[[#This Row],[Actual (units)]]/tblBoard[[#This Row],[Target (units)]],""))</f>
        <v>0.946666666666667</v>
      </c>
      <c r="O249" s="38">
        <f>IF(tblBoard[[#This Row],[Date]]="","",IF(N(tblBoard[[#This Row],[Target (units)]])&gt;0,IF(tblBoard[[#This Row],[Actual (units)]]&gt;=tblBoard[[#This Row],[Target (units)]]*TargetHour,1,0),""))</f>
        <v>0</v>
      </c>
      <c r="P249" s="40" t="str">
        <f>IF(NOT(ISNUMBER(tblBoard[[#This Row],[Attainment]])),"",IF(tblBoard[[#This Row],[Attainment]]&gt;=TargetHour,"On target",IF(tblBoard[[#This Row],[Attainment]]&gt;=TargetHour*(1-0.05),"Near target","Below target")))</f>
        <v>Below target</v>
      </c>
      <c r="Q249" s="38">
        <f>IF(tblBoard[[#This Row],[Date]]="","",IF(tblBoard[[#This Row],[Hour]]="","",SUMIFS(tblBoard[Target (units)],tblBoard[Date],tblBoard[[#This Row],[Date]],tblBoard[Shift],tblBoard[[#This Row],[Shift]],tblBoard[Line],tblBoard[[#This Row],[Line]],tblBoard[Hour],"&lt;="&amp;tblBoard[[#This Row],[Hour]])))</f>
        <v>287</v>
      </c>
      <c r="R249" s="38">
        <f>IF(tblBoard[[#This Row],[Date]]="","",IF(tblBoard[[#This Row],[Hour]]="","",SUMIFS(tblBoard[Actual (units)],tblBoard[Date],tblBoard[[#This Row],[Date]],tblBoard[Shift],tblBoard[[#This Row],[Shift]],tblBoard[Line],tblBoard[[#This Row],[Line]],tblBoard[Hour],"&lt;="&amp;tblBoard[[#This Row],[Hour]])))</f>
        <v>270</v>
      </c>
      <c r="S249" s="38">
        <f>IF(tblBoard[[#This Row],[Date]]="","",IF(tblBoard[[#This Row],[Cum. target]]="","",tblBoard[[#This Row],[Cum. actual]]-tblBoard[[#This Row],[Cum. target]]))</f>
        <v>-17</v>
      </c>
      <c r="T249" s="41">
        <f>IF(tblBoard[[#This Row],[Date]]="","",IF(AND(tblBoard[[#This Row],[Date]]&gt;=FFrom,tblBoard[[#This Row],[Date]]&lt;=FTo,OR(DashLine="",tblBoard[[#This Row],[Line]]=DashLine)),tblBoard[[#This Row],[Date]],""))</f>
        <v>46309</v>
      </c>
      <c r="U24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49" s="43" t="s">
        <v>97</v>
      </c>
    </row>
    <row r="250" spans="2:22" x14ac:dyDescent="0.25">
      <c r="B250" s="36">
        <v>46309</v>
      </c>
      <c r="C250" s="28" t="s">
        <v>93</v>
      </c>
      <c r="D250" s="28" t="s">
        <v>85</v>
      </c>
      <c r="E250" s="33">
        <v>5</v>
      </c>
      <c r="F250" s="28" t="s">
        <v>105</v>
      </c>
      <c r="G250" s="33">
        <v>30</v>
      </c>
      <c r="H250" s="33">
        <v>37</v>
      </c>
      <c r="I250" s="28"/>
      <c r="J250" s="37">
        <f>IF(tblBoard[[#This Row],[Date]]="","",IFERROR(INDEX(tblProducts[Takt time (s)],MATCH(tblBoard[[#This Row],[Product]],tblProducts[Product],0)),""))</f>
        <v>48</v>
      </c>
      <c r="K250" s="38">
        <f>IF(tblBoard[[#This Row],[Date]]="","",IF(OR(tblBoard[[#This Row],[Takt (s)]]="",tblBoard[[#This Row],[Available (min)]]=""),"",INT(tblBoard[[#This Row],[Available (min)]]*60/tblBoard[[#This Row],[Takt (s)]])))</f>
        <v>37</v>
      </c>
      <c r="L250" s="38">
        <f>IF(tblBoard[[#This Row],[Date]]="","",IF(tblBoard[[#This Row],[Target (units)]]="","",tblBoard[[#This Row],[Actual (units)]]-tblBoard[[#This Row],[Target (units)]]))</f>
        <v>0</v>
      </c>
      <c r="M250" s="38">
        <f>IF(tblBoard[[#This Row],[Date]]="","",IF(tblBoard[[#This Row],[Target (units)]]="","",MAX(0,tblBoard[[#This Row],[Target (units)]]-tblBoard[[#This Row],[Actual (units)]])))</f>
        <v>0</v>
      </c>
      <c r="N250" s="39">
        <f>IF(tblBoard[[#This Row],[Date]]="","",IF(N(tblBoard[[#This Row],[Target (units)]])&gt;0,tblBoard[[#This Row],[Actual (units)]]/tblBoard[[#This Row],[Target (units)]],""))</f>
        <v>1</v>
      </c>
      <c r="O250" s="38">
        <f>IF(tblBoard[[#This Row],[Date]]="","",IF(N(tblBoard[[#This Row],[Target (units)]])&gt;0,IF(tblBoard[[#This Row],[Actual (units)]]&gt;=tblBoard[[#This Row],[Target (units)]]*TargetHour,1,0),""))</f>
        <v>1</v>
      </c>
      <c r="P250" s="40" t="str">
        <f>IF(NOT(ISNUMBER(tblBoard[[#This Row],[Attainment]])),"",IF(tblBoard[[#This Row],[Attainment]]&gt;=TargetHour,"On target",IF(tblBoard[[#This Row],[Attainment]]&gt;=TargetHour*(1-0.05),"Near target","Below target")))</f>
        <v>On target</v>
      </c>
      <c r="Q250" s="38">
        <f>IF(tblBoard[[#This Row],[Date]]="","",IF(tblBoard[[#This Row],[Hour]]="","",SUMIFS(tblBoard[Target (units)],tblBoard[Date],tblBoard[[#This Row],[Date]],tblBoard[Shift],tblBoard[[#This Row],[Shift]],tblBoard[Line],tblBoard[[#This Row],[Line]],tblBoard[Hour],"&lt;="&amp;tblBoard[[#This Row],[Hour]])))</f>
        <v>324</v>
      </c>
      <c r="R250" s="38">
        <f>IF(tblBoard[[#This Row],[Date]]="","",IF(tblBoard[[#This Row],[Hour]]="","",SUMIFS(tblBoard[Actual (units)],tblBoard[Date],tblBoard[[#This Row],[Date]],tblBoard[Shift],tblBoard[[#This Row],[Shift]],tblBoard[Line],tblBoard[[#This Row],[Line]],tblBoard[Hour],"&lt;="&amp;tblBoard[[#This Row],[Hour]])))</f>
        <v>307</v>
      </c>
      <c r="S250" s="38">
        <f>IF(tblBoard[[#This Row],[Date]]="","",IF(tblBoard[[#This Row],[Cum. target]]="","",tblBoard[[#This Row],[Cum. actual]]-tblBoard[[#This Row],[Cum. target]]))</f>
        <v>-17</v>
      </c>
      <c r="T250" s="41">
        <f>IF(tblBoard[[#This Row],[Date]]="","",IF(AND(tblBoard[[#This Row],[Date]]&gt;=FFrom,tblBoard[[#This Row],[Date]]&lt;=FTo,OR(DashLine="",tblBoard[[#This Row],[Line]]=DashLine)),tblBoard[[#This Row],[Date]],""))</f>
        <v>46309</v>
      </c>
      <c r="U25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0" s="43" t="s">
        <v>97</v>
      </c>
    </row>
    <row r="251" spans="2:22" x14ac:dyDescent="0.25">
      <c r="B251" s="36">
        <v>46309</v>
      </c>
      <c r="C251" s="28" t="s">
        <v>93</v>
      </c>
      <c r="D251" s="28" t="s">
        <v>85</v>
      </c>
      <c r="E251" s="33">
        <v>6</v>
      </c>
      <c r="F251" s="28" t="s">
        <v>105</v>
      </c>
      <c r="G251" s="33">
        <v>60</v>
      </c>
      <c r="H251" s="33">
        <v>73</v>
      </c>
      <c r="I251" s="28" t="s">
        <v>122</v>
      </c>
      <c r="J251" s="37">
        <f>IF(tblBoard[[#This Row],[Date]]="","",IFERROR(INDEX(tblProducts[Takt time (s)],MATCH(tblBoard[[#This Row],[Product]],tblProducts[Product],0)),""))</f>
        <v>48</v>
      </c>
      <c r="K251" s="38">
        <f>IF(tblBoard[[#This Row],[Date]]="","",IF(OR(tblBoard[[#This Row],[Takt (s)]]="",tblBoard[[#This Row],[Available (min)]]=""),"",INT(tblBoard[[#This Row],[Available (min)]]*60/tblBoard[[#This Row],[Takt (s)]])))</f>
        <v>75</v>
      </c>
      <c r="L251" s="38">
        <f>IF(tblBoard[[#This Row],[Date]]="","",IF(tblBoard[[#This Row],[Target (units)]]="","",tblBoard[[#This Row],[Actual (units)]]-tblBoard[[#This Row],[Target (units)]]))</f>
        <v>-2</v>
      </c>
      <c r="M251" s="38">
        <f>IF(tblBoard[[#This Row],[Date]]="","",IF(tblBoard[[#This Row],[Target (units)]]="","",MAX(0,tblBoard[[#This Row],[Target (units)]]-tblBoard[[#This Row],[Actual (units)]])))</f>
        <v>2</v>
      </c>
      <c r="N251" s="39">
        <f>IF(tblBoard[[#This Row],[Date]]="","",IF(N(tblBoard[[#This Row],[Target (units)]])&gt;0,tblBoard[[#This Row],[Actual (units)]]/tblBoard[[#This Row],[Target (units)]],""))</f>
        <v>0.973333333333333</v>
      </c>
      <c r="O251" s="38">
        <f>IF(tblBoard[[#This Row],[Date]]="","",IF(N(tblBoard[[#This Row],[Target (units)]])&gt;0,IF(tblBoard[[#This Row],[Actual (units)]]&gt;=tblBoard[[#This Row],[Target (units)]]*TargetHour,1,0),""))</f>
        <v>0</v>
      </c>
      <c r="P251" s="40" t="str">
        <f>IF(NOT(ISNUMBER(tblBoard[[#This Row],[Attainment]])),"",IF(tblBoard[[#This Row],[Attainment]]&gt;=TargetHour,"On target",IF(tblBoard[[#This Row],[Attainment]]&gt;=TargetHour*(1-0.05),"Near target","Below target")))</f>
        <v>Near target</v>
      </c>
      <c r="Q251" s="38">
        <f>IF(tblBoard[[#This Row],[Date]]="","",IF(tblBoard[[#This Row],[Hour]]="","",SUMIFS(tblBoard[Target (units)],tblBoard[Date],tblBoard[[#This Row],[Date]],tblBoard[Shift],tblBoard[[#This Row],[Shift]],tblBoard[Line],tblBoard[[#This Row],[Line]],tblBoard[Hour],"&lt;="&amp;tblBoard[[#This Row],[Hour]])))</f>
        <v>399</v>
      </c>
      <c r="R251" s="38">
        <f>IF(tblBoard[[#This Row],[Date]]="","",IF(tblBoard[[#This Row],[Hour]]="","",SUMIFS(tblBoard[Actual (units)],tblBoard[Date],tblBoard[[#This Row],[Date]],tblBoard[Shift],tblBoard[[#This Row],[Shift]],tblBoard[Line],tblBoard[[#This Row],[Line]],tblBoard[Hour],"&lt;="&amp;tblBoard[[#This Row],[Hour]])))</f>
        <v>380</v>
      </c>
      <c r="S251" s="38">
        <f>IF(tblBoard[[#This Row],[Date]]="","",IF(tblBoard[[#This Row],[Cum. target]]="","",tblBoard[[#This Row],[Cum. actual]]-tblBoard[[#This Row],[Cum. target]]))</f>
        <v>-19</v>
      </c>
      <c r="T251" s="41">
        <f>IF(tblBoard[[#This Row],[Date]]="","",IF(AND(tblBoard[[#This Row],[Date]]&gt;=FFrom,tblBoard[[#This Row],[Date]]&lt;=FTo,OR(DashLine="",tblBoard[[#This Row],[Line]]=DashLine)),tblBoard[[#This Row],[Date]],""))</f>
        <v>46309</v>
      </c>
      <c r="U25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1" s="43" t="s">
        <v>97</v>
      </c>
    </row>
    <row r="252" spans="2:22" x14ac:dyDescent="0.25">
      <c r="B252" s="36">
        <v>46309</v>
      </c>
      <c r="C252" s="28" t="s">
        <v>93</v>
      </c>
      <c r="D252" s="28" t="s">
        <v>85</v>
      </c>
      <c r="E252" s="33">
        <v>7</v>
      </c>
      <c r="F252" s="28" t="s">
        <v>105</v>
      </c>
      <c r="G252" s="33">
        <v>50</v>
      </c>
      <c r="H252" s="33">
        <v>59</v>
      </c>
      <c r="I252" s="28" t="s">
        <v>116</v>
      </c>
      <c r="J252" s="37">
        <f>IF(tblBoard[[#This Row],[Date]]="","",IFERROR(INDEX(tblProducts[Takt time (s)],MATCH(tblBoard[[#This Row],[Product]],tblProducts[Product],0)),""))</f>
        <v>48</v>
      </c>
      <c r="K252" s="38">
        <f>IF(tblBoard[[#This Row],[Date]]="","",IF(OR(tblBoard[[#This Row],[Takt (s)]]="",tblBoard[[#This Row],[Available (min)]]=""),"",INT(tblBoard[[#This Row],[Available (min)]]*60/tblBoard[[#This Row],[Takt (s)]])))</f>
        <v>62</v>
      </c>
      <c r="L252" s="38">
        <f>IF(tblBoard[[#This Row],[Date]]="","",IF(tblBoard[[#This Row],[Target (units)]]="","",tblBoard[[#This Row],[Actual (units)]]-tblBoard[[#This Row],[Target (units)]]))</f>
        <v>-3</v>
      </c>
      <c r="M252" s="38">
        <f>IF(tblBoard[[#This Row],[Date]]="","",IF(tblBoard[[#This Row],[Target (units)]]="","",MAX(0,tblBoard[[#This Row],[Target (units)]]-tblBoard[[#This Row],[Actual (units)]])))</f>
        <v>3</v>
      </c>
      <c r="N252" s="39">
        <f>IF(tblBoard[[#This Row],[Date]]="","",IF(N(tblBoard[[#This Row],[Target (units)]])&gt;0,tblBoard[[#This Row],[Actual (units)]]/tblBoard[[#This Row],[Target (units)]],""))</f>
        <v>0.951612903225807</v>
      </c>
      <c r="O252" s="38">
        <f>IF(tblBoard[[#This Row],[Date]]="","",IF(N(tblBoard[[#This Row],[Target (units)]])&gt;0,IF(tblBoard[[#This Row],[Actual (units)]]&gt;=tblBoard[[#This Row],[Target (units)]]*TargetHour,1,0),""))</f>
        <v>0</v>
      </c>
      <c r="P252" s="40" t="str">
        <f>IF(NOT(ISNUMBER(tblBoard[[#This Row],[Attainment]])),"",IF(tblBoard[[#This Row],[Attainment]]&gt;=TargetHour,"On target",IF(tblBoard[[#This Row],[Attainment]]&gt;=TargetHour*(1-0.05),"Near target","Below target")))</f>
        <v>Near target</v>
      </c>
      <c r="Q252" s="38">
        <f>IF(tblBoard[[#This Row],[Date]]="","",IF(tblBoard[[#This Row],[Hour]]="","",SUMIFS(tblBoard[Target (units)],tblBoard[Date],tblBoard[[#This Row],[Date]],tblBoard[Shift],tblBoard[[#This Row],[Shift]],tblBoard[Line],tblBoard[[#This Row],[Line]],tblBoard[Hour],"&lt;="&amp;tblBoard[[#This Row],[Hour]])))</f>
        <v>461</v>
      </c>
      <c r="R252" s="38">
        <f>IF(tblBoard[[#This Row],[Date]]="","",IF(tblBoard[[#This Row],[Hour]]="","",SUMIFS(tblBoard[Actual (units)],tblBoard[Date],tblBoard[[#This Row],[Date]],tblBoard[Shift],tblBoard[[#This Row],[Shift]],tblBoard[Line],tblBoard[[#This Row],[Line]],tblBoard[Hour],"&lt;="&amp;tblBoard[[#This Row],[Hour]])))</f>
        <v>439</v>
      </c>
      <c r="S252" s="38">
        <f>IF(tblBoard[[#This Row],[Date]]="","",IF(tblBoard[[#This Row],[Cum. target]]="","",tblBoard[[#This Row],[Cum. actual]]-tblBoard[[#This Row],[Cum. target]]))</f>
        <v>-22</v>
      </c>
      <c r="T252" s="41">
        <f>IF(tblBoard[[#This Row],[Date]]="","",IF(AND(tblBoard[[#This Row],[Date]]&gt;=FFrom,tblBoard[[#This Row],[Date]]&lt;=FTo,OR(DashLine="",tblBoard[[#This Row],[Line]]=DashLine)),tblBoard[[#This Row],[Date]],""))</f>
        <v>46309</v>
      </c>
      <c r="U25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2" s="43" t="s">
        <v>146</v>
      </c>
    </row>
    <row r="253" spans="2:22" x14ac:dyDescent="0.25">
      <c r="B253" s="36">
        <v>46309</v>
      </c>
      <c r="C253" s="28" t="s">
        <v>93</v>
      </c>
      <c r="D253" s="28" t="s">
        <v>85</v>
      </c>
      <c r="E253" s="33">
        <v>8</v>
      </c>
      <c r="F253" s="28" t="s">
        <v>105</v>
      </c>
      <c r="G253" s="33">
        <v>50</v>
      </c>
      <c r="H253" s="33">
        <v>59</v>
      </c>
      <c r="I253" s="28" t="s">
        <v>114</v>
      </c>
      <c r="J253" s="37">
        <f>IF(tblBoard[[#This Row],[Date]]="","",IFERROR(INDEX(tblProducts[Takt time (s)],MATCH(tblBoard[[#This Row],[Product]],tblProducts[Product],0)),""))</f>
        <v>48</v>
      </c>
      <c r="K253" s="38">
        <f>IF(tblBoard[[#This Row],[Date]]="","",IF(OR(tblBoard[[#This Row],[Takt (s)]]="",tblBoard[[#This Row],[Available (min)]]=""),"",INT(tblBoard[[#This Row],[Available (min)]]*60/tblBoard[[#This Row],[Takt (s)]])))</f>
        <v>62</v>
      </c>
      <c r="L253" s="38">
        <f>IF(tblBoard[[#This Row],[Date]]="","",IF(tblBoard[[#This Row],[Target (units)]]="","",tblBoard[[#This Row],[Actual (units)]]-tblBoard[[#This Row],[Target (units)]]))</f>
        <v>-3</v>
      </c>
      <c r="M253" s="38">
        <f>IF(tblBoard[[#This Row],[Date]]="","",IF(tblBoard[[#This Row],[Target (units)]]="","",MAX(0,tblBoard[[#This Row],[Target (units)]]-tblBoard[[#This Row],[Actual (units)]])))</f>
        <v>3</v>
      </c>
      <c r="N253" s="39">
        <f>IF(tblBoard[[#This Row],[Date]]="","",IF(N(tblBoard[[#This Row],[Target (units)]])&gt;0,tblBoard[[#This Row],[Actual (units)]]/tblBoard[[#This Row],[Target (units)]],""))</f>
        <v>0.951612903225807</v>
      </c>
      <c r="O253" s="38">
        <f>IF(tblBoard[[#This Row],[Date]]="","",IF(N(tblBoard[[#This Row],[Target (units)]])&gt;0,IF(tblBoard[[#This Row],[Actual (units)]]&gt;=tblBoard[[#This Row],[Target (units)]]*TargetHour,1,0),""))</f>
        <v>0</v>
      </c>
      <c r="P253" s="40" t="str">
        <f>IF(NOT(ISNUMBER(tblBoard[[#This Row],[Attainment]])),"",IF(tblBoard[[#This Row],[Attainment]]&gt;=TargetHour,"On target",IF(tblBoard[[#This Row],[Attainment]]&gt;=TargetHour*(1-0.05),"Near target","Below target")))</f>
        <v>Near target</v>
      </c>
      <c r="Q253" s="38">
        <f>IF(tblBoard[[#This Row],[Date]]="","",IF(tblBoard[[#This Row],[Hour]]="","",SUMIFS(tblBoard[Target (units)],tblBoard[Date],tblBoard[[#This Row],[Date]],tblBoard[Shift],tblBoard[[#This Row],[Shift]],tblBoard[Line],tblBoard[[#This Row],[Line]],tblBoard[Hour],"&lt;="&amp;tblBoard[[#This Row],[Hour]])))</f>
        <v>523</v>
      </c>
      <c r="R253" s="38">
        <f>IF(tblBoard[[#This Row],[Date]]="","",IF(tblBoard[[#This Row],[Hour]]="","",SUMIFS(tblBoard[Actual (units)],tblBoard[Date],tblBoard[[#This Row],[Date]],tblBoard[Shift],tblBoard[[#This Row],[Shift]],tblBoard[Line],tblBoard[[#This Row],[Line]],tblBoard[Hour],"&lt;="&amp;tblBoard[[#This Row],[Hour]])))</f>
        <v>498</v>
      </c>
      <c r="S253" s="38">
        <f>IF(tblBoard[[#This Row],[Date]]="","",IF(tblBoard[[#This Row],[Cum. target]]="","",tblBoard[[#This Row],[Cum. actual]]-tblBoard[[#This Row],[Cum. target]]))</f>
        <v>-25</v>
      </c>
      <c r="T253" s="41">
        <f>IF(tblBoard[[#This Row],[Date]]="","",IF(AND(tblBoard[[#This Row],[Date]]&gt;=FFrom,tblBoard[[#This Row],[Date]]&lt;=FTo,OR(DashLine="",tblBoard[[#This Row],[Line]]=DashLine)),tblBoard[[#This Row],[Date]],""))</f>
        <v>46309</v>
      </c>
      <c r="U25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3" s="43" t="s">
        <v>97</v>
      </c>
    </row>
    <row r="254" spans="2:22" x14ac:dyDescent="0.25">
      <c r="B254" s="36">
        <v>46309</v>
      </c>
      <c r="C254" s="28" t="s">
        <v>93</v>
      </c>
      <c r="D254" s="28" t="s">
        <v>88</v>
      </c>
      <c r="E254" s="33">
        <v>1</v>
      </c>
      <c r="F254" s="28" t="s">
        <v>107</v>
      </c>
      <c r="G254" s="33">
        <v>60</v>
      </c>
      <c r="H254" s="33">
        <v>101</v>
      </c>
      <c r="I254" s="28" t="s">
        <v>110</v>
      </c>
      <c r="J254" s="37">
        <f>IF(tblBoard[[#This Row],[Date]]="","",IFERROR(INDEX(tblProducts[Takt time (s)],MATCH(tblBoard[[#This Row],[Product]],tblProducts[Product],0)),""))</f>
        <v>30</v>
      </c>
      <c r="K254" s="38">
        <f>IF(tblBoard[[#This Row],[Date]]="","",IF(OR(tblBoard[[#This Row],[Takt (s)]]="",tblBoard[[#This Row],[Available (min)]]=""),"",INT(tblBoard[[#This Row],[Available (min)]]*60/tblBoard[[#This Row],[Takt (s)]])))</f>
        <v>120</v>
      </c>
      <c r="L254" s="38">
        <f>IF(tblBoard[[#This Row],[Date]]="","",IF(tblBoard[[#This Row],[Target (units)]]="","",tblBoard[[#This Row],[Actual (units)]]-tblBoard[[#This Row],[Target (units)]]))</f>
        <v>-19</v>
      </c>
      <c r="M254" s="38">
        <f>IF(tblBoard[[#This Row],[Date]]="","",IF(tblBoard[[#This Row],[Target (units)]]="","",MAX(0,tblBoard[[#This Row],[Target (units)]]-tblBoard[[#This Row],[Actual (units)]])))</f>
        <v>19</v>
      </c>
      <c r="N254" s="39">
        <f>IF(tblBoard[[#This Row],[Date]]="","",IF(N(tblBoard[[#This Row],[Target (units)]])&gt;0,tblBoard[[#This Row],[Actual (units)]]/tblBoard[[#This Row],[Target (units)]],""))</f>
        <v>0.841666666666667</v>
      </c>
      <c r="O254" s="38">
        <f>IF(tblBoard[[#This Row],[Date]]="","",IF(N(tblBoard[[#This Row],[Target (units)]])&gt;0,IF(tblBoard[[#This Row],[Actual (units)]]&gt;=tblBoard[[#This Row],[Target (units)]]*TargetHour,1,0),""))</f>
        <v>0</v>
      </c>
      <c r="P254" s="40" t="str">
        <f>IF(NOT(ISNUMBER(tblBoard[[#This Row],[Attainment]])),"",IF(tblBoard[[#This Row],[Attainment]]&gt;=TargetHour,"On target",IF(tblBoard[[#This Row],[Attainment]]&gt;=TargetHour*(1-0.05),"Near target","Below target")))</f>
        <v>Below target</v>
      </c>
      <c r="Q254" s="38">
        <f>IF(tblBoard[[#This Row],[Date]]="","",IF(tblBoard[[#This Row],[Hour]]="","",SUMIFS(tblBoard[Target (units)],tblBoard[Date],tblBoard[[#This Row],[Date]],tblBoard[Shift],tblBoard[[#This Row],[Shift]],tblBoard[Line],tblBoard[[#This Row],[Line]],tblBoard[Hour],"&lt;="&amp;tblBoard[[#This Row],[Hour]])))</f>
        <v>120</v>
      </c>
      <c r="R254" s="38">
        <f>IF(tblBoard[[#This Row],[Date]]="","",IF(tblBoard[[#This Row],[Hour]]="","",SUMIFS(tblBoard[Actual (units)],tblBoard[Date],tblBoard[[#This Row],[Date]],tblBoard[Shift],tblBoard[[#This Row],[Shift]],tblBoard[Line],tblBoard[[#This Row],[Line]],tblBoard[Hour],"&lt;="&amp;tblBoard[[#This Row],[Hour]])))</f>
        <v>101</v>
      </c>
      <c r="S254" s="38">
        <f>IF(tblBoard[[#This Row],[Date]]="","",IF(tblBoard[[#This Row],[Cum. target]]="","",tblBoard[[#This Row],[Cum. actual]]-tblBoard[[#This Row],[Cum. target]]))</f>
        <v>-19</v>
      </c>
      <c r="T254" s="41">
        <f>IF(tblBoard[[#This Row],[Date]]="","",IF(AND(tblBoard[[#This Row],[Date]]&gt;=FFrom,tblBoard[[#This Row],[Date]]&lt;=FTo,OR(DashLine="",tblBoard[[#This Row],[Line]]=DashLine)),tblBoard[[#This Row],[Date]],""))</f>
        <v>46309</v>
      </c>
      <c r="U25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4" s="43" t="s">
        <v>144</v>
      </c>
    </row>
    <row r="255" spans="2:22" x14ac:dyDescent="0.25">
      <c r="B255" s="36">
        <v>46309</v>
      </c>
      <c r="C255" s="28" t="s">
        <v>93</v>
      </c>
      <c r="D255" s="28" t="s">
        <v>88</v>
      </c>
      <c r="E255" s="33">
        <v>2</v>
      </c>
      <c r="F255" s="28" t="s">
        <v>107</v>
      </c>
      <c r="G255" s="33">
        <v>60</v>
      </c>
      <c r="H255" s="33">
        <v>125</v>
      </c>
      <c r="I255" s="28"/>
      <c r="J255" s="37">
        <f>IF(tblBoard[[#This Row],[Date]]="","",IFERROR(INDEX(tblProducts[Takt time (s)],MATCH(tblBoard[[#This Row],[Product]],tblProducts[Product],0)),""))</f>
        <v>30</v>
      </c>
      <c r="K255" s="38">
        <f>IF(tblBoard[[#This Row],[Date]]="","",IF(OR(tblBoard[[#This Row],[Takt (s)]]="",tblBoard[[#This Row],[Available (min)]]=""),"",INT(tblBoard[[#This Row],[Available (min)]]*60/tblBoard[[#This Row],[Takt (s)]])))</f>
        <v>120</v>
      </c>
      <c r="L255" s="38">
        <f>IF(tblBoard[[#This Row],[Date]]="","",IF(tblBoard[[#This Row],[Target (units)]]="","",tblBoard[[#This Row],[Actual (units)]]-tblBoard[[#This Row],[Target (units)]]))</f>
        <v>5</v>
      </c>
      <c r="M255" s="38">
        <f>IF(tblBoard[[#This Row],[Date]]="","",IF(tblBoard[[#This Row],[Target (units)]]="","",MAX(0,tblBoard[[#This Row],[Target (units)]]-tblBoard[[#This Row],[Actual (units)]])))</f>
        <v>0</v>
      </c>
      <c r="N255" s="39">
        <f>IF(tblBoard[[#This Row],[Date]]="","",IF(N(tblBoard[[#This Row],[Target (units)]])&gt;0,tblBoard[[#This Row],[Actual (units)]]/tblBoard[[#This Row],[Target (units)]],""))</f>
        <v>1.04166666666667</v>
      </c>
      <c r="O255" s="38">
        <f>IF(tblBoard[[#This Row],[Date]]="","",IF(N(tblBoard[[#This Row],[Target (units)]])&gt;0,IF(tblBoard[[#This Row],[Actual (units)]]&gt;=tblBoard[[#This Row],[Target (units)]]*TargetHour,1,0),""))</f>
        <v>1</v>
      </c>
      <c r="P255" s="40" t="str">
        <f>IF(NOT(ISNUMBER(tblBoard[[#This Row],[Attainment]])),"",IF(tblBoard[[#This Row],[Attainment]]&gt;=TargetHour,"On target",IF(tblBoard[[#This Row],[Attainment]]&gt;=TargetHour*(1-0.05),"Near target","Below target")))</f>
        <v>On target</v>
      </c>
      <c r="Q255" s="38">
        <f>IF(tblBoard[[#This Row],[Date]]="","",IF(tblBoard[[#This Row],[Hour]]="","",SUMIFS(tblBoard[Target (units)],tblBoard[Date],tblBoard[[#This Row],[Date]],tblBoard[Shift],tblBoard[[#This Row],[Shift]],tblBoard[Line],tblBoard[[#This Row],[Line]],tblBoard[Hour],"&lt;="&amp;tblBoard[[#This Row],[Hour]])))</f>
        <v>240</v>
      </c>
      <c r="R255" s="38">
        <f>IF(tblBoard[[#This Row],[Date]]="","",IF(tblBoard[[#This Row],[Hour]]="","",SUMIFS(tblBoard[Actual (units)],tblBoard[Date],tblBoard[[#This Row],[Date]],tblBoard[Shift],tblBoard[[#This Row],[Shift]],tblBoard[Line],tblBoard[[#This Row],[Line]],tblBoard[Hour],"&lt;="&amp;tblBoard[[#This Row],[Hour]])))</f>
        <v>226</v>
      </c>
      <c r="S255" s="38">
        <f>IF(tblBoard[[#This Row],[Date]]="","",IF(tblBoard[[#This Row],[Cum. target]]="","",tblBoard[[#This Row],[Cum. actual]]-tblBoard[[#This Row],[Cum. target]]))</f>
        <v>-14</v>
      </c>
      <c r="T255" s="41">
        <f>IF(tblBoard[[#This Row],[Date]]="","",IF(AND(tblBoard[[#This Row],[Date]]&gt;=FFrom,tblBoard[[#This Row],[Date]]&lt;=FTo,OR(DashLine="",tblBoard[[#This Row],[Line]]=DashLine)),tblBoard[[#This Row],[Date]],""))</f>
        <v>46309</v>
      </c>
      <c r="U25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5" s="43" t="s">
        <v>97</v>
      </c>
    </row>
    <row r="256" spans="2:22" x14ac:dyDescent="0.25">
      <c r="B256" s="36">
        <v>46309</v>
      </c>
      <c r="C256" s="28" t="s">
        <v>93</v>
      </c>
      <c r="D256" s="28" t="s">
        <v>88</v>
      </c>
      <c r="E256" s="33">
        <v>3</v>
      </c>
      <c r="F256" s="28" t="s">
        <v>107</v>
      </c>
      <c r="G256" s="33">
        <v>50</v>
      </c>
      <c r="H256" s="33">
        <v>101</v>
      </c>
      <c r="I256" s="28"/>
      <c r="J256" s="37">
        <f>IF(tblBoard[[#This Row],[Date]]="","",IFERROR(INDEX(tblProducts[Takt time (s)],MATCH(tblBoard[[#This Row],[Product]],tblProducts[Product],0)),""))</f>
        <v>30</v>
      </c>
      <c r="K256" s="38">
        <f>IF(tblBoard[[#This Row],[Date]]="","",IF(OR(tblBoard[[#This Row],[Takt (s)]]="",tblBoard[[#This Row],[Available (min)]]=""),"",INT(tblBoard[[#This Row],[Available (min)]]*60/tblBoard[[#This Row],[Takt (s)]])))</f>
        <v>100</v>
      </c>
      <c r="L256" s="38">
        <f>IF(tblBoard[[#This Row],[Date]]="","",IF(tblBoard[[#This Row],[Target (units)]]="","",tblBoard[[#This Row],[Actual (units)]]-tblBoard[[#This Row],[Target (units)]]))</f>
        <v>1</v>
      </c>
      <c r="M256" s="38">
        <f>IF(tblBoard[[#This Row],[Date]]="","",IF(tblBoard[[#This Row],[Target (units)]]="","",MAX(0,tblBoard[[#This Row],[Target (units)]]-tblBoard[[#This Row],[Actual (units)]])))</f>
        <v>0</v>
      </c>
      <c r="N256" s="39">
        <f>IF(tblBoard[[#This Row],[Date]]="","",IF(N(tblBoard[[#This Row],[Target (units)]])&gt;0,tblBoard[[#This Row],[Actual (units)]]/tblBoard[[#This Row],[Target (units)]],""))</f>
        <v>1.01</v>
      </c>
      <c r="O256" s="38">
        <f>IF(tblBoard[[#This Row],[Date]]="","",IF(N(tblBoard[[#This Row],[Target (units)]])&gt;0,IF(tblBoard[[#This Row],[Actual (units)]]&gt;=tblBoard[[#This Row],[Target (units)]]*TargetHour,1,0),""))</f>
        <v>1</v>
      </c>
      <c r="P256" s="40" t="str">
        <f>IF(NOT(ISNUMBER(tblBoard[[#This Row],[Attainment]])),"",IF(tblBoard[[#This Row],[Attainment]]&gt;=TargetHour,"On target",IF(tblBoard[[#This Row],[Attainment]]&gt;=TargetHour*(1-0.05),"Near target","Below target")))</f>
        <v>On target</v>
      </c>
      <c r="Q256" s="38">
        <f>IF(tblBoard[[#This Row],[Date]]="","",IF(tblBoard[[#This Row],[Hour]]="","",SUMIFS(tblBoard[Target (units)],tblBoard[Date],tblBoard[[#This Row],[Date]],tblBoard[Shift],tblBoard[[#This Row],[Shift]],tblBoard[Line],tblBoard[[#This Row],[Line]],tblBoard[Hour],"&lt;="&amp;tblBoard[[#This Row],[Hour]])))</f>
        <v>340</v>
      </c>
      <c r="R256" s="38">
        <f>IF(tblBoard[[#This Row],[Date]]="","",IF(tblBoard[[#This Row],[Hour]]="","",SUMIFS(tblBoard[Actual (units)],tblBoard[Date],tblBoard[[#This Row],[Date]],tblBoard[Shift],tblBoard[[#This Row],[Shift]],tblBoard[Line],tblBoard[[#This Row],[Line]],tblBoard[Hour],"&lt;="&amp;tblBoard[[#This Row],[Hour]])))</f>
        <v>327</v>
      </c>
      <c r="S256" s="38">
        <f>IF(tblBoard[[#This Row],[Date]]="","",IF(tblBoard[[#This Row],[Cum. target]]="","",tblBoard[[#This Row],[Cum. actual]]-tblBoard[[#This Row],[Cum. target]]))</f>
        <v>-13</v>
      </c>
      <c r="T256" s="41">
        <f>IF(tblBoard[[#This Row],[Date]]="","",IF(AND(tblBoard[[#This Row],[Date]]&gt;=FFrom,tblBoard[[#This Row],[Date]]&lt;=FTo,OR(DashLine="",tblBoard[[#This Row],[Line]]=DashLine)),tblBoard[[#This Row],[Date]],""))</f>
        <v>46309</v>
      </c>
      <c r="U25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6" s="43" t="s">
        <v>97</v>
      </c>
    </row>
    <row r="257" spans="2:22" x14ac:dyDescent="0.25">
      <c r="B257" s="36">
        <v>46309</v>
      </c>
      <c r="C257" s="28" t="s">
        <v>93</v>
      </c>
      <c r="D257" s="28" t="s">
        <v>88</v>
      </c>
      <c r="E257" s="33">
        <v>4</v>
      </c>
      <c r="F257" s="28" t="s">
        <v>107</v>
      </c>
      <c r="G257" s="33">
        <v>60</v>
      </c>
      <c r="H257" s="33">
        <v>114</v>
      </c>
      <c r="I257" s="28" t="s">
        <v>122</v>
      </c>
      <c r="J257" s="37">
        <f>IF(tblBoard[[#This Row],[Date]]="","",IFERROR(INDEX(tblProducts[Takt time (s)],MATCH(tblBoard[[#This Row],[Product]],tblProducts[Product],0)),""))</f>
        <v>30</v>
      </c>
      <c r="K257" s="38">
        <f>IF(tblBoard[[#This Row],[Date]]="","",IF(OR(tblBoard[[#This Row],[Takt (s)]]="",tblBoard[[#This Row],[Available (min)]]=""),"",INT(tblBoard[[#This Row],[Available (min)]]*60/tblBoard[[#This Row],[Takt (s)]])))</f>
        <v>120</v>
      </c>
      <c r="L257" s="38">
        <f>IF(tblBoard[[#This Row],[Date]]="","",IF(tblBoard[[#This Row],[Target (units)]]="","",tblBoard[[#This Row],[Actual (units)]]-tblBoard[[#This Row],[Target (units)]]))</f>
        <v>-6</v>
      </c>
      <c r="M257" s="38">
        <f>IF(tblBoard[[#This Row],[Date]]="","",IF(tblBoard[[#This Row],[Target (units)]]="","",MAX(0,tblBoard[[#This Row],[Target (units)]]-tblBoard[[#This Row],[Actual (units)]])))</f>
        <v>6</v>
      </c>
      <c r="N257" s="39">
        <f>IF(tblBoard[[#This Row],[Date]]="","",IF(N(tblBoard[[#This Row],[Target (units)]])&gt;0,tblBoard[[#This Row],[Actual (units)]]/tblBoard[[#This Row],[Target (units)]],""))</f>
        <v>0.95</v>
      </c>
      <c r="O257" s="38">
        <f>IF(tblBoard[[#This Row],[Date]]="","",IF(N(tblBoard[[#This Row],[Target (units)]])&gt;0,IF(tblBoard[[#This Row],[Actual (units)]]&gt;=tblBoard[[#This Row],[Target (units)]]*TargetHour,1,0),""))</f>
        <v>0</v>
      </c>
      <c r="P257" s="40" t="str">
        <f>IF(NOT(ISNUMBER(tblBoard[[#This Row],[Attainment]])),"",IF(tblBoard[[#This Row],[Attainment]]&gt;=TargetHour,"On target",IF(tblBoard[[#This Row],[Attainment]]&gt;=TargetHour*(1-0.05),"Near target","Below target")))</f>
        <v>Near target</v>
      </c>
      <c r="Q257" s="38">
        <f>IF(tblBoard[[#This Row],[Date]]="","",IF(tblBoard[[#This Row],[Hour]]="","",SUMIFS(tblBoard[Target (units)],tblBoard[Date],tblBoard[[#This Row],[Date]],tblBoard[Shift],tblBoard[[#This Row],[Shift]],tblBoard[Line],tblBoard[[#This Row],[Line]],tblBoard[Hour],"&lt;="&amp;tblBoard[[#This Row],[Hour]])))</f>
        <v>460</v>
      </c>
      <c r="R257" s="38">
        <f>IF(tblBoard[[#This Row],[Date]]="","",IF(tblBoard[[#This Row],[Hour]]="","",SUMIFS(tblBoard[Actual (units)],tblBoard[Date],tblBoard[[#This Row],[Date]],tblBoard[Shift],tblBoard[[#This Row],[Shift]],tblBoard[Line],tblBoard[[#This Row],[Line]],tblBoard[Hour],"&lt;="&amp;tblBoard[[#This Row],[Hour]])))</f>
        <v>441</v>
      </c>
      <c r="S257" s="38">
        <f>IF(tblBoard[[#This Row],[Date]]="","",IF(tblBoard[[#This Row],[Cum. target]]="","",tblBoard[[#This Row],[Cum. actual]]-tblBoard[[#This Row],[Cum. target]]))</f>
        <v>-19</v>
      </c>
      <c r="T257" s="41">
        <f>IF(tblBoard[[#This Row],[Date]]="","",IF(AND(tblBoard[[#This Row],[Date]]&gt;=FFrom,tblBoard[[#This Row],[Date]]&lt;=FTo,OR(DashLine="",tblBoard[[#This Row],[Line]]=DashLine)),tblBoard[[#This Row],[Date]],""))</f>
        <v>46309</v>
      </c>
      <c r="U25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7" s="43" t="s">
        <v>97</v>
      </c>
    </row>
    <row r="258" spans="2:22" x14ac:dyDescent="0.25">
      <c r="B258" s="36">
        <v>46309</v>
      </c>
      <c r="C258" s="28" t="s">
        <v>93</v>
      </c>
      <c r="D258" s="28" t="s">
        <v>88</v>
      </c>
      <c r="E258" s="33">
        <v>5</v>
      </c>
      <c r="F258" s="28" t="s">
        <v>107</v>
      </c>
      <c r="G258" s="33">
        <v>30</v>
      </c>
      <c r="H258" s="33">
        <v>60</v>
      </c>
      <c r="I258" s="28"/>
      <c r="J258" s="37">
        <f>IF(tblBoard[[#This Row],[Date]]="","",IFERROR(INDEX(tblProducts[Takt time (s)],MATCH(tblBoard[[#This Row],[Product]],tblProducts[Product],0)),""))</f>
        <v>30</v>
      </c>
      <c r="K258" s="38">
        <f>IF(tblBoard[[#This Row],[Date]]="","",IF(OR(tblBoard[[#This Row],[Takt (s)]]="",tblBoard[[#This Row],[Available (min)]]=""),"",INT(tblBoard[[#This Row],[Available (min)]]*60/tblBoard[[#This Row],[Takt (s)]])))</f>
        <v>60</v>
      </c>
      <c r="L258" s="38">
        <f>IF(tblBoard[[#This Row],[Date]]="","",IF(tblBoard[[#This Row],[Target (units)]]="","",tblBoard[[#This Row],[Actual (units)]]-tblBoard[[#This Row],[Target (units)]]))</f>
        <v>0</v>
      </c>
      <c r="M258" s="38">
        <f>IF(tblBoard[[#This Row],[Date]]="","",IF(tblBoard[[#This Row],[Target (units)]]="","",MAX(0,tblBoard[[#This Row],[Target (units)]]-tblBoard[[#This Row],[Actual (units)]])))</f>
        <v>0</v>
      </c>
      <c r="N258" s="39">
        <f>IF(tblBoard[[#This Row],[Date]]="","",IF(N(tblBoard[[#This Row],[Target (units)]])&gt;0,tblBoard[[#This Row],[Actual (units)]]/tblBoard[[#This Row],[Target (units)]],""))</f>
        <v>1</v>
      </c>
      <c r="O258" s="38">
        <f>IF(tblBoard[[#This Row],[Date]]="","",IF(N(tblBoard[[#This Row],[Target (units)]])&gt;0,IF(tblBoard[[#This Row],[Actual (units)]]&gt;=tblBoard[[#This Row],[Target (units)]]*TargetHour,1,0),""))</f>
        <v>1</v>
      </c>
      <c r="P258" s="40" t="str">
        <f>IF(NOT(ISNUMBER(tblBoard[[#This Row],[Attainment]])),"",IF(tblBoard[[#This Row],[Attainment]]&gt;=TargetHour,"On target",IF(tblBoard[[#This Row],[Attainment]]&gt;=TargetHour*(1-0.05),"Near target","Below target")))</f>
        <v>On target</v>
      </c>
      <c r="Q258" s="38">
        <f>IF(tblBoard[[#This Row],[Date]]="","",IF(tblBoard[[#This Row],[Hour]]="","",SUMIFS(tblBoard[Target (units)],tblBoard[Date],tblBoard[[#This Row],[Date]],tblBoard[Shift],tblBoard[[#This Row],[Shift]],tblBoard[Line],tblBoard[[#This Row],[Line]],tblBoard[Hour],"&lt;="&amp;tblBoard[[#This Row],[Hour]])))</f>
        <v>520</v>
      </c>
      <c r="R258" s="38">
        <f>IF(tblBoard[[#This Row],[Date]]="","",IF(tblBoard[[#This Row],[Hour]]="","",SUMIFS(tblBoard[Actual (units)],tblBoard[Date],tblBoard[[#This Row],[Date]],tblBoard[Shift],tblBoard[[#This Row],[Shift]],tblBoard[Line],tblBoard[[#This Row],[Line]],tblBoard[Hour],"&lt;="&amp;tblBoard[[#This Row],[Hour]])))</f>
        <v>501</v>
      </c>
      <c r="S258" s="38">
        <f>IF(tblBoard[[#This Row],[Date]]="","",IF(tblBoard[[#This Row],[Cum. target]]="","",tblBoard[[#This Row],[Cum. actual]]-tblBoard[[#This Row],[Cum. target]]))</f>
        <v>-19</v>
      </c>
      <c r="T258" s="41">
        <f>IF(tblBoard[[#This Row],[Date]]="","",IF(AND(tblBoard[[#This Row],[Date]]&gt;=FFrom,tblBoard[[#This Row],[Date]]&lt;=FTo,OR(DashLine="",tblBoard[[#This Row],[Line]]=DashLine)),tblBoard[[#This Row],[Date]],""))</f>
        <v>46309</v>
      </c>
      <c r="U25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8" s="43" t="s">
        <v>97</v>
      </c>
    </row>
    <row r="259" spans="2:22" x14ac:dyDescent="0.25">
      <c r="B259" s="36">
        <v>46309</v>
      </c>
      <c r="C259" s="28" t="s">
        <v>93</v>
      </c>
      <c r="D259" s="28" t="s">
        <v>88</v>
      </c>
      <c r="E259" s="33">
        <v>6</v>
      </c>
      <c r="F259" s="28" t="s">
        <v>107</v>
      </c>
      <c r="G259" s="33">
        <v>60</v>
      </c>
      <c r="H259" s="33">
        <v>113</v>
      </c>
      <c r="I259" s="28" t="s">
        <v>114</v>
      </c>
      <c r="J259" s="37">
        <f>IF(tblBoard[[#This Row],[Date]]="","",IFERROR(INDEX(tblProducts[Takt time (s)],MATCH(tblBoard[[#This Row],[Product]],tblProducts[Product],0)),""))</f>
        <v>30</v>
      </c>
      <c r="K259" s="38">
        <f>IF(tblBoard[[#This Row],[Date]]="","",IF(OR(tblBoard[[#This Row],[Takt (s)]]="",tblBoard[[#This Row],[Available (min)]]=""),"",INT(tblBoard[[#This Row],[Available (min)]]*60/tblBoard[[#This Row],[Takt (s)]])))</f>
        <v>120</v>
      </c>
      <c r="L259" s="38">
        <f>IF(tblBoard[[#This Row],[Date]]="","",IF(tblBoard[[#This Row],[Target (units)]]="","",tblBoard[[#This Row],[Actual (units)]]-tblBoard[[#This Row],[Target (units)]]))</f>
        <v>-7</v>
      </c>
      <c r="M259" s="38">
        <f>IF(tblBoard[[#This Row],[Date]]="","",IF(tblBoard[[#This Row],[Target (units)]]="","",MAX(0,tblBoard[[#This Row],[Target (units)]]-tblBoard[[#This Row],[Actual (units)]])))</f>
        <v>7</v>
      </c>
      <c r="N259" s="39">
        <f>IF(tblBoard[[#This Row],[Date]]="","",IF(N(tblBoard[[#This Row],[Target (units)]])&gt;0,tblBoard[[#This Row],[Actual (units)]]/tblBoard[[#This Row],[Target (units)]],""))</f>
        <v>0.941666666666667</v>
      </c>
      <c r="O259" s="38">
        <f>IF(tblBoard[[#This Row],[Date]]="","",IF(N(tblBoard[[#This Row],[Target (units)]])&gt;0,IF(tblBoard[[#This Row],[Actual (units)]]&gt;=tblBoard[[#This Row],[Target (units)]]*TargetHour,1,0),""))</f>
        <v>0</v>
      </c>
      <c r="P259" s="40" t="str">
        <f>IF(NOT(ISNUMBER(tblBoard[[#This Row],[Attainment]])),"",IF(tblBoard[[#This Row],[Attainment]]&gt;=TargetHour,"On target",IF(tblBoard[[#This Row],[Attainment]]&gt;=TargetHour*(1-0.05),"Near target","Below target")))</f>
        <v>Below target</v>
      </c>
      <c r="Q259" s="38">
        <f>IF(tblBoard[[#This Row],[Date]]="","",IF(tblBoard[[#This Row],[Hour]]="","",SUMIFS(tblBoard[Target (units)],tblBoard[Date],tblBoard[[#This Row],[Date]],tblBoard[Shift],tblBoard[[#This Row],[Shift]],tblBoard[Line],tblBoard[[#This Row],[Line]],tblBoard[Hour],"&lt;="&amp;tblBoard[[#This Row],[Hour]])))</f>
        <v>640</v>
      </c>
      <c r="R259" s="38">
        <f>IF(tblBoard[[#This Row],[Date]]="","",IF(tblBoard[[#This Row],[Hour]]="","",SUMIFS(tblBoard[Actual (units)],tblBoard[Date],tblBoard[[#This Row],[Date]],tblBoard[Shift],tblBoard[[#This Row],[Shift]],tblBoard[Line],tblBoard[[#This Row],[Line]],tblBoard[Hour],"&lt;="&amp;tblBoard[[#This Row],[Hour]])))</f>
        <v>614</v>
      </c>
      <c r="S259" s="38">
        <f>IF(tblBoard[[#This Row],[Date]]="","",IF(tblBoard[[#This Row],[Cum. target]]="","",tblBoard[[#This Row],[Cum. actual]]-tblBoard[[#This Row],[Cum. target]]))</f>
        <v>-26</v>
      </c>
      <c r="T259" s="41">
        <f>IF(tblBoard[[#This Row],[Date]]="","",IF(AND(tblBoard[[#This Row],[Date]]&gt;=FFrom,tblBoard[[#This Row],[Date]]&lt;=FTo,OR(DashLine="",tblBoard[[#This Row],[Line]]=DashLine)),tblBoard[[#This Row],[Date]],""))</f>
        <v>46309</v>
      </c>
      <c r="U25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59" s="43" t="s">
        <v>97</v>
      </c>
    </row>
    <row r="260" spans="2:22" x14ac:dyDescent="0.25">
      <c r="B260" s="36">
        <v>46309</v>
      </c>
      <c r="C260" s="28" t="s">
        <v>93</v>
      </c>
      <c r="D260" s="28" t="s">
        <v>88</v>
      </c>
      <c r="E260" s="33">
        <v>7</v>
      </c>
      <c r="F260" s="28" t="s">
        <v>107</v>
      </c>
      <c r="G260" s="33">
        <v>50</v>
      </c>
      <c r="H260" s="33">
        <v>106</v>
      </c>
      <c r="I260" s="28"/>
      <c r="J260" s="37">
        <f>IF(tblBoard[[#This Row],[Date]]="","",IFERROR(INDEX(tblProducts[Takt time (s)],MATCH(tblBoard[[#This Row],[Product]],tblProducts[Product],0)),""))</f>
        <v>30</v>
      </c>
      <c r="K260" s="38">
        <f>IF(tblBoard[[#This Row],[Date]]="","",IF(OR(tblBoard[[#This Row],[Takt (s)]]="",tblBoard[[#This Row],[Available (min)]]=""),"",INT(tblBoard[[#This Row],[Available (min)]]*60/tblBoard[[#This Row],[Takt (s)]])))</f>
        <v>100</v>
      </c>
      <c r="L260" s="38">
        <f>IF(tblBoard[[#This Row],[Date]]="","",IF(tblBoard[[#This Row],[Target (units)]]="","",tblBoard[[#This Row],[Actual (units)]]-tblBoard[[#This Row],[Target (units)]]))</f>
        <v>6</v>
      </c>
      <c r="M260" s="38">
        <f>IF(tblBoard[[#This Row],[Date]]="","",IF(tblBoard[[#This Row],[Target (units)]]="","",MAX(0,tblBoard[[#This Row],[Target (units)]]-tblBoard[[#This Row],[Actual (units)]])))</f>
        <v>0</v>
      </c>
      <c r="N260" s="39">
        <f>IF(tblBoard[[#This Row],[Date]]="","",IF(N(tblBoard[[#This Row],[Target (units)]])&gt;0,tblBoard[[#This Row],[Actual (units)]]/tblBoard[[#This Row],[Target (units)]],""))</f>
        <v>1.06</v>
      </c>
      <c r="O260" s="38">
        <f>IF(tblBoard[[#This Row],[Date]]="","",IF(N(tblBoard[[#This Row],[Target (units)]])&gt;0,IF(tblBoard[[#This Row],[Actual (units)]]&gt;=tblBoard[[#This Row],[Target (units)]]*TargetHour,1,0),""))</f>
        <v>1</v>
      </c>
      <c r="P260" s="40" t="str">
        <f>IF(NOT(ISNUMBER(tblBoard[[#This Row],[Attainment]])),"",IF(tblBoard[[#This Row],[Attainment]]&gt;=TargetHour,"On target",IF(tblBoard[[#This Row],[Attainment]]&gt;=TargetHour*(1-0.05),"Near target","Below target")))</f>
        <v>On target</v>
      </c>
      <c r="Q260" s="38">
        <f>IF(tblBoard[[#This Row],[Date]]="","",IF(tblBoard[[#This Row],[Hour]]="","",SUMIFS(tblBoard[Target (units)],tblBoard[Date],tblBoard[[#This Row],[Date]],tblBoard[Shift],tblBoard[[#This Row],[Shift]],tblBoard[Line],tblBoard[[#This Row],[Line]],tblBoard[Hour],"&lt;="&amp;tblBoard[[#This Row],[Hour]])))</f>
        <v>740</v>
      </c>
      <c r="R260" s="38">
        <f>IF(tblBoard[[#This Row],[Date]]="","",IF(tblBoard[[#This Row],[Hour]]="","",SUMIFS(tblBoard[Actual (units)],tblBoard[Date],tblBoard[[#This Row],[Date]],tblBoard[Shift],tblBoard[[#This Row],[Shift]],tblBoard[Line],tblBoard[[#This Row],[Line]],tblBoard[Hour],"&lt;="&amp;tblBoard[[#This Row],[Hour]])))</f>
        <v>720</v>
      </c>
      <c r="S260" s="38">
        <f>IF(tblBoard[[#This Row],[Date]]="","",IF(tblBoard[[#This Row],[Cum. target]]="","",tblBoard[[#This Row],[Cum. actual]]-tblBoard[[#This Row],[Cum. target]]))</f>
        <v>-20</v>
      </c>
      <c r="T260" s="41">
        <f>IF(tblBoard[[#This Row],[Date]]="","",IF(AND(tblBoard[[#This Row],[Date]]&gt;=FFrom,tblBoard[[#This Row],[Date]]&lt;=FTo,OR(DashLine="",tblBoard[[#This Row],[Line]]=DashLine)),tblBoard[[#This Row],[Date]],""))</f>
        <v>46309</v>
      </c>
      <c r="U26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0" s="43" t="s">
        <v>97</v>
      </c>
    </row>
    <row r="261" spans="2:22" x14ac:dyDescent="0.25">
      <c r="B261" s="36">
        <v>46309</v>
      </c>
      <c r="C261" s="28" t="s">
        <v>93</v>
      </c>
      <c r="D261" s="28" t="s">
        <v>88</v>
      </c>
      <c r="E261" s="33">
        <v>8</v>
      </c>
      <c r="F261" s="28" t="s">
        <v>107</v>
      </c>
      <c r="G261" s="33">
        <v>50</v>
      </c>
      <c r="H261" s="33">
        <v>94</v>
      </c>
      <c r="I261" s="28" t="s">
        <v>114</v>
      </c>
      <c r="J261" s="37">
        <f>IF(tblBoard[[#This Row],[Date]]="","",IFERROR(INDEX(tblProducts[Takt time (s)],MATCH(tblBoard[[#This Row],[Product]],tblProducts[Product],0)),""))</f>
        <v>30</v>
      </c>
      <c r="K261" s="38">
        <f>IF(tblBoard[[#This Row],[Date]]="","",IF(OR(tblBoard[[#This Row],[Takt (s)]]="",tblBoard[[#This Row],[Available (min)]]=""),"",INT(tblBoard[[#This Row],[Available (min)]]*60/tblBoard[[#This Row],[Takt (s)]])))</f>
        <v>100</v>
      </c>
      <c r="L261" s="38">
        <f>IF(tblBoard[[#This Row],[Date]]="","",IF(tblBoard[[#This Row],[Target (units)]]="","",tblBoard[[#This Row],[Actual (units)]]-tblBoard[[#This Row],[Target (units)]]))</f>
        <v>-6</v>
      </c>
      <c r="M261" s="38">
        <f>IF(tblBoard[[#This Row],[Date]]="","",IF(tblBoard[[#This Row],[Target (units)]]="","",MAX(0,tblBoard[[#This Row],[Target (units)]]-tblBoard[[#This Row],[Actual (units)]])))</f>
        <v>6</v>
      </c>
      <c r="N261" s="39">
        <f>IF(tblBoard[[#This Row],[Date]]="","",IF(N(tblBoard[[#This Row],[Target (units)]])&gt;0,tblBoard[[#This Row],[Actual (units)]]/tblBoard[[#This Row],[Target (units)]],""))</f>
        <v>0.94</v>
      </c>
      <c r="O261" s="38">
        <f>IF(tblBoard[[#This Row],[Date]]="","",IF(N(tblBoard[[#This Row],[Target (units)]])&gt;0,IF(tblBoard[[#This Row],[Actual (units)]]&gt;=tblBoard[[#This Row],[Target (units)]]*TargetHour,1,0),""))</f>
        <v>0</v>
      </c>
      <c r="P261" s="40" t="str">
        <f>IF(NOT(ISNUMBER(tblBoard[[#This Row],[Attainment]])),"",IF(tblBoard[[#This Row],[Attainment]]&gt;=TargetHour,"On target",IF(tblBoard[[#This Row],[Attainment]]&gt;=TargetHour*(1-0.05),"Near target","Below target")))</f>
        <v>Below target</v>
      </c>
      <c r="Q261" s="38">
        <f>IF(tblBoard[[#This Row],[Date]]="","",IF(tblBoard[[#This Row],[Hour]]="","",SUMIFS(tblBoard[Target (units)],tblBoard[Date],tblBoard[[#This Row],[Date]],tblBoard[Shift],tblBoard[[#This Row],[Shift]],tblBoard[Line],tblBoard[[#This Row],[Line]],tblBoard[Hour],"&lt;="&amp;tblBoard[[#This Row],[Hour]])))</f>
        <v>840</v>
      </c>
      <c r="R261" s="38">
        <f>IF(tblBoard[[#This Row],[Date]]="","",IF(tblBoard[[#This Row],[Hour]]="","",SUMIFS(tblBoard[Actual (units)],tblBoard[Date],tblBoard[[#This Row],[Date]],tblBoard[Shift],tblBoard[[#This Row],[Shift]],tblBoard[Line],tblBoard[[#This Row],[Line]],tblBoard[Hour],"&lt;="&amp;tblBoard[[#This Row],[Hour]])))</f>
        <v>814</v>
      </c>
      <c r="S261" s="38">
        <f>IF(tblBoard[[#This Row],[Date]]="","",IF(tblBoard[[#This Row],[Cum. target]]="","",tblBoard[[#This Row],[Cum. actual]]-tblBoard[[#This Row],[Cum. target]]))</f>
        <v>-26</v>
      </c>
      <c r="T261" s="41">
        <f>IF(tblBoard[[#This Row],[Date]]="","",IF(AND(tblBoard[[#This Row],[Date]]&gt;=FFrom,tblBoard[[#This Row],[Date]]&lt;=FTo,OR(DashLine="",tblBoard[[#This Row],[Line]]=DashLine)),tblBoard[[#This Row],[Date]],""))</f>
        <v>46309</v>
      </c>
      <c r="U26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1" s="43" t="s">
        <v>97</v>
      </c>
    </row>
    <row r="262" spans="2:22" x14ac:dyDescent="0.25">
      <c r="B262" s="36">
        <v>46310</v>
      </c>
      <c r="C262" s="28" t="s">
        <v>91</v>
      </c>
      <c r="D262" s="28" t="s">
        <v>85</v>
      </c>
      <c r="E262" s="33">
        <v>1</v>
      </c>
      <c r="F262" s="28" t="s">
        <v>105</v>
      </c>
      <c r="G262" s="33">
        <v>60</v>
      </c>
      <c r="H262" s="33">
        <v>65</v>
      </c>
      <c r="I262" s="28" t="s">
        <v>110</v>
      </c>
      <c r="J262" s="37">
        <f>IF(tblBoard[[#This Row],[Date]]="","",IFERROR(INDEX(tblProducts[Takt time (s)],MATCH(tblBoard[[#This Row],[Product]],tblProducts[Product],0)),""))</f>
        <v>48</v>
      </c>
      <c r="K262" s="38">
        <f>IF(tblBoard[[#This Row],[Date]]="","",IF(OR(tblBoard[[#This Row],[Takt (s)]]="",tblBoard[[#This Row],[Available (min)]]=""),"",INT(tblBoard[[#This Row],[Available (min)]]*60/tblBoard[[#This Row],[Takt (s)]])))</f>
        <v>75</v>
      </c>
      <c r="L262" s="38">
        <f>IF(tblBoard[[#This Row],[Date]]="","",IF(tblBoard[[#This Row],[Target (units)]]="","",tblBoard[[#This Row],[Actual (units)]]-tblBoard[[#This Row],[Target (units)]]))</f>
        <v>-10</v>
      </c>
      <c r="M262" s="38">
        <f>IF(tblBoard[[#This Row],[Date]]="","",IF(tblBoard[[#This Row],[Target (units)]]="","",MAX(0,tblBoard[[#This Row],[Target (units)]]-tblBoard[[#This Row],[Actual (units)]])))</f>
        <v>10</v>
      </c>
      <c r="N262" s="39">
        <f>IF(tblBoard[[#This Row],[Date]]="","",IF(N(tblBoard[[#This Row],[Target (units)]])&gt;0,tblBoard[[#This Row],[Actual (units)]]/tblBoard[[#This Row],[Target (units)]],""))</f>
        <v>0.866666666666667</v>
      </c>
      <c r="O262" s="38">
        <f>IF(tblBoard[[#This Row],[Date]]="","",IF(N(tblBoard[[#This Row],[Target (units)]])&gt;0,IF(tblBoard[[#This Row],[Actual (units)]]&gt;=tblBoard[[#This Row],[Target (units)]]*TargetHour,1,0),""))</f>
        <v>0</v>
      </c>
      <c r="P262" s="40" t="str">
        <f>IF(NOT(ISNUMBER(tblBoard[[#This Row],[Attainment]])),"",IF(tblBoard[[#This Row],[Attainment]]&gt;=TargetHour,"On target",IF(tblBoard[[#This Row],[Attainment]]&gt;=TargetHour*(1-0.05),"Near target","Below target")))</f>
        <v>Below target</v>
      </c>
      <c r="Q262" s="38">
        <f>IF(tblBoard[[#This Row],[Date]]="","",IF(tblBoard[[#This Row],[Hour]]="","",SUMIFS(tblBoard[Target (units)],tblBoard[Date],tblBoard[[#This Row],[Date]],tblBoard[Shift],tblBoard[[#This Row],[Shift]],tblBoard[Line],tblBoard[[#This Row],[Line]],tblBoard[Hour],"&lt;="&amp;tblBoard[[#This Row],[Hour]])))</f>
        <v>75</v>
      </c>
      <c r="R262" s="38">
        <f>IF(tblBoard[[#This Row],[Date]]="","",IF(tblBoard[[#This Row],[Hour]]="","",SUMIFS(tblBoard[Actual (units)],tblBoard[Date],tblBoard[[#This Row],[Date]],tblBoard[Shift],tblBoard[[#This Row],[Shift]],tblBoard[Line],tblBoard[[#This Row],[Line]],tblBoard[Hour],"&lt;="&amp;tblBoard[[#This Row],[Hour]])))</f>
        <v>65</v>
      </c>
      <c r="S262" s="38">
        <f>IF(tblBoard[[#This Row],[Date]]="","",IF(tblBoard[[#This Row],[Cum. target]]="","",tblBoard[[#This Row],[Cum. actual]]-tblBoard[[#This Row],[Cum. target]]))</f>
        <v>-10</v>
      </c>
      <c r="T262" s="41">
        <f>IF(tblBoard[[#This Row],[Date]]="","",IF(AND(tblBoard[[#This Row],[Date]]&gt;=FFrom,tblBoard[[#This Row],[Date]]&lt;=FTo,OR(DashLine="",tblBoard[[#This Row],[Line]]=DashLine)),tblBoard[[#This Row],[Date]],""))</f>
        <v>46310</v>
      </c>
      <c r="U26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2" s="43" t="s">
        <v>97</v>
      </c>
    </row>
    <row r="263" spans="2:22" x14ac:dyDescent="0.25">
      <c r="B263" s="36">
        <v>46310</v>
      </c>
      <c r="C263" s="28" t="s">
        <v>91</v>
      </c>
      <c r="D263" s="28" t="s">
        <v>85</v>
      </c>
      <c r="E263" s="33">
        <v>2</v>
      </c>
      <c r="F263" s="28" t="s">
        <v>105</v>
      </c>
      <c r="G263" s="33">
        <v>60</v>
      </c>
      <c r="H263" s="33">
        <v>78</v>
      </c>
      <c r="I263" s="28"/>
      <c r="J263" s="37">
        <f>IF(tblBoard[[#This Row],[Date]]="","",IFERROR(INDEX(tblProducts[Takt time (s)],MATCH(tblBoard[[#This Row],[Product]],tblProducts[Product],0)),""))</f>
        <v>48</v>
      </c>
      <c r="K263" s="38">
        <f>IF(tblBoard[[#This Row],[Date]]="","",IF(OR(tblBoard[[#This Row],[Takt (s)]]="",tblBoard[[#This Row],[Available (min)]]=""),"",INT(tblBoard[[#This Row],[Available (min)]]*60/tblBoard[[#This Row],[Takt (s)]])))</f>
        <v>75</v>
      </c>
      <c r="L263" s="38">
        <f>IF(tblBoard[[#This Row],[Date]]="","",IF(tblBoard[[#This Row],[Target (units)]]="","",tblBoard[[#This Row],[Actual (units)]]-tblBoard[[#This Row],[Target (units)]]))</f>
        <v>3</v>
      </c>
      <c r="M263" s="38">
        <f>IF(tblBoard[[#This Row],[Date]]="","",IF(tblBoard[[#This Row],[Target (units)]]="","",MAX(0,tblBoard[[#This Row],[Target (units)]]-tblBoard[[#This Row],[Actual (units)]])))</f>
        <v>0</v>
      </c>
      <c r="N263" s="39">
        <f>IF(tblBoard[[#This Row],[Date]]="","",IF(N(tblBoard[[#This Row],[Target (units)]])&gt;0,tblBoard[[#This Row],[Actual (units)]]/tblBoard[[#This Row],[Target (units)]],""))</f>
        <v>1.04</v>
      </c>
      <c r="O263" s="38">
        <f>IF(tblBoard[[#This Row],[Date]]="","",IF(N(tblBoard[[#This Row],[Target (units)]])&gt;0,IF(tblBoard[[#This Row],[Actual (units)]]&gt;=tblBoard[[#This Row],[Target (units)]]*TargetHour,1,0),""))</f>
        <v>1</v>
      </c>
      <c r="P263" s="40" t="str">
        <f>IF(NOT(ISNUMBER(tblBoard[[#This Row],[Attainment]])),"",IF(tblBoard[[#This Row],[Attainment]]&gt;=TargetHour,"On target",IF(tblBoard[[#This Row],[Attainment]]&gt;=TargetHour*(1-0.05),"Near target","Below target")))</f>
        <v>On target</v>
      </c>
      <c r="Q263" s="38">
        <f>IF(tblBoard[[#This Row],[Date]]="","",IF(tblBoard[[#This Row],[Hour]]="","",SUMIFS(tblBoard[Target (units)],tblBoard[Date],tblBoard[[#This Row],[Date]],tblBoard[Shift],tblBoard[[#This Row],[Shift]],tblBoard[Line],tblBoard[[#This Row],[Line]],tblBoard[Hour],"&lt;="&amp;tblBoard[[#This Row],[Hour]])))</f>
        <v>150</v>
      </c>
      <c r="R263" s="38">
        <f>IF(tblBoard[[#This Row],[Date]]="","",IF(tblBoard[[#This Row],[Hour]]="","",SUMIFS(tblBoard[Actual (units)],tblBoard[Date],tblBoard[[#This Row],[Date]],tblBoard[Shift],tblBoard[[#This Row],[Shift]],tblBoard[Line],tblBoard[[#This Row],[Line]],tblBoard[Hour],"&lt;="&amp;tblBoard[[#This Row],[Hour]])))</f>
        <v>143</v>
      </c>
      <c r="S263" s="38">
        <f>IF(tblBoard[[#This Row],[Date]]="","",IF(tblBoard[[#This Row],[Cum. target]]="","",tblBoard[[#This Row],[Cum. actual]]-tblBoard[[#This Row],[Cum. target]]))</f>
        <v>-7</v>
      </c>
      <c r="T263" s="41">
        <f>IF(tblBoard[[#This Row],[Date]]="","",IF(AND(tblBoard[[#This Row],[Date]]&gt;=FFrom,tblBoard[[#This Row],[Date]]&lt;=FTo,OR(DashLine="",tblBoard[[#This Row],[Line]]=DashLine)),tblBoard[[#This Row],[Date]],""))</f>
        <v>46310</v>
      </c>
      <c r="U26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3" s="43" t="s">
        <v>97</v>
      </c>
    </row>
    <row r="264" spans="2:22" x14ac:dyDescent="0.25">
      <c r="B264" s="36">
        <v>46310</v>
      </c>
      <c r="C264" s="28" t="s">
        <v>91</v>
      </c>
      <c r="D264" s="28" t="s">
        <v>85</v>
      </c>
      <c r="E264" s="33">
        <v>3</v>
      </c>
      <c r="F264" s="28" t="s">
        <v>105</v>
      </c>
      <c r="G264" s="33">
        <v>50</v>
      </c>
      <c r="H264" s="33">
        <v>64</v>
      </c>
      <c r="I264" s="28"/>
      <c r="J264" s="37">
        <f>IF(tblBoard[[#This Row],[Date]]="","",IFERROR(INDEX(tblProducts[Takt time (s)],MATCH(tblBoard[[#This Row],[Product]],tblProducts[Product],0)),""))</f>
        <v>48</v>
      </c>
      <c r="K264" s="38">
        <f>IF(tblBoard[[#This Row],[Date]]="","",IF(OR(tblBoard[[#This Row],[Takt (s)]]="",tblBoard[[#This Row],[Available (min)]]=""),"",INT(tblBoard[[#This Row],[Available (min)]]*60/tblBoard[[#This Row],[Takt (s)]])))</f>
        <v>62</v>
      </c>
      <c r="L264" s="38">
        <f>IF(tblBoard[[#This Row],[Date]]="","",IF(tblBoard[[#This Row],[Target (units)]]="","",tblBoard[[#This Row],[Actual (units)]]-tblBoard[[#This Row],[Target (units)]]))</f>
        <v>2</v>
      </c>
      <c r="M264" s="38">
        <f>IF(tblBoard[[#This Row],[Date]]="","",IF(tblBoard[[#This Row],[Target (units)]]="","",MAX(0,tblBoard[[#This Row],[Target (units)]]-tblBoard[[#This Row],[Actual (units)]])))</f>
        <v>0</v>
      </c>
      <c r="N264" s="39">
        <f>IF(tblBoard[[#This Row],[Date]]="","",IF(N(tblBoard[[#This Row],[Target (units)]])&gt;0,tblBoard[[#This Row],[Actual (units)]]/tblBoard[[#This Row],[Target (units)]],""))</f>
        <v>1.03225806451613</v>
      </c>
      <c r="O264" s="38">
        <f>IF(tblBoard[[#This Row],[Date]]="","",IF(N(tblBoard[[#This Row],[Target (units)]])&gt;0,IF(tblBoard[[#This Row],[Actual (units)]]&gt;=tblBoard[[#This Row],[Target (units)]]*TargetHour,1,0),""))</f>
        <v>1</v>
      </c>
      <c r="P264" s="40" t="str">
        <f>IF(NOT(ISNUMBER(tblBoard[[#This Row],[Attainment]])),"",IF(tblBoard[[#This Row],[Attainment]]&gt;=TargetHour,"On target",IF(tblBoard[[#This Row],[Attainment]]&gt;=TargetHour*(1-0.05),"Near target","Below target")))</f>
        <v>On target</v>
      </c>
      <c r="Q264" s="38">
        <f>IF(tblBoard[[#This Row],[Date]]="","",IF(tblBoard[[#This Row],[Hour]]="","",SUMIFS(tblBoard[Target (units)],tblBoard[Date],tblBoard[[#This Row],[Date]],tblBoard[Shift],tblBoard[[#This Row],[Shift]],tblBoard[Line],tblBoard[[#This Row],[Line]],tblBoard[Hour],"&lt;="&amp;tblBoard[[#This Row],[Hour]])))</f>
        <v>212</v>
      </c>
      <c r="R264" s="38">
        <f>IF(tblBoard[[#This Row],[Date]]="","",IF(tblBoard[[#This Row],[Hour]]="","",SUMIFS(tblBoard[Actual (units)],tblBoard[Date],tblBoard[[#This Row],[Date]],tblBoard[Shift],tblBoard[[#This Row],[Shift]],tblBoard[Line],tblBoard[[#This Row],[Line]],tblBoard[Hour],"&lt;="&amp;tblBoard[[#This Row],[Hour]])))</f>
        <v>207</v>
      </c>
      <c r="S264" s="38">
        <f>IF(tblBoard[[#This Row],[Date]]="","",IF(tblBoard[[#This Row],[Cum. target]]="","",tblBoard[[#This Row],[Cum. actual]]-tblBoard[[#This Row],[Cum. target]]))</f>
        <v>-5</v>
      </c>
      <c r="T264" s="41">
        <f>IF(tblBoard[[#This Row],[Date]]="","",IF(AND(tblBoard[[#This Row],[Date]]&gt;=FFrom,tblBoard[[#This Row],[Date]]&lt;=FTo,OR(DashLine="",tblBoard[[#This Row],[Line]]=DashLine)),tblBoard[[#This Row],[Date]],""))</f>
        <v>46310</v>
      </c>
      <c r="U26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4" s="43" t="s">
        <v>97</v>
      </c>
    </row>
    <row r="265" spans="2:22" x14ac:dyDescent="0.25">
      <c r="B265" s="36">
        <v>46310</v>
      </c>
      <c r="C265" s="28" t="s">
        <v>91</v>
      </c>
      <c r="D265" s="28" t="s">
        <v>85</v>
      </c>
      <c r="E265" s="33">
        <v>4</v>
      </c>
      <c r="F265" s="28" t="s">
        <v>105</v>
      </c>
      <c r="G265" s="33">
        <v>60</v>
      </c>
      <c r="H265" s="33">
        <v>76</v>
      </c>
      <c r="I265" s="28"/>
      <c r="J265" s="37">
        <f>IF(tblBoard[[#This Row],[Date]]="","",IFERROR(INDEX(tblProducts[Takt time (s)],MATCH(tblBoard[[#This Row],[Product]],tblProducts[Product],0)),""))</f>
        <v>48</v>
      </c>
      <c r="K265" s="38">
        <f>IF(tblBoard[[#This Row],[Date]]="","",IF(OR(tblBoard[[#This Row],[Takt (s)]]="",tblBoard[[#This Row],[Available (min)]]=""),"",INT(tblBoard[[#This Row],[Available (min)]]*60/tblBoard[[#This Row],[Takt (s)]])))</f>
        <v>75</v>
      </c>
      <c r="L265" s="38">
        <f>IF(tblBoard[[#This Row],[Date]]="","",IF(tblBoard[[#This Row],[Target (units)]]="","",tblBoard[[#This Row],[Actual (units)]]-tblBoard[[#This Row],[Target (units)]]))</f>
        <v>1</v>
      </c>
      <c r="M265" s="38">
        <f>IF(tblBoard[[#This Row],[Date]]="","",IF(tblBoard[[#This Row],[Target (units)]]="","",MAX(0,tblBoard[[#This Row],[Target (units)]]-tblBoard[[#This Row],[Actual (units)]])))</f>
        <v>0</v>
      </c>
      <c r="N265" s="39">
        <f>IF(tblBoard[[#This Row],[Date]]="","",IF(N(tblBoard[[#This Row],[Target (units)]])&gt;0,tblBoard[[#This Row],[Actual (units)]]/tblBoard[[#This Row],[Target (units)]],""))</f>
        <v>1.01333333333333</v>
      </c>
      <c r="O265" s="38">
        <f>IF(tblBoard[[#This Row],[Date]]="","",IF(N(tblBoard[[#This Row],[Target (units)]])&gt;0,IF(tblBoard[[#This Row],[Actual (units)]]&gt;=tblBoard[[#This Row],[Target (units)]]*TargetHour,1,0),""))</f>
        <v>1</v>
      </c>
      <c r="P265" s="40" t="str">
        <f>IF(NOT(ISNUMBER(tblBoard[[#This Row],[Attainment]])),"",IF(tblBoard[[#This Row],[Attainment]]&gt;=TargetHour,"On target",IF(tblBoard[[#This Row],[Attainment]]&gt;=TargetHour*(1-0.05),"Near target","Below target")))</f>
        <v>On target</v>
      </c>
      <c r="Q265" s="38">
        <f>IF(tblBoard[[#This Row],[Date]]="","",IF(tblBoard[[#This Row],[Hour]]="","",SUMIFS(tblBoard[Target (units)],tblBoard[Date],tblBoard[[#This Row],[Date]],tblBoard[Shift],tblBoard[[#This Row],[Shift]],tblBoard[Line],tblBoard[[#This Row],[Line]],tblBoard[Hour],"&lt;="&amp;tblBoard[[#This Row],[Hour]])))</f>
        <v>287</v>
      </c>
      <c r="R265" s="38">
        <f>IF(tblBoard[[#This Row],[Date]]="","",IF(tblBoard[[#This Row],[Hour]]="","",SUMIFS(tblBoard[Actual (units)],tblBoard[Date],tblBoard[[#This Row],[Date]],tblBoard[Shift],tblBoard[[#This Row],[Shift]],tblBoard[Line],tblBoard[[#This Row],[Line]],tblBoard[Hour],"&lt;="&amp;tblBoard[[#This Row],[Hour]])))</f>
        <v>283</v>
      </c>
      <c r="S265" s="38">
        <f>IF(tblBoard[[#This Row],[Date]]="","",IF(tblBoard[[#This Row],[Cum. target]]="","",tblBoard[[#This Row],[Cum. actual]]-tblBoard[[#This Row],[Cum. target]]))</f>
        <v>-4</v>
      </c>
      <c r="T265" s="41">
        <f>IF(tblBoard[[#This Row],[Date]]="","",IF(AND(tblBoard[[#This Row],[Date]]&gt;=FFrom,tblBoard[[#This Row],[Date]]&lt;=FTo,OR(DashLine="",tblBoard[[#This Row],[Line]]=DashLine)),tblBoard[[#This Row],[Date]],""))</f>
        <v>46310</v>
      </c>
      <c r="U26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5" s="43" t="s">
        <v>97</v>
      </c>
    </row>
    <row r="266" spans="2:22" x14ac:dyDescent="0.25">
      <c r="B266" s="36">
        <v>46310</v>
      </c>
      <c r="C266" s="28" t="s">
        <v>91</v>
      </c>
      <c r="D266" s="28" t="s">
        <v>85</v>
      </c>
      <c r="E266" s="33">
        <v>5</v>
      </c>
      <c r="F266" s="28" t="s">
        <v>105</v>
      </c>
      <c r="G266" s="33">
        <v>30</v>
      </c>
      <c r="H266" s="33">
        <v>35</v>
      </c>
      <c r="I266" s="28" t="s">
        <v>122</v>
      </c>
      <c r="J266" s="37">
        <f>IF(tblBoard[[#This Row],[Date]]="","",IFERROR(INDEX(tblProducts[Takt time (s)],MATCH(tblBoard[[#This Row],[Product]],tblProducts[Product],0)),""))</f>
        <v>48</v>
      </c>
      <c r="K266" s="38">
        <f>IF(tblBoard[[#This Row],[Date]]="","",IF(OR(tblBoard[[#This Row],[Takt (s)]]="",tblBoard[[#This Row],[Available (min)]]=""),"",INT(tblBoard[[#This Row],[Available (min)]]*60/tblBoard[[#This Row],[Takt (s)]])))</f>
        <v>37</v>
      </c>
      <c r="L266" s="38">
        <f>IF(tblBoard[[#This Row],[Date]]="","",IF(tblBoard[[#This Row],[Target (units)]]="","",tblBoard[[#This Row],[Actual (units)]]-tblBoard[[#This Row],[Target (units)]]))</f>
        <v>-2</v>
      </c>
      <c r="M266" s="38">
        <f>IF(tblBoard[[#This Row],[Date]]="","",IF(tblBoard[[#This Row],[Target (units)]]="","",MAX(0,tblBoard[[#This Row],[Target (units)]]-tblBoard[[#This Row],[Actual (units)]])))</f>
        <v>2</v>
      </c>
      <c r="N266" s="39">
        <f>IF(tblBoard[[#This Row],[Date]]="","",IF(N(tblBoard[[#This Row],[Target (units)]])&gt;0,tblBoard[[#This Row],[Actual (units)]]/tblBoard[[#This Row],[Target (units)]],""))</f>
        <v>0.945945945945946</v>
      </c>
      <c r="O266" s="38">
        <f>IF(tblBoard[[#This Row],[Date]]="","",IF(N(tblBoard[[#This Row],[Target (units)]])&gt;0,IF(tblBoard[[#This Row],[Actual (units)]]&gt;=tblBoard[[#This Row],[Target (units)]]*TargetHour,1,0),""))</f>
        <v>0</v>
      </c>
      <c r="P266" s="40" t="str">
        <f>IF(NOT(ISNUMBER(tblBoard[[#This Row],[Attainment]])),"",IF(tblBoard[[#This Row],[Attainment]]&gt;=TargetHour,"On target",IF(tblBoard[[#This Row],[Attainment]]&gt;=TargetHour*(1-0.05),"Near target","Below target")))</f>
        <v>Below target</v>
      </c>
      <c r="Q266" s="38">
        <f>IF(tblBoard[[#This Row],[Date]]="","",IF(tblBoard[[#This Row],[Hour]]="","",SUMIFS(tblBoard[Target (units)],tblBoard[Date],tblBoard[[#This Row],[Date]],tblBoard[Shift],tblBoard[[#This Row],[Shift]],tblBoard[Line],tblBoard[[#This Row],[Line]],tblBoard[Hour],"&lt;="&amp;tblBoard[[#This Row],[Hour]])))</f>
        <v>324</v>
      </c>
      <c r="R266" s="38">
        <f>IF(tblBoard[[#This Row],[Date]]="","",IF(tblBoard[[#This Row],[Hour]]="","",SUMIFS(tblBoard[Actual (units)],tblBoard[Date],tblBoard[[#This Row],[Date]],tblBoard[Shift],tblBoard[[#This Row],[Shift]],tblBoard[Line],tblBoard[[#This Row],[Line]],tblBoard[Hour],"&lt;="&amp;tblBoard[[#This Row],[Hour]])))</f>
        <v>318</v>
      </c>
      <c r="S266" s="38">
        <f>IF(tblBoard[[#This Row],[Date]]="","",IF(tblBoard[[#This Row],[Cum. target]]="","",tblBoard[[#This Row],[Cum. actual]]-tblBoard[[#This Row],[Cum. target]]))</f>
        <v>-6</v>
      </c>
      <c r="T266" s="41">
        <f>IF(tblBoard[[#This Row],[Date]]="","",IF(AND(tblBoard[[#This Row],[Date]]&gt;=FFrom,tblBoard[[#This Row],[Date]]&lt;=FTo,OR(DashLine="",tblBoard[[#This Row],[Line]]=DashLine)),tblBoard[[#This Row],[Date]],""))</f>
        <v>46310</v>
      </c>
      <c r="U26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6" s="43" t="s">
        <v>97</v>
      </c>
    </row>
    <row r="267" spans="2:22" x14ac:dyDescent="0.25">
      <c r="B267" s="36">
        <v>46310</v>
      </c>
      <c r="C267" s="28" t="s">
        <v>91</v>
      </c>
      <c r="D267" s="28" t="s">
        <v>85</v>
      </c>
      <c r="E267" s="33">
        <v>6</v>
      </c>
      <c r="F267" s="28" t="s">
        <v>105</v>
      </c>
      <c r="G267" s="33">
        <v>60</v>
      </c>
      <c r="H267" s="33">
        <v>77</v>
      </c>
      <c r="I267" s="28"/>
      <c r="J267" s="37">
        <f>IF(tblBoard[[#This Row],[Date]]="","",IFERROR(INDEX(tblProducts[Takt time (s)],MATCH(tblBoard[[#This Row],[Product]],tblProducts[Product],0)),""))</f>
        <v>48</v>
      </c>
      <c r="K267" s="38">
        <f>IF(tblBoard[[#This Row],[Date]]="","",IF(OR(tblBoard[[#This Row],[Takt (s)]]="",tblBoard[[#This Row],[Available (min)]]=""),"",INT(tblBoard[[#This Row],[Available (min)]]*60/tblBoard[[#This Row],[Takt (s)]])))</f>
        <v>75</v>
      </c>
      <c r="L267" s="38">
        <f>IF(tblBoard[[#This Row],[Date]]="","",IF(tblBoard[[#This Row],[Target (units)]]="","",tblBoard[[#This Row],[Actual (units)]]-tblBoard[[#This Row],[Target (units)]]))</f>
        <v>2</v>
      </c>
      <c r="M267" s="38">
        <f>IF(tblBoard[[#This Row],[Date]]="","",IF(tblBoard[[#This Row],[Target (units)]]="","",MAX(0,tblBoard[[#This Row],[Target (units)]]-tblBoard[[#This Row],[Actual (units)]])))</f>
        <v>0</v>
      </c>
      <c r="N267" s="39">
        <f>IF(tblBoard[[#This Row],[Date]]="","",IF(N(tblBoard[[#This Row],[Target (units)]])&gt;0,tblBoard[[#This Row],[Actual (units)]]/tblBoard[[#This Row],[Target (units)]],""))</f>
        <v>1.02666666666667</v>
      </c>
      <c r="O267" s="38">
        <f>IF(tblBoard[[#This Row],[Date]]="","",IF(N(tblBoard[[#This Row],[Target (units)]])&gt;0,IF(tblBoard[[#This Row],[Actual (units)]]&gt;=tblBoard[[#This Row],[Target (units)]]*TargetHour,1,0),""))</f>
        <v>1</v>
      </c>
      <c r="P267" s="40" t="str">
        <f>IF(NOT(ISNUMBER(tblBoard[[#This Row],[Attainment]])),"",IF(tblBoard[[#This Row],[Attainment]]&gt;=TargetHour,"On target",IF(tblBoard[[#This Row],[Attainment]]&gt;=TargetHour*(1-0.05),"Near target","Below target")))</f>
        <v>On target</v>
      </c>
      <c r="Q267" s="38">
        <f>IF(tblBoard[[#This Row],[Date]]="","",IF(tblBoard[[#This Row],[Hour]]="","",SUMIFS(tblBoard[Target (units)],tblBoard[Date],tblBoard[[#This Row],[Date]],tblBoard[Shift],tblBoard[[#This Row],[Shift]],tblBoard[Line],tblBoard[[#This Row],[Line]],tblBoard[Hour],"&lt;="&amp;tblBoard[[#This Row],[Hour]])))</f>
        <v>399</v>
      </c>
      <c r="R267" s="38">
        <f>IF(tblBoard[[#This Row],[Date]]="","",IF(tblBoard[[#This Row],[Hour]]="","",SUMIFS(tblBoard[Actual (units)],tblBoard[Date],tblBoard[[#This Row],[Date]],tblBoard[Shift],tblBoard[[#This Row],[Shift]],tblBoard[Line],tblBoard[[#This Row],[Line]],tblBoard[Hour],"&lt;="&amp;tblBoard[[#This Row],[Hour]])))</f>
        <v>395</v>
      </c>
      <c r="S267" s="38">
        <f>IF(tblBoard[[#This Row],[Date]]="","",IF(tblBoard[[#This Row],[Cum. target]]="","",tblBoard[[#This Row],[Cum. actual]]-tblBoard[[#This Row],[Cum. target]]))</f>
        <v>-4</v>
      </c>
      <c r="T267" s="41">
        <f>IF(tblBoard[[#This Row],[Date]]="","",IF(AND(tblBoard[[#This Row],[Date]]&gt;=FFrom,tblBoard[[#This Row],[Date]]&lt;=FTo,OR(DashLine="",tblBoard[[#This Row],[Line]]=DashLine)),tblBoard[[#This Row],[Date]],""))</f>
        <v>46310</v>
      </c>
      <c r="U26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7" s="43" t="s">
        <v>97</v>
      </c>
    </row>
    <row r="268" spans="2:22" x14ac:dyDescent="0.25">
      <c r="B268" s="36">
        <v>46310</v>
      </c>
      <c r="C268" s="28" t="s">
        <v>91</v>
      </c>
      <c r="D268" s="28" t="s">
        <v>85</v>
      </c>
      <c r="E268" s="33">
        <v>7</v>
      </c>
      <c r="F268" s="28" t="s">
        <v>105</v>
      </c>
      <c r="G268" s="33">
        <v>50</v>
      </c>
      <c r="H268" s="33">
        <v>62</v>
      </c>
      <c r="I268" s="28"/>
      <c r="J268" s="37">
        <f>IF(tblBoard[[#This Row],[Date]]="","",IFERROR(INDEX(tblProducts[Takt time (s)],MATCH(tblBoard[[#This Row],[Product]],tblProducts[Product],0)),""))</f>
        <v>48</v>
      </c>
      <c r="K268" s="38">
        <f>IF(tblBoard[[#This Row],[Date]]="","",IF(OR(tblBoard[[#This Row],[Takt (s)]]="",tblBoard[[#This Row],[Available (min)]]=""),"",INT(tblBoard[[#This Row],[Available (min)]]*60/tblBoard[[#This Row],[Takt (s)]])))</f>
        <v>62</v>
      </c>
      <c r="L268" s="38">
        <f>IF(tblBoard[[#This Row],[Date]]="","",IF(tblBoard[[#This Row],[Target (units)]]="","",tblBoard[[#This Row],[Actual (units)]]-tblBoard[[#This Row],[Target (units)]]))</f>
        <v>0</v>
      </c>
      <c r="M268" s="38">
        <f>IF(tblBoard[[#This Row],[Date]]="","",IF(tblBoard[[#This Row],[Target (units)]]="","",MAX(0,tblBoard[[#This Row],[Target (units)]]-tblBoard[[#This Row],[Actual (units)]])))</f>
        <v>0</v>
      </c>
      <c r="N268" s="39">
        <f>IF(tblBoard[[#This Row],[Date]]="","",IF(N(tblBoard[[#This Row],[Target (units)]])&gt;0,tblBoard[[#This Row],[Actual (units)]]/tblBoard[[#This Row],[Target (units)]],""))</f>
        <v>1</v>
      </c>
      <c r="O268" s="38">
        <f>IF(tblBoard[[#This Row],[Date]]="","",IF(N(tblBoard[[#This Row],[Target (units)]])&gt;0,IF(tblBoard[[#This Row],[Actual (units)]]&gt;=tblBoard[[#This Row],[Target (units)]]*TargetHour,1,0),""))</f>
        <v>1</v>
      </c>
      <c r="P268" s="40" t="str">
        <f>IF(NOT(ISNUMBER(tblBoard[[#This Row],[Attainment]])),"",IF(tblBoard[[#This Row],[Attainment]]&gt;=TargetHour,"On target",IF(tblBoard[[#This Row],[Attainment]]&gt;=TargetHour*(1-0.05),"Near target","Below target")))</f>
        <v>On target</v>
      </c>
      <c r="Q268" s="38">
        <f>IF(tblBoard[[#This Row],[Date]]="","",IF(tblBoard[[#This Row],[Hour]]="","",SUMIFS(tblBoard[Target (units)],tblBoard[Date],tblBoard[[#This Row],[Date]],tblBoard[Shift],tblBoard[[#This Row],[Shift]],tblBoard[Line],tblBoard[[#This Row],[Line]],tblBoard[Hour],"&lt;="&amp;tblBoard[[#This Row],[Hour]])))</f>
        <v>461</v>
      </c>
      <c r="R268" s="38">
        <f>IF(tblBoard[[#This Row],[Date]]="","",IF(tblBoard[[#This Row],[Hour]]="","",SUMIFS(tblBoard[Actual (units)],tblBoard[Date],tblBoard[[#This Row],[Date]],tblBoard[Shift],tblBoard[[#This Row],[Shift]],tblBoard[Line],tblBoard[[#This Row],[Line]],tblBoard[Hour],"&lt;="&amp;tblBoard[[#This Row],[Hour]])))</f>
        <v>457</v>
      </c>
      <c r="S268" s="38">
        <f>IF(tblBoard[[#This Row],[Date]]="","",IF(tblBoard[[#This Row],[Cum. target]]="","",tblBoard[[#This Row],[Cum. actual]]-tblBoard[[#This Row],[Cum. target]]))</f>
        <v>-4</v>
      </c>
      <c r="T268" s="41">
        <f>IF(tblBoard[[#This Row],[Date]]="","",IF(AND(tblBoard[[#This Row],[Date]]&gt;=FFrom,tblBoard[[#This Row],[Date]]&lt;=FTo,OR(DashLine="",tblBoard[[#This Row],[Line]]=DashLine)),tblBoard[[#This Row],[Date]],""))</f>
        <v>46310</v>
      </c>
      <c r="U26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8" s="43" t="s">
        <v>97</v>
      </c>
    </row>
    <row r="269" spans="2:22" x14ac:dyDescent="0.25">
      <c r="B269" s="36">
        <v>46310</v>
      </c>
      <c r="C269" s="28" t="s">
        <v>91</v>
      </c>
      <c r="D269" s="28" t="s">
        <v>85</v>
      </c>
      <c r="E269" s="33">
        <v>8</v>
      </c>
      <c r="F269" s="28" t="s">
        <v>105</v>
      </c>
      <c r="G269" s="33">
        <v>50</v>
      </c>
      <c r="H269" s="33">
        <v>62</v>
      </c>
      <c r="I269" s="28"/>
      <c r="J269" s="37">
        <f>IF(tblBoard[[#This Row],[Date]]="","",IFERROR(INDEX(tblProducts[Takt time (s)],MATCH(tblBoard[[#This Row],[Product]],tblProducts[Product],0)),""))</f>
        <v>48</v>
      </c>
      <c r="K269" s="38">
        <f>IF(tblBoard[[#This Row],[Date]]="","",IF(OR(tblBoard[[#This Row],[Takt (s)]]="",tblBoard[[#This Row],[Available (min)]]=""),"",INT(tblBoard[[#This Row],[Available (min)]]*60/tblBoard[[#This Row],[Takt (s)]])))</f>
        <v>62</v>
      </c>
      <c r="L269" s="38">
        <f>IF(tblBoard[[#This Row],[Date]]="","",IF(tblBoard[[#This Row],[Target (units)]]="","",tblBoard[[#This Row],[Actual (units)]]-tblBoard[[#This Row],[Target (units)]]))</f>
        <v>0</v>
      </c>
      <c r="M269" s="38">
        <f>IF(tblBoard[[#This Row],[Date]]="","",IF(tblBoard[[#This Row],[Target (units)]]="","",MAX(0,tblBoard[[#This Row],[Target (units)]]-tblBoard[[#This Row],[Actual (units)]])))</f>
        <v>0</v>
      </c>
      <c r="N269" s="39">
        <f>IF(tblBoard[[#This Row],[Date]]="","",IF(N(tblBoard[[#This Row],[Target (units)]])&gt;0,tblBoard[[#This Row],[Actual (units)]]/tblBoard[[#This Row],[Target (units)]],""))</f>
        <v>1</v>
      </c>
      <c r="O269" s="38">
        <f>IF(tblBoard[[#This Row],[Date]]="","",IF(N(tblBoard[[#This Row],[Target (units)]])&gt;0,IF(tblBoard[[#This Row],[Actual (units)]]&gt;=tblBoard[[#This Row],[Target (units)]]*TargetHour,1,0),""))</f>
        <v>1</v>
      </c>
      <c r="P269" s="40" t="str">
        <f>IF(NOT(ISNUMBER(tblBoard[[#This Row],[Attainment]])),"",IF(tblBoard[[#This Row],[Attainment]]&gt;=TargetHour,"On target",IF(tblBoard[[#This Row],[Attainment]]&gt;=TargetHour*(1-0.05),"Near target","Below target")))</f>
        <v>On target</v>
      </c>
      <c r="Q269" s="38">
        <f>IF(tblBoard[[#This Row],[Date]]="","",IF(tblBoard[[#This Row],[Hour]]="","",SUMIFS(tblBoard[Target (units)],tblBoard[Date],tblBoard[[#This Row],[Date]],tblBoard[Shift],tblBoard[[#This Row],[Shift]],tblBoard[Line],tblBoard[[#This Row],[Line]],tblBoard[Hour],"&lt;="&amp;tblBoard[[#This Row],[Hour]])))</f>
        <v>523</v>
      </c>
      <c r="R269" s="38">
        <f>IF(tblBoard[[#This Row],[Date]]="","",IF(tblBoard[[#This Row],[Hour]]="","",SUMIFS(tblBoard[Actual (units)],tblBoard[Date],tblBoard[[#This Row],[Date]],tblBoard[Shift],tblBoard[[#This Row],[Shift]],tblBoard[Line],tblBoard[[#This Row],[Line]],tblBoard[Hour],"&lt;="&amp;tblBoard[[#This Row],[Hour]])))</f>
        <v>519</v>
      </c>
      <c r="S269" s="38">
        <f>IF(tblBoard[[#This Row],[Date]]="","",IF(tblBoard[[#This Row],[Cum. target]]="","",tblBoard[[#This Row],[Cum. actual]]-tblBoard[[#This Row],[Cum. target]]))</f>
        <v>-4</v>
      </c>
      <c r="T269" s="41">
        <f>IF(tblBoard[[#This Row],[Date]]="","",IF(AND(tblBoard[[#This Row],[Date]]&gt;=FFrom,tblBoard[[#This Row],[Date]]&lt;=FTo,OR(DashLine="",tblBoard[[#This Row],[Line]]=DashLine)),tblBoard[[#This Row],[Date]],""))</f>
        <v>46310</v>
      </c>
      <c r="U26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69" s="43" t="s">
        <v>97</v>
      </c>
    </row>
    <row r="270" spans="2:22" x14ac:dyDescent="0.25">
      <c r="B270" s="36">
        <v>46310</v>
      </c>
      <c r="C270" s="28" t="s">
        <v>91</v>
      </c>
      <c r="D270" s="28" t="s">
        <v>88</v>
      </c>
      <c r="E270" s="33">
        <v>1</v>
      </c>
      <c r="F270" s="28" t="s">
        <v>107</v>
      </c>
      <c r="G270" s="33">
        <v>60</v>
      </c>
      <c r="H270" s="33">
        <v>114</v>
      </c>
      <c r="I270" s="28" t="s">
        <v>110</v>
      </c>
      <c r="J270" s="37">
        <f>IF(tblBoard[[#This Row],[Date]]="","",IFERROR(INDEX(tblProducts[Takt time (s)],MATCH(tblBoard[[#This Row],[Product]],tblProducts[Product],0)),""))</f>
        <v>30</v>
      </c>
      <c r="K270" s="38">
        <f>IF(tblBoard[[#This Row],[Date]]="","",IF(OR(tblBoard[[#This Row],[Takt (s)]]="",tblBoard[[#This Row],[Available (min)]]=""),"",INT(tblBoard[[#This Row],[Available (min)]]*60/tblBoard[[#This Row],[Takt (s)]])))</f>
        <v>120</v>
      </c>
      <c r="L270" s="38">
        <f>IF(tblBoard[[#This Row],[Date]]="","",IF(tblBoard[[#This Row],[Target (units)]]="","",tblBoard[[#This Row],[Actual (units)]]-tblBoard[[#This Row],[Target (units)]]))</f>
        <v>-6</v>
      </c>
      <c r="M270" s="38">
        <f>IF(tblBoard[[#This Row],[Date]]="","",IF(tblBoard[[#This Row],[Target (units)]]="","",MAX(0,tblBoard[[#This Row],[Target (units)]]-tblBoard[[#This Row],[Actual (units)]])))</f>
        <v>6</v>
      </c>
      <c r="N270" s="39">
        <f>IF(tblBoard[[#This Row],[Date]]="","",IF(N(tblBoard[[#This Row],[Target (units)]])&gt;0,tblBoard[[#This Row],[Actual (units)]]/tblBoard[[#This Row],[Target (units)]],""))</f>
        <v>0.95</v>
      </c>
      <c r="O270" s="38">
        <f>IF(tblBoard[[#This Row],[Date]]="","",IF(N(tblBoard[[#This Row],[Target (units)]])&gt;0,IF(tblBoard[[#This Row],[Actual (units)]]&gt;=tblBoard[[#This Row],[Target (units)]]*TargetHour,1,0),""))</f>
        <v>0</v>
      </c>
      <c r="P270" s="40" t="str">
        <f>IF(NOT(ISNUMBER(tblBoard[[#This Row],[Attainment]])),"",IF(tblBoard[[#This Row],[Attainment]]&gt;=TargetHour,"On target",IF(tblBoard[[#This Row],[Attainment]]&gt;=TargetHour*(1-0.05),"Near target","Below target")))</f>
        <v>Near target</v>
      </c>
      <c r="Q270" s="38">
        <f>IF(tblBoard[[#This Row],[Date]]="","",IF(tblBoard[[#This Row],[Hour]]="","",SUMIFS(tblBoard[Target (units)],tblBoard[Date],tblBoard[[#This Row],[Date]],tblBoard[Shift],tblBoard[[#This Row],[Shift]],tblBoard[Line],tblBoard[[#This Row],[Line]],tblBoard[Hour],"&lt;="&amp;tblBoard[[#This Row],[Hour]])))</f>
        <v>120</v>
      </c>
      <c r="R270" s="38">
        <f>IF(tblBoard[[#This Row],[Date]]="","",IF(tblBoard[[#This Row],[Hour]]="","",SUMIFS(tblBoard[Actual (units)],tblBoard[Date],tblBoard[[#This Row],[Date]],tblBoard[Shift],tblBoard[[#This Row],[Shift]],tblBoard[Line],tblBoard[[#This Row],[Line]],tblBoard[Hour],"&lt;="&amp;tblBoard[[#This Row],[Hour]])))</f>
        <v>114</v>
      </c>
      <c r="S270" s="38">
        <f>IF(tblBoard[[#This Row],[Date]]="","",IF(tblBoard[[#This Row],[Cum. target]]="","",tblBoard[[#This Row],[Cum. actual]]-tblBoard[[#This Row],[Cum. target]]))</f>
        <v>-6</v>
      </c>
      <c r="T270" s="41">
        <f>IF(tblBoard[[#This Row],[Date]]="","",IF(AND(tblBoard[[#This Row],[Date]]&gt;=FFrom,tblBoard[[#This Row],[Date]]&lt;=FTo,OR(DashLine="",tblBoard[[#This Row],[Line]]=DashLine)),tblBoard[[#This Row],[Date]],""))</f>
        <v>46310</v>
      </c>
      <c r="U27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0" s="43" t="s">
        <v>97</v>
      </c>
    </row>
    <row r="271" spans="2:22" x14ac:dyDescent="0.25">
      <c r="B271" s="36">
        <v>46310</v>
      </c>
      <c r="C271" s="28" t="s">
        <v>91</v>
      </c>
      <c r="D271" s="28" t="s">
        <v>88</v>
      </c>
      <c r="E271" s="33">
        <v>2</v>
      </c>
      <c r="F271" s="28" t="s">
        <v>107</v>
      </c>
      <c r="G271" s="33">
        <v>60</v>
      </c>
      <c r="H271" s="33">
        <v>118</v>
      </c>
      <c r="I271" s="28" t="s">
        <v>124</v>
      </c>
      <c r="J271" s="37">
        <f>IF(tblBoard[[#This Row],[Date]]="","",IFERROR(INDEX(tblProducts[Takt time (s)],MATCH(tblBoard[[#This Row],[Product]],tblProducts[Product],0)),""))</f>
        <v>30</v>
      </c>
      <c r="K271" s="38">
        <f>IF(tblBoard[[#This Row],[Date]]="","",IF(OR(tblBoard[[#This Row],[Takt (s)]]="",tblBoard[[#This Row],[Available (min)]]=""),"",INT(tblBoard[[#This Row],[Available (min)]]*60/tblBoard[[#This Row],[Takt (s)]])))</f>
        <v>120</v>
      </c>
      <c r="L271" s="38">
        <f>IF(tblBoard[[#This Row],[Date]]="","",IF(tblBoard[[#This Row],[Target (units)]]="","",tblBoard[[#This Row],[Actual (units)]]-tblBoard[[#This Row],[Target (units)]]))</f>
        <v>-2</v>
      </c>
      <c r="M271" s="38">
        <f>IF(tblBoard[[#This Row],[Date]]="","",IF(tblBoard[[#This Row],[Target (units)]]="","",MAX(0,tblBoard[[#This Row],[Target (units)]]-tblBoard[[#This Row],[Actual (units)]])))</f>
        <v>2</v>
      </c>
      <c r="N271" s="39">
        <f>IF(tblBoard[[#This Row],[Date]]="","",IF(N(tblBoard[[#This Row],[Target (units)]])&gt;0,tblBoard[[#This Row],[Actual (units)]]/tblBoard[[#This Row],[Target (units)]],""))</f>
        <v>0.983333333333333</v>
      </c>
      <c r="O271" s="38">
        <f>IF(tblBoard[[#This Row],[Date]]="","",IF(N(tblBoard[[#This Row],[Target (units)]])&gt;0,IF(tblBoard[[#This Row],[Actual (units)]]&gt;=tblBoard[[#This Row],[Target (units)]]*TargetHour,1,0),""))</f>
        <v>0</v>
      </c>
      <c r="P271" s="40" t="str">
        <f>IF(NOT(ISNUMBER(tblBoard[[#This Row],[Attainment]])),"",IF(tblBoard[[#This Row],[Attainment]]&gt;=TargetHour,"On target",IF(tblBoard[[#This Row],[Attainment]]&gt;=TargetHour*(1-0.05),"Near target","Below target")))</f>
        <v>Near target</v>
      </c>
      <c r="Q271" s="38">
        <f>IF(tblBoard[[#This Row],[Date]]="","",IF(tblBoard[[#This Row],[Hour]]="","",SUMIFS(tblBoard[Target (units)],tblBoard[Date],tblBoard[[#This Row],[Date]],tblBoard[Shift],tblBoard[[#This Row],[Shift]],tblBoard[Line],tblBoard[[#This Row],[Line]],tblBoard[Hour],"&lt;="&amp;tblBoard[[#This Row],[Hour]])))</f>
        <v>240</v>
      </c>
      <c r="R271" s="38">
        <f>IF(tblBoard[[#This Row],[Date]]="","",IF(tblBoard[[#This Row],[Hour]]="","",SUMIFS(tblBoard[Actual (units)],tblBoard[Date],tblBoard[[#This Row],[Date]],tblBoard[Shift],tblBoard[[#This Row],[Shift]],tblBoard[Line],tblBoard[[#This Row],[Line]],tblBoard[Hour],"&lt;="&amp;tblBoard[[#This Row],[Hour]])))</f>
        <v>232</v>
      </c>
      <c r="S271" s="38">
        <f>IF(tblBoard[[#This Row],[Date]]="","",IF(tblBoard[[#This Row],[Cum. target]]="","",tblBoard[[#This Row],[Cum. actual]]-tblBoard[[#This Row],[Cum. target]]))</f>
        <v>-8</v>
      </c>
      <c r="T271" s="41">
        <f>IF(tblBoard[[#This Row],[Date]]="","",IF(AND(tblBoard[[#This Row],[Date]]&gt;=FFrom,tblBoard[[#This Row],[Date]]&lt;=FTo,OR(DashLine="",tblBoard[[#This Row],[Line]]=DashLine)),tblBoard[[#This Row],[Date]],""))</f>
        <v>46310</v>
      </c>
      <c r="U27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1" s="43" t="s">
        <v>97</v>
      </c>
    </row>
    <row r="272" spans="2:22" x14ac:dyDescent="0.25">
      <c r="B272" s="36">
        <v>46310</v>
      </c>
      <c r="C272" s="28" t="s">
        <v>91</v>
      </c>
      <c r="D272" s="28" t="s">
        <v>88</v>
      </c>
      <c r="E272" s="33">
        <v>3</v>
      </c>
      <c r="F272" s="28" t="s">
        <v>107</v>
      </c>
      <c r="G272" s="33">
        <v>50</v>
      </c>
      <c r="H272" s="33">
        <v>97</v>
      </c>
      <c r="I272" s="28" t="s">
        <v>114</v>
      </c>
      <c r="J272" s="37">
        <f>IF(tblBoard[[#This Row],[Date]]="","",IFERROR(INDEX(tblProducts[Takt time (s)],MATCH(tblBoard[[#This Row],[Product]],tblProducts[Product],0)),""))</f>
        <v>30</v>
      </c>
      <c r="K272" s="38">
        <f>IF(tblBoard[[#This Row],[Date]]="","",IF(OR(tblBoard[[#This Row],[Takt (s)]]="",tblBoard[[#This Row],[Available (min)]]=""),"",INT(tblBoard[[#This Row],[Available (min)]]*60/tblBoard[[#This Row],[Takt (s)]])))</f>
        <v>100</v>
      </c>
      <c r="L272" s="38">
        <f>IF(tblBoard[[#This Row],[Date]]="","",IF(tblBoard[[#This Row],[Target (units)]]="","",tblBoard[[#This Row],[Actual (units)]]-tblBoard[[#This Row],[Target (units)]]))</f>
        <v>-3</v>
      </c>
      <c r="M272" s="38">
        <f>IF(tblBoard[[#This Row],[Date]]="","",IF(tblBoard[[#This Row],[Target (units)]]="","",MAX(0,tblBoard[[#This Row],[Target (units)]]-tblBoard[[#This Row],[Actual (units)]])))</f>
        <v>3</v>
      </c>
      <c r="N272" s="39">
        <f>IF(tblBoard[[#This Row],[Date]]="","",IF(N(tblBoard[[#This Row],[Target (units)]])&gt;0,tblBoard[[#This Row],[Actual (units)]]/tblBoard[[#This Row],[Target (units)]],""))</f>
        <v>0.97</v>
      </c>
      <c r="O272" s="38">
        <f>IF(tblBoard[[#This Row],[Date]]="","",IF(N(tblBoard[[#This Row],[Target (units)]])&gt;0,IF(tblBoard[[#This Row],[Actual (units)]]&gt;=tblBoard[[#This Row],[Target (units)]]*TargetHour,1,0),""))</f>
        <v>0</v>
      </c>
      <c r="P272" s="40" t="str">
        <f>IF(NOT(ISNUMBER(tblBoard[[#This Row],[Attainment]])),"",IF(tblBoard[[#This Row],[Attainment]]&gt;=TargetHour,"On target",IF(tblBoard[[#This Row],[Attainment]]&gt;=TargetHour*(1-0.05),"Near target","Below target")))</f>
        <v>Near target</v>
      </c>
      <c r="Q272" s="38">
        <f>IF(tblBoard[[#This Row],[Date]]="","",IF(tblBoard[[#This Row],[Hour]]="","",SUMIFS(tblBoard[Target (units)],tblBoard[Date],tblBoard[[#This Row],[Date]],tblBoard[Shift],tblBoard[[#This Row],[Shift]],tblBoard[Line],tblBoard[[#This Row],[Line]],tblBoard[Hour],"&lt;="&amp;tblBoard[[#This Row],[Hour]])))</f>
        <v>340</v>
      </c>
      <c r="R272" s="38">
        <f>IF(tblBoard[[#This Row],[Date]]="","",IF(tblBoard[[#This Row],[Hour]]="","",SUMIFS(tblBoard[Actual (units)],tblBoard[Date],tblBoard[[#This Row],[Date]],tblBoard[Shift],tblBoard[[#This Row],[Shift]],tblBoard[Line],tblBoard[[#This Row],[Line]],tblBoard[Hour],"&lt;="&amp;tblBoard[[#This Row],[Hour]])))</f>
        <v>329</v>
      </c>
      <c r="S272" s="38">
        <f>IF(tblBoard[[#This Row],[Date]]="","",IF(tblBoard[[#This Row],[Cum. target]]="","",tblBoard[[#This Row],[Cum. actual]]-tblBoard[[#This Row],[Cum. target]]))</f>
        <v>-11</v>
      </c>
      <c r="T272" s="41">
        <f>IF(tblBoard[[#This Row],[Date]]="","",IF(AND(tblBoard[[#This Row],[Date]]&gt;=FFrom,tblBoard[[#This Row],[Date]]&lt;=FTo,OR(DashLine="",tblBoard[[#This Row],[Line]]=DashLine)),tblBoard[[#This Row],[Date]],""))</f>
        <v>46310</v>
      </c>
      <c r="U27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2" s="43" t="s">
        <v>97</v>
      </c>
    </row>
    <row r="273" spans="2:22" x14ac:dyDescent="0.25">
      <c r="B273" s="36">
        <v>46310</v>
      </c>
      <c r="C273" s="28" t="s">
        <v>91</v>
      </c>
      <c r="D273" s="28" t="s">
        <v>88</v>
      </c>
      <c r="E273" s="33">
        <v>4</v>
      </c>
      <c r="F273" s="28" t="s">
        <v>107</v>
      </c>
      <c r="G273" s="33">
        <v>60</v>
      </c>
      <c r="H273" s="33">
        <v>127</v>
      </c>
      <c r="I273" s="28"/>
      <c r="J273" s="37">
        <f>IF(tblBoard[[#This Row],[Date]]="","",IFERROR(INDEX(tblProducts[Takt time (s)],MATCH(tblBoard[[#This Row],[Product]],tblProducts[Product],0)),""))</f>
        <v>30</v>
      </c>
      <c r="K273" s="38">
        <f>IF(tblBoard[[#This Row],[Date]]="","",IF(OR(tblBoard[[#This Row],[Takt (s)]]="",tblBoard[[#This Row],[Available (min)]]=""),"",INT(tblBoard[[#This Row],[Available (min)]]*60/tblBoard[[#This Row],[Takt (s)]])))</f>
        <v>120</v>
      </c>
      <c r="L273" s="38">
        <f>IF(tblBoard[[#This Row],[Date]]="","",IF(tblBoard[[#This Row],[Target (units)]]="","",tblBoard[[#This Row],[Actual (units)]]-tblBoard[[#This Row],[Target (units)]]))</f>
        <v>7</v>
      </c>
      <c r="M273" s="38">
        <f>IF(tblBoard[[#This Row],[Date]]="","",IF(tblBoard[[#This Row],[Target (units)]]="","",MAX(0,tblBoard[[#This Row],[Target (units)]]-tblBoard[[#This Row],[Actual (units)]])))</f>
        <v>0</v>
      </c>
      <c r="N273" s="39">
        <f>IF(tblBoard[[#This Row],[Date]]="","",IF(N(tblBoard[[#This Row],[Target (units)]])&gt;0,tblBoard[[#This Row],[Actual (units)]]/tblBoard[[#This Row],[Target (units)]],""))</f>
        <v>1.05833333333333</v>
      </c>
      <c r="O273" s="38">
        <f>IF(tblBoard[[#This Row],[Date]]="","",IF(N(tblBoard[[#This Row],[Target (units)]])&gt;0,IF(tblBoard[[#This Row],[Actual (units)]]&gt;=tblBoard[[#This Row],[Target (units)]]*TargetHour,1,0),""))</f>
        <v>1</v>
      </c>
      <c r="P273" s="40" t="str">
        <f>IF(NOT(ISNUMBER(tblBoard[[#This Row],[Attainment]])),"",IF(tblBoard[[#This Row],[Attainment]]&gt;=TargetHour,"On target",IF(tblBoard[[#This Row],[Attainment]]&gt;=TargetHour*(1-0.05),"Near target","Below target")))</f>
        <v>On target</v>
      </c>
      <c r="Q273" s="38">
        <f>IF(tblBoard[[#This Row],[Date]]="","",IF(tblBoard[[#This Row],[Hour]]="","",SUMIFS(tblBoard[Target (units)],tblBoard[Date],tblBoard[[#This Row],[Date]],tblBoard[Shift],tblBoard[[#This Row],[Shift]],tblBoard[Line],tblBoard[[#This Row],[Line]],tblBoard[Hour],"&lt;="&amp;tblBoard[[#This Row],[Hour]])))</f>
        <v>460</v>
      </c>
      <c r="R273" s="38">
        <f>IF(tblBoard[[#This Row],[Date]]="","",IF(tblBoard[[#This Row],[Hour]]="","",SUMIFS(tblBoard[Actual (units)],tblBoard[Date],tblBoard[[#This Row],[Date]],tblBoard[Shift],tblBoard[[#This Row],[Shift]],tblBoard[Line],tblBoard[[#This Row],[Line]],tblBoard[Hour],"&lt;="&amp;tblBoard[[#This Row],[Hour]])))</f>
        <v>456</v>
      </c>
      <c r="S273" s="38">
        <f>IF(tblBoard[[#This Row],[Date]]="","",IF(tblBoard[[#This Row],[Cum. target]]="","",tblBoard[[#This Row],[Cum. actual]]-tblBoard[[#This Row],[Cum. target]]))</f>
        <v>-4</v>
      </c>
      <c r="T273" s="41">
        <f>IF(tblBoard[[#This Row],[Date]]="","",IF(AND(tblBoard[[#This Row],[Date]]&gt;=FFrom,tblBoard[[#This Row],[Date]]&lt;=FTo,OR(DashLine="",tblBoard[[#This Row],[Line]]=DashLine)),tblBoard[[#This Row],[Date]],""))</f>
        <v>46310</v>
      </c>
      <c r="U27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3" s="43" t="s">
        <v>97</v>
      </c>
    </row>
    <row r="274" spans="2:22" x14ac:dyDescent="0.25">
      <c r="B274" s="36">
        <v>46310</v>
      </c>
      <c r="C274" s="28" t="s">
        <v>91</v>
      </c>
      <c r="D274" s="28" t="s">
        <v>88</v>
      </c>
      <c r="E274" s="33">
        <v>5</v>
      </c>
      <c r="F274" s="28" t="s">
        <v>107</v>
      </c>
      <c r="G274" s="33">
        <v>30</v>
      </c>
      <c r="H274" s="33">
        <v>60</v>
      </c>
      <c r="I274" s="28"/>
      <c r="J274" s="37">
        <f>IF(tblBoard[[#This Row],[Date]]="","",IFERROR(INDEX(tblProducts[Takt time (s)],MATCH(tblBoard[[#This Row],[Product]],tblProducts[Product],0)),""))</f>
        <v>30</v>
      </c>
      <c r="K274" s="38">
        <f>IF(tblBoard[[#This Row],[Date]]="","",IF(OR(tblBoard[[#This Row],[Takt (s)]]="",tblBoard[[#This Row],[Available (min)]]=""),"",INT(tblBoard[[#This Row],[Available (min)]]*60/tblBoard[[#This Row],[Takt (s)]])))</f>
        <v>60</v>
      </c>
      <c r="L274" s="38">
        <f>IF(tblBoard[[#This Row],[Date]]="","",IF(tblBoard[[#This Row],[Target (units)]]="","",tblBoard[[#This Row],[Actual (units)]]-tblBoard[[#This Row],[Target (units)]]))</f>
        <v>0</v>
      </c>
      <c r="M274" s="38">
        <f>IF(tblBoard[[#This Row],[Date]]="","",IF(tblBoard[[#This Row],[Target (units)]]="","",MAX(0,tblBoard[[#This Row],[Target (units)]]-tblBoard[[#This Row],[Actual (units)]])))</f>
        <v>0</v>
      </c>
      <c r="N274" s="39">
        <f>IF(tblBoard[[#This Row],[Date]]="","",IF(N(tblBoard[[#This Row],[Target (units)]])&gt;0,tblBoard[[#This Row],[Actual (units)]]/tblBoard[[#This Row],[Target (units)]],""))</f>
        <v>1</v>
      </c>
      <c r="O274" s="38">
        <f>IF(tblBoard[[#This Row],[Date]]="","",IF(N(tblBoard[[#This Row],[Target (units)]])&gt;0,IF(tblBoard[[#This Row],[Actual (units)]]&gt;=tblBoard[[#This Row],[Target (units)]]*TargetHour,1,0),""))</f>
        <v>1</v>
      </c>
      <c r="P274" s="40" t="str">
        <f>IF(NOT(ISNUMBER(tblBoard[[#This Row],[Attainment]])),"",IF(tblBoard[[#This Row],[Attainment]]&gt;=TargetHour,"On target",IF(tblBoard[[#This Row],[Attainment]]&gt;=TargetHour*(1-0.05),"Near target","Below target")))</f>
        <v>On target</v>
      </c>
      <c r="Q274" s="38">
        <f>IF(tblBoard[[#This Row],[Date]]="","",IF(tblBoard[[#This Row],[Hour]]="","",SUMIFS(tblBoard[Target (units)],tblBoard[Date],tblBoard[[#This Row],[Date]],tblBoard[Shift],tblBoard[[#This Row],[Shift]],tblBoard[Line],tblBoard[[#This Row],[Line]],tblBoard[Hour],"&lt;="&amp;tblBoard[[#This Row],[Hour]])))</f>
        <v>520</v>
      </c>
      <c r="R274" s="38">
        <f>IF(tblBoard[[#This Row],[Date]]="","",IF(tblBoard[[#This Row],[Hour]]="","",SUMIFS(tblBoard[Actual (units)],tblBoard[Date],tblBoard[[#This Row],[Date]],tblBoard[Shift],tblBoard[[#This Row],[Shift]],tblBoard[Line],tblBoard[[#This Row],[Line]],tblBoard[Hour],"&lt;="&amp;tblBoard[[#This Row],[Hour]])))</f>
        <v>516</v>
      </c>
      <c r="S274" s="38">
        <f>IF(tblBoard[[#This Row],[Date]]="","",IF(tblBoard[[#This Row],[Cum. target]]="","",tblBoard[[#This Row],[Cum. actual]]-tblBoard[[#This Row],[Cum. target]]))</f>
        <v>-4</v>
      </c>
      <c r="T274" s="41">
        <f>IF(tblBoard[[#This Row],[Date]]="","",IF(AND(tblBoard[[#This Row],[Date]]&gt;=FFrom,tblBoard[[#This Row],[Date]]&lt;=FTo,OR(DashLine="",tblBoard[[#This Row],[Line]]=DashLine)),tblBoard[[#This Row],[Date]],""))</f>
        <v>46310</v>
      </c>
      <c r="U27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4" s="43" t="s">
        <v>97</v>
      </c>
    </row>
    <row r="275" spans="2:22" x14ac:dyDescent="0.25">
      <c r="B275" s="36">
        <v>46310</v>
      </c>
      <c r="C275" s="28" t="s">
        <v>91</v>
      </c>
      <c r="D275" s="28" t="s">
        <v>88</v>
      </c>
      <c r="E275" s="33">
        <v>6</v>
      </c>
      <c r="F275" s="28" t="s">
        <v>107</v>
      </c>
      <c r="G275" s="33">
        <v>60</v>
      </c>
      <c r="H275" s="33">
        <v>105</v>
      </c>
      <c r="I275" s="28" t="s">
        <v>122</v>
      </c>
      <c r="J275" s="37">
        <f>IF(tblBoard[[#This Row],[Date]]="","",IFERROR(INDEX(tblProducts[Takt time (s)],MATCH(tblBoard[[#This Row],[Product]],tblProducts[Product],0)),""))</f>
        <v>30</v>
      </c>
      <c r="K275" s="38">
        <f>IF(tblBoard[[#This Row],[Date]]="","",IF(OR(tblBoard[[#This Row],[Takt (s)]]="",tblBoard[[#This Row],[Available (min)]]=""),"",INT(tblBoard[[#This Row],[Available (min)]]*60/tblBoard[[#This Row],[Takt (s)]])))</f>
        <v>120</v>
      </c>
      <c r="L275" s="38">
        <f>IF(tblBoard[[#This Row],[Date]]="","",IF(tblBoard[[#This Row],[Target (units)]]="","",tblBoard[[#This Row],[Actual (units)]]-tblBoard[[#This Row],[Target (units)]]))</f>
        <v>-15</v>
      </c>
      <c r="M275" s="38">
        <f>IF(tblBoard[[#This Row],[Date]]="","",IF(tblBoard[[#This Row],[Target (units)]]="","",MAX(0,tblBoard[[#This Row],[Target (units)]]-tblBoard[[#This Row],[Actual (units)]])))</f>
        <v>15</v>
      </c>
      <c r="N275" s="39">
        <f>IF(tblBoard[[#This Row],[Date]]="","",IF(N(tblBoard[[#This Row],[Target (units)]])&gt;0,tblBoard[[#This Row],[Actual (units)]]/tblBoard[[#This Row],[Target (units)]],""))</f>
        <v>0.875</v>
      </c>
      <c r="O275" s="38">
        <f>IF(tblBoard[[#This Row],[Date]]="","",IF(N(tblBoard[[#This Row],[Target (units)]])&gt;0,IF(tblBoard[[#This Row],[Actual (units)]]&gt;=tblBoard[[#This Row],[Target (units)]]*TargetHour,1,0),""))</f>
        <v>0</v>
      </c>
      <c r="P275" s="40" t="str">
        <f>IF(NOT(ISNUMBER(tblBoard[[#This Row],[Attainment]])),"",IF(tblBoard[[#This Row],[Attainment]]&gt;=TargetHour,"On target",IF(tblBoard[[#This Row],[Attainment]]&gt;=TargetHour*(1-0.05),"Near target","Below target")))</f>
        <v>Below target</v>
      </c>
      <c r="Q275" s="38">
        <f>IF(tblBoard[[#This Row],[Date]]="","",IF(tblBoard[[#This Row],[Hour]]="","",SUMIFS(tblBoard[Target (units)],tblBoard[Date],tblBoard[[#This Row],[Date]],tblBoard[Shift],tblBoard[[#This Row],[Shift]],tblBoard[Line],tblBoard[[#This Row],[Line]],tblBoard[Hour],"&lt;="&amp;tblBoard[[#This Row],[Hour]])))</f>
        <v>640</v>
      </c>
      <c r="R275" s="38">
        <f>IF(tblBoard[[#This Row],[Date]]="","",IF(tblBoard[[#This Row],[Hour]]="","",SUMIFS(tblBoard[Actual (units)],tblBoard[Date],tblBoard[[#This Row],[Date]],tblBoard[Shift],tblBoard[[#This Row],[Shift]],tblBoard[Line],tblBoard[[#This Row],[Line]],tblBoard[Hour],"&lt;="&amp;tblBoard[[#This Row],[Hour]])))</f>
        <v>621</v>
      </c>
      <c r="S275" s="38">
        <f>IF(tblBoard[[#This Row],[Date]]="","",IF(tblBoard[[#This Row],[Cum. target]]="","",tblBoard[[#This Row],[Cum. actual]]-tblBoard[[#This Row],[Cum. target]]))</f>
        <v>-19</v>
      </c>
      <c r="T275" s="41">
        <f>IF(tblBoard[[#This Row],[Date]]="","",IF(AND(tblBoard[[#This Row],[Date]]&gt;=FFrom,tblBoard[[#This Row],[Date]]&lt;=FTo,OR(DashLine="",tblBoard[[#This Row],[Line]]=DashLine)),tblBoard[[#This Row],[Date]],""))</f>
        <v>46310</v>
      </c>
      <c r="U27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5" s="43" t="s">
        <v>97</v>
      </c>
    </row>
    <row r="276" spans="2:22" x14ac:dyDescent="0.25">
      <c r="B276" s="36">
        <v>46310</v>
      </c>
      <c r="C276" s="28" t="s">
        <v>91</v>
      </c>
      <c r="D276" s="28" t="s">
        <v>88</v>
      </c>
      <c r="E276" s="33">
        <v>7</v>
      </c>
      <c r="F276" s="28" t="s">
        <v>107</v>
      </c>
      <c r="G276" s="33">
        <v>50</v>
      </c>
      <c r="H276" s="33">
        <v>99</v>
      </c>
      <c r="I276" s="28" t="s">
        <v>116</v>
      </c>
      <c r="J276" s="37">
        <f>IF(tblBoard[[#This Row],[Date]]="","",IFERROR(INDEX(tblProducts[Takt time (s)],MATCH(tblBoard[[#This Row],[Product]],tblProducts[Product],0)),""))</f>
        <v>30</v>
      </c>
      <c r="K276" s="38">
        <f>IF(tblBoard[[#This Row],[Date]]="","",IF(OR(tblBoard[[#This Row],[Takt (s)]]="",tblBoard[[#This Row],[Available (min)]]=""),"",INT(tblBoard[[#This Row],[Available (min)]]*60/tblBoard[[#This Row],[Takt (s)]])))</f>
        <v>100</v>
      </c>
      <c r="L276" s="38">
        <f>IF(tblBoard[[#This Row],[Date]]="","",IF(tblBoard[[#This Row],[Target (units)]]="","",tblBoard[[#This Row],[Actual (units)]]-tblBoard[[#This Row],[Target (units)]]))</f>
        <v>-1</v>
      </c>
      <c r="M276" s="38">
        <f>IF(tblBoard[[#This Row],[Date]]="","",IF(tblBoard[[#This Row],[Target (units)]]="","",MAX(0,tblBoard[[#This Row],[Target (units)]]-tblBoard[[#This Row],[Actual (units)]])))</f>
        <v>1</v>
      </c>
      <c r="N276" s="39">
        <f>IF(tblBoard[[#This Row],[Date]]="","",IF(N(tblBoard[[#This Row],[Target (units)]])&gt;0,tblBoard[[#This Row],[Actual (units)]]/tblBoard[[#This Row],[Target (units)]],""))</f>
        <v>0.99</v>
      </c>
      <c r="O276" s="38">
        <f>IF(tblBoard[[#This Row],[Date]]="","",IF(N(tblBoard[[#This Row],[Target (units)]])&gt;0,IF(tblBoard[[#This Row],[Actual (units)]]&gt;=tblBoard[[#This Row],[Target (units)]]*TargetHour,1,0),""))</f>
        <v>0</v>
      </c>
      <c r="P276" s="40" t="str">
        <f>IF(NOT(ISNUMBER(tblBoard[[#This Row],[Attainment]])),"",IF(tblBoard[[#This Row],[Attainment]]&gt;=TargetHour,"On target",IF(tblBoard[[#This Row],[Attainment]]&gt;=TargetHour*(1-0.05),"Near target","Below target")))</f>
        <v>Near target</v>
      </c>
      <c r="Q276" s="38">
        <f>IF(tblBoard[[#This Row],[Date]]="","",IF(tblBoard[[#This Row],[Hour]]="","",SUMIFS(tblBoard[Target (units)],tblBoard[Date],tblBoard[[#This Row],[Date]],tblBoard[Shift],tblBoard[[#This Row],[Shift]],tblBoard[Line],tblBoard[[#This Row],[Line]],tblBoard[Hour],"&lt;="&amp;tblBoard[[#This Row],[Hour]])))</f>
        <v>740</v>
      </c>
      <c r="R276" s="38">
        <f>IF(tblBoard[[#This Row],[Date]]="","",IF(tblBoard[[#This Row],[Hour]]="","",SUMIFS(tblBoard[Actual (units)],tblBoard[Date],tblBoard[[#This Row],[Date]],tblBoard[Shift],tblBoard[[#This Row],[Shift]],tblBoard[Line],tblBoard[[#This Row],[Line]],tblBoard[Hour],"&lt;="&amp;tblBoard[[#This Row],[Hour]])))</f>
        <v>720</v>
      </c>
      <c r="S276" s="38">
        <f>IF(tblBoard[[#This Row],[Date]]="","",IF(tblBoard[[#This Row],[Cum. target]]="","",tblBoard[[#This Row],[Cum. actual]]-tblBoard[[#This Row],[Cum. target]]))</f>
        <v>-20</v>
      </c>
      <c r="T276" s="41">
        <f>IF(tblBoard[[#This Row],[Date]]="","",IF(AND(tblBoard[[#This Row],[Date]]&gt;=FFrom,tblBoard[[#This Row],[Date]]&lt;=FTo,OR(DashLine="",tblBoard[[#This Row],[Line]]=DashLine)),tblBoard[[#This Row],[Date]],""))</f>
        <v>46310</v>
      </c>
      <c r="U27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6" s="43" t="s">
        <v>146</v>
      </c>
    </row>
    <row r="277" spans="2:22" x14ac:dyDescent="0.25">
      <c r="B277" s="36">
        <v>46310</v>
      </c>
      <c r="C277" s="28" t="s">
        <v>91</v>
      </c>
      <c r="D277" s="28" t="s">
        <v>88</v>
      </c>
      <c r="E277" s="33">
        <v>8</v>
      </c>
      <c r="F277" s="28" t="s">
        <v>107</v>
      </c>
      <c r="G277" s="33">
        <v>50</v>
      </c>
      <c r="H277" s="33">
        <v>104</v>
      </c>
      <c r="I277" s="28"/>
      <c r="J277" s="37">
        <f>IF(tblBoard[[#This Row],[Date]]="","",IFERROR(INDEX(tblProducts[Takt time (s)],MATCH(tblBoard[[#This Row],[Product]],tblProducts[Product],0)),""))</f>
        <v>30</v>
      </c>
      <c r="K277" s="38">
        <f>IF(tblBoard[[#This Row],[Date]]="","",IF(OR(tblBoard[[#This Row],[Takt (s)]]="",tblBoard[[#This Row],[Available (min)]]=""),"",INT(tblBoard[[#This Row],[Available (min)]]*60/tblBoard[[#This Row],[Takt (s)]])))</f>
        <v>100</v>
      </c>
      <c r="L277" s="38">
        <f>IF(tblBoard[[#This Row],[Date]]="","",IF(tblBoard[[#This Row],[Target (units)]]="","",tblBoard[[#This Row],[Actual (units)]]-tblBoard[[#This Row],[Target (units)]]))</f>
        <v>4</v>
      </c>
      <c r="M277" s="38">
        <f>IF(tblBoard[[#This Row],[Date]]="","",IF(tblBoard[[#This Row],[Target (units)]]="","",MAX(0,tblBoard[[#This Row],[Target (units)]]-tblBoard[[#This Row],[Actual (units)]])))</f>
        <v>0</v>
      </c>
      <c r="N277" s="39">
        <f>IF(tblBoard[[#This Row],[Date]]="","",IF(N(tblBoard[[#This Row],[Target (units)]])&gt;0,tblBoard[[#This Row],[Actual (units)]]/tblBoard[[#This Row],[Target (units)]],""))</f>
        <v>1.04</v>
      </c>
      <c r="O277" s="38">
        <f>IF(tblBoard[[#This Row],[Date]]="","",IF(N(tblBoard[[#This Row],[Target (units)]])&gt;0,IF(tblBoard[[#This Row],[Actual (units)]]&gt;=tblBoard[[#This Row],[Target (units)]]*TargetHour,1,0),""))</f>
        <v>1</v>
      </c>
      <c r="P277" s="40" t="str">
        <f>IF(NOT(ISNUMBER(tblBoard[[#This Row],[Attainment]])),"",IF(tblBoard[[#This Row],[Attainment]]&gt;=TargetHour,"On target",IF(tblBoard[[#This Row],[Attainment]]&gt;=TargetHour*(1-0.05),"Near target","Below target")))</f>
        <v>On target</v>
      </c>
      <c r="Q277" s="38">
        <f>IF(tblBoard[[#This Row],[Date]]="","",IF(tblBoard[[#This Row],[Hour]]="","",SUMIFS(tblBoard[Target (units)],tblBoard[Date],tblBoard[[#This Row],[Date]],tblBoard[Shift],tblBoard[[#This Row],[Shift]],tblBoard[Line],tblBoard[[#This Row],[Line]],tblBoard[Hour],"&lt;="&amp;tblBoard[[#This Row],[Hour]])))</f>
        <v>840</v>
      </c>
      <c r="R277" s="38">
        <f>IF(tblBoard[[#This Row],[Date]]="","",IF(tblBoard[[#This Row],[Hour]]="","",SUMIFS(tblBoard[Actual (units)],tblBoard[Date],tblBoard[[#This Row],[Date]],tblBoard[Shift],tblBoard[[#This Row],[Shift]],tblBoard[Line],tblBoard[[#This Row],[Line]],tblBoard[Hour],"&lt;="&amp;tblBoard[[#This Row],[Hour]])))</f>
        <v>824</v>
      </c>
      <c r="S277" s="38">
        <f>IF(tblBoard[[#This Row],[Date]]="","",IF(tblBoard[[#This Row],[Cum. target]]="","",tblBoard[[#This Row],[Cum. actual]]-tblBoard[[#This Row],[Cum. target]]))</f>
        <v>-16</v>
      </c>
      <c r="T277" s="41">
        <f>IF(tblBoard[[#This Row],[Date]]="","",IF(AND(tblBoard[[#This Row],[Date]]&gt;=FFrom,tblBoard[[#This Row],[Date]]&lt;=FTo,OR(DashLine="",tblBoard[[#This Row],[Line]]=DashLine)),tblBoard[[#This Row],[Date]],""))</f>
        <v>46310</v>
      </c>
      <c r="U27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7" s="43" t="s">
        <v>97</v>
      </c>
    </row>
    <row r="278" spans="2:22" x14ac:dyDescent="0.25">
      <c r="B278" s="36">
        <v>46310</v>
      </c>
      <c r="C278" s="28" t="s">
        <v>93</v>
      </c>
      <c r="D278" s="28" t="s">
        <v>85</v>
      </c>
      <c r="E278" s="33">
        <v>1</v>
      </c>
      <c r="F278" s="28" t="s">
        <v>103</v>
      </c>
      <c r="G278" s="33">
        <v>60</v>
      </c>
      <c r="H278" s="33">
        <v>78</v>
      </c>
      <c r="I278" s="28" t="s">
        <v>110</v>
      </c>
      <c r="J278" s="37">
        <f>IF(tblBoard[[#This Row],[Date]]="","",IFERROR(INDEX(tblProducts[Takt time (s)],MATCH(tblBoard[[#This Row],[Product]],tblProducts[Product],0)),""))</f>
        <v>40</v>
      </c>
      <c r="K278" s="38">
        <f>IF(tblBoard[[#This Row],[Date]]="","",IF(OR(tblBoard[[#This Row],[Takt (s)]]="",tblBoard[[#This Row],[Available (min)]]=""),"",INT(tblBoard[[#This Row],[Available (min)]]*60/tblBoard[[#This Row],[Takt (s)]])))</f>
        <v>90</v>
      </c>
      <c r="L278" s="38">
        <f>IF(tblBoard[[#This Row],[Date]]="","",IF(tblBoard[[#This Row],[Target (units)]]="","",tblBoard[[#This Row],[Actual (units)]]-tblBoard[[#This Row],[Target (units)]]))</f>
        <v>-12</v>
      </c>
      <c r="M278" s="38">
        <f>IF(tblBoard[[#This Row],[Date]]="","",IF(tblBoard[[#This Row],[Target (units)]]="","",MAX(0,tblBoard[[#This Row],[Target (units)]]-tblBoard[[#This Row],[Actual (units)]])))</f>
        <v>12</v>
      </c>
      <c r="N278" s="39">
        <f>IF(tblBoard[[#This Row],[Date]]="","",IF(N(tblBoard[[#This Row],[Target (units)]])&gt;0,tblBoard[[#This Row],[Actual (units)]]/tblBoard[[#This Row],[Target (units)]],""))</f>
        <v>0.866666666666667</v>
      </c>
      <c r="O278" s="38">
        <f>IF(tblBoard[[#This Row],[Date]]="","",IF(N(tblBoard[[#This Row],[Target (units)]])&gt;0,IF(tblBoard[[#This Row],[Actual (units)]]&gt;=tblBoard[[#This Row],[Target (units)]]*TargetHour,1,0),""))</f>
        <v>0</v>
      </c>
      <c r="P278" s="40" t="str">
        <f>IF(NOT(ISNUMBER(tblBoard[[#This Row],[Attainment]])),"",IF(tblBoard[[#This Row],[Attainment]]&gt;=TargetHour,"On target",IF(tblBoard[[#This Row],[Attainment]]&gt;=TargetHour*(1-0.05),"Near target","Below target")))</f>
        <v>Below target</v>
      </c>
      <c r="Q278" s="38">
        <f>IF(tblBoard[[#This Row],[Date]]="","",IF(tblBoard[[#This Row],[Hour]]="","",SUMIFS(tblBoard[Target (units)],tblBoard[Date],tblBoard[[#This Row],[Date]],tblBoard[Shift],tblBoard[[#This Row],[Shift]],tblBoard[Line],tblBoard[[#This Row],[Line]],tblBoard[Hour],"&lt;="&amp;tblBoard[[#This Row],[Hour]])))</f>
        <v>90</v>
      </c>
      <c r="R278" s="38">
        <f>IF(tblBoard[[#This Row],[Date]]="","",IF(tblBoard[[#This Row],[Hour]]="","",SUMIFS(tblBoard[Actual (units)],tblBoard[Date],tblBoard[[#This Row],[Date]],tblBoard[Shift],tblBoard[[#This Row],[Shift]],tblBoard[Line],tblBoard[[#This Row],[Line]],tblBoard[Hour],"&lt;="&amp;tblBoard[[#This Row],[Hour]])))</f>
        <v>78</v>
      </c>
      <c r="S278" s="38">
        <f>IF(tblBoard[[#This Row],[Date]]="","",IF(tblBoard[[#This Row],[Cum. target]]="","",tblBoard[[#This Row],[Cum. actual]]-tblBoard[[#This Row],[Cum. target]]))</f>
        <v>-12</v>
      </c>
      <c r="T278" s="41">
        <f>IF(tblBoard[[#This Row],[Date]]="","",IF(AND(tblBoard[[#This Row],[Date]]&gt;=FFrom,tblBoard[[#This Row],[Date]]&lt;=FTo,OR(DashLine="",tblBoard[[#This Row],[Line]]=DashLine)),tblBoard[[#This Row],[Date]],""))</f>
        <v>46310</v>
      </c>
      <c r="U27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8" s="43" t="s">
        <v>97</v>
      </c>
    </row>
    <row r="279" spans="2:22" x14ac:dyDescent="0.25">
      <c r="B279" s="36">
        <v>46310</v>
      </c>
      <c r="C279" s="28" t="s">
        <v>93</v>
      </c>
      <c r="D279" s="28" t="s">
        <v>85</v>
      </c>
      <c r="E279" s="33">
        <v>2</v>
      </c>
      <c r="F279" s="28" t="s">
        <v>103</v>
      </c>
      <c r="G279" s="33">
        <v>60</v>
      </c>
      <c r="H279" s="33">
        <v>93</v>
      </c>
      <c r="I279" s="28"/>
      <c r="J279" s="37">
        <f>IF(tblBoard[[#This Row],[Date]]="","",IFERROR(INDEX(tblProducts[Takt time (s)],MATCH(tblBoard[[#This Row],[Product]],tblProducts[Product],0)),""))</f>
        <v>40</v>
      </c>
      <c r="K279" s="38">
        <f>IF(tblBoard[[#This Row],[Date]]="","",IF(OR(tblBoard[[#This Row],[Takt (s)]]="",tblBoard[[#This Row],[Available (min)]]=""),"",INT(tblBoard[[#This Row],[Available (min)]]*60/tblBoard[[#This Row],[Takt (s)]])))</f>
        <v>90</v>
      </c>
      <c r="L279" s="38">
        <f>IF(tblBoard[[#This Row],[Date]]="","",IF(tblBoard[[#This Row],[Target (units)]]="","",tblBoard[[#This Row],[Actual (units)]]-tblBoard[[#This Row],[Target (units)]]))</f>
        <v>3</v>
      </c>
      <c r="M279" s="38">
        <f>IF(tblBoard[[#This Row],[Date]]="","",IF(tblBoard[[#This Row],[Target (units)]]="","",MAX(0,tblBoard[[#This Row],[Target (units)]]-tblBoard[[#This Row],[Actual (units)]])))</f>
        <v>0</v>
      </c>
      <c r="N279" s="39">
        <f>IF(tblBoard[[#This Row],[Date]]="","",IF(N(tblBoard[[#This Row],[Target (units)]])&gt;0,tblBoard[[#This Row],[Actual (units)]]/tblBoard[[#This Row],[Target (units)]],""))</f>
        <v>1.03333333333333</v>
      </c>
      <c r="O279" s="38">
        <f>IF(tblBoard[[#This Row],[Date]]="","",IF(N(tblBoard[[#This Row],[Target (units)]])&gt;0,IF(tblBoard[[#This Row],[Actual (units)]]&gt;=tblBoard[[#This Row],[Target (units)]]*TargetHour,1,0),""))</f>
        <v>1</v>
      </c>
      <c r="P279" s="40" t="str">
        <f>IF(NOT(ISNUMBER(tblBoard[[#This Row],[Attainment]])),"",IF(tblBoard[[#This Row],[Attainment]]&gt;=TargetHour,"On target",IF(tblBoard[[#This Row],[Attainment]]&gt;=TargetHour*(1-0.05),"Near target","Below target")))</f>
        <v>On target</v>
      </c>
      <c r="Q279" s="38">
        <f>IF(tblBoard[[#This Row],[Date]]="","",IF(tblBoard[[#This Row],[Hour]]="","",SUMIFS(tblBoard[Target (units)],tblBoard[Date],tblBoard[[#This Row],[Date]],tblBoard[Shift],tblBoard[[#This Row],[Shift]],tblBoard[Line],tblBoard[[#This Row],[Line]],tblBoard[Hour],"&lt;="&amp;tblBoard[[#This Row],[Hour]])))</f>
        <v>180</v>
      </c>
      <c r="R279" s="38">
        <f>IF(tblBoard[[#This Row],[Date]]="","",IF(tblBoard[[#This Row],[Hour]]="","",SUMIFS(tblBoard[Actual (units)],tblBoard[Date],tblBoard[[#This Row],[Date]],tblBoard[Shift],tblBoard[[#This Row],[Shift]],tblBoard[Line],tblBoard[[#This Row],[Line]],tblBoard[Hour],"&lt;="&amp;tblBoard[[#This Row],[Hour]])))</f>
        <v>171</v>
      </c>
      <c r="S279" s="38">
        <f>IF(tblBoard[[#This Row],[Date]]="","",IF(tblBoard[[#This Row],[Cum. target]]="","",tblBoard[[#This Row],[Cum. actual]]-tblBoard[[#This Row],[Cum. target]]))</f>
        <v>-9</v>
      </c>
      <c r="T279" s="41">
        <f>IF(tblBoard[[#This Row],[Date]]="","",IF(AND(tblBoard[[#This Row],[Date]]&gt;=FFrom,tblBoard[[#This Row],[Date]]&lt;=FTo,OR(DashLine="",tblBoard[[#This Row],[Line]]=DashLine)),tblBoard[[#This Row],[Date]],""))</f>
        <v>46310</v>
      </c>
      <c r="U27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79" s="43" t="s">
        <v>97</v>
      </c>
    </row>
    <row r="280" spans="2:22" x14ac:dyDescent="0.25">
      <c r="B280" s="36">
        <v>46310</v>
      </c>
      <c r="C280" s="28" t="s">
        <v>93</v>
      </c>
      <c r="D280" s="28" t="s">
        <v>85</v>
      </c>
      <c r="E280" s="33">
        <v>3</v>
      </c>
      <c r="F280" s="28" t="s">
        <v>103</v>
      </c>
      <c r="G280" s="33">
        <v>50</v>
      </c>
      <c r="H280" s="33">
        <v>74</v>
      </c>
      <c r="I280" s="28" t="s">
        <v>118</v>
      </c>
      <c r="J280" s="37">
        <f>IF(tblBoard[[#This Row],[Date]]="","",IFERROR(INDEX(tblProducts[Takt time (s)],MATCH(tblBoard[[#This Row],[Product]],tblProducts[Product],0)),""))</f>
        <v>40</v>
      </c>
      <c r="K280" s="38">
        <f>IF(tblBoard[[#This Row],[Date]]="","",IF(OR(tblBoard[[#This Row],[Takt (s)]]="",tblBoard[[#This Row],[Available (min)]]=""),"",INT(tblBoard[[#This Row],[Available (min)]]*60/tblBoard[[#This Row],[Takt (s)]])))</f>
        <v>75</v>
      </c>
      <c r="L280" s="38">
        <f>IF(tblBoard[[#This Row],[Date]]="","",IF(tblBoard[[#This Row],[Target (units)]]="","",tblBoard[[#This Row],[Actual (units)]]-tblBoard[[#This Row],[Target (units)]]))</f>
        <v>-1</v>
      </c>
      <c r="M280" s="38">
        <f>IF(tblBoard[[#This Row],[Date]]="","",IF(tblBoard[[#This Row],[Target (units)]]="","",MAX(0,tblBoard[[#This Row],[Target (units)]]-tblBoard[[#This Row],[Actual (units)]])))</f>
        <v>1</v>
      </c>
      <c r="N280" s="39">
        <f>IF(tblBoard[[#This Row],[Date]]="","",IF(N(tblBoard[[#This Row],[Target (units)]])&gt;0,tblBoard[[#This Row],[Actual (units)]]/tblBoard[[#This Row],[Target (units)]],""))</f>
        <v>0.986666666666667</v>
      </c>
      <c r="O280" s="38">
        <f>IF(tblBoard[[#This Row],[Date]]="","",IF(N(tblBoard[[#This Row],[Target (units)]])&gt;0,IF(tblBoard[[#This Row],[Actual (units)]]&gt;=tblBoard[[#This Row],[Target (units)]]*TargetHour,1,0),""))</f>
        <v>0</v>
      </c>
      <c r="P280" s="40" t="str">
        <f>IF(NOT(ISNUMBER(tblBoard[[#This Row],[Attainment]])),"",IF(tblBoard[[#This Row],[Attainment]]&gt;=TargetHour,"On target",IF(tblBoard[[#This Row],[Attainment]]&gt;=TargetHour*(1-0.05),"Near target","Below target")))</f>
        <v>Near target</v>
      </c>
      <c r="Q280" s="38">
        <f>IF(tblBoard[[#This Row],[Date]]="","",IF(tblBoard[[#This Row],[Hour]]="","",SUMIFS(tblBoard[Target (units)],tblBoard[Date],tblBoard[[#This Row],[Date]],tblBoard[Shift],tblBoard[[#This Row],[Shift]],tblBoard[Line],tblBoard[[#This Row],[Line]],tblBoard[Hour],"&lt;="&amp;tblBoard[[#This Row],[Hour]])))</f>
        <v>255</v>
      </c>
      <c r="R280" s="38">
        <f>IF(tblBoard[[#This Row],[Date]]="","",IF(tblBoard[[#This Row],[Hour]]="","",SUMIFS(tblBoard[Actual (units)],tblBoard[Date],tblBoard[[#This Row],[Date]],tblBoard[Shift],tblBoard[[#This Row],[Shift]],tblBoard[Line],tblBoard[[#This Row],[Line]],tblBoard[Hour],"&lt;="&amp;tblBoard[[#This Row],[Hour]])))</f>
        <v>245</v>
      </c>
      <c r="S280" s="38">
        <f>IF(tblBoard[[#This Row],[Date]]="","",IF(tblBoard[[#This Row],[Cum. target]]="","",tblBoard[[#This Row],[Cum. actual]]-tblBoard[[#This Row],[Cum. target]]))</f>
        <v>-10</v>
      </c>
      <c r="T280" s="41">
        <f>IF(tblBoard[[#This Row],[Date]]="","",IF(AND(tblBoard[[#This Row],[Date]]&gt;=FFrom,tblBoard[[#This Row],[Date]]&lt;=FTo,OR(DashLine="",tblBoard[[#This Row],[Line]]=DashLine)),tblBoard[[#This Row],[Date]],""))</f>
        <v>46310</v>
      </c>
      <c r="U28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0" s="43" t="s">
        <v>97</v>
      </c>
    </row>
    <row r="281" spans="2:22" x14ac:dyDescent="0.25">
      <c r="B281" s="36">
        <v>46310</v>
      </c>
      <c r="C281" s="28" t="s">
        <v>93</v>
      </c>
      <c r="D281" s="28" t="s">
        <v>85</v>
      </c>
      <c r="E281" s="33">
        <v>4</v>
      </c>
      <c r="F281" s="28" t="s">
        <v>103</v>
      </c>
      <c r="G281" s="33">
        <v>60</v>
      </c>
      <c r="H281" s="33">
        <v>85</v>
      </c>
      <c r="I281" s="28" t="s">
        <v>114</v>
      </c>
      <c r="J281" s="37">
        <f>IF(tblBoard[[#This Row],[Date]]="","",IFERROR(INDEX(tblProducts[Takt time (s)],MATCH(tblBoard[[#This Row],[Product]],tblProducts[Product],0)),""))</f>
        <v>40</v>
      </c>
      <c r="K281" s="38">
        <f>IF(tblBoard[[#This Row],[Date]]="","",IF(OR(tblBoard[[#This Row],[Takt (s)]]="",tblBoard[[#This Row],[Available (min)]]=""),"",INT(tblBoard[[#This Row],[Available (min)]]*60/tblBoard[[#This Row],[Takt (s)]])))</f>
        <v>90</v>
      </c>
      <c r="L281" s="38">
        <f>IF(tblBoard[[#This Row],[Date]]="","",IF(tblBoard[[#This Row],[Target (units)]]="","",tblBoard[[#This Row],[Actual (units)]]-tblBoard[[#This Row],[Target (units)]]))</f>
        <v>-5</v>
      </c>
      <c r="M281" s="38">
        <f>IF(tblBoard[[#This Row],[Date]]="","",IF(tblBoard[[#This Row],[Target (units)]]="","",MAX(0,tblBoard[[#This Row],[Target (units)]]-tblBoard[[#This Row],[Actual (units)]])))</f>
        <v>5</v>
      </c>
      <c r="N281" s="39">
        <f>IF(tblBoard[[#This Row],[Date]]="","",IF(N(tblBoard[[#This Row],[Target (units)]])&gt;0,tblBoard[[#This Row],[Actual (units)]]/tblBoard[[#This Row],[Target (units)]],""))</f>
        <v>0.944444444444444</v>
      </c>
      <c r="O281" s="38">
        <f>IF(tblBoard[[#This Row],[Date]]="","",IF(N(tblBoard[[#This Row],[Target (units)]])&gt;0,IF(tblBoard[[#This Row],[Actual (units)]]&gt;=tblBoard[[#This Row],[Target (units)]]*TargetHour,1,0),""))</f>
        <v>0</v>
      </c>
      <c r="P281" s="40" t="str">
        <f>IF(NOT(ISNUMBER(tblBoard[[#This Row],[Attainment]])),"",IF(tblBoard[[#This Row],[Attainment]]&gt;=TargetHour,"On target",IF(tblBoard[[#This Row],[Attainment]]&gt;=TargetHour*(1-0.05),"Near target","Below target")))</f>
        <v>Below target</v>
      </c>
      <c r="Q281" s="38">
        <f>IF(tblBoard[[#This Row],[Date]]="","",IF(tblBoard[[#This Row],[Hour]]="","",SUMIFS(tblBoard[Target (units)],tblBoard[Date],tblBoard[[#This Row],[Date]],tblBoard[Shift],tblBoard[[#This Row],[Shift]],tblBoard[Line],tblBoard[[#This Row],[Line]],tblBoard[Hour],"&lt;="&amp;tblBoard[[#This Row],[Hour]])))</f>
        <v>345</v>
      </c>
      <c r="R281" s="38">
        <f>IF(tblBoard[[#This Row],[Date]]="","",IF(tblBoard[[#This Row],[Hour]]="","",SUMIFS(tblBoard[Actual (units)],tblBoard[Date],tblBoard[[#This Row],[Date]],tblBoard[Shift],tblBoard[[#This Row],[Shift]],tblBoard[Line],tblBoard[[#This Row],[Line]],tblBoard[Hour],"&lt;="&amp;tblBoard[[#This Row],[Hour]])))</f>
        <v>330</v>
      </c>
      <c r="S281" s="38">
        <f>IF(tblBoard[[#This Row],[Date]]="","",IF(tblBoard[[#This Row],[Cum. target]]="","",tblBoard[[#This Row],[Cum. actual]]-tblBoard[[#This Row],[Cum. target]]))</f>
        <v>-15</v>
      </c>
      <c r="T281" s="41">
        <f>IF(tblBoard[[#This Row],[Date]]="","",IF(AND(tblBoard[[#This Row],[Date]]&gt;=FFrom,tblBoard[[#This Row],[Date]]&lt;=FTo,OR(DashLine="",tblBoard[[#This Row],[Line]]=DashLine)),tblBoard[[#This Row],[Date]],""))</f>
        <v>46310</v>
      </c>
      <c r="U28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1" s="43" t="s">
        <v>97</v>
      </c>
    </row>
    <row r="282" spans="2:22" x14ac:dyDescent="0.25">
      <c r="B282" s="36">
        <v>46310</v>
      </c>
      <c r="C282" s="28" t="s">
        <v>93</v>
      </c>
      <c r="D282" s="28" t="s">
        <v>85</v>
      </c>
      <c r="E282" s="33">
        <v>5</v>
      </c>
      <c r="F282" s="28" t="s">
        <v>103</v>
      </c>
      <c r="G282" s="33">
        <v>30</v>
      </c>
      <c r="H282" s="33">
        <v>47</v>
      </c>
      <c r="I282" s="28"/>
      <c r="J282" s="37">
        <f>IF(tblBoard[[#This Row],[Date]]="","",IFERROR(INDEX(tblProducts[Takt time (s)],MATCH(tblBoard[[#This Row],[Product]],tblProducts[Product],0)),""))</f>
        <v>40</v>
      </c>
      <c r="K282" s="38">
        <f>IF(tblBoard[[#This Row],[Date]]="","",IF(OR(tblBoard[[#This Row],[Takt (s)]]="",tblBoard[[#This Row],[Available (min)]]=""),"",INT(tblBoard[[#This Row],[Available (min)]]*60/tblBoard[[#This Row],[Takt (s)]])))</f>
        <v>45</v>
      </c>
      <c r="L282" s="38">
        <f>IF(tblBoard[[#This Row],[Date]]="","",IF(tblBoard[[#This Row],[Target (units)]]="","",tblBoard[[#This Row],[Actual (units)]]-tblBoard[[#This Row],[Target (units)]]))</f>
        <v>2</v>
      </c>
      <c r="M282" s="38">
        <f>IF(tblBoard[[#This Row],[Date]]="","",IF(tblBoard[[#This Row],[Target (units)]]="","",MAX(0,tblBoard[[#This Row],[Target (units)]]-tblBoard[[#This Row],[Actual (units)]])))</f>
        <v>0</v>
      </c>
      <c r="N282" s="39">
        <f>IF(tblBoard[[#This Row],[Date]]="","",IF(N(tblBoard[[#This Row],[Target (units)]])&gt;0,tblBoard[[#This Row],[Actual (units)]]/tblBoard[[#This Row],[Target (units)]],""))</f>
        <v>1.04444444444444</v>
      </c>
      <c r="O282" s="38">
        <f>IF(tblBoard[[#This Row],[Date]]="","",IF(N(tblBoard[[#This Row],[Target (units)]])&gt;0,IF(tblBoard[[#This Row],[Actual (units)]]&gt;=tblBoard[[#This Row],[Target (units)]]*TargetHour,1,0),""))</f>
        <v>1</v>
      </c>
      <c r="P282" s="40" t="str">
        <f>IF(NOT(ISNUMBER(tblBoard[[#This Row],[Attainment]])),"",IF(tblBoard[[#This Row],[Attainment]]&gt;=TargetHour,"On target",IF(tblBoard[[#This Row],[Attainment]]&gt;=TargetHour*(1-0.05),"Near target","Below target")))</f>
        <v>On target</v>
      </c>
      <c r="Q282" s="38">
        <f>IF(tblBoard[[#This Row],[Date]]="","",IF(tblBoard[[#This Row],[Hour]]="","",SUMIFS(tblBoard[Target (units)],tblBoard[Date],tblBoard[[#This Row],[Date]],tblBoard[Shift],tblBoard[[#This Row],[Shift]],tblBoard[Line],tblBoard[[#This Row],[Line]],tblBoard[Hour],"&lt;="&amp;tblBoard[[#This Row],[Hour]])))</f>
        <v>390</v>
      </c>
      <c r="R282" s="38">
        <f>IF(tblBoard[[#This Row],[Date]]="","",IF(tblBoard[[#This Row],[Hour]]="","",SUMIFS(tblBoard[Actual (units)],tblBoard[Date],tblBoard[[#This Row],[Date]],tblBoard[Shift],tblBoard[[#This Row],[Shift]],tblBoard[Line],tblBoard[[#This Row],[Line]],tblBoard[Hour],"&lt;="&amp;tblBoard[[#This Row],[Hour]])))</f>
        <v>377</v>
      </c>
      <c r="S282" s="38">
        <f>IF(tblBoard[[#This Row],[Date]]="","",IF(tblBoard[[#This Row],[Cum. target]]="","",tblBoard[[#This Row],[Cum. actual]]-tblBoard[[#This Row],[Cum. target]]))</f>
        <v>-13</v>
      </c>
      <c r="T282" s="41">
        <f>IF(tblBoard[[#This Row],[Date]]="","",IF(AND(tblBoard[[#This Row],[Date]]&gt;=FFrom,tblBoard[[#This Row],[Date]]&lt;=FTo,OR(DashLine="",tblBoard[[#This Row],[Line]]=DashLine)),tblBoard[[#This Row],[Date]],""))</f>
        <v>46310</v>
      </c>
      <c r="U28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2" s="43" t="s">
        <v>97</v>
      </c>
    </row>
    <row r="283" spans="2:22" x14ac:dyDescent="0.25">
      <c r="B283" s="36">
        <v>46310</v>
      </c>
      <c r="C283" s="28" t="s">
        <v>93</v>
      </c>
      <c r="D283" s="28" t="s">
        <v>85</v>
      </c>
      <c r="E283" s="33">
        <v>6</v>
      </c>
      <c r="F283" s="28" t="s">
        <v>103</v>
      </c>
      <c r="G283" s="33">
        <v>60</v>
      </c>
      <c r="H283" s="33">
        <v>81</v>
      </c>
      <c r="I283" s="28" t="s">
        <v>114</v>
      </c>
      <c r="J283" s="37">
        <f>IF(tblBoard[[#This Row],[Date]]="","",IFERROR(INDEX(tblProducts[Takt time (s)],MATCH(tblBoard[[#This Row],[Product]],tblProducts[Product],0)),""))</f>
        <v>40</v>
      </c>
      <c r="K283" s="38">
        <f>IF(tblBoard[[#This Row],[Date]]="","",IF(OR(tblBoard[[#This Row],[Takt (s)]]="",tblBoard[[#This Row],[Available (min)]]=""),"",INT(tblBoard[[#This Row],[Available (min)]]*60/tblBoard[[#This Row],[Takt (s)]])))</f>
        <v>90</v>
      </c>
      <c r="L283" s="38">
        <f>IF(tblBoard[[#This Row],[Date]]="","",IF(tblBoard[[#This Row],[Target (units)]]="","",tblBoard[[#This Row],[Actual (units)]]-tblBoard[[#This Row],[Target (units)]]))</f>
        <v>-9</v>
      </c>
      <c r="M283" s="38">
        <f>IF(tblBoard[[#This Row],[Date]]="","",IF(tblBoard[[#This Row],[Target (units)]]="","",MAX(0,tblBoard[[#This Row],[Target (units)]]-tblBoard[[#This Row],[Actual (units)]])))</f>
        <v>9</v>
      </c>
      <c r="N283" s="39">
        <f>IF(tblBoard[[#This Row],[Date]]="","",IF(N(tblBoard[[#This Row],[Target (units)]])&gt;0,tblBoard[[#This Row],[Actual (units)]]/tblBoard[[#This Row],[Target (units)]],""))</f>
        <v>0.9</v>
      </c>
      <c r="O283" s="38">
        <f>IF(tblBoard[[#This Row],[Date]]="","",IF(N(tblBoard[[#This Row],[Target (units)]])&gt;0,IF(tblBoard[[#This Row],[Actual (units)]]&gt;=tblBoard[[#This Row],[Target (units)]]*TargetHour,1,0),""))</f>
        <v>0</v>
      </c>
      <c r="P283" s="40" t="str">
        <f>IF(NOT(ISNUMBER(tblBoard[[#This Row],[Attainment]])),"",IF(tblBoard[[#This Row],[Attainment]]&gt;=TargetHour,"On target",IF(tblBoard[[#This Row],[Attainment]]&gt;=TargetHour*(1-0.05),"Near target","Below target")))</f>
        <v>Below target</v>
      </c>
      <c r="Q283" s="38">
        <f>IF(tblBoard[[#This Row],[Date]]="","",IF(tblBoard[[#This Row],[Hour]]="","",SUMIFS(tblBoard[Target (units)],tblBoard[Date],tblBoard[[#This Row],[Date]],tblBoard[Shift],tblBoard[[#This Row],[Shift]],tblBoard[Line],tblBoard[[#This Row],[Line]],tblBoard[Hour],"&lt;="&amp;tblBoard[[#This Row],[Hour]])))</f>
        <v>480</v>
      </c>
      <c r="R283" s="38">
        <f>IF(tblBoard[[#This Row],[Date]]="","",IF(tblBoard[[#This Row],[Hour]]="","",SUMIFS(tblBoard[Actual (units)],tblBoard[Date],tblBoard[[#This Row],[Date]],tblBoard[Shift],tblBoard[[#This Row],[Shift]],tblBoard[Line],tblBoard[[#This Row],[Line]],tblBoard[Hour],"&lt;="&amp;tblBoard[[#This Row],[Hour]])))</f>
        <v>458</v>
      </c>
      <c r="S283" s="38">
        <f>IF(tblBoard[[#This Row],[Date]]="","",IF(tblBoard[[#This Row],[Cum. target]]="","",tblBoard[[#This Row],[Cum. actual]]-tblBoard[[#This Row],[Cum. target]]))</f>
        <v>-22</v>
      </c>
      <c r="T283" s="41">
        <f>IF(tblBoard[[#This Row],[Date]]="","",IF(AND(tblBoard[[#This Row],[Date]]&gt;=FFrom,tblBoard[[#This Row],[Date]]&lt;=FTo,OR(DashLine="",tblBoard[[#This Row],[Line]]=DashLine)),tblBoard[[#This Row],[Date]],""))</f>
        <v>46310</v>
      </c>
      <c r="U28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3" s="43" t="s">
        <v>97</v>
      </c>
    </row>
    <row r="284" spans="2:22" x14ac:dyDescent="0.25">
      <c r="B284" s="36">
        <v>46310</v>
      </c>
      <c r="C284" s="28" t="s">
        <v>93</v>
      </c>
      <c r="D284" s="28" t="s">
        <v>85</v>
      </c>
      <c r="E284" s="33">
        <v>7</v>
      </c>
      <c r="F284" s="28" t="s">
        <v>103</v>
      </c>
      <c r="G284" s="33">
        <v>50</v>
      </c>
      <c r="H284" s="33">
        <v>73</v>
      </c>
      <c r="I284" s="28" t="s">
        <v>114</v>
      </c>
      <c r="J284" s="37">
        <f>IF(tblBoard[[#This Row],[Date]]="","",IFERROR(INDEX(tblProducts[Takt time (s)],MATCH(tblBoard[[#This Row],[Product]],tblProducts[Product],0)),""))</f>
        <v>40</v>
      </c>
      <c r="K284" s="38">
        <f>IF(tblBoard[[#This Row],[Date]]="","",IF(OR(tblBoard[[#This Row],[Takt (s)]]="",tblBoard[[#This Row],[Available (min)]]=""),"",INT(tblBoard[[#This Row],[Available (min)]]*60/tblBoard[[#This Row],[Takt (s)]])))</f>
        <v>75</v>
      </c>
      <c r="L284" s="38">
        <f>IF(tblBoard[[#This Row],[Date]]="","",IF(tblBoard[[#This Row],[Target (units)]]="","",tblBoard[[#This Row],[Actual (units)]]-tblBoard[[#This Row],[Target (units)]]))</f>
        <v>-2</v>
      </c>
      <c r="M284" s="38">
        <f>IF(tblBoard[[#This Row],[Date]]="","",IF(tblBoard[[#This Row],[Target (units)]]="","",MAX(0,tblBoard[[#This Row],[Target (units)]]-tblBoard[[#This Row],[Actual (units)]])))</f>
        <v>2</v>
      </c>
      <c r="N284" s="39">
        <f>IF(tblBoard[[#This Row],[Date]]="","",IF(N(tblBoard[[#This Row],[Target (units)]])&gt;0,tblBoard[[#This Row],[Actual (units)]]/tblBoard[[#This Row],[Target (units)]],""))</f>
        <v>0.973333333333333</v>
      </c>
      <c r="O284" s="38">
        <f>IF(tblBoard[[#This Row],[Date]]="","",IF(N(tblBoard[[#This Row],[Target (units)]])&gt;0,IF(tblBoard[[#This Row],[Actual (units)]]&gt;=tblBoard[[#This Row],[Target (units)]]*TargetHour,1,0),""))</f>
        <v>0</v>
      </c>
      <c r="P284" s="40" t="str">
        <f>IF(NOT(ISNUMBER(tblBoard[[#This Row],[Attainment]])),"",IF(tblBoard[[#This Row],[Attainment]]&gt;=TargetHour,"On target",IF(tblBoard[[#This Row],[Attainment]]&gt;=TargetHour*(1-0.05),"Near target","Below target")))</f>
        <v>Near target</v>
      </c>
      <c r="Q284" s="38">
        <f>IF(tblBoard[[#This Row],[Date]]="","",IF(tblBoard[[#This Row],[Hour]]="","",SUMIFS(tblBoard[Target (units)],tblBoard[Date],tblBoard[[#This Row],[Date]],tblBoard[Shift],tblBoard[[#This Row],[Shift]],tblBoard[Line],tblBoard[[#This Row],[Line]],tblBoard[Hour],"&lt;="&amp;tblBoard[[#This Row],[Hour]])))</f>
        <v>555</v>
      </c>
      <c r="R284" s="38">
        <f>IF(tblBoard[[#This Row],[Date]]="","",IF(tblBoard[[#This Row],[Hour]]="","",SUMIFS(tblBoard[Actual (units)],tblBoard[Date],tblBoard[[#This Row],[Date]],tblBoard[Shift],tblBoard[[#This Row],[Shift]],tblBoard[Line],tblBoard[[#This Row],[Line]],tblBoard[Hour],"&lt;="&amp;tblBoard[[#This Row],[Hour]])))</f>
        <v>531</v>
      </c>
      <c r="S284" s="38">
        <f>IF(tblBoard[[#This Row],[Date]]="","",IF(tblBoard[[#This Row],[Cum. target]]="","",tblBoard[[#This Row],[Cum. actual]]-tblBoard[[#This Row],[Cum. target]]))</f>
        <v>-24</v>
      </c>
      <c r="T284" s="41">
        <f>IF(tblBoard[[#This Row],[Date]]="","",IF(AND(tblBoard[[#This Row],[Date]]&gt;=FFrom,tblBoard[[#This Row],[Date]]&lt;=FTo,OR(DashLine="",tblBoard[[#This Row],[Line]]=DashLine)),tblBoard[[#This Row],[Date]],""))</f>
        <v>46310</v>
      </c>
      <c r="U28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4" s="43" t="s">
        <v>97</v>
      </c>
    </row>
    <row r="285" spans="2:22" x14ac:dyDescent="0.25">
      <c r="B285" s="36">
        <v>46310</v>
      </c>
      <c r="C285" s="28" t="s">
        <v>93</v>
      </c>
      <c r="D285" s="28" t="s">
        <v>85</v>
      </c>
      <c r="E285" s="33">
        <v>8</v>
      </c>
      <c r="F285" s="28" t="s">
        <v>103</v>
      </c>
      <c r="G285" s="33">
        <v>50</v>
      </c>
      <c r="H285" s="33">
        <v>73</v>
      </c>
      <c r="I285" s="28" t="s">
        <v>116</v>
      </c>
      <c r="J285" s="37">
        <f>IF(tblBoard[[#This Row],[Date]]="","",IFERROR(INDEX(tblProducts[Takt time (s)],MATCH(tblBoard[[#This Row],[Product]],tblProducts[Product],0)),""))</f>
        <v>40</v>
      </c>
      <c r="K285" s="38">
        <f>IF(tblBoard[[#This Row],[Date]]="","",IF(OR(tblBoard[[#This Row],[Takt (s)]]="",tblBoard[[#This Row],[Available (min)]]=""),"",INT(tblBoard[[#This Row],[Available (min)]]*60/tblBoard[[#This Row],[Takt (s)]])))</f>
        <v>75</v>
      </c>
      <c r="L285" s="38">
        <f>IF(tblBoard[[#This Row],[Date]]="","",IF(tblBoard[[#This Row],[Target (units)]]="","",tblBoard[[#This Row],[Actual (units)]]-tblBoard[[#This Row],[Target (units)]]))</f>
        <v>-2</v>
      </c>
      <c r="M285" s="38">
        <f>IF(tblBoard[[#This Row],[Date]]="","",IF(tblBoard[[#This Row],[Target (units)]]="","",MAX(0,tblBoard[[#This Row],[Target (units)]]-tblBoard[[#This Row],[Actual (units)]])))</f>
        <v>2</v>
      </c>
      <c r="N285" s="39">
        <f>IF(tblBoard[[#This Row],[Date]]="","",IF(N(tblBoard[[#This Row],[Target (units)]])&gt;0,tblBoard[[#This Row],[Actual (units)]]/tblBoard[[#This Row],[Target (units)]],""))</f>
        <v>0.973333333333333</v>
      </c>
      <c r="O285" s="38">
        <f>IF(tblBoard[[#This Row],[Date]]="","",IF(N(tblBoard[[#This Row],[Target (units)]])&gt;0,IF(tblBoard[[#This Row],[Actual (units)]]&gt;=tblBoard[[#This Row],[Target (units)]]*TargetHour,1,0),""))</f>
        <v>0</v>
      </c>
      <c r="P285" s="40" t="str">
        <f>IF(NOT(ISNUMBER(tblBoard[[#This Row],[Attainment]])),"",IF(tblBoard[[#This Row],[Attainment]]&gt;=TargetHour,"On target",IF(tblBoard[[#This Row],[Attainment]]&gt;=TargetHour*(1-0.05),"Near target","Below target")))</f>
        <v>Near target</v>
      </c>
      <c r="Q285" s="38">
        <f>IF(tblBoard[[#This Row],[Date]]="","",IF(tblBoard[[#This Row],[Hour]]="","",SUMIFS(tblBoard[Target (units)],tblBoard[Date],tblBoard[[#This Row],[Date]],tblBoard[Shift],tblBoard[[#This Row],[Shift]],tblBoard[Line],tblBoard[[#This Row],[Line]],tblBoard[Hour],"&lt;="&amp;tblBoard[[#This Row],[Hour]])))</f>
        <v>630</v>
      </c>
      <c r="R285" s="38">
        <f>IF(tblBoard[[#This Row],[Date]]="","",IF(tblBoard[[#This Row],[Hour]]="","",SUMIFS(tblBoard[Actual (units)],tblBoard[Date],tblBoard[[#This Row],[Date]],tblBoard[Shift],tblBoard[[#This Row],[Shift]],tblBoard[Line],tblBoard[[#This Row],[Line]],tblBoard[Hour],"&lt;="&amp;tblBoard[[#This Row],[Hour]])))</f>
        <v>604</v>
      </c>
      <c r="S285" s="38">
        <f>IF(tblBoard[[#This Row],[Date]]="","",IF(tblBoard[[#This Row],[Cum. target]]="","",tblBoard[[#This Row],[Cum. actual]]-tblBoard[[#This Row],[Cum. target]]))</f>
        <v>-26</v>
      </c>
      <c r="T285" s="41">
        <f>IF(tblBoard[[#This Row],[Date]]="","",IF(AND(tblBoard[[#This Row],[Date]]&gt;=FFrom,tblBoard[[#This Row],[Date]]&lt;=FTo,OR(DashLine="",tblBoard[[#This Row],[Line]]=DashLine)),tblBoard[[#This Row],[Date]],""))</f>
        <v>46310</v>
      </c>
      <c r="U28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5" s="43" t="s">
        <v>146</v>
      </c>
    </row>
    <row r="286" spans="2:22" x14ac:dyDescent="0.25">
      <c r="B286" s="36">
        <v>46310</v>
      </c>
      <c r="C286" s="28" t="s">
        <v>93</v>
      </c>
      <c r="D286" s="28" t="s">
        <v>88</v>
      </c>
      <c r="E286" s="33">
        <v>1</v>
      </c>
      <c r="F286" s="28" t="s">
        <v>105</v>
      </c>
      <c r="G286" s="33">
        <v>60</v>
      </c>
      <c r="H286" s="33">
        <v>59</v>
      </c>
      <c r="I286" s="28" t="s">
        <v>110</v>
      </c>
      <c r="J286" s="37">
        <f>IF(tblBoard[[#This Row],[Date]]="","",IFERROR(INDEX(tblProducts[Takt time (s)],MATCH(tblBoard[[#This Row],[Product]],tblProducts[Product],0)),""))</f>
        <v>48</v>
      </c>
      <c r="K286" s="38">
        <f>IF(tblBoard[[#This Row],[Date]]="","",IF(OR(tblBoard[[#This Row],[Takt (s)]]="",tblBoard[[#This Row],[Available (min)]]=""),"",INT(tblBoard[[#This Row],[Available (min)]]*60/tblBoard[[#This Row],[Takt (s)]])))</f>
        <v>75</v>
      </c>
      <c r="L286" s="38">
        <f>IF(tblBoard[[#This Row],[Date]]="","",IF(tblBoard[[#This Row],[Target (units)]]="","",tblBoard[[#This Row],[Actual (units)]]-tblBoard[[#This Row],[Target (units)]]))</f>
        <v>-16</v>
      </c>
      <c r="M286" s="38">
        <f>IF(tblBoard[[#This Row],[Date]]="","",IF(tblBoard[[#This Row],[Target (units)]]="","",MAX(0,tblBoard[[#This Row],[Target (units)]]-tblBoard[[#This Row],[Actual (units)]])))</f>
        <v>16</v>
      </c>
      <c r="N286" s="39">
        <f>IF(tblBoard[[#This Row],[Date]]="","",IF(N(tblBoard[[#This Row],[Target (units)]])&gt;0,tblBoard[[#This Row],[Actual (units)]]/tblBoard[[#This Row],[Target (units)]],""))</f>
        <v>0.786666666666667</v>
      </c>
      <c r="O286" s="38">
        <f>IF(tblBoard[[#This Row],[Date]]="","",IF(N(tblBoard[[#This Row],[Target (units)]])&gt;0,IF(tblBoard[[#This Row],[Actual (units)]]&gt;=tblBoard[[#This Row],[Target (units)]]*TargetHour,1,0),""))</f>
        <v>0</v>
      </c>
      <c r="P286" s="40" t="str">
        <f>IF(NOT(ISNUMBER(tblBoard[[#This Row],[Attainment]])),"",IF(tblBoard[[#This Row],[Attainment]]&gt;=TargetHour,"On target",IF(tblBoard[[#This Row],[Attainment]]&gt;=TargetHour*(1-0.05),"Near target","Below target")))</f>
        <v>Below target</v>
      </c>
      <c r="Q286" s="38">
        <f>IF(tblBoard[[#This Row],[Date]]="","",IF(tblBoard[[#This Row],[Hour]]="","",SUMIFS(tblBoard[Target (units)],tblBoard[Date],tblBoard[[#This Row],[Date]],tblBoard[Shift],tblBoard[[#This Row],[Shift]],tblBoard[Line],tblBoard[[#This Row],[Line]],tblBoard[Hour],"&lt;="&amp;tblBoard[[#This Row],[Hour]])))</f>
        <v>75</v>
      </c>
      <c r="R286" s="38">
        <f>IF(tblBoard[[#This Row],[Date]]="","",IF(tblBoard[[#This Row],[Hour]]="","",SUMIFS(tblBoard[Actual (units)],tblBoard[Date],tblBoard[[#This Row],[Date]],tblBoard[Shift],tblBoard[[#This Row],[Shift]],tblBoard[Line],tblBoard[[#This Row],[Line]],tblBoard[Hour],"&lt;="&amp;tblBoard[[#This Row],[Hour]])))</f>
        <v>59</v>
      </c>
      <c r="S286" s="38">
        <f>IF(tblBoard[[#This Row],[Date]]="","",IF(tblBoard[[#This Row],[Cum. target]]="","",tblBoard[[#This Row],[Cum. actual]]-tblBoard[[#This Row],[Cum. target]]))</f>
        <v>-16</v>
      </c>
      <c r="T286" s="41">
        <f>IF(tblBoard[[#This Row],[Date]]="","",IF(AND(tblBoard[[#This Row],[Date]]&gt;=FFrom,tblBoard[[#This Row],[Date]]&lt;=FTo,OR(DashLine="",tblBoard[[#This Row],[Line]]=DashLine)),tblBoard[[#This Row],[Date]],""))</f>
        <v>46310</v>
      </c>
      <c r="U28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6" s="43" t="s">
        <v>144</v>
      </c>
    </row>
    <row r="287" spans="2:22" x14ac:dyDescent="0.25">
      <c r="B287" s="36">
        <v>46310</v>
      </c>
      <c r="C287" s="28" t="s">
        <v>93</v>
      </c>
      <c r="D287" s="28" t="s">
        <v>88</v>
      </c>
      <c r="E287" s="33">
        <v>2</v>
      </c>
      <c r="F287" s="28" t="s">
        <v>105</v>
      </c>
      <c r="G287" s="33">
        <v>60</v>
      </c>
      <c r="H287" s="33">
        <v>73</v>
      </c>
      <c r="I287" s="28" t="s">
        <v>122</v>
      </c>
      <c r="J287" s="37">
        <f>IF(tblBoard[[#This Row],[Date]]="","",IFERROR(INDEX(tblProducts[Takt time (s)],MATCH(tblBoard[[#This Row],[Product]],tblProducts[Product],0)),""))</f>
        <v>48</v>
      </c>
      <c r="K287" s="38">
        <f>IF(tblBoard[[#This Row],[Date]]="","",IF(OR(tblBoard[[#This Row],[Takt (s)]]="",tblBoard[[#This Row],[Available (min)]]=""),"",INT(tblBoard[[#This Row],[Available (min)]]*60/tblBoard[[#This Row],[Takt (s)]])))</f>
        <v>75</v>
      </c>
      <c r="L287" s="38">
        <f>IF(tblBoard[[#This Row],[Date]]="","",IF(tblBoard[[#This Row],[Target (units)]]="","",tblBoard[[#This Row],[Actual (units)]]-tblBoard[[#This Row],[Target (units)]]))</f>
        <v>-2</v>
      </c>
      <c r="M287" s="38">
        <f>IF(tblBoard[[#This Row],[Date]]="","",IF(tblBoard[[#This Row],[Target (units)]]="","",MAX(0,tblBoard[[#This Row],[Target (units)]]-tblBoard[[#This Row],[Actual (units)]])))</f>
        <v>2</v>
      </c>
      <c r="N287" s="39">
        <f>IF(tblBoard[[#This Row],[Date]]="","",IF(N(tblBoard[[#This Row],[Target (units)]])&gt;0,tblBoard[[#This Row],[Actual (units)]]/tblBoard[[#This Row],[Target (units)]],""))</f>
        <v>0.973333333333333</v>
      </c>
      <c r="O287" s="38">
        <f>IF(tblBoard[[#This Row],[Date]]="","",IF(N(tblBoard[[#This Row],[Target (units)]])&gt;0,IF(tblBoard[[#This Row],[Actual (units)]]&gt;=tblBoard[[#This Row],[Target (units)]]*TargetHour,1,0),""))</f>
        <v>0</v>
      </c>
      <c r="P287" s="40" t="str">
        <f>IF(NOT(ISNUMBER(tblBoard[[#This Row],[Attainment]])),"",IF(tblBoard[[#This Row],[Attainment]]&gt;=TargetHour,"On target",IF(tblBoard[[#This Row],[Attainment]]&gt;=TargetHour*(1-0.05),"Near target","Below target")))</f>
        <v>Near target</v>
      </c>
      <c r="Q287" s="38">
        <f>IF(tblBoard[[#This Row],[Date]]="","",IF(tblBoard[[#This Row],[Hour]]="","",SUMIFS(tblBoard[Target (units)],tblBoard[Date],tblBoard[[#This Row],[Date]],tblBoard[Shift],tblBoard[[#This Row],[Shift]],tblBoard[Line],tblBoard[[#This Row],[Line]],tblBoard[Hour],"&lt;="&amp;tblBoard[[#This Row],[Hour]])))</f>
        <v>150</v>
      </c>
      <c r="R287" s="38">
        <f>IF(tblBoard[[#This Row],[Date]]="","",IF(tblBoard[[#This Row],[Hour]]="","",SUMIFS(tblBoard[Actual (units)],tblBoard[Date],tblBoard[[#This Row],[Date]],tblBoard[Shift],tblBoard[[#This Row],[Shift]],tblBoard[Line],tblBoard[[#This Row],[Line]],tblBoard[Hour],"&lt;="&amp;tblBoard[[#This Row],[Hour]])))</f>
        <v>132</v>
      </c>
      <c r="S287" s="38">
        <f>IF(tblBoard[[#This Row],[Date]]="","",IF(tblBoard[[#This Row],[Cum. target]]="","",tblBoard[[#This Row],[Cum. actual]]-tblBoard[[#This Row],[Cum. target]]))</f>
        <v>-18</v>
      </c>
      <c r="T287" s="41">
        <f>IF(tblBoard[[#This Row],[Date]]="","",IF(AND(tblBoard[[#This Row],[Date]]&gt;=FFrom,tblBoard[[#This Row],[Date]]&lt;=FTo,OR(DashLine="",tblBoard[[#This Row],[Line]]=DashLine)),tblBoard[[#This Row],[Date]],""))</f>
        <v>46310</v>
      </c>
      <c r="U28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7" s="43" t="s">
        <v>97</v>
      </c>
    </row>
    <row r="288" spans="2:22" x14ac:dyDescent="0.25">
      <c r="B288" s="36">
        <v>46310</v>
      </c>
      <c r="C288" s="28" t="s">
        <v>93</v>
      </c>
      <c r="D288" s="28" t="s">
        <v>88</v>
      </c>
      <c r="E288" s="33">
        <v>3</v>
      </c>
      <c r="F288" s="28" t="s">
        <v>105</v>
      </c>
      <c r="G288" s="33">
        <v>50</v>
      </c>
      <c r="H288" s="33">
        <v>60</v>
      </c>
      <c r="I288" s="28" t="s">
        <v>124</v>
      </c>
      <c r="J288" s="37">
        <f>IF(tblBoard[[#This Row],[Date]]="","",IFERROR(INDEX(tblProducts[Takt time (s)],MATCH(tblBoard[[#This Row],[Product]],tblProducts[Product],0)),""))</f>
        <v>48</v>
      </c>
      <c r="K288" s="38">
        <f>IF(tblBoard[[#This Row],[Date]]="","",IF(OR(tblBoard[[#This Row],[Takt (s)]]="",tblBoard[[#This Row],[Available (min)]]=""),"",INT(tblBoard[[#This Row],[Available (min)]]*60/tblBoard[[#This Row],[Takt (s)]])))</f>
        <v>62</v>
      </c>
      <c r="L288" s="38">
        <f>IF(tblBoard[[#This Row],[Date]]="","",IF(tblBoard[[#This Row],[Target (units)]]="","",tblBoard[[#This Row],[Actual (units)]]-tblBoard[[#This Row],[Target (units)]]))</f>
        <v>-2</v>
      </c>
      <c r="M288" s="38">
        <f>IF(tblBoard[[#This Row],[Date]]="","",IF(tblBoard[[#This Row],[Target (units)]]="","",MAX(0,tblBoard[[#This Row],[Target (units)]]-tblBoard[[#This Row],[Actual (units)]])))</f>
        <v>2</v>
      </c>
      <c r="N288" s="39">
        <f>IF(tblBoard[[#This Row],[Date]]="","",IF(N(tblBoard[[#This Row],[Target (units)]])&gt;0,tblBoard[[#This Row],[Actual (units)]]/tblBoard[[#This Row],[Target (units)]],""))</f>
        <v>0.967741935483871</v>
      </c>
      <c r="O288" s="38">
        <f>IF(tblBoard[[#This Row],[Date]]="","",IF(N(tblBoard[[#This Row],[Target (units)]])&gt;0,IF(tblBoard[[#This Row],[Actual (units)]]&gt;=tblBoard[[#This Row],[Target (units)]]*TargetHour,1,0),""))</f>
        <v>0</v>
      </c>
      <c r="P288" s="40" t="str">
        <f>IF(NOT(ISNUMBER(tblBoard[[#This Row],[Attainment]])),"",IF(tblBoard[[#This Row],[Attainment]]&gt;=TargetHour,"On target",IF(tblBoard[[#This Row],[Attainment]]&gt;=TargetHour*(1-0.05),"Near target","Below target")))</f>
        <v>Near target</v>
      </c>
      <c r="Q288" s="38">
        <f>IF(tblBoard[[#This Row],[Date]]="","",IF(tblBoard[[#This Row],[Hour]]="","",SUMIFS(tblBoard[Target (units)],tblBoard[Date],tblBoard[[#This Row],[Date]],tblBoard[Shift],tblBoard[[#This Row],[Shift]],tblBoard[Line],tblBoard[[#This Row],[Line]],tblBoard[Hour],"&lt;="&amp;tblBoard[[#This Row],[Hour]])))</f>
        <v>212</v>
      </c>
      <c r="R288" s="38">
        <f>IF(tblBoard[[#This Row],[Date]]="","",IF(tblBoard[[#This Row],[Hour]]="","",SUMIFS(tblBoard[Actual (units)],tblBoard[Date],tblBoard[[#This Row],[Date]],tblBoard[Shift],tblBoard[[#This Row],[Shift]],tblBoard[Line],tblBoard[[#This Row],[Line]],tblBoard[Hour],"&lt;="&amp;tblBoard[[#This Row],[Hour]])))</f>
        <v>192</v>
      </c>
      <c r="S288" s="38">
        <f>IF(tblBoard[[#This Row],[Date]]="","",IF(tblBoard[[#This Row],[Cum. target]]="","",tblBoard[[#This Row],[Cum. actual]]-tblBoard[[#This Row],[Cum. target]]))</f>
        <v>-20</v>
      </c>
      <c r="T288" s="41">
        <f>IF(tblBoard[[#This Row],[Date]]="","",IF(AND(tblBoard[[#This Row],[Date]]&gt;=FFrom,tblBoard[[#This Row],[Date]]&lt;=FTo,OR(DashLine="",tblBoard[[#This Row],[Line]]=DashLine)),tblBoard[[#This Row],[Date]],""))</f>
        <v>46310</v>
      </c>
      <c r="U28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8" s="43" t="s">
        <v>97</v>
      </c>
    </row>
    <row r="289" spans="2:22" x14ac:dyDescent="0.25">
      <c r="B289" s="36">
        <v>46310</v>
      </c>
      <c r="C289" s="28" t="s">
        <v>93</v>
      </c>
      <c r="D289" s="28" t="s">
        <v>88</v>
      </c>
      <c r="E289" s="33">
        <v>4</v>
      </c>
      <c r="F289" s="28" t="s">
        <v>105</v>
      </c>
      <c r="G289" s="33">
        <v>60</v>
      </c>
      <c r="H289" s="33">
        <v>35</v>
      </c>
      <c r="I289" s="28" t="s">
        <v>112</v>
      </c>
      <c r="J289" s="37">
        <f>IF(tblBoard[[#This Row],[Date]]="","",IFERROR(INDEX(tblProducts[Takt time (s)],MATCH(tblBoard[[#This Row],[Product]],tblProducts[Product],0)),""))</f>
        <v>48</v>
      </c>
      <c r="K289" s="38">
        <f>IF(tblBoard[[#This Row],[Date]]="","",IF(OR(tblBoard[[#This Row],[Takt (s)]]="",tblBoard[[#This Row],[Available (min)]]=""),"",INT(tblBoard[[#This Row],[Available (min)]]*60/tblBoard[[#This Row],[Takt (s)]])))</f>
        <v>75</v>
      </c>
      <c r="L289" s="38">
        <f>IF(tblBoard[[#This Row],[Date]]="","",IF(tblBoard[[#This Row],[Target (units)]]="","",tblBoard[[#This Row],[Actual (units)]]-tblBoard[[#This Row],[Target (units)]]))</f>
        <v>-40</v>
      </c>
      <c r="M289" s="38">
        <f>IF(tblBoard[[#This Row],[Date]]="","",IF(tblBoard[[#This Row],[Target (units)]]="","",MAX(0,tblBoard[[#This Row],[Target (units)]]-tblBoard[[#This Row],[Actual (units)]])))</f>
        <v>40</v>
      </c>
      <c r="N289" s="39">
        <f>IF(tblBoard[[#This Row],[Date]]="","",IF(N(tblBoard[[#This Row],[Target (units)]])&gt;0,tblBoard[[#This Row],[Actual (units)]]/tblBoard[[#This Row],[Target (units)]],""))</f>
        <v>0.466666666666667</v>
      </c>
      <c r="O289" s="38">
        <f>IF(tblBoard[[#This Row],[Date]]="","",IF(N(tblBoard[[#This Row],[Target (units)]])&gt;0,IF(tblBoard[[#This Row],[Actual (units)]]&gt;=tblBoard[[#This Row],[Target (units)]]*TargetHour,1,0),""))</f>
        <v>0</v>
      </c>
      <c r="P289" s="40" t="str">
        <f>IF(NOT(ISNUMBER(tblBoard[[#This Row],[Attainment]])),"",IF(tblBoard[[#This Row],[Attainment]]&gt;=TargetHour,"On target",IF(tblBoard[[#This Row],[Attainment]]&gt;=TargetHour*(1-0.05),"Near target","Below target")))</f>
        <v>Below target</v>
      </c>
      <c r="Q289" s="38">
        <f>IF(tblBoard[[#This Row],[Date]]="","",IF(tblBoard[[#This Row],[Hour]]="","",SUMIFS(tblBoard[Target (units)],tblBoard[Date],tblBoard[[#This Row],[Date]],tblBoard[Shift],tblBoard[[#This Row],[Shift]],tblBoard[Line],tblBoard[[#This Row],[Line]],tblBoard[Hour],"&lt;="&amp;tblBoard[[#This Row],[Hour]])))</f>
        <v>287</v>
      </c>
      <c r="R289" s="38">
        <f>IF(tblBoard[[#This Row],[Date]]="","",IF(tblBoard[[#This Row],[Hour]]="","",SUMIFS(tblBoard[Actual (units)],tblBoard[Date],tblBoard[[#This Row],[Date]],tblBoard[Shift],tblBoard[[#This Row],[Shift]],tblBoard[Line],tblBoard[[#This Row],[Line]],tblBoard[Hour],"&lt;="&amp;tblBoard[[#This Row],[Hour]])))</f>
        <v>227</v>
      </c>
      <c r="S289" s="38">
        <f>IF(tblBoard[[#This Row],[Date]]="","",IF(tblBoard[[#This Row],[Cum. target]]="","",tblBoard[[#This Row],[Cum. actual]]-tblBoard[[#This Row],[Cum. target]]))</f>
        <v>-60</v>
      </c>
      <c r="T289" s="41">
        <f>IF(tblBoard[[#This Row],[Date]]="","",IF(AND(tblBoard[[#This Row],[Date]]&gt;=FFrom,tblBoard[[#This Row],[Date]]&lt;=FTo,OR(DashLine="",tblBoard[[#This Row],[Line]]=DashLine)),tblBoard[[#This Row],[Date]],""))</f>
        <v>46310</v>
      </c>
      <c r="U28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89" s="43" t="s">
        <v>145</v>
      </c>
    </row>
    <row r="290" spans="2:22" x14ac:dyDescent="0.25">
      <c r="B290" s="36">
        <v>46310</v>
      </c>
      <c r="C290" s="28" t="s">
        <v>93</v>
      </c>
      <c r="D290" s="28" t="s">
        <v>88</v>
      </c>
      <c r="E290" s="33">
        <v>5</v>
      </c>
      <c r="F290" s="28" t="s">
        <v>105</v>
      </c>
      <c r="G290" s="33">
        <v>30</v>
      </c>
      <c r="H290" s="33">
        <v>39</v>
      </c>
      <c r="I290" s="28"/>
      <c r="J290" s="37">
        <f>IF(tblBoard[[#This Row],[Date]]="","",IFERROR(INDEX(tblProducts[Takt time (s)],MATCH(tblBoard[[#This Row],[Product]],tblProducts[Product],0)),""))</f>
        <v>48</v>
      </c>
      <c r="K290" s="38">
        <f>IF(tblBoard[[#This Row],[Date]]="","",IF(OR(tblBoard[[#This Row],[Takt (s)]]="",tblBoard[[#This Row],[Available (min)]]=""),"",INT(tblBoard[[#This Row],[Available (min)]]*60/tblBoard[[#This Row],[Takt (s)]])))</f>
        <v>37</v>
      </c>
      <c r="L290" s="38">
        <f>IF(tblBoard[[#This Row],[Date]]="","",IF(tblBoard[[#This Row],[Target (units)]]="","",tblBoard[[#This Row],[Actual (units)]]-tblBoard[[#This Row],[Target (units)]]))</f>
        <v>2</v>
      </c>
      <c r="M290" s="38">
        <f>IF(tblBoard[[#This Row],[Date]]="","",IF(tblBoard[[#This Row],[Target (units)]]="","",MAX(0,tblBoard[[#This Row],[Target (units)]]-tblBoard[[#This Row],[Actual (units)]])))</f>
        <v>0</v>
      </c>
      <c r="N290" s="39">
        <f>IF(tblBoard[[#This Row],[Date]]="","",IF(N(tblBoard[[#This Row],[Target (units)]])&gt;0,tblBoard[[#This Row],[Actual (units)]]/tblBoard[[#This Row],[Target (units)]],""))</f>
        <v>1.05405405405405</v>
      </c>
      <c r="O290" s="38">
        <f>IF(tblBoard[[#This Row],[Date]]="","",IF(N(tblBoard[[#This Row],[Target (units)]])&gt;0,IF(tblBoard[[#This Row],[Actual (units)]]&gt;=tblBoard[[#This Row],[Target (units)]]*TargetHour,1,0),""))</f>
        <v>1</v>
      </c>
      <c r="P290" s="40" t="str">
        <f>IF(NOT(ISNUMBER(tblBoard[[#This Row],[Attainment]])),"",IF(tblBoard[[#This Row],[Attainment]]&gt;=TargetHour,"On target",IF(tblBoard[[#This Row],[Attainment]]&gt;=TargetHour*(1-0.05),"Near target","Below target")))</f>
        <v>On target</v>
      </c>
      <c r="Q290" s="38">
        <f>IF(tblBoard[[#This Row],[Date]]="","",IF(tblBoard[[#This Row],[Hour]]="","",SUMIFS(tblBoard[Target (units)],tblBoard[Date],tblBoard[[#This Row],[Date]],tblBoard[Shift],tblBoard[[#This Row],[Shift]],tblBoard[Line],tblBoard[[#This Row],[Line]],tblBoard[Hour],"&lt;="&amp;tblBoard[[#This Row],[Hour]])))</f>
        <v>324</v>
      </c>
      <c r="R290" s="38">
        <f>IF(tblBoard[[#This Row],[Date]]="","",IF(tblBoard[[#This Row],[Hour]]="","",SUMIFS(tblBoard[Actual (units)],tblBoard[Date],tblBoard[[#This Row],[Date]],tblBoard[Shift],tblBoard[[#This Row],[Shift]],tblBoard[Line],tblBoard[[#This Row],[Line]],tblBoard[Hour],"&lt;="&amp;tblBoard[[#This Row],[Hour]])))</f>
        <v>266</v>
      </c>
      <c r="S290" s="38">
        <f>IF(tblBoard[[#This Row],[Date]]="","",IF(tblBoard[[#This Row],[Cum. target]]="","",tblBoard[[#This Row],[Cum. actual]]-tblBoard[[#This Row],[Cum. target]]))</f>
        <v>-58</v>
      </c>
      <c r="T290" s="41">
        <f>IF(tblBoard[[#This Row],[Date]]="","",IF(AND(tblBoard[[#This Row],[Date]]&gt;=FFrom,tblBoard[[#This Row],[Date]]&lt;=FTo,OR(DashLine="",tblBoard[[#This Row],[Line]]=DashLine)),tblBoard[[#This Row],[Date]],""))</f>
        <v>46310</v>
      </c>
      <c r="U29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0" s="43" t="s">
        <v>97</v>
      </c>
    </row>
    <row r="291" spans="2:22" x14ac:dyDescent="0.25">
      <c r="B291" s="36">
        <v>46310</v>
      </c>
      <c r="C291" s="28" t="s">
        <v>93</v>
      </c>
      <c r="D291" s="28" t="s">
        <v>88</v>
      </c>
      <c r="E291" s="33">
        <v>6</v>
      </c>
      <c r="F291" s="28" t="s">
        <v>105</v>
      </c>
      <c r="G291" s="33">
        <v>60</v>
      </c>
      <c r="H291" s="33">
        <v>70</v>
      </c>
      <c r="I291" s="28" t="s">
        <v>122</v>
      </c>
      <c r="J291" s="37">
        <f>IF(tblBoard[[#This Row],[Date]]="","",IFERROR(INDEX(tblProducts[Takt time (s)],MATCH(tblBoard[[#This Row],[Product]],tblProducts[Product],0)),""))</f>
        <v>48</v>
      </c>
      <c r="K291" s="38">
        <f>IF(tblBoard[[#This Row],[Date]]="","",IF(OR(tblBoard[[#This Row],[Takt (s)]]="",tblBoard[[#This Row],[Available (min)]]=""),"",INT(tblBoard[[#This Row],[Available (min)]]*60/tblBoard[[#This Row],[Takt (s)]])))</f>
        <v>75</v>
      </c>
      <c r="L291" s="38">
        <f>IF(tblBoard[[#This Row],[Date]]="","",IF(tblBoard[[#This Row],[Target (units)]]="","",tblBoard[[#This Row],[Actual (units)]]-tblBoard[[#This Row],[Target (units)]]))</f>
        <v>-5</v>
      </c>
      <c r="M291" s="38">
        <f>IF(tblBoard[[#This Row],[Date]]="","",IF(tblBoard[[#This Row],[Target (units)]]="","",MAX(0,tblBoard[[#This Row],[Target (units)]]-tblBoard[[#This Row],[Actual (units)]])))</f>
        <v>5</v>
      </c>
      <c r="N291" s="39">
        <f>IF(tblBoard[[#This Row],[Date]]="","",IF(N(tblBoard[[#This Row],[Target (units)]])&gt;0,tblBoard[[#This Row],[Actual (units)]]/tblBoard[[#This Row],[Target (units)]],""))</f>
        <v>0.933333333333333</v>
      </c>
      <c r="O291" s="38">
        <f>IF(tblBoard[[#This Row],[Date]]="","",IF(N(tblBoard[[#This Row],[Target (units)]])&gt;0,IF(tblBoard[[#This Row],[Actual (units)]]&gt;=tblBoard[[#This Row],[Target (units)]]*TargetHour,1,0),""))</f>
        <v>0</v>
      </c>
      <c r="P291" s="40" t="str">
        <f>IF(NOT(ISNUMBER(tblBoard[[#This Row],[Attainment]])),"",IF(tblBoard[[#This Row],[Attainment]]&gt;=TargetHour,"On target",IF(tblBoard[[#This Row],[Attainment]]&gt;=TargetHour*(1-0.05),"Near target","Below target")))</f>
        <v>Below target</v>
      </c>
      <c r="Q291" s="38">
        <f>IF(tblBoard[[#This Row],[Date]]="","",IF(tblBoard[[#This Row],[Hour]]="","",SUMIFS(tblBoard[Target (units)],tblBoard[Date],tblBoard[[#This Row],[Date]],tblBoard[Shift],tblBoard[[#This Row],[Shift]],tblBoard[Line],tblBoard[[#This Row],[Line]],tblBoard[Hour],"&lt;="&amp;tblBoard[[#This Row],[Hour]])))</f>
        <v>399</v>
      </c>
      <c r="R291" s="38">
        <f>IF(tblBoard[[#This Row],[Date]]="","",IF(tblBoard[[#This Row],[Hour]]="","",SUMIFS(tblBoard[Actual (units)],tblBoard[Date],tblBoard[[#This Row],[Date]],tblBoard[Shift],tblBoard[[#This Row],[Shift]],tblBoard[Line],tblBoard[[#This Row],[Line]],tblBoard[Hour],"&lt;="&amp;tblBoard[[#This Row],[Hour]])))</f>
        <v>336</v>
      </c>
      <c r="S291" s="38">
        <f>IF(tblBoard[[#This Row],[Date]]="","",IF(tblBoard[[#This Row],[Cum. target]]="","",tblBoard[[#This Row],[Cum. actual]]-tblBoard[[#This Row],[Cum. target]]))</f>
        <v>-63</v>
      </c>
      <c r="T291" s="41">
        <f>IF(tblBoard[[#This Row],[Date]]="","",IF(AND(tblBoard[[#This Row],[Date]]&gt;=FFrom,tblBoard[[#This Row],[Date]]&lt;=FTo,OR(DashLine="",tblBoard[[#This Row],[Line]]=DashLine)),tblBoard[[#This Row],[Date]],""))</f>
        <v>46310</v>
      </c>
      <c r="U29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1" s="43" t="s">
        <v>97</v>
      </c>
    </row>
    <row r="292" spans="2:22" x14ac:dyDescent="0.25">
      <c r="B292" s="36">
        <v>46310</v>
      </c>
      <c r="C292" s="28" t="s">
        <v>93</v>
      </c>
      <c r="D292" s="28" t="s">
        <v>88</v>
      </c>
      <c r="E292" s="33">
        <v>7</v>
      </c>
      <c r="F292" s="28" t="s">
        <v>105</v>
      </c>
      <c r="G292" s="33">
        <v>50</v>
      </c>
      <c r="H292" s="33">
        <v>62</v>
      </c>
      <c r="I292" s="28"/>
      <c r="J292" s="37">
        <f>IF(tblBoard[[#This Row],[Date]]="","",IFERROR(INDEX(tblProducts[Takt time (s)],MATCH(tblBoard[[#This Row],[Product]],tblProducts[Product],0)),""))</f>
        <v>48</v>
      </c>
      <c r="K292" s="38">
        <f>IF(tblBoard[[#This Row],[Date]]="","",IF(OR(tblBoard[[#This Row],[Takt (s)]]="",tblBoard[[#This Row],[Available (min)]]=""),"",INT(tblBoard[[#This Row],[Available (min)]]*60/tblBoard[[#This Row],[Takt (s)]])))</f>
        <v>62</v>
      </c>
      <c r="L292" s="38">
        <f>IF(tblBoard[[#This Row],[Date]]="","",IF(tblBoard[[#This Row],[Target (units)]]="","",tblBoard[[#This Row],[Actual (units)]]-tblBoard[[#This Row],[Target (units)]]))</f>
        <v>0</v>
      </c>
      <c r="M292" s="38">
        <f>IF(tblBoard[[#This Row],[Date]]="","",IF(tblBoard[[#This Row],[Target (units)]]="","",MAX(0,tblBoard[[#This Row],[Target (units)]]-tblBoard[[#This Row],[Actual (units)]])))</f>
        <v>0</v>
      </c>
      <c r="N292" s="39">
        <f>IF(tblBoard[[#This Row],[Date]]="","",IF(N(tblBoard[[#This Row],[Target (units)]])&gt;0,tblBoard[[#This Row],[Actual (units)]]/tblBoard[[#This Row],[Target (units)]],""))</f>
        <v>1</v>
      </c>
      <c r="O292" s="38">
        <f>IF(tblBoard[[#This Row],[Date]]="","",IF(N(tblBoard[[#This Row],[Target (units)]])&gt;0,IF(tblBoard[[#This Row],[Actual (units)]]&gt;=tblBoard[[#This Row],[Target (units)]]*TargetHour,1,0),""))</f>
        <v>1</v>
      </c>
      <c r="P292" s="40" t="str">
        <f>IF(NOT(ISNUMBER(tblBoard[[#This Row],[Attainment]])),"",IF(tblBoard[[#This Row],[Attainment]]&gt;=TargetHour,"On target",IF(tblBoard[[#This Row],[Attainment]]&gt;=TargetHour*(1-0.05),"Near target","Below target")))</f>
        <v>On target</v>
      </c>
      <c r="Q292" s="38">
        <f>IF(tblBoard[[#This Row],[Date]]="","",IF(tblBoard[[#This Row],[Hour]]="","",SUMIFS(tblBoard[Target (units)],tblBoard[Date],tblBoard[[#This Row],[Date]],tblBoard[Shift],tblBoard[[#This Row],[Shift]],tblBoard[Line],tblBoard[[#This Row],[Line]],tblBoard[Hour],"&lt;="&amp;tblBoard[[#This Row],[Hour]])))</f>
        <v>461</v>
      </c>
      <c r="R292" s="38">
        <f>IF(tblBoard[[#This Row],[Date]]="","",IF(tblBoard[[#This Row],[Hour]]="","",SUMIFS(tblBoard[Actual (units)],tblBoard[Date],tblBoard[[#This Row],[Date]],tblBoard[Shift],tblBoard[[#This Row],[Shift]],tblBoard[Line],tblBoard[[#This Row],[Line]],tblBoard[Hour],"&lt;="&amp;tblBoard[[#This Row],[Hour]])))</f>
        <v>398</v>
      </c>
      <c r="S292" s="38">
        <f>IF(tblBoard[[#This Row],[Date]]="","",IF(tblBoard[[#This Row],[Cum. target]]="","",tblBoard[[#This Row],[Cum. actual]]-tblBoard[[#This Row],[Cum. target]]))</f>
        <v>-63</v>
      </c>
      <c r="T292" s="41">
        <f>IF(tblBoard[[#This Row],[Date]]="","",IF(AND(tblBoard[[#This Row],[Date]]&gt;=FFrom,tblBoard[[#This Row],[Date]]&lt;=FTo,OR(DashLine="",tblBoard[[#This Row],[Line]]=DashLine)),tblBoard[[#This Row],[Date]],""))</f>
        <v>46310</v>
      </c>
      <c r="U29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2" s="43" t="s">
        <v>97</v>
      </c>
    </row>
    <row r="293" spans="2:22" x14ac:dyDescent="0.25">
      <c r="B293" s="36">
        <v>46310</v>
      </c>
      <c r="C293" s="28" t="s">
        <v>93</v>
      </c>
      <c r="D293" s="28" t="s">
        <v>88</v>
      </c>
      <c r="E293" s="33">
        <v>8</v>
      </c>
      <c r="F293" s="28" t="s">
        <v>105</v>
      </c>
      <c r="G293" s="33">
        <v>50</v>
      </c>
      <c r="H293" s="33">
        <v>65</v>
      </c>
      <c r="I293" s="28"/>
      <c r="J293" s="37">
        <f>IF(tblBoard[[#This Row],[Date]]="","",IFERROR(INDEX(tblProducts[Takt time (s)],MATCH(tblBoard[[#This Row],[Product]],tblProducts[Product],0)),""))</f>
        <v>48</v>
      </c>
      <c r="K293" s="38">
        <f>IF(tblBoard[[#This Row],[Date]]="","",IF(OR(tblBoard[[#This Row],[Takt (s)]]="",tblBoard[[#This Row],[Available (min)]]=""),"",INT(tblBoard[[#This Row],[Available (min)]]*60/tblBoard[[#This Row],[Takt (s)]])))</f>
        <v>62</v>
      </c>
      <c r="L293" s="38">
        <f>IF(tblBoard[[#This Row],[Date]]="","",IF(tblBoard[[#This Row],[Target (units)]]="","",tblBoard[[#This Row],[Actual (units)]]-tblBoard[[#This Row],[Target (units)]]))</f>
        <v>3</v>
      </c>
      <c r="M293" s="38">
        <f>IF(tblBoard[[#This Row],[Date]]="","",IF(tblBoard[[#This Row],[Target (units)]]="","",MAX(0,tblBoard[[#This Row],[Target (units)]]-tblBoard[[#This Row],[Actual (units)]])))</f>
        <v>0</v>
      </c>
      <c r="N293" s="39">
        <f>IF(tblBoard[[#This Row],[Date]]="","",IF(N(tblBoard[[#This Row],[Target (units)]])&gt;0,tblBoard[[#This Row],[Actual (units)]]/tblBoard[[#This Row],[Target (units)]],""))</f>
        <v>1.04838709677419</v>
      </c>
      <c r="O293" s="38">
        <f>IF(tblBoard[[#This Row],[Date]]="","",IF(N(tblBoard[[#This Row],[Target (units)]])&gt;0,IF(tblBoard[[#This Row],[Actual (units)]]&gt;=tblBoard[[#This Row],[Target (units)]]*TargetHour,1,0),""))</f>
        <v>1</v>
      </c>
      <c r="P293" s="40" t="str">
        <f>IF(NOT(ISNUMBER(tblBoard[[#This Row],[Attainment]])),"",IF(tblBoard[[#This Row],[Attainment]]&gt;=TargetHour,"On target",IF(tblBoard[[#This Row],[Attainment]]&gt;=TargetHour*(1-0.05),"Near target","Below target")))</f>
        <v>On target</v>
      </c>
      <c r="Q293" s="38">
        <f>IF(tblBoard[[#This Row],[Date]]="","",IF(tblBoard[[#This Row],[Hour]]="","",SUMIFS(tblBoard[Target (units)],tblBoard[Date],tblBoard[[#This Row],[Date]],tblBoard[Shift],tblBoard[[#This Row],[Shift]],tblBoard[Line],tblBoard[[#This Row],[Line]],tblBoard[Hour],"&lt;="&amp;tblBoard[[#This Row],[Hour]])))</f>
        <v>523</v>
      </c>
      <c r="R293" s="38">
        <f>IF(tblBoard[[#This Row],[Date]]="","",IF(tblBoard[[#This Row],[Hour]]="","",SUMIFS(tblBoard[Actual (units)],tblBoard[Date],tblBoard[[#This Row],[Date]],tblBoard[Shift],tblBoard[[#This Row],[Shift]],tblBoard[Line],tblBoard[[#This Row],[Line]],tblBoard[Hour],"&lt;="&amp;tblBoard[[#This Row],[Hour]])))</f>
        <v>463</v>
      </c>
      <c r="S293" s="38">
        <f>IF(tblBoard[[#This Row],[Date]]="","",IF(tblBoard[[#This Row],[Cum. target]]="","",tblBoard[[#This Row],[Cum. actual]]-tblBoard[[#This Row],[Cum. target]]))</f>
        <v>-60</v>
      </c>
      <c r="T293" s="41">
        <f>IF(tblBoard[[#This Row],[Date]]="","",IF(AND(tblBoard[[#This Row],[Date]]&gt;=FFrom,tblBoard[[#This Row],[Date]]&lt;=FTo,OR(DashLine="",tblBoard[[#This Row],[Line]]=DashLine)),tblBoard[[#This Row],[Date]],""))</f>
        <v>46310</v>
      </c>
      <c r="U29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3" s="43" t="s">
        <v>97</v>
      </c>
    </row>
    <row r="294" spans="2:22" x14ac:dyDescent="0.25">
      <c r="B294" s="36">
        <v>46311</v>
      </c>
      <c r="C294" s="28" t="s">
        <v>91</v>
      </c>
      <c r="D294" s="28" t="s">
        <v>85</v>
      </c>
      <c r="E294" s="33">
        <v>1</v>
      </c>
      <c r="F294" s="28" t="s">
        <v>105</v>
      </c>
      <c r="G294" s="33">
        <v>60</v>
      </c>
      <c r="H294" s="33">
        <v>65</v>
      </c>
      <c r="I294" s="28" t="s">
        <v>110</v>
      </c>
      <c r="J294" s="37">
        <f>IF(tblBoard[[#This Row],[Date]]="","",IFERROR(INDEX(tblProducts[Takt time (s)],MATCH(tblBoard[[#This Row],[Product]],tblProducts[Product],0)),""))</f>
        <v>48</v>
      </c>
      <c r="K294" s="38">
        <f>IF(tblBoard[[#This Row],[Date]]="","",IF(OR(tblBoard[[#This Row],[Takt (s)]]="",tblBoard[[#This Row],[Available (min)]]=""),"",INT(tblBoard[[#This Row],[Available (min)]]*60/tblBoard[[#This Row],[Takt (s)]])))</f>
        <v>75</v>
      </c>
      <c r="L294" s="38">
        <f>IF(tblBoard[[#This Row],[Date]]="","",IF(tblBoard[[#This Row],[Target (units)]]="","",tblBoard[[#This Row],[Actual (units)]]-tblBoard[[#This Row],[Target (units)]]))</f>
        <v>-10</v>
      </c>
      <c r="M294" s="38">
        <f>IF(tblBoard[[#This Row],[Date]]="","",IF(tblBoard[[#This Row],[Target (units)]]="","",MAX(0,tblBoard[[#This Row],[Target (units)]]-tblBoard[[#This Row],[Actual (units)]])))</f>
        <v>10</v>
      </c>
      <c r="N294" s="39">
        <f>IF(tblBoard[[#This Row],[Date]]="","",IF(N(tblBoard[[#This Row],[Target (units)]])&gt;0,tblBoard[[#This Row],[Actual (units)]]/tblBoard[[#This Row],[Target (units)]],""))</f>
        <v>0.866666666666667</v>
      </c>
      <c r="O294" s="38">
        <f>IF(tblBoard[[#This Row],[Date]]="","",IF(N(tblBoard[[#This Row],[Target (units)]])&gt;0,IF(tblBoard[[#This Row],[Actual (units)]]&gt;=tblBoard[[#This Row],[Target (units)]]*TargetHour,1,0),""))</f>
        <v>0</v>
      </c>
      <c r="P294" s="40" t="str">
        <f>IF(NOT(ISNUMBER(tblBoard[[#This Row],[Attainment]])),"",IF(tblBoard[[#This Row],[Attainment]]&gt;=TargetHour,"On target",IF(tblBoard[[#This Row],[Attainment]]&gt;=TargetHour*(1-0.05),"Near target","Below target")))</f>
        <v>Below target</v>
      </c>
      <c r="Q294" s="38">
        <f>IF(tblBoard[[#This Row],[Date]]="","",IF(tblBoard[[#This Row],[Hour]]="","",SUMIFS(tblBoard[Target (units)],tblBoard[Date],tblBoard[[#This Row],[Date]],tblBoard[Shift],tblBoard[[#This Row],[Shift]],tblBoard[Line],tblBoard[[#This Row],[Line]],tblBoard[Hour],"&lt;="&amp;tblBoard[[#This Row],[Hour]])))</f>
        <v>75</v>
      </c>
      <c r="R294" s="38">
        <f>IF(tblBoard[[#This Row],[Date]]="","",IF(tblBoard[[#This Row],[Hour]]="","",SUMIFS(tblBoard[Actual (units)],tblBoard[Date],tblBoard[[#This Row],[Date]],tblBoard[Shift],tblBoard[[#This Row],[Shift]],tblBoard[Line],tblBoard[[#This Row],[Line]],tblBoard[Hour],"&lt;="&amp;tblBoard[[#This Row],[Hour]])))</f>
        <v>65</v>
      </c>
      <c r="S294" s="38">
        <f>IF(tblBoard[[#This Row],[Date]]="","",IF(tblBoard[[#This Row],[Cum. target]]="","",tblBoard[[#This Row],[Cum. actual]]-tblBoard[[#This Row],[Cum. target]]))</f>
        <v>-10</v>
      </c>
      <c r="T294" s="41">
        <f>IF(tblBoard[[#This Row],[Date]]="","",IF(AND(tblBoard[[#This Row],[Date]]&gt;=FFrom,tblBoard[[#This Row],[Date]]&lt;=FTo,OR(DashLine="",tblBoard[[#This Row],[Line]]=DashLine)),tblBoard[[#This Row],[Date]],""))</f>
        <v>46311</v>
      </c>
      <c r="U29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4" s="43" t="s">
        <v>97</v>
      </c>
    </row>
    <row r="295" spans="2:22" x14ac:dyDescent="0.25">
      <c r="B295" s="36">
        <v>46311</v>
      </c>
      <c r="C295" s="28" t="s">
        <v>91</v>
      </c>
      <c r="D295" s="28" t="s">
        <v>85</v>
      </c>
      <c r="E295" s="33">
        <v>2</v>
      </c>
      <c r="F295" s="28" t="s">
        <v>105</v>
      </c>
      <c r="G295" s="33">
        <v>60</v>
      </c>
      <c r="H295" s="33">
        <v>75</v>
      </c>
      <c r="I295" s="28"/>
      <c r="J295" s="37">
        <f>IF(tblBoard[[#This Row],[Date]]="","",IFERROR(INDEX(tblProducts[Takt time (s)],MATCH(tblBoard[[#This Row],[Product]],tblProducts[Product],0)),""))</f>
        <v>48</v>
      </c>
      <c r="K295" s="38">
        <f>IF(tblBoard[[#This Row],[Date]]="","",IF(OR(tblBoard[[#This Row],[Takt (s)]]="",tblBoard[[#This Row],[Available (min)]]=""),"",INT(tblBoard[[#This Row],[Available (min)]]*60/tblBoard[[#This Row],[Takt (s)]])))</f>
        <v>75</v>
      </c>
      <c r="L295" s="38">
        <f>IF(tblBoard[[#This Row],[Date]]="","",IF(tblBoard[[#This Row],[Target (units)]]="","",tblBoard[[#This Row],[Actual (units)]]-tblBoard[[#This Row],[Target (units)]]))</f>
        <v>0</v>
      </c>
      <c r="M295" s="38">
        <f>IF(tblBoard[[#This Row],[Date]]="","",IF(tblBoard[[#This Row],[Target (units)]]="","",MAX(0,tblBoard[[#This Row],[Target (units)]]-tblBoard[[#This Row],[Actual (units)]])))</f>
        <v>0</v>
      </c>
      <c r="N295" s="39">
        <f>IF(tblBoard[[#This Row],[Date]]="","",IF(N(tblBoard[[#This Row],[Target (units)]])&gt;0,tblBoard[[#This Row],[Actual (units)]]/tblBoard[[#This Row],[Target (units)]],""))</f>
        <v>1</v>
      </c>
      <c r="O295" s="38">
        <f>IF(tblBoard[[#This Row],[Date]]="","",IF(N(tblBoard[[#This Row],[Target (units)]])&gt;0,IF(tblBoard[[#This Row],[Actual (units)]]&gt;=tblBoard[[#This Row],[Target (units)]]*TargetHour,1,0),""))</f>
        <v>1</v>
      </c>
      <c r="P295" s="40" t="str">
        <f>IF(NOT(ISNUMBER(tblBoard[[#This Row],[Attainment]])),"",IF(tblBoard[[#This Row],[Attainment]]&gt;=TargetHour,"On target",IF(tblBoard[[#This Row],[Attainment]]&gt;=TargetHour*(1-0.05),"Near target","Below target")))</f>
        <v>On target</v>
      </c>
      <c r="Q295" s="38">
        <f>IF(tblBoard[[#This Row],[Date]]="","",IF(tblBoard[[#This Row],[Hour]]="","",SUMIFS(tblBoard[Target (units)],tblBoard[Date],tblBoard[[#This Row],[Date]],tblBoard[Shift],tblBoard[[#This Row],[Shift]],tblBoard[Line],tblBoard[[#This Row],[Line]],tblBoard[Hour],"&lt;="&amp;tblBoard[[#This Row],[Hour]])))</f>
        <v>150</v>
      </c>
      <c r="R295" s="38">
        <f>IF(tblBoard[[#This Row],[Date]]="","",IF(tblBoard[[#This Row],[Hour]]="","",SUMIFS(tblBoard[Actual (units)],tblBoard[Date],tblBoard[[#This Row],[Date]],tblBoard[Shift],tblBoard[[#This Row],[Shift]],tblBoard[Line],tblBoard[[#This Row],[Line]],tblBoard[Hour],"&lt;="&amp;tblBoard[[#This Row],[Hour]])))</f>
        <v>140</v>
      </c>
      <c r="S295" s="38">
        <f>IF(tblBoard[[#This Row],[Date]]="","",IF(tblBoard[[#This Row],[Cum. target]]="","",tblBoard[[#This Row],[Cum. actual]]-tblBoard[[#This Row],[Cum. target]]))</f>
        <v>-10</v>
      </c>
      <c r="T295" s="41">
        <f>IF(tblBoard[[#This Row],[Date]]="","",IF(AND(tblBoard[[#This Row],[Date]]&gt;=FFrom,tblBoard[[#This Row],[Date]]&lt;=FTo,OR(DashLine="",tblBoard[[#This Row],[Line]]=DashLine)),tblBoard[[#This Row],[Date]],""))</f>
        <v>46311</v>
      </c>
      <c r="U29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5" s="43" t="s">
        <v>97</v>
      </c>
    </row>
    <row r="296" spans="2:22" x14ac:dyDescent="0.25">
      <c r="B296" s="36">
        <v>46311</v>
      </c>
      <c r="C296" s="28" t="s">
        <v>91</v>
      </c>
      <c r="D296" s="28" t="s">
        <v>85</v>
      </c>
      <c r="E296" s="33">
        <v>3</v>
      </c>
      <c r="F296" s="28" t="s">
        <v>105</v>
      </c>
      <c r="G296" s="33">
        <v>50</v>
      </c>
      <c r="H296" s="33">
        <v>61</v>
      </c>
      <c r="I296" s="28" t="s">
        <v>118</v>
      </c>
      <c r="J296" s="37">
        <f>IF(tblBoard[[#This Row],[Date]]="","",IFERROR(INDEX(tblProducts[Takt time (s)],MATCH(tblBoard[[#This Row],[Product]],tblProducts[Product],0)),""))</f>
        <v>48</v>
      </c>
      <c r="K296" s="38">
        <f>IF(tblBoard[[#This Row],[Date]]="","",IF(OR(tblBoard[[#This Row],[Takt (s)]]="",tblBoard[[#This Row],[Available (min)]]=""),"",INT(tblBoard[[#This Row],[Available (min)]]*60/tblBoard[[#This Row],[Takt (s)]])))</f>
        <v>62</v>
      </c>
      <c r="L296" s="38">
        <f>IF(tblBoard[[#This Row],[Date]]="","",IF(tblBoard[[#This Row],[Target (units)]]="","",tblBoard[[#This Row],[Actual (units)]]-tblBoard[[#This Row],[Target (units)]]))</f>
        <v>-1</v>
      </c>
      <c r="M296" s="38">
        <f>IF(tblBoard[[#This Row],[Date]]="","",IF(tblBoard[[#This Row],[Target (units)]]="","",MAX(0,tblBoard[[#This Row],[Target (units)]]-tblBoard[[#This Row],[Actual (units)]])))</f>
        <v>1</v>
      </c>
      <c r="N296" s="39">
        <f>IF(tblBoard[[#This Row],[Date]]="","",IF(N(tblBoard[[#This Row],[Target (units)]])&gt;0,tblBoard[[#This Row],[Actual (units)]]/tblBoard[[#This Row],[Target (units)]],""))</f>
        <v>0.983870967741936</v>
      </c>
      <c r="O296" s="38">
        <f>IF(tblBoard[[#This Row],[Date]]="","",IF(N(tblBoard[[#This Row],[Target (units)]])&gt;0,IF(tblBoard[[#This Row],[Actual (units)]]&gt;=tblBoard[[#This Row],[Target (units)]]*TargetHour,1,0),""))</f>
        <v>0</v>
      </c>
      <c r="P296" s="40" t="str">
        <f>IF(NOT(ISNUMBER(tblBoard[[#This Row],[Attainment]])),"",IF(tblBoard[[#This Row],[Attainment]]&gt;=TargetHour,"On target",IF(tblBoard[[#This Row],[Attainment]]&gt;=TargetHour*(1-0.05),"Near target","Below target")))</f>
        <v>Near target</v>
      </c>
      <c r="Q296" s="38">
        <f>IF(tblBoard[[#This Row],[Date]]="","",IF(tblBoard[[#This Row],[Hour]]="","",SUMIFS(tblBoard[Target (units)],tblBoard[Date],tblBoard[[#This Row],[Date]],tblBoard[Shift],tblBoard[[#This Row],[Shift]],tblBoard[Line],tblBoard[[#This Row],[Line]],tblBoard[Hour],"&lt;="&amp;tblBoard[[#This Row],[Hour]])))</f>
        <v>212</v>
      </c>
      <c r="R296" s="38">
        <f>IF(tblBoard[[#This Row],[Date]]="","",IF(tblBoard[[#This Row],[Hour]]="","",SUMIFS(tblBoard[Actual (units)],tblBoard[Date],tblBoard[[#This Row],[Date]],tblBoard[Shift],tblBoard[[#This Row],[Shift]],tblBoard[Line],tblBoard[[#This Row],[Line]],tblBoard[Hour],"&lt;="&amp;tblBoard[[#This Row],[Hour]])))</f>
        <v>201</v>
      </c>
      <c r="S296" s="38">
        <f>IF(tblBoard[[#This Row],[Date]]="","",IF(tblBoard[[#This Row],[Cum. target]]="","",tblBoard[[#This Row],[Cum. actual]]-tblBoard[[#This Row],[Cum. target]]))</f>
        <v>-11</v>
      </c>
      <c r="T296" s="41">
        <f>IF(tblBoard[[#This Row],[Date]]="","",IF(AND(tblBoard[[#This Row],[Date]]&gt;=FFrom,tblBoard[[#This Row],[Date]]&lt;=FTo,OR(DashLine="",tblBoard[[#This Row],[Line]]=DashLine)),tblBoard[[#This Row],[Date]],""))</f>
        <v>46311</v>
      </c>
      <c r="U29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6" s="43" t="s">
        <v>97</v>
      </c>
    </row>
    <row r="297" spans="2:22" x14ac:dyDescent="0.25">
      <c r="B297" s="36">
        <v>46311</v>
      </c>
      <c r="C297" s="28" t="s">
        <v>91</v>
      </c>
      <c r="D297" s="28" t="s">
        <v>85</v>
      </c>
      <c r="E297" s="33">
        <v>4</v>
      </c>
      <c r="F297" s="28" t="s">
        <v>105</v>
      </c>
      <c r="G297" s="33">
        <v>60</v>
      </c>
      <c r="H297" s="33">
        <v>74</v>
      </c>
      <c r="I297" s="28" t="s">
        <v>118</v>
      </c>
      <c r="J297" s="37">
        <f>IF(tblBoard[[#This Row],[Date]]="","",IFERROR(INDEX(tblProducts[Takt time (s)],MATCH(tblBoard[[#This Row],[Product]],tblProducts[Product],0)),""))</f>
        <v>48</v>
      </c>
      <c r="K297" s="38">
        <f>IF(tblBoard[[#This Row],[Date]]="","",IF(OR(tblBoard[[#This Row],[Takt (s)]]="",tblBoard[[#This Row],[Available (min)]]=""),"",INT(tblBoard[[#This Row],[Available (min)]]*60/tblBoard[[#This Row],[Takt (s)]])))</f>
        <v>75</v>
      </c>
      <c r="L297" s="38">
        <f>IF(tblBoard[[#This Row],[Date]]="","",IF(tblBoard[[#This Row],[Target (units)]]="","",tblBoard[[#This Row],[Actual (units)]]-tblBoard[[#This Row],[Target (units)]]))</f>
        <v>-1</v>
      </c>
      <c r="M297" s="38">
        <f>IF(tblBoard[[#This Row],[Date]]="","",IF(tblBoard[[#This Row],[Target (units)]]="","",MAX(0,tblBoard[[#This Row],[Target (units)]]-tblBoard[[#This Row],[Actual (units)]])))</f>
        <v>1</v>
      </c>
      <c r="N297" s="39">
        <f>IF(tblBoard[[#This Row],[Date]]="","",IF(N(tblBoard[[#This Row],[Target (units)]])&gt;0,tblBoard[[#This Row],[Actual (units)]]/tblBoard[[#This Row],[Target (units)]],""))</f>
        <v>0.986666666666667</v>
      </c>
      <c r="O297" s="38">
        <f>IF(tblBoard[[#This Row],[Date]]="","",IF(N(tblBoard[[#This Row],[Target (units)]])&gt;0,IF(tblBoard[[#This Row],[Actual (units)]]&gt;=tblBoard[[#This Row],[Target (units)]]*TargetHour,1,0),""))</f>
        <v>0</v>
      </c>
      <c r="P297" s="40" t="str">
        <f>IF(NOT(ISNUMBER(tblBoard[[#This Row],[Attainment]])),"",IF(tblBoard[[#This Row],[Attainment]]&gt;=TargetHour,"On target",IF(tblBoard[[#This Row],[Attainment]]&gt;=TargetHour*(1-0.05),"Near target","Below target")))</f>
        <v>Near target</v>
      </c>
      <c r="Q297" s="38">
        <f>IF(tblBoard[[#This Row],[Date]]="","",IF(tblBoard[[#This Row],[Hour]]="","",SUMIFS(tblBoard[Target (units)],tblBoard[Date],tblBoard[[#This Row],[Date]],tblBoard[Shift],tblBoard[[#This Row],[Shift]],tblBoard[Line],tblBoard[[#This Row],[Line]],tblBoard[Hour],"&lt;="&amp;tblBoard[[#This Row],[Hour]])))</f>
        <v>287</v>
      </c>
      <c r="R297" s="38">
        <f>IF(tblBoard[[#This Row],[Date]]="","",IF(tblBoard[[#This Row],[Hour]]="","",SUMIFS(tblBoard[Actual (units)],tblBoard[Date],tblBoard[[#This Row],[Date]],tblBoard[Shift],tblBoard[[#This Row],[Shift]],tblBoard[Line],tblBoard[[#This Row],[Line]],tblBoard[Hour],"&lt;="&amp;tblBoard[[#This Row],[Hour]])))</f>
        <v>275</v>
      </c>
      <c r="S297" s="38">
        <f>IF(tblBoard[[#This Row],[Date]]="","",IF(tblBoard[[#This Row],[Cum. target]]="","",tblBoard[[#This Row],[Cum. actual]]-tblBoard[[#This Row],[Cum. target]]))</f>
        <v>-12</v>
      </c>
      <c r="T297" s="41">
        <f>IF(tblBoard[[#This Row],[Date]]="","",IF(AND(tblBoard[[#This Row],[Date]]&gt;=FFrom,tblBoard[[#This Row],[Date]]&lt;=FTo,OR(DashLine="",tblBoard[[#This Row],[Line]]=DashLine)),tblBoard[[#This Row],[Date]],""))</f>
        <v>46311</v>
      </c>
      <c r="U29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7" s="43" t="s">
        <v>97</v>
      </c>
    </row>
    <row r="298" spans="2:22" x14ac:dyDescent="0.25">
      <c r="B298" s="36">
        <v>46311</v>
      </c>
      <c r="C298" s="28" t="s">
        <v>91</v>
      </c>
      <c r="D298" s="28" t="s">
        <v>85</v>
      </c>
      <c r="E298" s="33">
        <v>5</v>
      </c>
      <c r="F298" s="28" t="s">
        <v>105</v>
      </c>
      <c r="G298" s="33">
        <v>30</v>
      </c>
      <c r="H298" s="33">
        <v>37</v>
      </c>
      <c r="I298" s="28"/>
      <c r="J298" s="37">
        <f>IF(tblBoard[[#This Row],[Date]]="","",IFERROR(INDEX(tblProducts[Takt time (s)],MATCH(tblBoard[[#This Row],[Product]],tblProducts[Product],0)),""))</f>
        <v>48</v>
      </c>
      <c r="K298" s="38">
        <f>IF(tblBoard[[#This Row],[Date]]="","",IF(OR(tblBoard[[#This Row],[Takt (s)]]="",tblBoard[[#This Row],[Available (min)]]=""),"",INT(tblBoard[[#This Row],[Available (min)]]*60/tblBoard[[#This Row],[Takt (s)]])))</f>
        <v>37</v>
      </c>
      <c r="L298" s="38">
        <f>IF(tblBoard[[#This Row],[Date]]="","",IF(tblBoard[[#This Row],[Target (units)]]="","",tblBoard[[#This Row],[Actual (units)]]-tblBoard[[#This Row],[Target (units)]]))</f>
        <v>0</v>
      </c>
      <c r="M298" s="38">
        <f>IF(tblBoard[[#This Row],[Date]]="","",IF(tblBoard[[#This Row],[Target (units)]]="","",MAX(0,tblBoard[[#This Row],[Target (units)]]-tblBoard[[#This Row],[Actual (units)]])))</f>
        <v>0</v>
      </c>
      <c r="N298" s="39">
        <f>IF(tblBoard[[#This Row],[Date]]="","",IF(N(tblBoard[[#This Row],[Target (units)]])&gt;0,tblBoard[[#This Row],[Actual (units)]]/tblBoard[[#This Row],[Target (units)]],""))</f>
        <v>1</v>
      </c>
      <c r="O298" s="38">
        <f>IF(tblBoard[[#This Row],[Date]]="","",IF(N(tblBoard[[#This Row],[Target (units)]])&gt;0,IF(tblBoard[[#This Row],[Actual (units)]]&gt;=tblBoard[[#This Row],[Target (units)]]*TargetHour,1,0),""))</f>
        <v>1</v>
      </c>
      <c r="P298" s="40" t="str">
        <f>IF(NOT(ISNUMBER(tblBoard[[#This Row],[Attainment]])),"",IF(tblBoard[[#This Row],[Attainment]]&gt;=TargetHour,"On target",IF(tblBoard[[#This Row],[Attainment]]&gt;=TargetHour*(1-0.05),"Near target","Below target")))</f>
        <v>On target</v>
      </c>
      <c r="Q298" s="38">
        <f>IF(tblBoard[[#This Row],[Date]]="","",IF(tblBoard[[#This Row],[Hour]]="","",SUMIFS(tblBoard[Target (units)],tblBoard[Date],tblBoard[[#This Row],[Date]],tblBoard[Shift],tblBoard[[#This Row],[Shift]],tblBoard[Line],tblBoard[[#This Row],[Line]],tblBoard[Hour],"&lt;="&amp;tblBoard[[#This Row],[Hour]])))</f>
        <v>324</v>
      </c>
      <c r="R298" s="38">
        <f>IF(tblBoard[[#This Row],[Date]]="","",IF(tblBoard[[#This Row],[Hour]]="","",SUMIFS(tblBoard[Actual (units)],tblBoard[Date],tblBoard[[#This Row],[Date]],tblBoard[Shift],tblBoard[[#This Row],[Shift]],tblBoard[Line],tblBoard[[#This Row],[Line]],tblBoard[Hour],"&lt;="&amp;tblBoard[[#This Row],[Hour]])))</f>
        <v>312</v>
      </c>
      <c r="S298" s="38">
        <f>IF(tblBoard[[#This Row],[Date]]="","",IF(tblBoard[[#This Row],[Cum. target]]="","",tblBoard[[#This Row],[Cum. actual]]-tblBoard[[#This Row],[Cum. target]]))</f>
        <v>-12</v>
      </c>
      <c r="T298" s="41">
        <f>IF(tblBoard[[#This Row],[Date]]="","",IF(AND(tblBoard[[#This Row],[Date]]&gt;=FFrom,tblBoard[[#This Row],[Date]]&lt;=FTo,OR(DashLine="",tblBoard[[#This Row],[Line]]=DashLine)),tblBoard[[#This Row],[Date]],""))</f>
        <v>46311</v>
      </c>
      <c r="U29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8" s="43" t="s">
        <v>97</v>
      </c>
    </row>
    <row r="299" spans="2:22" x14ac:dyDescent="0.25">
      <c r="B299" s="36">
        <v>46311</v>
      </c>
      <c r="C299" s="28" t="s">
        <v>91</v>
      </c>
      <c r="D299" s="28" t="s">
        <v>85</v>
      </c>
      <c r="E299" s="33">
        <v>6</v>
      </c>
      <c r="F299" s="28" t="s">
        <v>105</v>
      </c>
      <c r="G299" s="33">
        <v>60</v>
      </c>
      <c r="H299" s="33">
        <v>69</v>
      </c>
      <c r="I299" s="28" t="s">
        <v>114</v>
      </c>
      <c r="J299" s="37">
        <f>IF(tblBoard[[#This Row],[Date]]="","",IFERROR(INDEX(tblProducts[Takt time (s)],MATCH(tblBoard[[#This Row],[Product]],tblProducts[Product],0)),""))</f>
        <v>48</v>
      </c>
      <c r="K299" s="38">
        <f>IF(tblBoard[[#This Row],[Date]]="","",IF(OR(tblBoard[[#This Row],[Takt (s)]]="",tblBoard[[#This Row],[Available (min)]]=""),"",INT(tblBoard[[#This Row],[Available (min)]]*60/tblBoard[[#This Row],[Takt (s)]])))</f>
        <v>75</v>
      </c>
      <c r="L299" s="38">
        <f>IF(tblBoard[[#This Row],[Date]]="","",IF(tblBoard[[#This Row],[Target (units)]]="","",tblBoard[[#This Row],[Actual (units)]]-tblBoard[[#This Row],[Target (units)]]))</f>
        <v>-6</v>
      </c>
      <c r="M299" s="38">
        <f>IF(tblBoard[[#This Row],[Date]]="","",IF(tblBoard[[#This Row],[Target (units)]]="","",MAX(0,tblBoard[[#This Row],[Target (units)]]-tblBoard[[#This Row],[Actual (units)]])))</f>
        <v>6</v>
      </c>
      <c r="N299" s="39">
        <f>IF(tblBoard[[#This Row],[Date]]="","",IF(N(tblBoard[[#This Row],[Target (units)]])&gt;0,tblBoard[[#This Row],[Actual (units)]]/tblBoard[[#This Row],[Target (units)]],""))</f>
        <v>0.92</v>
      </c>
      <c r="O299" s="38">
        <f>IF(tblBoard[[#This Row],[Date]]="","",IF(N(tblBoard[[#This Row],[Target (units)]])&gt;0,IF(tblBoard[[#This Row],[Actual (units)]]&gt;=tblBoard[[#This Row],[Target (units)]]*TargetHour,1,0),""))</f>
        <v>0</v>
      </c>
      <c r="P299" s="40" t="str">
        <f>IF(NOT(ISNUMBER(tblBoard[[#This Row],[Attainment]])),"",IF(tblBoard[[#This Row],[Attainment]]&gt;=TargetHour,"On target",IF(tblBoard[[#This Row],[Attainment]]&gt;=TargetHour*(1-0.05),"Near target","Below target")))</f>
        <v>Below target</v>
      </c>
      <c r="Q299" s="38">
        <f>IF(tblBoard[[#This Row],[Date]]="","",IF(tblBoard[[#This Row],[Hour]]="","",SUMIFS(tblBoard[Target (units)],tblBoard[Date],tblBoard[[#This Row],[Date]],tblBoard[Shift],tblBoard[[#This Row],[Shift]],tblBoard[Line],tblBoard[[#This Row],[Line]],tblBoard[Hour],"&lt;="&amp;tblBoard[[#This Row],[Hour]])))</f>
        <v>399</v>
      </c>
      <c r="R299" s="38">
        <f>IF(tblBoard[[#This Row],[Date]]="","",IF(tblBoard[[#This Row],[Hour]]="","",SUMIFS(tblBoard[Actual (units)],tblBoard[Date],tblBoard[[#This Row],[Date]],tblBoard[Shift],tblBoard[[#This Row],[Shift]],tblBoard[Line],tblBoard[[#This Row],[Line]],tblBoard[Hour],"&lt;="&amp;tblBoard[[#This Row],[Hour]])))</f>
        <v>381</v>
      </c>
      <c r="S299" s="38">
        <f>IF(tblBoard[[#This Row],[Date]]="","",IF(tblBoard[[#This Row],[Cum. target]]="","",tblBoard[[#This Row],[Cum. actual]]-tblBoard[[#This Row],[Cum. target]]))</f>
        <v>-18</v>
      </c>
      <c r="T299" s="41">
        <f>IF(tblBoard[[#This Row],[Date]]="","",IF(AND(tblBoard[[#This Row],[Date]]&gt;=FFrom,tblBoard[[#This Row],[Date]]&lt;=FTo,OR(DashLine="",tblBoard[[#This Row],[Line]]=DashLine)),tblBoard[[#This Row],[Date]],""))</f>
        <v>46311</v>
      </c>
      <c r="U29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299" s="43" t="s">
        <v>97</v>
      </c>
    </row>
    <row r="300" spans="2:22" x14ac:dyDescent="0.25">
      <c r="B300" s="36">
        <v>46311</v>
      </c>
      <c r="C300" s="28" t="s">
        <v>91</v>
      </c>
      <c r="D300" s="28" t="s">
        <v>85</v>
      </c>
      <c r="E300" s="33">
        <v>7</v>
      </c>
      <c r="F300" s="28" t="s">
        <v>105</v>
      </c>
      <c r="G300" s="33">
        <v>50</v>
      </c>
      <c r="H300" s="33">
        <v>62</v>
      </c>
      <c r="I300" s="28"/>
      <c r="J300" s="37">
        <f>IF(tblBoard[[#This Row],[Date]]="","",IFERROR(INDEX(tblProducts[Takt time (s)],MATCH(tblBoard[[#This Row],[Product]],tblProducts[Product],0)),""))</f>
        <v>48</v>
      </c>
      <c r="K300" s="38">
        <f>IF(tblBoard[[#This Row],[Date]]="","",IF(OR(tblBoard[[#This Row],[Takt (s)]]="",tblBoard[[#This Row],[Available (min)]]=""),"",INT(tblBoard[[#This Row],[Available (min)]]*60/tblBoard[[#This Row],[Takt (s)]])))</f>
        <v>62</v>
      </c>
      <c r="L300" s="38">
        <f>IF(tblBoard[[#This Row],[Date]]="","",IF(tblBoard[[#This Row],[Target (units)]]="","",tblBoard[[#This Row],[Actual (units)]]-tblBoard[[#This Row],[Target (units)]]))</f>
        <v>0</v>
      </c>
      <c r="M300" s="38">
        <f>IF(tblBoard[[#This Row],[Date]]="","",IF(tblBoard[[#This Row],[Target (units)]]="","",MAX(0,tblBoard[[#This Row],[Target (units)]]-tblBoard[[#This Row],[Actual (units)]])))</f>
        <v>0</v>
      </c>
      <c r="N300" s="39">
        <f>IF(tblBoard[[#This Row],[Date]]="","",IF(N(tblBoard[[#This Row],[Target (units)]])&gt;0,tblBoard[[#This Row],[Actual (units)]]/tblBoard[[#This Row],[Target (units)]],""))</f>
        <v>1</v>
      </c>
      <c r="O300" s="38">
        <f>IF(tblBoard[[#This Row],[Date]]="","",IF(N(tblBoard[[#This Row],[Target (units)]])&gt;0,IF(tblBoard[[#This Row],[Actual (units)]]&gt;=tblBoard[[#This Row],[Target (units)]]*TargetHour,1,0),""))</f>
        <v>1</v>
      </c>
      <c r="P300" s="40" t="str">
        <f>IF(NOT(ISNUMBER(tblBoard[[#This Row],[Attainment]])),"",IF(tblBoard[[#This Row],[Attainment]]&gt;=TargetHour,"On target",IF(tblBoard[[#This Row],[Attainment]]&gt;=TargetHour*(1-0.05),"Near target","Below target")))</f>
        <v>On target</v>
      </c>
      <c r="Q300" s="38">
        <f>IF(tblBoard[[#This Row],[Date]]="","",IF(tblBoard[[#This Row],[Hour]]="","",SUMIFS(tblBoard[Target (units)],tblBoard[Date],tblBoard[[#This Row],[Date]],tblBoard[Shift],tblBoard[[#This Row],[Shift]],tblBoard[Line],tblBoard[[#This Row],[Line]],tblBoard[Hour],"&lt;="&amp;tblBoard[[#This Row],[Hour]])))</f>
        <v>461</v>
      </c>
      <c r="R300" s="38">
        <f>IF(tblBoard[[#This Row],[Date]]="","",IF(tblBoard[[#This Row],[Hour]]="","",SUMIFS(tblBoard[Actual (units)],tblBoard[Date],tblBoard[[#This Row],[Date]],tblBoard[Shift],tblBoard[[#This Row],[Shift]],tblBoard[Line],tblBoard[[#This Row],[Line]],tblBoard[Hour],"&lt;="&amp;tblBoard[[#This Row],[Hour]])))</f>
        <v>443</v>
      </c>
      <c r="S300" s="38">
        <f>IF(tblBoard[[#This Row],[Date]]="","",IF(tblBoard[[#This Row],[Cum. target]]="","",tblBoard[[#This Row],[Cum. actual]]-tblBoard[[#This Row],[Cum. target]]))</f>
        <v>-18</v>
      </c>
      <c r="T300" s="41">
        <f>IF(tblBoard[[#This Row],[Date]]="","",IF(AND(tblBoard[[#This Row],[Date]]&gt;=FFrom,tblBoard[[#This Row],[Date]]&lt;=FTo,OR(DashLine="",tblBoard[[#This Row],[Line]]=DashLine)),tblBoard[[#This Row],[Date]],""))</f>
        <v>46311</v>
      </c>
      <c r="U30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0" s="43" t="s">
        <v>97</v>
      </c>
    </row>
    <row r="301" spans="2:22" x14ac:dyDescent="0.25">
      <c r="B301" s="36">
        <v>46311</v>
      </c>
      <c r="C301" s="28" t="s">
        <v>91</v>
      </c>
      <c r="D301" s="28" t="s">
        <v>85</v>
      </c>
      <c r="E301" s="33">
        <v>8</v>
      </c>
      <c r="F301" s="28" t="s">
        <v>105</v>
      </c>
      <c r="G301" s="33">
        <v>50</v>
      </c>
      <c r="H301" s="33">
        <v>62</v>
      </c>
      <c r="I301" s="28"/>
      <c r="J301" s="37">
        <f>IF(tblBoard[[#This Row],[Date]]="","",IFERROR(INDEX(tblProducts[Takt time (s)],MATCH(tblBoard[[#This Row],[Product]],tblProducts[Product],0)),""))</f>
        <v>48</v>
      </c>
      <c r="K301" s="38">
        <f>IF(tblBoard[[#This Row],[Date]]="","",IF(OR(tblBoard[[#This Row],[Takt (s)]]="",tblBoard[[#This Row],[Available (min)]]=""),"",INT(tblBoard[[#This Row],[Available (min)]]*60/tblBoard[[#This Row],[Takt (s)]])))</f>
        <v>62</v>
      </c>
      <c r="L301" s="38">
        <f>IF(tblBoard[[#This Row],[Date]]="","",IF(tblBoard[[#This Row],[Target (units)]]="","",tblBoard[[#This Row],[Actual (units)]]-tblBoard[[#This Row],[Target (units)]]))</f>
        <v>0</v>
      </c>
      <c r="M301" s="38">
        <f>IF(tblBoard[[#This Row],[Date]]="","",IF(tblBoard[[#This Row],[Target (units)]]="","",MAX(0,tblBoard[[#This Row],[Target (units)]]-tblBoard[[#This Row],[Actual (units)]])))</f>
        <v>0</v>
      </c>
      <c r="N301" s="39">
        <f>IF(tblBoard[[#This Row],[Date]]="","",IF(N(tblBoard[[#This Row],[Target (units)]])&gt;0,tblBoard[[#This Row],[Actual (units)]]/tblBoard[[#This Row],[Target (units)]],""))</f>
        <v>1</v>
      </c>
      <c r="O301" s="38">
        <f>IF(tblBoard[[#This Row],[Date]]="","",IF(N(tblBoard[[#This Row],[Target (units)]])&gt;0,IF(tblBoard[[#This Row],[Actual (units)]]&gt;=tblBoard[[#This Row],[Target (units)]]*TargetHour,1,0),""))</f>
        <v>1</v>
      </c>
      <c r="P301" s="40" t="str">
        <f>IF(NOT(ISNUMBER(tblBoard[[#This Row],[Attainment]])),"",IF(tblBoard[[#This Row],[Attainment]]&gt;=TargetHour,"On target",IF(tblBoard[[#This Row],[Attainment]]&gt;=TargetHour*(1-0.05),"Near target","Below target")))</f>
        <v>On target</v>
      </c>
      <c r="Q301" s="38">
        <f>IF(tblBoard[[#This Row],[Date]]="","",IF(tblBoard[[#This Row],[Hour]]="","",SUMIFS(tblBoard[Target (units)],tblBoard[Date],tblBoard[[#This Row],[Date]],tblBoard[Shift],tblBoard[[#This Row],[Shift]],tblBoard[Line],tblBoard[[#This Row],[Line]],tblBoard[Hour],"&lt;="&amp;tblBoard[[#This Row],[Hour]])))</f>
        <v>523</v>
      </c>
      <c r="R301" s="38">
        <f>IF(tblBoard[[#This Row],[Date]]="","",IF(tblBoard[[#This Row],[Hour]]="","",SUMIFS(tblBoard[Actual (units)],tblBoard[Date],tblBoard[[#This Row],[Date]],tblBoard[Shift],tblBoard[[#This Row],[Shift]],tblBoard[Line],tblBoard[[#This Row],[Line]],tblBoard[Hour],"&lt;="&amp;tblBoard[[#This Row],[Hour]])))</f>
        <v>505</v>
      </c>
      <c r="S301" s="38">
        <f>IF(tblBoard[[#This Row],[Date]]="","",IF(tblBoard[[#This Row],[Cum. target]]="","",tblBoard[[#This Row],[Cum. actual]]-tblBoard[[#This Row],[Cum. target]]))</f>
        <v>-18</v>
      </c>
      <c r="T301" s="41">
        <f>IF(tblBoard[[#This Row],[Date]]="","",IF(AND(tblBoard[[#This Row],[Date]]&gt;=FFrom,tblBoard[[#This Row],[Date]]&lt;=FTo,OR(DashLine="",tblBoard[[#This Row],[Line]]=DashLine)),tblBoard[[#This Row],[Date]],""))</f>
        <v>46311</v>
      </c>
      <c r="U30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1" s="43" t="s">
        <v>97</v>
      </c>
    </row>
    <row r="302" spans="2:22" x14ac:dyDescent="0.25">
      <c r="B302" s="36">
        <v>46311</v>
      </c>
      <c r="C302" s="28" t="s">
        <v>91</v>
      </c>
      <c r="D302" s="28" t="s">
        <v>88</v>
      </c>
      <c r="E302" s="33">
        <v>1</v>
      </c>
      <c r="F302" s="28" t="s">
        <v>107</v>
      </c>
      <c r="G302" s="33">
        <v>60</v>
      </c>
      <c r="H302" s="33">
        <v>104</v>
      </c>
      <c r="I302" s="28" t="s">
        <v>110</v>
      </c>
      <c r="J302" s="37">
        <f>IF(tblBoard[[#This Row],[Date]]="","",IFERROR(INDEX(tblProducts[Takt time (s)],MATCH(tblBoard[[#This Row],[Product]],tblProducts[Product],0)),""))</f>
        <v>30</v>
      </c>
      <c r="K302" s="38">
        <f>IF(tblBoard[[#This Row],[Date]]="","",IF(OR(tblBoard[[#This Row],[Takt (s)]]="",tblBoard[[#This Row],[Available (min)]]=""),"",INT(tblBoard[[#This Row],[Available (min)]]*60/tblBoard[[#This Row],[Takt (s)]])))</f>
        <v>120</v>
      </c>
      <c r="L302" s="38">
        <f>IF(tblBoard[[#This Row],[Date]]="","",IF(tblBoard[[#This Row],[Target (units)]]="","",tblBoard[[#This Row],[Actual (units)]]-tblBoard[[#This Row],[Target (units)]]))</f>
        <v>-16</v>
      </c>
      <c r="M302" s="38">
        <f>IF(tblBoard[[#This Row],[Date]]="","",IF(tblBoard[[#This Row],[Target (units)]]="","",MAX(0,tblBoard[[#This Row],[Target (units)]]-tblBoard[[#This Row],[Actual (units)]])))</f>
        <v>16</v>
      </c>
      <c r="N302" s="39">
        <f>IF(tblBoard[[#This Row],[Date]]="","",IF(N(tblBoard[[#This Row],[Target (units)]])&gt;0,tblBoard[[#This Row],[Actual (units)]]/tblBoard[[#This Row],[Target (units)]],""))</f>
        <v>0.866666666666667</v>
      </c>
      <c r="O302" s="38">
        <f>IF(tblBoard[[#This Row],[Date]]="","",IF(N(tblBoard[[#This Row],[Target (units)]])&gt;0,IF(tblBoard[[#This Row],[Actual (units)]]&gt;=tblBoard[[#This Row],[Target (units)]]*TargetHour,1,0),""))</f>
        <v>0</v>
      </c>
      <c r="P302" s="40" t="str">
        <f>IF(NOT(ISNUMBER(tblBoard[[#This Row],[Attainment]])),"",IF(tblBoard[[#This Row],[Attainment]]&gt;=TargetHour,"On target",IF(tblBoard[[#This Row],[Attainment]]&gt;=TargetHour*(1-0.05),"Near target","Below target")))</f>
        <v>Below target</v>
      </c>
      <c r="Q302" s="38">
        <f>IF(tblBoard[[#This Row],[Date]]="","",IF(tblBoard[[#This Row],[Hour]]="","",SUMIFS(tblBoard[Target (units)],tblBoard[Date],tblBoard[[#This Row],[Date]],tblBoard[Shift],tblBoard[[#This Row],[Shift]],tblBoard[Line],tblBoard[[#This Row],[Line]],tblBoard[Hour],"&lt;="&amp;tblBoard[[#This Row],[Hour]])))</f>
        <v>120</v>
      </c>
      <c r="R302" s="38">
        <f>IF(tblBoard[[#This Row],[Date]]="","",IF(tblBoard[[#This Row],[Hour]]="","",SUMIFS(tblBoard[Actual (units)],tblBoard[Date],tblBoard[[#This Row],[Date]],tblBoard[Shift],tblBoard[[#This Row],[Shift]],tblBoard[Line],tblBoard[[#This Row],[Line]],tblBoard[Hour],"&lt;="&amp;tblBoard[[#This Row],[Hour]])))</f>
        <v>104</v>
      </c>
      <c r="S302" s="38">
        <f>IF(tblBoard[[#This Row],[Date]]="","",IF(tblBoard[[#This Row],[Cum. target]]="","",tblBoard[[#This Row],[Cum. actual]]-tblBoard[[#This Row],[Cum. target]]))</f>
        <v>-16</v>
      </c>
      <c r="T302" s="41">
        <f>IF(tblBoard[[#This Row],[Date]]="","",IF(AND(tblBoard[[#This Row],[Date]]&gt;=FFrom,tblBoard[[#This Row],[Date]]&lt;=FTo,OR(DashLine="",tblBoard[[#This Row],[Line]]=DashLine)),tblBoard[[#This Row],[Date]],""))</f>
        <v>46311</v>
      </c>
      <c r="U30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2" s="43" t="s">
        <v>97</v>
      </c>
    </row>
    <row r="303" spans="2:22" x14ac:dyDescent="0.25">
      <c r="B303" s="36">
        <v>46311</v>
      </c>
      <c r="C303" s="28" t="s">
        <v>91</v>
      </c>
      <c r="D303" s="28" t="s">
        <v>88</v>
      </c>
      <c r="E303" s="33">
        <v>2</v>
      </c>
      <c r="F303" s="28" t="s">
        <v>107</v>
      </c>
      <c r="G303" s="33">
        <v>60</v>
      </c>
      <c r="H303" s="33">
        <v>127</v>
      </c>
      <c r="I303" s="28"/>
      <c r="J303" s="37">
        <f>IF(tblBoard[[#This Row],[Date]]="","",IFERROR(INDEX(tblProducts[Takt time (s)],MATCH(tblBoard[[#This Row],[Product]],tblProducts[Product],0)),""))</f>
        <v>30</v>
      </c>
      <c r="K303" s="38">
        <f>IF(tblBoard[[#This Row],[Date]]="","",IF(OR(tblBoard[[#This Row],[Takt (s)]]="",tblBoard[[#This Row],[Available (min)]]=""),"",INT(tblBoard[[#This Row],[Available (min)]]*60/tblBoard[[#This Row],[Takt (s)]])))</f>
        <v>120</v>
      </c>
      <c r="L303" s="38">
        <f>IF(tblBoard[[#This Row],[Date]]="","",IF(tblBoard[[#This Row],[Target (units)]]="","",tblBoard[[#This Row],[Actual (units)]]-tblBoard[[#This Row],[Target (units)]]))</f>
        <v>7</v>
      </c>
      <c r="M303" s="38">
        <f>IF(tblBoard[[#This Row],[Date]]="","",IF(tblBoard[[#This Row],[Target (units)]]="","",MAX(0,tblBoard[[#This Row],[Target (units)]]-tblBoard[[#This Row],[Actual (units)]])))</f>
        <v>0</v>
      </c>
      <c r="N303" s="39">
        <f>IF(tblBoard[[#This Row],[Date]]="","",IF(N(tblBoard[[#This Row],[Target (units)]])&gt;0,tblBoard[[#This Row],[Actual (units)]]/tblBoard[[#This Row],[Target (units)]],""))</f>
        <v>1.05833333333333</v>
      </c>
      <c r="O303" s="38">
        <f>IF(tblBoard[[#This Row],[Date]]="","",IF(N(tblBoard[[#This Row],[Target (units)]])&gt;0,IF(tblBoard[[#This Row],[Actual (units)]]&gt;=tblBoard[[#This Row],[Target (units)]]*TargetHour,1,0),""))</f>
        <v>1</v>
      </c>
      <c r="P303" s="40" t="str">
        <f>IF(NOT(ISNUMBER(tblBoard[[#This Row],[Attainment]])),"",IF(tblBoard[[#This Row],[Attainment]]&gt;=TargetHour,"On target",IF(tblBoard[[#This Row],[Attainment]]&gt;=TargetHour*(1-0.05),"Near target","Below target")))</f>
        <v>On target</v>
      </c>
      <c r="Q303" s="38">
        <f>IF(tblBoard[[#This Row],[Date]]="","",IF(tblBoard[[#This Row],[Hour]]="","",SUMIFS(tblBoard[Target (units)],tblBoard[Date],tblBoard[[#This Row],[Date]],tblBoard[Shift],tblBoard[[#This Row],[Shift]],tblBoard[Line],tblBoard[[#This Row],[Line]],tblBoard[Hour],"&lt;="&amp;tblBoard[[#This Row],[Hour]])))</f>
        <v>240</v>
      </c>
      <c r="R303" s="38">
        <f>IF(tblBoard[[#This Row],[Date]]="","",IF(tblBoard[[#This Row],[Hour]]="","",SUMIFS(tblBoard[Actual (units)],tblBoard[Date],tblBoard[[#This Row],[Date]],tblBoard[Shift],tblBoard[[#This Row],[Shift]],tblBoard[Line],tblBoard[[#This Row],[Line]],tblBoard[Hour],"&lt;="&amp;tblBoard[[#This Row],[Hour]])))</f>
        <v>231</v>
      </c>
      <c r="S303" s="38">
        <f>IF(tblBoard[[#This Row],[Date]]="","",IF(tblBoard[[#This Row],[Cum. target]]="","",tblBoard[[#This Row],[Cum. actual]]-tblBoard[[#This Row],[Cum. target]]))</f>
        <v>-9</v>
      </c>
      <c r="T303" s="41">
        <f>IF(tblBoard[[#This Row],[Date]]="","",IF(AND(tblBoard[[#This Row],[Date]]&gt;=FFrom,tblBoard[[#This Row],[Date]]&lt;=FTo,OR(DashLine="",tblBoard[[#This Row],[Line]]=DashLine)),tblBoard[[#This Row],[Date]],""))</f>
        <v>46311</v>
      </c>
      <c r="U30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3" s="43" t="s">
        <v>97</v>
      </c>
    </row>
    <row r="304" spans="2:22" x14ac:dyDescent="0.25">
      <c r="B304" s="36">
        <v>46311</v>
      </c>
      <c r="C304" s="28" t="s">
        <v>91</v>
      </c>
      <c r="D304" s="28" t="s">
        <v>88</v>
      </c>
      <c r="E304" s="33">
        <v>3</v>
      </c>
      <c r="F304" s="28" t="s">
        <v>107</v>
      </c>
      <c r="G304" s="33">
        <v>50</v>
      </c>
      <c r="H304" s="33">
        <v>51</v>
      </c>
      <c r="I304" s="28" t="s">
        <v>112</v>
      </c>
      <c r="J304" s="37">
        <f>IF(tblBoard[[#This Row],[Date]]="","",IFERROR(INDEX(tblProducts[Takt time (s)],MATCH(tblBoard[[#This Row],[Product]],tblProducts[Product],0)),""))</f>
        <v>30</v>
      </c>
      <c r="K304" s="38">
        <f>IF(tblBoard[[#This Row],[Date]]="","",IF(OR(tblBoard[[#This Row],[Takt (s)]]="",tblBoard[[#This Row],[Available (min)]]=""),"",INT(tblBoard[[#This Row],[Available (min)]]*60/tblBoard[[#This Row],[Takt (s)]])))</f>
        <v>100</v>
      </c>
      <c r="L304" s="38">
        <f>IF(tblBoard[[#This Row],[Date]]="","",IF(tblBoard[[#This Row],[Target (units)]]="","",tblBoard[[#This Row],[Actual (units)]]-tblBoard[[#This Row],[Target (units)]]))</f>
        <v>-49</v>
      </c>
      <c r="M304" s="38">
        <f>IF(tblBoard[[#This Row],[Date]]="","",IF(tblBoard[[#This Row],[Target (units)]]="","",MAX(0,tblBoard[[#This Row],[Target (units)]]-tblBoard[[#This Row],[Actual (units)]])))</f>
        <v>49</v>
      </c>
      <c r="N304" s="39">
        <f>IF(tblBoard[[#This Row],[Date]]="","",IF(N(tblBoard[[#This Row],[Target (units)]])&gt;0,tblBoard[[#This Row],[Actual (units)]]/tblBoard[[#This Row],[Target (units)]],""))</f>
        <v>0.51</v>
      </c>
      <c r="O304" s="38">
        <f>IF(tblBoard[[#This Row],[Date]]="","",IF(N(tblBoard[[#This Row],[Target (units)]])&gt;0,IF(tblBoard[[#This Row],[Actual (units)]]&gt;=tblBoard[[#This Row],[Target (units)]]*TargetHour,1,0),""))</f>
        <v>0</v>
      </c>
      <c r="P304" s="40" t="str">
        <f>IF(NOT(ISNUMBER(tblBoard[[#This Row],[Attainment]])),"",IF(tblBoard[[#This Row],[Attainment]]&gt;=TargetHour,"On target",IF(tblBoard[[#This Row],[Attainment]]&gt;=TargetHour*(1-0.05),"Near target","Below target")))</f>
        <v>Below target</v>
      </c>
      <c r="Q304" s="38">
        <f>IF(tblBoard[[#This Row],[Date]]="","",IF(tblBoard[[#This Row],[Hour]]="","",SUMIFS(tblBoard[Target (units)],tblBoard[Date],tblBoard[[#This Row],[Date]],tblBoard[Shift],tblBoard[[#This Row],[Shift]],tblBoard[Line],tblBoard[[#This Row],[Line]],tblBoard[Hour],"&lt;="&amp;tblBoard[[#This Row],[Hour]])))</f>
        <v>340</v>
      </c>
      <c r="R304" s="38">
        <f>IF(tblBoard[[#This Row],[Date]]="","",IF(tblBoard[[#This Row],[Hour]]="","",SUMIFS(tblBoard[Actual (units)],tblBoard[Date],tblBoard[[#This Row],[Date]],tblBoard[Shift],tblBoard[[#This Row],[Shift]],tblBoard[Line],tblBoard[[#This Row],[Line]],tblBoard[Hour],"&lt;="&amp;tblBoard[[#This Row],[Hour]])))</f>
        <v>282</v>
      </c>
      <c r="S304" s="38">
        <f>IF(tblBoard[[#This Row],[Date]]="","",IF(tblBoard[[#This Row],[Cum. target]]="","",tblBoard[[#This Row],[Cum. actual]]-tblBoard[[#This Row],[Cum. target]]))</f>
        <v>-58</v>
      </c>
      <c r="T304" s="41">
        <f>IF(tblBoard[[#This Row],[Date]]="","",IF(AND(tblBoard[[#This Row],[Date]]&gt;=FFrom,tblBoard[[#This Row],[Date]]&lt;=FTo,OR(DashLine="",tblBoard[[#This Row],[Line]]=DashLine)),tblBoard[[#This Row],[Date]],""))</f>
        <v>46311</v>
      </c>
      <c r="U30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4" s="43" t="s">
        <v>145</v>
      </c>
    </row>
    <row r="305" spans="2:22" x14ac:dyDescent="0.25">
      <c r="B305" s="36">
        <v>46311</v>
      </c>
      <c r="C305" s="28" t="s">
        <v>91</v>
      </c>
      <c r="D305" s="28" t="s">
        <v>88</v>
      </c>
      <c r="E305" s="33">
        <v>4</v>
      </c>
      <c r="F305" s="28" t="s">
        <v>107</v>
      </c>
      <c r="G305" s="33">
        <v>60</v>
      </c>
      <c r="H305" s="33">
        <v>125</v>
      </c>
      <c r="I305" s="28"/>
      <c r="J305" s="37">
        <f>IF(tblBoard[[#This Row],[Date]]="","",IFERROR(INDEX(tblProducts[Takt time (s)],MATCH(tblBoard[[#This Row],[Product]],tblProducts[Product],0)),""))</f>
        <v>30</v>
      </c>
      <c r="K305" s="38">
        <f>IF(tblBoard[[#This Row],[Date]]="","",IF(OR(tblBoard[[#This Row],[Takt (s)]]="",tblBoard[[#This Row],[Available (min)]]=""),"",INT(tblBoard[[#This Row],[Available (min)]]*60/tblBoard[[#This Row],[Takt (s)]])))</f>
        <v>120</v>
      </c>
      <c r="L305" s="38">
        <f>IF(tblBoard[[#This Row],[Date]]="","",IF(tblBoard[[#This Row],[Target (units)]]="","",tblBoard[[#This Row],[Actual (units)]]-tblBoard[[#This Row],[Target (units)]]))</f>
        <v>5</v>
      </c>
      <c r="M305" s="38">
        <f>IF(tblBoard[[#This Row],[Date]]="","",IF(tblBoard[[#This Row],[Target (units)]]="","",MAX(0,tblBoard[[#This Row],[Target (units)]]-tblBoard[[#This Row],[Actual (units)]])))</f>
        <v>0</v>
      </c>
      <c r="N305" s="39">
        <f>IF(tblBoard[[#This Row],[Date]]="","",IF(N(tblBoard[[#This Row],[Target (units)]])&gt;0,tblBoard[[#This Row],[Actual (units)]]/tblBoard[[#This Row],[Target (units)]],""))</f>
        <v>1.04166666666667</v>
      </c>
      <c r="O305" s="38">
        <f>IF(tblBoard[[#This Row],[Date]]="","",IF(N(tblBoard[[#This Row],[Target (units)]])&gt;0,IF(tblBoard[[#This Row],[Actual (units)]]&gt;=tblBoard[[#This Row],[Target (units)]]*TargetHour,1,0),""))</f>
        <v>1</v>
      </c>
      <c r="P305" s="40" t="str">
        <f>IF(NOT(ISNUMBER(tblBoard[[#This Row],[Attainment]])),"",IF(tblBoard[[#This Row],[Attainment]]&gt;=TargetHour,"On target",IF(tblBoard[[#This Row],[Attainment]]&gt;=TargetHour*(1-0.05),"Near target","Below target")))</f>
        <v>On target</v>
      </c>
      <c r="Q305" s="38">
        <f>IF(tblBoard[[#This Row],[Date]]="","",IF(tblBoard[[#This Row],[Hour]]="","",SUMIFS(tblBoard[Target (units)],tblBoard[Date],tblBoard[[#This Row],[Date]],tblBoard[Shift],tblBoard[[#This Row],[Shift]],tblBoard[Line],tblBoard[[#This Row],[Line]],tblBoard[Hour],"&lt;="&amp;tblBoard[[#This Row],[Hour]])))</f>
        <v>460</v>
      </c>
      <c r="R305" s="38">
        <f>IF(tblBoard[[#This Row],[Date]]="","",IF(tblBoard[[#This Row],[Hour]]="","",SUMIFS(tblBoard[Actual (units)],tblBoard[Date],tblBoard[[#This Row],[Date]],tblBoard[Shift],tblBoard[[#This Row],[Shift]],tblBoard[Line],tblBoard[[#This Row],[Line]],tblBoard[Hour],"&lt;="&amp;tblBoard[[#This Row],[Hour]])))</f>
        <v>407</v>
      </c>
      <c r="S305" s="38">
        <f>IF(tblBoard[[#This Row],[Date]]="","",IF(tblBoard[[#This Row],[Cum. target]]="","",tblBoard[[#This Row],[Cum. actual]]-tblBoard[[#This Row],[Cum. target]]))</f>
        <v>-53</v>
      </c>
      <c r="T305" s="41">
        <f>IF(tblBoard[[#This Row],[Date]]="","",IF(AND(tblBoard[[#This Row],[Date]]&gt;=FFrom,tblBoard[[#This Row],[Date]]&lt;=FTo,OR(DashLine="",tblBoard[[#This Row],[Line]]=DashLine)),tblBoard[[#This Row],[Date]],""))</f>
        <v>46311</v>
      </c>
      <c r="U30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5" s="43" t="s">
        <v>97</v>
      </c>
    </row>
    <row r="306" spans="2:22" x14ac:dyDescent="0.25">
      <c r="B306" s="36">
        <v>46311</v>
      </c>
      <c r="C306" s="28" t="s">
        <v>91</v>
      </c>
      <c r="D306" s="28" t="s">
        <v>88</v>
      </c>
      <c r="E306" s="33">
        <v>5</v>
      </c>
      <c r="F306" s="28" t="s">
        <v>107</v>
      </c>
      <c r="G306" s="33">
        <v>30</v>
      </c>
      <c r="H306" s="33">
        <v>61</v>
      </c>
      <c r="I306" s="28"/>
      <c r="J306" s="37">
        <f>IF(tblBoard[[#This Row],[Date]]="","",IFERROR(INDEX(tblProducts[Takt time (s)],MATCH(tblBoard[[#This Row],[Product]],tblProducts[Product],0)),""))</f>
        <v>30</v>
      </c>
      <c r="K306" s="38">
        <f>IF(tblBoard[[#This Row],[Date]]="","",IF(OR(tblBoard[[#This Row],[Takt (s)]]="",tblBoard[[#This Row],[Available (min)]]=""),"",INT(tblBoard[[#This Row],[Available (min)]]*60/tblBoard[[#This Row],[Takt (s)]])))</f>
        <v>60</v>
      </c>
      <c r="L306" s="38">
        <f>IF(tblBoard[[#This Row],[Date]]="","",IF(tblBoard[[#This Row],[Target (units)]]="","",tblBoard[[#This Row],[Actual (units)]]-tblBoard[[#This Row],[Target (units)]]))</f>
        <v>1</v>
      </c>
      <c r="M306" s="38">
        <f>IF(tblBoard[[#This Row],[Date]]="","",IF(tblBoard[[#This Row],[Target (units)]]="","",MAX(0,tblBoard[[#This Row],[Target (units)]]-tblBoard[[#This Row],[Actual (units)]])))</f>
        <v>0</v>
      </c>
      <c r="N306" s="39">
        <f>IF(tblBoard[[#This Row],[Date]]="","",IF(N(tblBoard[[#This Row],[Target (units)]])&gt;0,tblBoard[[#This Row],[Actual (units)]]/tblBoard[[#This Row],[Target (units)]],""))</f>
        <v>1.01666666666667</v>
      </c>
      <c r="O306" s="38">
        <f>IF(tblBoard[[#This Row],[Date]]="","",IF(N(tblBoard[[#This Row],[Target (units)]])&gt;0,IF(tblBoard[[#This Row],[Actual (units)]]&gt;=tblBoard[[#This Row],[Target (units)]]*TargetHour,1,0),""))</f>
        <v>1</v>
      </c>
      <c r="P306" s="40" t="str">
        <f>IF(NOT(ISNUMBER(tblBoard[[#This Row],[Attainment]])),"",IF(tblBoard[[#This Row],[Attainment]]&gt;=TargetHour,"On target",IF(tblBoard[[#This Row],[Attainment]]&gt;=TargetHour*(1-0.05),"Near target","Below target")))</f>
        <v>On target</v>
      </c>
      <c r="Q306" s="38">
        <f>IF(tblBoard[[#This Row],[Date]]="","",IF(tblBoard[[#This Row],[Hour]]="","",SUMIFS(tblBoard[Target (units)],tblBoard[Date],tblBoard[[#This Row],[Date]],tblBoard[Shift],tblBoard[[#This Row],[Shift]],tblBoard[Line],tblBoard[[#This Row],[Line]],tblBoard[Hour],"&lt;="&amp;tblBoard[[#This Row],[Hour]])))</f>
        <v>520</v>
      </c>
      <c r="R306" s="38">
        <f>IF(tblBoard[[#This Row],[Date]]="","",IF(tblBoard[[#This Row],[Hour]]="","",SUMIFS(tblBoard[Actual (units)],tblBoard[Date],tblBoard[[#This Row],[Date]],tblBoard[Shift],tblBoard[[#This Row],[Shift]],tblBoard[Line],tblBoard[[#This Row],[Line]],tblBoard[Hour],"&lt;="&amp;tblBoard[[#This Row],[Hour]])))</f>
        <v>468</v>
      </c>
      <c r="S306" s="38">
        <f>IF(tblBoard[[#This Row],[Date]]="","",IF(tblBoard[[#This Row],[Cum. target]]="","",tblBoard[[#This Row],[Cum. actual]]-tblBoard[[#This Row],[Cum. target]]))</f>
        <v>-52</v>
      </c>
      <c r="T306" s="41">
        <f>IF(tblBoard[[#This Row],[Date]]="","",IF(AND(tblBoard[[#This Row],[Date]]&gt;=FFrom,tblBoard[[#This Row],[Date]]&lt;=FTo,OR(DashLine="",tblBoard[[#This Row],[Line]]=DashLine)),tblBoard[[#This Row],[Date]],""))</f>
        <v>46311</v>
      </c>
      <c r="U30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6" s="43" t="s">
        <v>97</v>
      </c>
    </row>
    <row r="307" spans="2:22" x14ac:dyDescent="0.25">
      <c r="B307" s="36">
        <v>46311</v>
      </c>
      <c r="C307" s="28" t="s">
        <v>91</v>
      </c>
      <c r="D307" s="28" t="s">
        <v>88</v>
      </c>
      <c r="E307" s="33">
        <v>6</v>
      </c>
      <c r="F307" s="28" t="s">
        <v>107</v>
      </c>
      <c r="G307" s="33">
        <v>60</v>
      </c>
      <c r="H307" s="33">
        <v>114</v>
      </c>
      <c r="I307" s="28" t="s">
        <v>114</v>
      </c>
      <c r="J307" s="37">
        <f>IF(tblBoard[[#This Row],[Date]]="","",IFERROR(INDEX(tblProducts[Takt time (s)],MATCH(tblBoard[[#This Row],[Product]],tblProducts[Product],0)),""))</f>
        <v>30</v>
      </c>
      <c r="K307" s="38">
        <f>IF(tblBoard[[#This Row],[Date]]="","",IF(OR(tblBoard[[#This Row],[Takt (s)]]="",tblBoard[[#This Row],[Available (min)]]=""),"",INT(tblBoard[[#This Row],[Available (min)]]*60/tblBoard[[#This Row],[Takt (s)]])))</f>
        <v>120</v>
      </c>
      <c r="L307" s="38">
        <f>IF(tblBoard[[#This Row],[Date]]="","",IF(tblBoard[[#This Row],[Target (units)]]="","",tblBoard[[#This Row],[Actual (units)]]-tblBoard[[#This Row],[Target (units)]]))</f>
        <v>-6</v>
      </c>
      <c r="M307" s="38">
        <f>IF(tblBoard[[#This Row],[Date]]="","",IF(tblBoard[[#This Row],[Target (units)]]="","",MAX(0,tblBoard[[#This Row],[Target (units)]]-tblBoard[[#This Row],[Actual (units)]])))</f>
        <v>6</v>
      </c>
      <c r="N307" s="39">
        <f>IF(tblBoard[[#This Row],[Date]]="","",IF(N(tblBoard[[#This Row],[Target (units)]])&gt;0,tblBoard[[#This Row],[Actual (units)]]/tblBoard[[#This Row],[Target (units)]],""))</f>
        <v>0.95</v>
      </c>
      <c r="O307" s="38">
        <f>IF(tblBoard[[#This Row],[Date]]="","",IF(N(tblBoard[[#This Row],[Target (units)]])&gt;0,IF(tblBoard[[#This Row],[Actual (units)]]&gt;=tblBoard[[#This Row],[Target (units)]]*TargetHour,1,0),""))</f>
        <v>0</v>
      </c>
      <c r="P307" s="40" t="str">
        <f>IF(NOT(ISNUMBER(tblBoard[[#This Row],[Attainment]])),"",IF(tblBoard[[#This Row],[Attainment]]&gt;=TargetHour,"On target",IF(tblBoard[[#This Row],[Attainment]]&gt;=TargetHour*(1-0.05),"Near target","Below target")))</f>
        <v>Near target</v>
      </c>
      <c r="Q307" s="38">
        <f>IF(tblBoard[[#This Row],[Date]]="","",IF(tblBoard[[#This Row],[Hour]]="","",SUMIFS(tblBoard[Target (units)],tblBoard[Date],tblBoard[[#This Row],[Date]],tblBoard[Shift],tblBoard[[#This Row],[Shift]],tblBoard[Line],tblBoard[[#This Row],[Line]],tblBoard[Hour],"&lt;="&amp;tblBoard[[#This Row],[Hour]])))</f>
        <v>640</v>
      </c>
      <c r="R307" s="38">
        <f>IF(tblBoard[[#This Row],[Date]]="","",IF(tblBoard[[#This Row],[Hour]]="","",SUMIFS(tblBoard[Actual (units)],tblBoard[Date],tblBoard[[#This Row],[Date]],tblBoard[Shift],tblBoard[[#This Row],[Shift]],tblBoard[Line],tblBoard[[#This Row],[Line]],tblBoard[Hour],"&lt;="&amp;tblBoard[[#This Row],[Hour]])))</f>
        <v>582</v>
      </c>
      <c r="S307" s="38">
        <f>IF(tblBoard[[#This Row],[Date]]="","",IF(tblBoard[[#This Row],[Cum. target]]="","",tblBoard[[#This Row],[Cum. actual]]-tblBoard[[#This Row],[Cum. target]]))</f>
        <v>-58</v>
      </c>
      <c r="T307" s="41">
        <f>IF(tblBoard[[#This Row],[Date]]="","",IF(AND(tblBoard[[#This Row],[Date]]&gt;=FFrom,tblBoard[[#This Row],[Date]]&lt;=FTo,OR(DashLine="",tblBoard[[#This Row],[Line]]=DashLine)),tblBoard[[#This Row],[Date]],""))</f>
        <v>46311</v>
      </c>
      <c r="U30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7" s="43" t="s">
        <v>97</v>
      </c>
    </row>
    <row r="308" spans="2:22" x14ac:dyDescent="0.25">
      <c r="B308" s="36">
        <v>46311</v>
      </c>
      <c r="C308" s="28" t="s">
        <v>91</v>
      </c>
      <c r="D308" s="28" t="s">
        <v>88</v>
      </c>
      <c r="E308" s="33">
        <v>7</v>
      </c>
      <c r="F308" s="28" t="s">
        <v>107</v>
      </c>
      <c r="G308" s="33">
        <v>50</v>
      </c>
      <c r="H308" s="33">
        <v>102</v>
      </c>
      <c r="I308" s="28"/>
      <c r="J308" s="37">
        <f>IF(tblBoard[[#This Row],[Date]]="","",IFERROR(INDEX(tblProducts[Takt time (s)],MATCH(tblBoard[[#This Row],[Product]],tblProducts[Product],0)),""))</f>
        <v>30</v>
      </c>
      <c r="K308" s="38">
        <f>IF(tblBoard[[#This Row],[Date]]="","",IF(OR(tblBoard[[#This Row],[Takt (s)]]="",tblBoard[[#This Row],[Available (min)]]=""),"",INT(tblBoard[[#This Row],[Available (min)]]*60/tblBoard[[#This Row],[Takt (s)]])))</f>
        <v>100</v>
      </c>
      <c r="L308" s="38">
        <f>IF(tblBoard[[#This Row],[Date]]="","",IF(tblBoard[[#This Row],[Target (units)]]="","",tblBoard[[#This Row],[Actual (units)]]-tblBoard[[#This Row],[Target (units)]]))</f>
        <v>2</v>
      </c>
      <c r="M308" s="38">
        <f>IF(tblBoard[[#This Row],[Date]]="","",IF(tblBoard[[#This Row],[Target (units)]]="","",MAX(0,tblBoard[[#This Row],[Target (units)]]-tblBoard[[#This Row],[Actual (units)]])))</f>
        <v>0</v>
      </c>
      <c r="N308" s="39">
        <f>IF(tblBoard[[#This Row],[Date]]="","",IF(N(tblBoard[[#This Row],[Target (units)]])&gt;0,tblBoard[[#This Row],[Actual (units)]]/tblBoard[[#This Row],[Target (units)]],""))</f>
        <v>1.02</v>
      </c>
      <c r="O308" s="38">
        <f>IF(tblBoard[[#This Row],[Date]]="","",IF(N(tblBoard[[#This Row],[Target (units)]])&gt;0,IF(tblBoard[[#This Row],[Actual (units)]]&gt;=tblBoard[[#This Row],[Target (units)]]*TargetHour,1,0),""))</f>
        <v>1</v>
      </c>
      <c r="P308" s="40" t="str">
        <f>IF(NOT(ISNUMBER(tblBoard[[#This Row],[Attainment]])),"",IF(tblBoard[[#This Row],[Attainment]]&gt;=TargetHour,"On target",IF(tblBoard[[#This Row],[Attainment]]&gt;=TargetHour*(1-0.05),"Near target","Below target")))</f>
        <v>On target</v>
      </c>
      <c r="Q308" s="38">
        <f>IF(tblBoard[[#This Row],[Date]]="","",IF(tblBoard[[#This Row],[Hour]]="","",SUMIFS(tblBoard[Target (units)],tblBoard[Date],tblBoard[[#This Row],[Date]],tblBoard[Shift],tblBoard[[#This Row],[Shift]],tblBoard[Line],tblBoard[[#This Row],[Line]],tblBoard[Hour],"&lt;="&amp;tblBoard[[#This Row],[Hour]])))</f>
        <v>740</v>
      </c>
      <c r="R308" s="38">
        <f>IF(tblBoard[[#This Row],[Date]]="","",IF(tblBoard[[#This Row],[Hour]]="","",SUMIFS(tblBoard[Actual (units)],tblBoard[Date],tblBoard[[#This Row],[Date]],tblBoard[Shift],tblBoard[[#This Row],[Shift]],tblBoard[Line],tblBoard[[#This Row],[Line]],tblBoard[Hour],"&lt;="&amp;tblBoard[[#This Row],[Hour]])))</f>
        <v>684</v>
      </c>
      <c r="S308" s="38">
        <f>IF(tblBoard[[#This Row],[Date]]="","",IF(tblBoard[[#This Row],[Cum. target]]="","",tblBoard[[#This Row],[Cum. actual]]-tblBoard[[#This Row],[Cum. target]]))</f>
        <v>-56</v>
      </c>
      <c r="T308" s="41">
        <f>IF(tblBoard[[#This Row],[Date]]="","",IF(AND(tblBoard[[#This Row],[Date]]&gt;=FFrom,tblBoard[[#This Row],[Date]]&lt;=FTo,OR(DashLine="",tblBoard[[#This Row],[Line]]=DashLine)),tblBoard[[#This Row],[Date]],""))</f>
        <v>46311</v>
      </c>
      <c r="U30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8" s="43" t="s">
        <v>97</v>
      </c>
    </row>
    <row r="309" spans="2:22" x14ac:dyDescent="0.25">
      <c r="B309" s="36">
        <v>46311</v>
      </c>
      <c r="C309" s="28" t="s">
        <v>91</v>
      </c>
      <c r="D309" s="28" t="s">
        <v>88</v>
      </c>
      <c r="E309" s="33">
        <v>8</v>
      </c>
      <c r="F309" s="28" t="s">
        <v>107</v>
      </c>
      <c r="G309" s="33">
        <v>50</v>
      </c>
      <c r="H309" s="33">
        <v>103</v>
      </c>
      <c r="I309" s="28"/>
      <c r="J309" s="37">
        <f>IF(tblBoard[[#This Row],[Date]]="","",IFERROR(INDEX(tblProducts[Takt time (s)],MATCH(tblBoard[[#This Row],[Product]],tblProducts[Product],0)),""))</f>
        <v>30</v>
      </c>
      <c r="K309" s="38">
        <f>IF(tblBoard[[#This Row],[Date]]="","",IF(OR(tblBoard[[#This Row],[Takt (s)]]="",tblBoard[[#This Row],[Available (min)]]=""),"",INT(tblBoard[[#This Row],[Available (min)]]*60/tblBoard[[#This Row],[Takt (s)]])))</f>
        <v>100</v>
      </c>
      <c r="L309" s="38">
        <f>IF(tblBoard[[#This Row],[Date]]="","",IF(tblBoard[[#This Row],[Target (units)]]="","",tblBoard[[#This Row],[Actual (units)]]-tblBoard[[#This Row],[Target (units)]]))</f>
        <v>3</v>
      </c>
      <c r="M309" s="38">
        <f>IF(tblBoard[[#This Row],[Date]]="","",IF(tblBoard[[#This Row],[Target (units)]]="","",MAX(0,tblBoard[[#This Row],[Target (units)]]-tblBoard[[#This Row],[Actual (units)]])))</f>
        <v>0</v>
      </c>
      <c r="N309" s="39">
        <f>IF(tblBoard[[#This Row],[Date]]="","",IF(N(tblBoard[[#This Row],[Target (units)]])&gt;0,tblBoard[[#This Row],[Actual (units)]]/tblBoard[[#This Row],[Target (units)]],""))</f>
        <v>1.03</v>
      </c>
      <c r="O309" s="38">
        <f>IF(tblBoard[[#This Row],[Date]]="","",IF(N(tblBoard[[#This Row],[Target (units)]])&gt;0,IF(tblBoard[[#This Row],[Actual (units)]]&gt;=tblBoard[[#This Row],[Target (units)]]*TargetHour,1,0),""))</f>
        <v>1</v>
      </c>
      <c r="P309" s="40" t="str">
        <f>IF(NOT(ISNUMBER(tblBoard[[#This Row],[Attainment]])),"",IF(tblBoard[[#This Row],[Attainment]]&gt;=TargetHour,"On target",IF(tblBoard[[#This Row],[Attainment]]&gt;=TargetHour*(1-0.05),"Near target","Below target")))</f>
        <v>On target</v>
      </c>
      <c r="Q309" s="38">
        <f>IF(tblBoard[[#This Row],[Date]]="","",IF(tblBoard[[#This Row],[Hour]]="","",SUMIFS(tblBoard[Target (units)],tblBoard[Date],tblBoard[[#This Row],[Date]],tblBoard[Shift],tblBoard[[#This Row],[Shift]],tblBoard[Line],tblBoard[[#This Row],[Line]],tblBoard[Hour],"&lt;="&amp;tblBoard[[#This Row],[Hour]])))</f>
        <v>840</v>
      </c>
      <c r="R309" s="38">
        <f>IF(tblBoard[[#This Row],[Date]]="","",IF(tblBoard[[#This Row],[Hour]]="","",SUMIFS(tblBoard[Actual (units)],tblBoard[Date],tblBoard[[#This Row],[Date]],tblBoard[Shift],tblBoard[[#This Row],[Shift]],tblBoard[Line],tblBoard[[#This Row],[Line]],tblBoard[Hour],"&lt;="&amp;tblBoard[[#This Row],[Hour]])))</f>
        <v>787</v>
      </c>
      <c r="S309" s="38">
        <f>IF(tblBoard[[#This Row],[Date]]="","",IF(tblBoard[[#This Row],[Cum. target]]="","",tblBoard[[#This Row],[Cum. actual]]-tblBoard[[#This Row],[Cum. target]]))</f>
        <v>-53</v>
      </c>
      <c r="T309" s="41">
        <f>IF(tblBoard[[#This Row],[Date]]="","",IF(AND(tblBoard[[#This Row],[Date]]&gt;=FFrom,tblBoard[[#This Row],[Date]]&lt;=FTo,OR(DashLine="",tblBoard[[#This Row],[Line]]=DashLine)),tblBoard[[#This Row],[Date]],""))</f>
        <v>46311</v>
      </c>
      <c r="U30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09" s="43" t="s">
        <v>97</v>
      </c>
    </row>
    <row r="310" spans="2:22" x14ac:dyDescent="0.25">
      <c r="B310" s="36">
        <v>46311</v>
      </c>
      <c r="C310" s="28" t="s">
        <v>93</v>
      </c>
      <c r="D310" s="28" t="s">
        <v>85</v>
      </c>
      <c r="E310" s="33">
        <v>1</v>
      </c>
      <c r="F310" s="28" t="s">
        <v>105</v>
      </c>
      <c r="G310" s="33">
        <v>60</v>
      </c>
      <c r="H310" s="33">
        <v>66</v>
      </c>
      <c r="I310" s="28" t="s">
        <v>110</v>
      </c>
      <c r="J310" s="37">
        <f>IF(tblBoard[[#This Row],[Date]]="","",IFERROR(INDEX(tblProducts[Takt time (s)],MATCH(tblBoard[[#This Row],[Product]],tblProducts[Product],0)),""))</f>
        <v>48</v>
      </c>
      <c r="K310" s="38">
        <f>IF(tblBoard[[#This Row],[Date]]="","",IF(OR(tblBoard[[#This Row],[Takt (s)]]="",tblBoard[[#This Row],[Available (min)]]=""),"",INT(tblBoard[[#This Row],[Available (min)]]*60/tblBoard[[#This Row],[Takt (s)]])))</f>
        <v>75</v>
      </c>
      <c r="L310" s="38">
        <f>IF(tblBoard[[#This Row],[Date]]="","",IF(tblBoard[[#This Row],[Target (units)]]="","",tblBoard[[#This Row],[Actual (units)]]-tblBoard[[#This Row],[Target (units)]]))</f>
        <v>-9</v>
      </c>
      <c r="M310" s="38">
        <f>IF(tblBoard[[#This Row],[Date]]="","",IF(tblBoard[[#This Row],[Target (units)]]="","",MAX(0,tblBoard[[#This Row],[Target (units)]]-tblBoard[[#This Row],[Actual (units)]])))</f>
        <v>9</v>
      </c>
      <c r="N310" s="39">
        <f>IF(tblBoard[[#This Row],[Date]]="","",IF(N(tblBoard[[#This Row],[Target (units)]])&gt;0,tblBoard[[#This Row],[Actual (units)]]/tblBoard[[#This Row],[Target (units)]],""))</f>
        <v>0.88</v>
      </c>
      <c r="O310" s="38">
        <f>IF(tblBoard[[#This Row],[Date]]="","",IF(N(tblBoard[[#This Row],[Target (units)]])&gt;0,IF(tblBoard[[#This Row],[Actual (units)]]&gt;=tblBoard[[#This Row],[Target (units)]]*TargetHour,1,0),""))</f>
        <v>0</v>
      </c>
      <c r="P310" s="40" t="str">
        <f>IF(NOT(ISNUMBER(tblBoard[[#This Row],[Attainment]])),"",IF(tblBoard[[#This Row],[Attainment]]&gt;=TargetHour,"On target",IF(tblBoard[[#This Row],[Attainment]]&gt;=TargetHour*(1-0.05),"Near target","Below target")))</f>
        <v>Below target</v>
      </c>
      <c r="Q310" s="38">
        <f>IF(tblBoard[[#This Row],[Date]]="","",IF(tblBoard[[#This Row],[Hour]]="","",SUMIFS(tblBoard[Target (units)],tblBoard[Date],tblBoard[[#This Row],[Date]],tblBoard[Shift],tblBoard[[#This Row],[Shift]],tblBoard[Line],tblBoard[[#This Row],[Line]],tblBoard[Hour],"&lt;="&amp;tblBoard[[#This Row],[Hour]])))</f>
        <v>75</v>
      </c>
      <c r="R310" s="38">
        <f>IF(tblBoard[[#This Row],[Date]]="","",IF(tblBoard[[#This Row],[Hour]]="","",SUMIFS(tblBoard[Actual (units)],tblBoard[Date],tblBoard[[#This Row],[Date]],tblBoard[Shift],tblBoard[[#This Row],[Shift]],tblBoard[Line],tblBoard[[#This Row],[Line]],tblBoard[Hour],"&lt;="&amp;tblBoard[[#This Row],[Hour]])))</f>
        <v>66</v>
      </c>
      <c r="S310" s="38">
        <f>IF(tblBoard[[#This Row],[Date]]="","",IF(tblBoard[[#This Row],[Cum. target]]="","",tblBoard[[#This Row],[Cum. actual]]-tblBoard[[#This Row],[Cum. target]]))</f>
        <v>-9</v>
      </c>
      <c r="T310" s="41">
        <f>IF(tblBoard[[#This Row],[Date]]="","",IF(AND(tblBoard[[#This Row],[Date]]&gt;=FFrom,tblBoard[[#This Row],[Date]]&lt;=FTo,OR(DashLine="",tblBoard[[#This Row],[Line]]=DashLine)),tblBoard[[#This Row],[Date]],""))</f>
        <v>46311</v>
      </c>
      <c r="U31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0" s="43" t="s">
        <v>97</v>
      </c>
    </row>
    <row r="311" spans="2:22" x14ac:dyDescent="0.25">
      <c r="B311" s="36">
        <v>46311</v>
      </c>
      <c r="C311" s="28" t="s">
        <v>93</v>
      </c>
      <c r="D311" s="28" t="s">
        <v>85</v>
      </c>
      <c r="E311" s="33">
        <v>2</v>
      </c>
      <c r="F311" s="28" t="s">
        <v>105</v>
      </c>
      <c r="G311" s="33">
        <v>60</v>
      </c>
      <c r="H311" s="33">
        <v>77</v>
      </c>
      <c r="I311" s="28"/>
      <c r="J311" s="37">
        <f>IF(tblBoard[[#This Row],[Date]]="","",IFERROR(INDEX(tblProducts[Takt time (s)],MATCH(tblBoard[[#This Row],[Product]],tblProducts[Product],0)),""))</f>
        <v>48</v>
      </c>
      <c r="K311" s="38">
        <f>IF(tblBoard[[#This Row],[Date]]="","",IF(OR(tblBoard[[#This Row],[Takt (s)]]="",tblBoard[[#This Row],[Available (min)]]=""),"",INT(tblBoard[[#This Row],[Available (min)]]*60/tblBoard[[#This Row],[Takt (s)]])))</f>
        <v>75</v>
      </c>
      <c r="L311" s="38">
        <f>IF(tblBoard[[#This Row],[Date]]="","",IF(tblBoard[[#This Row],[Target (units)]]="","",tblBoard[[#This Row],[Actual (units)]]-tblBoard[[#This Row],[Target (units)]]))</f>
        <v>2</v>
      </c>
      <c r="M311" s="38">
        <f>IF(tblBoard[[#This Row],[Date]]="","",IF(tblBoard[[#This Row],[Target (units)]]="","",MAX(0,tblBoard[[#This Row],[Target (units)]]-tblBoard[[#This Row],[Actual (units)]])))</f>
        <v>0</v>
      </c>
      <c r="N311" s="39">
        <f>IF(tblBoard[[#This Row],[Date]]="","",IF(N(tblBoard[[#This Row],[Target (units)]])&gt;0,tblBoard[[#This Row],[Actual (units)]]/tblBoard[[#This Row],[Target (units)]],""))</f>
        <v>1.02666666666667</v>
      </c>
      <c r="O311" s="38">
        <f>IF(tblBoard[[#This Row],[Date]]="","",IF(N(tblBoard[[#This Row],[Target (units)]])&gt;0,IF(tblBoard[[#This Row],[Actual (units)]]&gt;=tblBoard[[#This Row],[Target (units)]]*TargetHour,1,0),""))</f>
        <v>1</v>
      </c>
      <c r="P311" s="40" t="str">
        <f>IF(NOT(ISNUMBER(tblBoard[[#This Row],[Attainment]])),"",IF(tblBoard[[#This Row],[Attainment]]&gt;=TargetHour,"On target",IF(tblBoard[[#This Row],[Attainment]]&gt;=TargetHour*(1-0.05),"Near target","Below target")))</f>
        <v>On target</v>
      </c>
      <c r="Q311" s="38">
        <f>IF(tblBoard[[#This Row],[Date]]="","",IF(tblBoard[[#This Row],[Hour]]="","",SUMIFS(tblBoard[Target (units)],tblBoard[Date],tblBoard[[#This Row],[Date]],tblBoard[Shift],tblBoard[[#This Row],[Shift]],tblBoard[Line],tblBoard[[#This Row],[Line]],tblBoard[Hour],"&lt;="&amp;tblBoard[[#This Row],[Hour]])))</f>
        <v>150</v>
      </c>
      <c r="R311" s="38">
        <f>IF(tblBoard[[#This Row],[Date]]="","",IF(tblBoard[[#This Row],[Hour]]="","",SUMIFS(tblBoard[Actual (units)],tblBoard[Date],tblBoard[[#This Row],[Date]],tblBoard[Shift],tblBoard[[#This Row],[Shift]],tblBoard[Line],tblBoard[[#This Row],[Line]],tblBoard[Hour],"&lt;="&amp;tblBoard[[#This Row],[Hour]])))</f>
        <v>143</v>
      </c>
      <c r="S311" s="38">
        <f>IF(tblBoard[[#This Row],[Date]]="","",IF(tblBoard[[#This Row],[Cum. target]]="","",tblBoard[[#This Row],[Cum. actual]]-tblBoard[[#This Row],[Cum. target]]))</f>
        <v>-7</v>
      </c>
      <c r="T311" s="41">
        <f>IF(tblBoard[[#This Row],[Date]]="","",IF(AND(tblBoard[[#This Row],[Date]]&gt;=FFrom,tblBoard[[#This Row],[Date]]&lt;=FTo,OR(DashLine="",tblBoard[[#This Row],[Line]]=DashLine)),tblBoard[[#This Row],[Date]],""))</f>
        <v>46311</v>
      </c>
      <c r="U31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1" s="43" t="s">
        <v>97</v>
      </c>
    </row>
    <row r="312" spans="2:22" x14ac:dyDescent="0.25">
      <c r="B312" s="36">
        <v>46311</v>
      </c>
      <c r="C312" s="28" t="s">
        <v>93</v>
      </c>
      <c r="D312" s="28" t="s">
        <v>85</v>
      </c>
      <c r="E312" s="33">
        <v>3</v>
      </c>
      <c r="F312" s="28" t="s">
        <v>105</v>
      </c>
      <c r="G312" s="33">
        <v>50</v>
      </c>
      <c r="H312" s="33">
        <v>64</v>
      </c>
      <c r="I312" s="28"/>
      <c r="J312" s="37">
        <f>IF(tblBoard[[#This Row],[Date]]="","",IFERROR(INDEX(tblProducts[Takt time (s)],MATCH(tblBoard[[#This Row],[Product]],tblProducts[Product],0)),""))</f>
        <v>48</v>
      </c>
      <c r="K312" s="38">
        <f>IF(tblBoard[[#This Row],[Date]]="","",IF(OR(tblBoard[[#This Row],[Takt (s)]]="",tblBoard[[#This Row],[Available (min)]]=""),"",INT(tblBoard[[#This Row],[Available (min)]]*60/tblBoard[[#This Row],[Takt (s)]])))</f>
        <v>62</v>
      </c>
      <c r="L312" s="38">
        <f>IF(tblBoard[[#This Row],[Date]]="","",IF(tblBoard[[#This Row],[Target (units)]]="","",tblBoard[[#This Row],[Actual (units)]]-tblBoard[[#This Row],[Target (units)]]))</f>
        <v>2</v>
      </c>
      <c r="M312" s="38">
        <f>IF(tblBoard[[#This Row],[Date]]="","",IF(tblBoard[[#This Row],[Target (units)]]="","",MAX(0,tblBoard[[#This Row],[Target (units)]]-tblBoard[[#This Row],[Actual (units)]])))</f>
        <v>0</v>
      </c>
      <c r="N312" s="39">
        <f>IF(tblBoard[[#This Row],[Date]]="","",IF(N(tblBoard[[#This Row],[Target (units)]])&gt;0,tblBoard[[#This Row],[Actual (units)]]/tblBoard[[#This Row],[Target (units)]],""))</f>
        <v>1.03225806451613</v>
      </c>
      <c r="O312" s="38">
        <f>IF(tblBoard[[#This Row],[Date]]="","",IF(N(tblBoard[[#This Row],[Target (units)]])&gt;0,IF(tblBoard[[#This Row],[Actual (units)]]&gt;=tblBoard[[#This Row],[Target (units)]]*TargetHour,1,0),""))</f>
        <v>1</v>
      </c>
      <c r="P312" s="40" t="str">
        <f>IF(NOT(ISNUMBER(tblBoard[[#This Row],[Attainment]])),"",IF(tblBoard[[#This Row],[Attainment]]&gt;=TargetHour,"On target",IF(tblBoard[[#This Row],[Attainment]]&gt;=TargetHour*(1-0.05),"Near target","Below target")))</f>
        <v>On target</v>
      </c>
      <c r="Q312" s="38">
        <f>IF(tblBoard[[#This Row],[Date]]="","",IF(tblBoard[[#This Row],[Hour]]="","",SUMIFS(tblBoard[Target (units)],tblBoard[Date],tblBoard[[#This Row],[Date]],tblBoard[Shift],tblBoard[[#This Row],[Shift]],tblBoard[Line],tblBoard[[#This Row],[Line]],tblBoard[Hour],"&lt;="&amp;tblBoard[[#This Row],[Hour]])))</f>
        <v>212</v>
      </c>
      <c r="R312" s="38">
        <f>IF(tblBoard[[#This Row],[Date]]="","",IF(tblBoard[[#This Row],[Hour]]="","",SUMIFS(tblBoard[Actual (units)],tblBoard[Date],tblBoard[[#This Row],[Date]],tblBoard[Shift],tblBoard[[#This Row],[Shift]],tblBoard[Line],tblBoard[[#This Row],[Line]],tblBoard[Hour],"&lt;="&amp;tblBoard[[#This Row],[Hour]])))</f>
        <v>207</v>
      </c>
      <c r="S312" s="38">
        <f>IF(tblBoard[[#This Row],[Date]]="","",IF(tblBoard[[#This Row],[Cum. target]]="","",tblBoard[[#This Row],[Cum. actual]]-tblBoard[[#This Row],[Cum. target]]))</f>
        <v>-5</v>
      </c>
      <c r="T312" s="41">
        <f>IF(tblBoard[[#This Row],[Date]]="","",IF(AND(tblBoard[[#This Row],[Date]]&gt;=FFrom,tblBoard[[#This Row],[Date]]&lt;=FTo,OR(DashLine="",tblBoard[[#This Row],[Line]]=DashLine)),tblBoard[[#This Row],[Date]],""))</f>
        <v>46311</v>
      </c>
      <c r="U31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2" s="43" t="s">
        <v>97</v>
      </c>
    </row>
    <row r="313" spans="2:22" x14ac:dyDescent="0.25">
      <c r="B313" s="36">
        <v>46311</v>
      </c>
      <c r="C313" s="28" t="s">
        <v>93</v>
      </c>
      <c r="D313" s="28" t="s">
        <v>85</v>
      </c>
      <c r="E313" s="33">
        <v>4</v>
      </c>
      <c r="F313" s="28" t="s">
        <v>105</v>
      </c>
      <c r="G313" s="33">
        <v>60</v>
      </c>
      <c r="H313" s="33">
        <v>72</v>
      </c>
      <c r="I313" s="28" t="s">
        <v>118</v>
      </c>
      <c r="J313" s="37">
        <f>IF(tblBoard[[#This Row],[Date]]="","",IFERROR(INDEX(tblProducts[Takt time (s)],MATCH(tblBoard[[#This Row],[Product]],tblProducts[Product],0)),""))</f>
        <v>48</v>
      </c>
      <c r="K313" s="38">
        <f>IF(tblBoard[[#This Row],[Date]]="","",IF(OR(tblBoard[[#This Row],[Takt (s)]]="",tblBoard[[#This Row],[Available (min)]]=""),"",INT(tblBoard[[#This Row],[Available (min)]]*60/tblBoard[[#This Row],[Takt (s)]])))</f>
        <v>75</v>
      </c>
      <c r="L313" s="38">
        <f>IF(tblBoard[[#This Row],[Date]]="","",IF(tblBoard[[#This Row],[Target (units)]]="","",tblBoard[[#This Row],[Actual (units)]]-tblBoard[[#This Row],[Target (units)]]))</f>
        <v>-3</v>
      </c>
      <c r="M313" s="38">
        <f>IF(tblBoard[[#This Row],[Date]]="","",IF(tblBoard[[#This Row],[Target (units)]]="","",MAX(0,tblBoard[[#This Row],[Target (units)]]-tblBoard[[#This Row],[Actual (units)]])))</f>
        <v>3</v>
      </c>
      <c r="N313" s="39">
        <f>IF(tblBoard[[#This Row],[Date]]="","",IF(N(tblBoard[[#This Row],[Target (units)]])&gt;0,tblBoard[[#This Row],[Actual (units)]]/tblBoard[[#This Row],[Target (units)]],""))</f>
        <v>0.96</v>
      </c>
      <c r="O313" s="38">
        <f>IF(tblBoard[[#This Row],[Date]]="","",IF(N(tblBoard[[#This Row],[Target (units)]])&gt;0,IF(tblBoard[[#This Row],[Actual (units)]]&gt;=tblBoard[[#This Row],[Target (units)]]*TargetHour,1,0),""))</f>
        <v>0</v>
      </c>
      <c r="P313" s="40" t="str">
        <f>IF(NOT(ISNUMBER(tblBoard[[#This Row],[Attainment]])),"",IF(tblBoard[[#This Row],[Attainment]]&gt;=TargetHour,"On target",IF(tblBoard[[#This Row],[Attainment]]&gt;=TargetHour*(1-0.05),"Near target","Below target")))</f>
        <v>Near target</v>
      </c>
      <c r="Q313" s="38">
        <f>IF(tblBoard[[#This Row],[Date]]="","",IF(tblBoard[[#This Row],[Hour]]="","",SUMIFS(tblBoard[Target (units)],tblBoard[Date],tblBoard[[#This Row],[Date]],tblBoard[Shift],tblBoard[[#This Row],[Shift]],tblBoard[Line],tblBoard[[#This Row],[Line]],tblBoard[Hour],"&lt;="&amp;tblBoard[[#This Row],[Hour]])))</f>
        <v>287</v>
      </c>
      <c r="R313" s="38">
        <f>IF(tblBoard[[#This Row],[Date]]="","",IF(tblBoard[[#This Row],[Hour]]="","",SUMIFS(tblBoard[Actual (units)],tblBoard[Date],tblBoard[[#This Row],[Date]],tblBoard[Shift],tblBoard[[#This Row],[Shift]],tblBoard[Line],tblBoard[[#This Row],[Line]],tblBoard[Hour],"&lt;="&amp;tblBoard[[#This Row],[Hour]])))</f>
        <v>279</v>
      </c>
      <c r="S313" s="38">
        <f>IF(tblBoard[[#This Row],[Date]]="","",IF(tblBoard[[#This Row],[Cum. target]]="","",tblBoard[[#This Row],[Cum. actual]]-tblBoard[[#This Row],[Cum. target]]))</f>
        <v>-8</v>
      </c>
      <c r="T313" s="41">
        <f>IF(tblBoard[[#This Row],[Date]]="","",IF(AND(tblBoard[[#This Row],[Date]]&gt;=FFrom,tblBoard[[#This Row],[Date]]&lt;=FTo,OR(DashLine="",tblBoard[[#This Row],[Line]]=DashLine)),tblBoard[[#This Row],[Date]],""))</f>
        <v>46311</v>
      </c>
      <c r="U31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3" s="43" t="s">
        <v>97</v>
      </c>
    </row>
    <row r="314" spans="2:22" x14ac:dyDescent="0.25">
      <c r="B314" s="36">
        <v>46311</v>
      </c>
      <c r="C314" s="28" t="s">
        <v>93</v>
      </c>
      <c r="D314" s="28" t="s">
        <v>85</v>
      </c>
      <c r="E314" s="33">
        <v>5</v>
      </c>
      <c r="F314" s="28" t="s">
        <v>105</v>
      </c>
      <c r="G314" s="33">
        <v>30</v>
      </c>
      <c r="H314" s="33">
        <v>35</v>
      </c>
      <c r="I314" s="28" t="s">
        <v>114</v>
      </c>
      <c r="J314" s="37">
        <f>IF(tblBoard[[#This Row],[Date]]="","",IFERROR(INDEX(tblProducts[Takt time (s)],MATCH(tblBoard[[#This Row],[Product]],tblProducts[Product],0)),""))</f>
        <v>48</v>
      </c>
      <c r="K314" s="38">
        <f>IF(tblBoard[[#This Row],[Date]]="","",IF(OR(tblBoard[[#This Row],[Takt (s)]]="",tblBoard[[#This Row],[Available (min)]]=""),"",INT(tblBoard[[#This Row],[Available (min)]]*60/tblBoard[[#This Row],[Takt (s)]])))</f>
        <v>37</v>
      </c>
      <c r="L314" s="38">
        <f>IF(tblBoard[[#This Row],[Date]]="","",IF(tblBoard[[#This Row],[Target (units)]]="","",tblBoard[[#This Row],[Actual (units)]]-tblBoard[[#This Row],[Target (units)]]))</f>
        <v>-2</v>
      </c>
      <c r="M314" s="38">
        <f>IF(tblBoard[[#This Row],[Date]]="","",IF(tblBoard[[#This Row],[Target (units)]]="","",MAX(0,tblBoard[[#This Row],[Target (units)]]-tblBoard[[#This Row],[Actual (units)]])))</f>
        <v>2</v>
      </c>
      <c r="N314" s="39">
        <f>IF(tblBoard[[#This Row],[Date]]="","",IF(N(tblBoard[[#This Row],[Target (units)]])&gt;0,tblBoard[[#This Row],[Actual (units)]]/tblBoard[[#This Row],[Target (units)]],""))</f>
        <v>0.945945945945946</v>
      </c>
      <c r="O314" s="38">
        <f>IF(tblBoard[[#This Row],[Date]]="","",IF(N(tblBoard[[#This Row],[Target (units)]])&gt;0,IF(tblBoard[[#This Row],[Actual (units)]]&gt;=tblBoard[[#This Row],[Target (units)]]*TargetHour,1,0),""))</f>
        <v>0</v>
      </c>
      <c r="P314" s="40" t="str">
        <f>IF(NOT(ISNUMBER(tblBoard[[#This Row],[Attainment]])),"",IF(tblBoard[[#This Row],[Attainment]]&gt;=TargetHour,"On target",IF(tblBoard[[#This Row],[Attainment]]&gt;=TargetHour*(1-0.05),"Near target","Below target")))</f>
        <v>Below target</v>
      </c>
      <c r="Q314" s="38">
        <f>IF(tblBoard[[#This Row],[Date]]="","",IF(tblBoard[[#This Row],[Hour]]="","",SUMIFS(tblBoard[Target (units)],tblBoard[Date],tblBoard[[#This Row],[Date]],tblBoard[Shift],tblBoard[[#This Row],[Shift]],tblBoard[Line],tblBoard[[#This Row],[Line]],tblBoard[Hour],"&lt;="&amp;tblBoard[[#This Row],[Hour]])))</f>
        <v>324</v>
      </c>
      <c r="R314" s="38">
        <f>IF(tblBoard[[#This Row],[Date]]="","",IF(tblBoard[[#This Row],[Hour]]="","",SUMIFS(tblBoard[Actual (units)],tblBoard[Date],tblBoard[[#This Row],[Date]],tblBoard[Shift],tblBoard[[#This Row],[Shift]],tblBoard[Line],tblBoard[[#This Row],[Line]],tblBoard[Hour],"&lt;="&amp;tblBoard[[#This Row],[Hour]])))</f>
        <v>314</v>
      </c>
      <c r="S314" s="38">
        <f>IF(tblBoard[[#This Row],[Date]]="","",IF(tblBoard[[#This Row],[Cum. target]]="","",tblBoard[[#This Row],[Cum. actual]]-tblBoard[[#This Row],[Cum. target]]))</f>
        <v>-10</v>
      </c>
      <c r="T314" s="41">
        <f>IF(tblBoard[[#This Row],[Date]]="","",IF(AND(tblBoard[[#This Row],[Date]]&gt;=FFrom,tblBoard[[#This Row],[Date]]&lt;=FTo,OR(DashLine="",tblBoard[[#This Row],[Line]]=DashLine)),tblBoard[[#This Row],[Date]],""))</f>
        <v>46311</v>
      </c>
      <c r="U31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4" s="43" t="s">
        <v>97</v>
      </c>
    </row>
    <row r="315" spans="2:22" x14ac:dyDescent="0.25">
      <c r="B315" s="36">
        <v>46311</v>
      </c>
      <c r="C315" s="28" t="s">
        <v>93</v>
      </c>
      <c r="D315" s="28" t="s">
        <v>85</v>
      </c>
      <c r="E315" s="33">
        <v>6</v>
      </c>
      <c r="F315" s="28" t="s">
        <v>105</v>
      </c>
      <c r="G315" s="33">
        <v>60</v>
      </c>
      <c r="H315" s="33">
        <v>69</v>
      </c>
      <c r="I315" s="28" t="s">
        <v>118</v>
      </c>
      <c r="J315" s="37">
        <f>IF(tblBoard[[#This Row],[Date]]="","",IFERROR(INDEX(tblProducts[Takt time (s)],MATCH(tblBoard[[#This Row],[Product]],tblProducts[Product],0)),""))</f>
        <v>48</v>
      </c>
      <c r="K315" s="38">
        <f>IF(tblBoard[[#This Row],[Date]]="","",IF(OR(tblBoard[[#This Row],[Takt (s)]]="",tblBoard[[#This Row],[Available (min)]]=""),"",INT(tblBoard[[#This Row],[Available (min)]]*60/tblBoard[[#This Row],[Takt (s)]])))</f>
        <v>75</v>
      </c>
      <c r="L315" s="38">
        <f>IF(tblBoard[[#This Row],[Date]]="","",IF(tblBoard[[#This Row],[Target (units)]]="","",tblBoard[[#This Row],[Actual (units)]]-tblBoard[[#This Row],[Target (units)]]))</f>
        <v>-6</v>
      </c>
      <c r="M315" s="38">
        <f>IF(tblBoard[[#This Row],[Date]]="","",IF(tblBoard[[#This Row],[Target (units)]]="","",MAX(0,tblBoard[[#This Row],[Target (units)]]-tblBoard[[#This Row],[Actual (units)]])))</f>
        <v>6</v>
      </c>
      <c r="N315" s="39">
        <f>IF(tblBoard[[#This Row],[Date]]="","",IF(N(tblBoard[[#This Row],[Target (units)]])&gt;0,tblBoard[[#This Row],[Actual (units)]]/tblBoard[[#This Row],[Target (units)]],""))</f>
        <v>0.92</v>
      </c>
      <c r="O315" s="38">
        <f>IF(tblBoard[[#This Row],[Date]]="","",IF(N(tblBoard[[#This Row],[Target (units)]])&gt;0,IF(tblBoard[[#This Row],[Actual (units)]]&gt;=tblBoard[[#This Row],[Target (units)]]*TargetHour,1,0),""))</f>
        <v>0</v>
      </c>
      <c r="P315" s="40" t="str">
        <f>IF(NOT(ISNUMBER(tblBoard[[#This Row],[Attainment]])),"",IF(tblBoard[[#This Row],[Attainment]]&gt;=TargetHour,"On target",IF(tblBoard[[#This Row],[Attainment]]&gt;=TargetHour*(1-0.05),"Near target","Below target")))</f>
        <v>Below target</v>
      </c>
      <c r="Q315" s="38">
        <f>IF(tblBoard[[#This Row],[Date]]="","",IF(tblBoard[[#This Row],[Hour]]="","",SUMIFS(tblBoard[Target (units)],tblBoard[Date],tblBoard[[#This Row],[Date]],tblBoard[Shift],tblBoard[[#This Row],[Shift]],tblBoard[Line],tblBoard[[#This Row],[Line]],tblBoard[Hour],"&lt;="&amp;tblBoard[[#This Row],[Hour]])))</f>
        <v>399</v>
      </c>
      <c r="R315" s="38">
        <f>IF(tblBoard[[#This Row],[Date]]="","",IF(tblBoard[[#This Row],[Hour]]="","",SUMIFS(tblBoard[Actual (units)],tblBoard[Date],tblBoard[[#This Row],[Date]],tblBoard[Shift],tblBoard[[#This Row],[Shift]],tblBoard[Line],tblBoard[[#This Row],[Line]],tblBoard[Hour],"&lt;="&amp;tblBoard[[#This Row],[Hour]])))</f>
        <v>383</v>
      </c>
      <c r="S315" s="38">
        <f>IF(tblBoard[[#This Row],[Date]]="","",IF(tblBoard[[#This Row],[Cum. target]]="","",tblBoard[[#This Row],[Cum. actual]]-tblBoard[[#This Row],[Cum. target]]))</f>
        <v>-16</v>
      </c>
      <c r="T315" s="41">
        <f>IF(tblBoard[[#This Row],[Date]]="","",IF(AND(tblBoard[[#This Row],[Date]]&gt;=FFrom,tblBoard[[#This Row],[Date]]&lt;=FTo,OR(DashLine="",tblBoard[[#This Row],[Line]]=DashLine)),tblBoard[[#This Row],[Date]],""))</f>
        <v>46311</v>
      </c>
      <c r="U31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5" s="43" t="s">
        <v>97</v>
      </c>
    </row>
    <row r="316" spans="2:22" x14ac:dyDescent="0.25">
      <c r="B316" s="36">
        <v>46311</v>
      </c>
      <c r="C316" s="28" t="s">
        <v>93</v>
      </c>
      <c r="D316" s="28" t="s">
        <v>85</v>
      </c>
      <c r="E316" s="33">
        <v>7</v>
      </c>
      <c r="F316" s="28" t="s">
        <v>105</v>
      </c>
      <c r="G316" s="33">
        <v>50</v>
      </c>
      <c r="H316" s="33">
        <v>61</v>
      </c>
      <c r="I316" s="28" t="s">
        <v>118</v>
      </c>
      <c r="J316" s="37">
        <f>IF(tblBoard[[#This Row],[Date]]="","",IFERROR(INDEX(tblProducts[Takt time (s)],MATCH(tblBoard[[#This Row],[Product]],tblProducts[Product],0)),""))</f>
        <v>48</v>
      </c>
      <c r="K316" s="38">
        <f>IF(tblBoard[[#This Row],[Date]]="","",IF(OR(tblBoard[[#This Row],[Takt (s)]]="",tblBoard[[#This Row],[Available (min)]]=""),"",INT(tblBoard[[#This Row],[Available (min)]]*60/tblBoard[[#This Row],[Takt (s)]])))</f>
        <v>62</v>
      </c>
      <c r="L316" s="38">
        <f>IF(tblBoard[[#This Row],[Date]]="","",IF(tblBoard[[#This Row],[Target (units)]]="","",tblBoard[[#This Row],[Actual (units)]]-tblBoard[[#This Row],[Target (units)]]))</f>
        <v>-1</v>
      </c>
      <c r="M316" s="38">
        <f>IF(tblBoard[[#This Row],[Date]]="","",IF(tblBoard[[#This Row],[Target (units)]]="","",MAX(0,tblBoard[[#This Row],[Target (units)]]-tblBoard[[#This Row],[Actual (units)]])))</f>
        <v>1</v>
      </c>
      <c r="N316" s="39">
        <f>IF(tblBoard[[#This Row],[Date]]="","",IF(N(tblBoard[[#This Row],[Target (units)]])&gt;0,tblBoard[[#This Row],[Actual (units)]]/tblBoard[[#This Row],[Target (units)]],""))</f>
        <v>0.983870967741936</v>
      </c>
      <c r="O316" s="38">
        <f>IF(tblBoard[[#This Row],[Date]]="","",IF(N(tblBoard[[#This Row],[Target (units)]])&gt;0,IF(tblBoard[[#This Row],[Actual (units)]]&gt;=tblBoard[[#This Row],[Target (units)]]*TargetHour,1,0),""))</f>
        <v>0</v>
      </c>
      <c r="P316" s="40" t="str">
        <f>IF(NOT(ISNUMBER(tblBoard[[#This Row],[Attainment]])),"",IF(tblBoard[[#This Row],[Attainment]]&gt;=TargetHour,"On target",IF(tblBoard[[#This Row],[Attainment]]&gt;=TargetHour*(1-0.05),"Near target","Below target")))</f>
        <v>Near target</v>
      </c>
      <c r="Q316" s="38">
        <f>IF(tblBoard[[#This Row],[Date]]="","",IF(tblBoard[[#This Row],[Hour]]="","",SUMIFS(tblBoard[Target (units)],tblBoard[Date],tblBoard[[#This Row],[Date]],tblBoard[Shift],tblBoard[[#This Row],[Shift]],tblBoard[Line],tblBoard[[#This Row],[Line]],tblBoard[Hour],"&lt;="&amp;tblBoard[[#This Row],[Hour]])))</f>
        <v>461</v>
      </c>
      <c r="R316" s="38">
        <f>IF(tblBoard[[#This Row],[Date]]="","",IF(tblBoard[[#This Row],[Hour]]="","",SUMIFS(tblBoard[Actual (units)],tblBoard[Date],tblBoard[[#This Row],[Date]],tblBoard[Shift],tblBoard[[#This Row],[Shift]],tblBoard[Line],tblBoard[[#This Row],[Line]],tblBoard[Hour],"&lt;="&amp;tblBoard[[#This Row],[Hour]])))</f>
        <v>444</v>
      </c>
      <c r="S316" s="38">
        <f>IF(tblBoard[[#This Row],[Date]]="","",IF(tblBoard[[#This Row],[Cum. target]]="","",tblBoard[[#This Row],[Cum. actual]]-tblBoard[[#This Row],[Cum. target]]))</f>
        <v>-17</v>
      </c>
      <c r="T316" s="41">
        <f>IF(tblBoard[[#This Row],[Date]]="","",IF(AND(tblBoard[[#This Row],[Date]]&gt;=FFrom,tblBoard[[#This Row],[Date]]&lt;=FTo,OR(DashLine="",tblBoard[[#This Row],[Line]]=DashLine)),tblBoard[[#This Row],[Date]],""))</f>
        <v>46311</v>
      </c>
      <c r="U316"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6" s="43" t="s">
        <v>97</v>
      </c>
    </row>
    <row r="317" spans="2:22" x14ac:dyDescent="0.25">
      <c r="B317" s="36">
        <v>46311</v>
      </c>
      <c r="C317" s="28" t="s">
        <v>93</v>
      </c>
      <c r="D317" s="28" t="s">
        <v>85</v>
      </c>
      <c r="E317" s="33">
        <v>8</v>
      </c>
      <c r="F317" s="28" t="s">
        <v>105</v>
      </c>
      <c r="G317" s="33">
        <v>50</v>
      </c>
      <c r="H317" s="33">
        <v>63</v>
      </c>
      <c r="I317" s="28"/>
      <c r="J317" s="37">
        <f>IF(tblBoard[[#This Row],[Date]]="","",IFERROR(INDEX(tblProducts[Takt time (s)],MATCH(tblBoard[[#This Row],[Product]],tblProducts[Product],0)),""))</f>
        <v>48</v>
      </c>
      <c r="K317" s="38">
        <f>IF(tblBoard[[#This Row],[Date]]="","",IF(OR(tblBoard[[#This Row],[Takt (s)]]="",tblBoard[[#This Row],[Available (min)]]=""),"",INT(tblBoard[[#This Row],[Available (min)]]*60/tblBoard[[#This Row],[Takt (s)]])))</f>
        <v>62</v>
      </c>
      <c r="L317" s="38">
        <f>IF(tblBoard[[#This Row],[Date]]="","",IF(tblBoard[[#This Row],[Target (units)]]="","",tblBoard[[#This Row],[Actual (units)]]-tblBoard[[#This Row],[Target (units)]]))</f>
        <v>1</v>
      </c>
      <c r="M317" s="38">
        <f>IF(tblBoard[[#This Row],[Date]]="","",IF(tblBoard[[#This Row],[Target (units)]]="","",MAX(0,tblBoard[[#This Row],[Target (units)]]-tblBoard[[#This Row],[Actual (units)]])))</f>
        <v>0</v>
      </c>
      <c r="N317" s="39">
        <f>IF(tblBoard[[#This Row],[Date]]="","",IF(N(tblBoard[[#This Row],[Target (units)]])&gt;0,tblBoard[[#This Row],[Actual (units)]]/tblBoard[[#This Row],[Target (units)]],""))</f>
        <v>1.01612903225806</v>
      </c>
      <c r="O317" s="38">
        <f>IF(tblBoard[[#This Row],[Date]]="","",IF(N(tblBoard[[#This Row],[Target (units)]])&gt;0,IF(tblBoard[[#This Row],[Actual (units)]]&gt;=tblBoard[[#This Row],[Target (units)]]*TargetHour,1,0),""))</f>
        <v>1</v>
      </c>
      <c r="P317" s="40" t="str">
        <f>IF(NOT(ISNUMBER(tblBoard[[#This Row],[Attainment]])),"",IF(tblBoard[[#This Row],[Attainment]]&gt;=TargetHour,"On target",IF(tblBoard[[#This Row],[Attainment]]&gt;=TargetHour*(1-0.05),"Near target","Below target")))</f>
        <v>On target</v>
      </c>
      <c r="Q317" s="38">
        <f>IF(tblBoard[[#This Row],[Date]]="","",IF(tblBoard[[#This Row],[Hour]]="","",SUMIFS(tblBoard[Target (units)],tblBoard[Date],tblBoard[[#This Row],[Date]],tblBoard[Shift],tblBoard[[#This Row],[Shift]],tblBoard[Line],tblBoard[[#This Row],[Line]],tblBoard[Hour],"&lt;="&amp;tblBoard[[#This Row],[Hour]])))</f>
        <v>523</v>
      </c>
      <c r="R317" s="38">
        <f>IF(tblBoard[[#This Row],[Date]]="","",IF(tblBoard[[#This Row],[Hour]]="","",SUMIFS(tblBoard[Actual (units)],tblBoard[Date],tblBoard[[#This Row],[Date]],tblBoard[Shift],tblBoard[[#This Row],[Shift]],tblBoard[Line],tblBoard[[#This Row],[Line]],tblBoard[Hour],"&lt;="&amp;tblBoard[[#This Row],[Hour]])))</f>
        <v>507</v>
      </c>
      <c r="S317" s="38">
        <f>IF(tblBoard[[#This Row],[Date]]="","",IF(tblBoard[[#This Row],[Cum. target]]="","",tblBoard[[#This Row],[Cum. actual]]-tblBoard[[#This Row],[Cum. target]]))</f>
        <v>-16</v>
      </c>
      <c r="T317" s="41">
        <f>IF(tblBoard[[#This Row],[Date]]="","",IF(AND(tblBoard[[#This Row],[Date]]&gt;=FFrom,tblBoard[[#This Row],[Date]]&lt;=FTo,OR(DashLine="",tblBoard[[#This Row],[Line]]=DashLine)),tblBoard[[#This Row],[Date]],""))</f>
        <v>46311</v>
      </c>
      <c r="U317"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7" s="43" t="s">
        <v>97</v>
      </c>
    </row>
    <row r="318" spans="2:22" x14ac:dyDescent="0.25">
      <c r="B318" s="36">
        <v>46311</v>
      </c>
      <c r="C318" s="28" t="s">
        <v>93</v>
      </c>
      <c r="D318" s="28" t="s">
        <v>88</v>
      </c>
      <c r="E318" s="33">
        <v>1</v>
      </c>
      <c r="F318" s="28" t="s">
        <v>107</v>
      </c>
      <c r="G318" s="33">
        <v>60</v>
      </c>
      <c r="H318" s="33">
        <v>105</v>
      </c>
      <c r="I318" s="28" t="s">
        <v>110</v>
      </c>
      <c r="J318" s="37">
        <f>IF(tblBoard[[#This Row],[Date]]="","",IFERROR(INDEX(tblProducts[Takt time (s)],MATCH(tblBoard[[#This Row],[Product]],tblProducts[Product],0)),""))</f>
        <v>30</v>
      </c>
      <c r="K318" s="38">
        <f>IF(tblBoard[[#This Row],[Date]]="","",IF(OR(tblBoard[[#This Row],[Takt (s)]]="",tblBoard[[#This Row],[Available (min)]]=""),"",INT(tblBoard[[#This Row],[Available (min)]]*60/tblBoard[[#This Row],[Takt (s)]])))</f>
        <v>120</v>
      </c>
      <c r="L318" s="38">
        <f>IF(tblBoard[[#This Row],[Date]]="","",IF(tblBoard[[#This Row],[Target (units)]]="","",tblBoard[[#This Row],[Actual (units)]]-tblBoard[[#This Row],[Target (units)]]))</f>
        <v>-15</v>
      </c>
      <c r="M318" s="38">
        <f>IF(tblBoard[[#This Row],[Date]]="","",IF(tblBoard[[#This Row],[Target (units)]]="","",MAX(0,tblBoard[[#This Row],[Target (units)]]-tblBoard[[#This Row],[Actual (units)]])))</f>
        <v>15</v>
      </c>
      <c r="N318" s="39">
        <f>IF(tblBoard[[#This Row],[Date]]="","",IF(N(tblBoard[[#This Row],[Target (units)]])&gt;0,tblBoard[[#This Row],[Actual (units)]]/tblBoard[[#This Row],[Target (units)]],""))</f>
        <v>0.875</v>
      </c>
      <c r="O318" s="38">
        <f>IF(tblBoard[[#This Row],[Date]]="","",IF(N(tblBoard[[#This Row],[Target (units)]])&gt;0,IF(tblBoard[[#This Row],[Actual (units)]]&gt;=tblBoard[[#This Row],[Target (units)]]*TargetHour,1,0),""))</f>
        <v>0</v>
      </c>
      <c r="P318" s="40" t="str">
        <f>IF(NOT(ISNUMBER(tblBoard[[#This Row],[Attainment]])),"",IF(tblBoard[[#This Row],[Attainment]]&gt;=TargetHour,"On target",IF(tblBoard[[#This Row],[Attainment]]&gt;=TargetHour*(1-0.05),"Near target","Below target")))</f>
        <v>Below target</v>
      </c>
      <c r="Q318" s="38">
        <f>IF(tblBoard[[#This Row],[Date]]="","",IF(tblBoard[[#This Row],[Hour]]="","",SUMIFS(tblBoard[Target (units)],tblBoard[Date],tblBoard[[#This Row],[Date]],tblBoard[Shift],tblBoard[[#This Row],[Shift]],tblBoard[Line],tblBoard[[#This Row],[Line]],tblBoard[Hour],"&lt;="&amp;tblBoard[[#This Row],[Hour]])))</f>
        <v>120</v>
      </c>
      <c r="R318" s="38">
        <f>IF(tblBoard[[#This Row],[Date]]="","",IF(tblBoard[[#This Row],[Hour]]="","",SUMIFS(tblBoard[Actual (units)],tblBoard[Date],tblBoard[[#This Row],[Date]],tblBoard[Shift],tblBoard[[#This Row],[Shift]],tblBoard[Line],tblBoard[[#This Row],[Line]],tblBoard[Hour],"&lt;="&amp;tblBoard[[#This Row],[Hour]])))</f>
        <v>105</v>
      </c>
      <c r="S318" s="38">
        <f>IF(tblBoard[[#This Row],[Date]]="","",IF(tblBoard[[#This Row],[Cum. target]]="","",tblBoard[[#This Row],[Cum. actual]]-tblBoard[[#This Row],[Cum. target]]))</f>
        <v>-15</v>
      </c>
      <c r="T318" s="41">
        <f>IF(tblBoard[[#This Row],[Date]]="","",IF(AND(tblBoard[[#This Row],[Date]]&gt;=FFrom,tblBoard[[#This Row],[Date]]&lt;=FTo,OR(DashLine="",tblBoard[[#This Row],[Line]]=DashLine)),tblBoard[[#This Row],[Date]],""))</f>
        <v>46311</v>
      </c>
      <c r="U318"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8" s="43" t="s">
        <v>97</v>
      </c>
    </row>
    <row r="319" spans="2:22" x14ac:dyDescent="0.25">
      <c r="B319" s="36">
        <v>46311</v>
      </c>
      <c r="C319" s="28" t="s">
        <v>93</v>
      </c>
      <c r="D319" s="28" t="s">
        <v>88</v>
      </c>
      <c r="E319" s="33">
        <v>2</v>
      </c>
      <c r="F319" s="28" t="s">
        <v>107</v>
      </c>
      <c r="G319" s="33">
        <v>60</v>
      </c>
      <c r="H319" s="33">
        <v>118</v>
      </c>
      <c r="I319" s="28" t="s">
        <v>114</v>
      </c>
      <c r="J319" s="37">
        <f>IF(tblBoard[[#This Row],[Date]]="","",IFERROR(INDEX(tblProducts[Takt time (s)],MATCH(tblBoard[[#This Row],[Product]],tblProducts[Product],0)),""))</f>
        <v>30</v>
      </c>
      <c r="K319" s="38">
        <f>IF(tblBoard[[#This Row],[Date]]="","",IF(OR(tblBoard[[#This Row],[Takt (s)]]="",tblBoard[[#This Row],[Available (min)]]=""),"",INT(tblBoard[[#This Row],[Available (min)]]*60/tblBoard[[#This Row],[Takt (s)]])))</f>
        <v>120</v>
      </c>
      <c r="L319" s="38">
        <f>IF(tblBoard[[#This Row],[Date]]="","",IF(tblBoard[[#This Row],[Target (units)]]="","",tblBoard[[#This Row],[Actual (units)]]-tblBoard[[#This Row],[Target (units)]]))</f>
        <v>-2</v>
      </c>
      <c r="M319" s="38">
        <f>IF(tblBoard[[#This Row],[Date]]="","",IF(tblBoard[[#This Row],[Target (units)]]="","",MAX(0,tblBoard[[#This Row],[Target (units)]]-tblBoard[[#This Row],[Actual (units)]])))</f>
        <v>2</v>
      </c>
      <c r="N319" s="39">
        <f>IF(tblBoard[[#This Row],[Date]]="","",IF(N(tblBoard[[#This Row],[Target (units)]])&gt;0,tblBoard[[#This Row],[Actual (units)]]/tblBoard[[#This Row],[Target (units)]],""))</f>
        <v>0.983333333333333</v>
      </c>
      <c r="O319" s="38">
        <f>IF(tblBoard[[#This Row],[Date]]="","",IF(N(tblBoard[[#This Row],[Target (units)]])&gt;0,IF(tblBoard[[#This Row],[Actual (units)]]&gt;=tblBoard[[#This Row],[Target (units)]]*TargetHour,1,0),""))</f>
        <v>0</v>
      </c>
      <c r="P319" s="40" t="str">
        <f>IF(NOT(ISNUMBER(tblBoard[[#This Row],[Attainment]])),"",IF(tblBoard[[#This Row],[Attainment]]&gt;=TargetHour,"On target",IF(tblBoard[[#This Row],[Attainment]]&gt;=TargetHour*(1-0.05),"Near target","Below target")))</f>
        <v>Near target</v>
      </c>
      <c r="Q319" s="38">
        <f>IF(tblBoard[[#This Row],[Date]]="","",IF(tblBoard[[#This Row],[Hour]]="","",SUMIFS(tblBoard[Target (units)],tblBoard[Date],tblBoard[[#This Row],[Date]],tblBoard[Shift],tblBoard[[#This Row],[Shift]],tblBoard[Line],tblBoard[[#This Row],[Line]],tblBoard[Hour],"&lt;="&amp;tblBoard[[#This Row],[Hour]])))</f>
        <v>240</v>
      </c>
      <c r="R319" s="38">
        <f>IF(tblBoard[[#This Row],[Date]]="","",IF(tblBoard[[#This Row],[Hour]]="","",SUMIFS(tblBoard[Actual (units)],tblBoard[Date],tblBoard[[#This Row],[Date]],tblBoard[Shift],tblBoard[[#This Row],[Shift]],tblBoard[Line],tblBoard[[#This Row],[Line]],tblBoard[Hour],"&lt;="&amp;tblBoard[[#This Row],[Hour]])))</f>
        <v>223</v>
      </c>
      <c r="S319" s="38">
        <f>IF(tblBoard[[#This Row],[Date]]="","",IF(tblBoard[[#This Row],[Cum. target]]="","",tblBoard[[#This Row],[Cum. actual]]-tblBoard[[#This Row],[Cum. target]]))</f>
        <v>-17</v>
      </c>
      <c r="T319" s="41">
        <f>IF(tblBoard[[#This Row],[Date]]="","",IF(AND(tblBoard[[#This Row],[Date]]&gt;=FFrom,tblBoard[[#This Row],[Date]]&lt;=FTo,OR(DashLine="",tblBoard[[#This Row],[Line]]=DashLine)),tblBoard[[#This Row],[Date]],""))</f>
        <v>46311</v>
      </c>
      <c r="U319"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19" s="43" t="s">
        <v>97</v>
      </c>
    </row>
    <row r="320" spans="2:22" x14ac:dyDescent="0.25">
      <c r="B320" s="36">
        <v>46311</v>
      </c>
      <c r="C320" s="28" t="s">
        <v>93</v>
      </c>
      <c r="D320" s="28" t="s">
        <v>88</v>
      </c>
      <c r="E320" s="33">
        <v>3</v>
      </c>
      <c r="F320" s="28" t="s">
        <v>107</v>
      </c>
      <c r="G320" s="33">
        <v>50</v>
      </c>
      <c r="H320" s="33">
        <v>106</v>
      </c>
      <c r="I320" s="28"/>
      <c r="J320" s="37">
        <f>IF(tblBoard[[#This Row],[Date]]="","",IFERROR(INDEX(tblProducts[Takt time (s)],MATCH(tblBoard[[#This Row],[Product]],tblProducts[Product],0)),""))</f>
        <v>30</v>
      </c>
      <c r="K320" s="38">
        <f>IF(tblBoard[[#This Row],[Date]]="","",IF(OR(tblBoard[[#This Row],[Takt (s)]]="",tblBoard[[#This Row],[Available (min)]]=""),"",INT(tblBoard[[#This Row],[Available (min)]]*60/tblBoard[[#This Row],[Takt (s)]])))</f>
        <v>100</v>
      </c>
      <c r="L320" s="38">
        <f>IF(tblBoard[[#This Row],[Date]]="","",IF(tblBoard[[#This Row],[Target (units)]]="","",tblBoard[[#This Row],[Actual (units)]]-tblBoard[[#This Row],[Target (units)]]))</f>
        <v>6</v>
      </c>
      <c r="M320" s="38">
        <f>IF(tblBoard[[#This Row],[Date]]="","",IF(tblBoard[[#This Row],[Target (units)]]="","",MAX(0,tblBoard[[#This Row],[Target (units)]]-tblBoard[[#This Row],[Actual (units)]])))</f>
        <v>0</v>
      </c>
      <c r="N320" s="39">
        <f>IF(tblBoard[[#This Row],[Date]]="","",IF(N(tblBoard[[#This Row],[Target (units)]])&gt;0,tblBoard[[#This Row],[Actual (units)]]/tblBoard[[#This Row],[Target (units)]],""))</f>
        <v>1.06</v>
      </c>
      <c r="O320" s="38">
        <f>IF(tblBoard[[#This Row],[Date]]="","",IF(N(tblBoard[[#This Row],[Target (units)]])&gt;0,IF(tblBoard[[#This Row],[Actual (units)]]&gt;=tblBoard[[#This Row],[Target (units)]]*TargetHour,1,0),""))</f>
        <v>1</v>
      </c>
      <c r="P320" s="40" t="str">
        <f>IF(NOT(ISNUMBER(tblBoard[[#This Row],[Attainment]])),"",IF(tblBoard[[#This Row],[Attainment]]&gt;=TargetHour,"On target",IF(tblBoard[[#This Row],[Attainment]]&gt;=TargetHour*(1-0.05),"Near target","Below target")))</f>
        <v>On target</v>
      </c>
      <c r="Q320" s="38">
        <f>IF(tblBoard[[#This Row],[Date]]="","",IF(tblBoard[[#This Row],[Hour]]="","",SUMIFS(tblBoard[Target (units)],tblBoard[Date],tblBoard[[#This Row],[Date]],tblBoard[Shift],tblBoard[[#This Row],[Shift]],tblBoard[Line],tblBoard[[#This Row],[Line]],tblBoard[Hour],"&lt;="&amp;tblBoard[[#This Row],[Hour]])))</f>
        <v>340</v>
      </c>
      <c r="R320" s="38">
        <f>IF(tblBoard[[#This Row],[Date]]="","",IF(tblBoard[[#This Row],[Hour]]="","",SUMIFS(tblBoard[Actual (units)],tblBoard[Date],tblBoard[[#This Row],[Date]],tblBoard[Shift],tblBoard[[#This Row],[Shift]],tblBoard[Line],tblBoard[[#This Row],[Line]],tblBoard[Hour],"&lt;="&amp;tblBoard[[#This Row],[Hour]])))</f>
        <v>329</v>
      </c>
      <c r="S320" s="38">
        <f>IF(tblBoard[[#This Row],[Date]]="","",IF(tblBoard[[#This Row],[Cum. target]]="","",tblBoard[[#This Row],[Cum. actual]]-tblBoard[[#This Row],[Cum. target]]))</f>
        <v>-11</v>
      </c>
      <c r="T320" s="41">
        <f>IF(tblBoard[[#This Row],[Date]]="","",IF(AND(tblBoard[[#This Row],[Date]]&gt;=FFrom,tblBoard[[#This Row],[Date]]&lt;=FTo,OR(DashLine="",tblBoard[[#This Row],[Line]]=DashLine)),tblBoard[[#This Row],[Date]],""))</f>
        <v>46311</v>
      </c>
      <c r="U320"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20" s="43" t="s">
        <v>97</v>
      </c>
    </row>
    <row r="321" spans="2:22" x14ac:dyDescent="0.25">
      <c r="B321" s="36">
        <v>46311</v>
      </c>
      <c r="C321" s="28" t="s">
        <v>93</v>
      </c>
      <c r="D321" s="28" t="s">
        <v>88</v>
      </c>
      <c r="E321" s="33">
        <v>4</v>
      </c>
      <c r="F321" s="28" t="s">
        <v>107</v>
      </c>
      <c r="G321" s="33">
        <v>60</v>
      </c>
      <c r="H321" s="33">
        <v>121</v>
      </c>
      <c r="I321" s="28"/>
      <c r="J321" s="37">
        <f>IF(tblBoard[[#This Row],[Date]]="","",IFERROR(INDEX(tblProducts[Takt time (s)],MATCH(tblBoard[[#This Row],[Product]],tblProducts[Product],0)),""))</f>
        <v>30</v>
      </c>
      <c r="K321" s="38">
        <f>IF(tblBoard[[#This Row],[Date]]="","",IF(OR(tblBoard[[#This Row],[Takt (s)]]="",tblBoard[[#This Row],[Available (min)]]=""),"",INT(tblBoard[[#This Row],[Available (min)]]*60/tblBoard[[#This Row],[Takt (s)]])))</f>
        <v>120</v>
      </c>
      <c r="L321" s="38">
        <f>IF(tblBoard[[#This Row],[Date]]="","",IF(tblBoard[[#This Row],[Target (units)]]="","",tblBoard[[#This Row],[Actual (units)]]-tblBoard[[#This Row],[Target (units)]]))</f>
        <v>1</v>
      </c>
      <c r="M321" s="38">
        <f>IF(tblBoard[[#This Row],[Date]]="","",IF(tblBoard[[#This Row],[Target (units)]]="","",MAX(0,tblBoard[[#This Row],[Target (units)]]-tblBoard[[#This Row],[Actual (units)]])))</f>
        <v>0</v>
      </c>
      <c r="N321" s="39">
        <f>IF(tblBoard[[#This Row],[Date]]="","",IF(N(tblBoard[[#This Row],[Target (units)]])&gt;0,tblBoard[[#This Row],[Actual (units)]]/tblBoard[[#This Row],[Target (units)]],""))</f>
        <v>1.00833333333333</v>
      </c>
      <c r="O321" s="38">
        <f>IF(tblBoard[[#This Row],[Date]]="","",IF(N(tblBoard[[#This Row],[Target (units)]])&gt;0,IF(tblBoard[[#This Row],[Actual (units)]]&gt;=tblBoard[[#This Row],[Target (units)]]*TargetHour,1,0),""))</f>
        <v>1</v>
      </c>
      <c r="P321" s="40" t="str">
        <f>IF(NOT(ISNUMBER(tblBoard[[#This Row],[Attainment]])),"",IF(tblBoard[[#This Row],[Attainment]]&gt;=TargetHour,"On target",IF(tblBoard[[#This Row],[Attainment]]&gt;=TargetHour*(1-0.05),"Near target","Below target")))</f>
        <v>On target</v>
      </c>
      <c r="Q321" s="38">
        <f>IF(tblBoard[[#This Row],[Date]]="","",IF(tblBoard[[#This Row],[Hour]]="","",SUMIFS(tblBoard[Target (units)],tblBoard[Date],tblBoard[[#This Row],[Date]],tblBoard[Shift],tblBoard[[#This Row],[Shift]],tblBoard[Line],tblBoard[[#This Row],[Line]],tblBoard[Hour],"&lt;="&amp;tblBoard[[#This Row],[Hour]])))</f>
        <v>460</v>
      </c>
      <c r="R321" s="38">
        <f>IF(tblBoard[[#This Row],[Date]]="","",IF(tblBoard[[#This Row],[Hour]]="","",SUMIFS(tblBoard[Actual (units)],tblBoard[Date],tblBoard[[#This Row],[Date]],tblBoard[Shift],tblBoard[[#This Row],[Shift]],tblBoard[Line],tblBoard[[#This Row],[Line]],tblBoard[Hour],"&lt;="&amp;tblBoard[[#This Row],[Hour]])))</f>
        <v>450</v>
      </c>
      <c r="S321" s="38">
        <f>IF(tblBoard[[#This Row],[Date]]="","",IF(tblBoard[[#This Row],[Cum. target]]="","",tblBoard[[#This Row],[Cum. actual]]-tblBoard[[#This Row],[Cum. target]]))</f>
        <v>-10</v>
      </c>
      <c r="T321" s="41">
        <f>IF(tblBoard[[#This Row],[Date]]="","",IF(AND(tblBoard[[#This Row],[Date]]&gt;=FFrom,tblBoard[[#This Row],[Date]]&lt;=FTo,OR(DashLine="",tblBoard[[#This Row],[Line]]=DashLine)),tblBoard[[#This Row],[Date]],""))</f>
        <v>46311</v>
      </c>
      <c r="U321"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21" s="43" t="s">
        <v>97</v>
      </c>
    </row>
    <row r="322" spans="2:22" x14ac:dyDescent="0.25">
      <c r="B322" s="36">
        <v>46311</v>
      </c>
      <c r="C322" s="28" t="s">
        <v>93</v>
      </c>
      <c r="D322" s="28" t="s">
        <v>88</v>
      </c>
      <c r="E322" s="33">
        <v>5</v>
      </c>
      <c r="F322" s="28" t="s">
        <v>107</v>
      </c>
      <c r="G322" s="33">
        <v>30</v>
      </c>
      <c r="H322" s="33">
        <v>60</v>
      </c>
      <c r="I322" s="28"/>
      <c r="J322" s="37">
        <f>IF(tblBoard[[#This Row],[Date]]="","",IFERROR(INDEX(tblProducts[Takt time (s)],MATCH(tblBoard[[#This Row],[Product]],tblProducts[Product],0)),""))</f>
        <v>30</v>
      </c>
      <c r="K322" s="38">
        <f>IF(tblBoard[[#This Row],[Date]]="","",IF(OR(tblBoard[[#This Row],[Takt (s)]]="",tblBoard[[#This Row],[Available (min)]]=""),"",INT(tblBoard[[#This Row],[Available (min)]]*60/tblBoard[[#This Row],[Takt (s)]])))</f>
        <v>60</v>
      </c>
      <c r="L322" s="38">
        <f>IF(tblBoard[[#This Row],[Date]]="","",IF(tblBoard[[#This Row],[Target (units)]]="","",tblBoard[[#This Row],[Actual (units)]]-tblBoard[[#This Row],[Target (units)]]))</f>
        <v>0</v>
      </c>
      <c r="M322" s="38">
        <f>IF(tblBoard[[#This Row],[Date]]="","",IF(tblBoard[[#This Row],[Target (units)]]="","",MAX(0,tblBoard[[#This Row],[Target (units)]]-tblBoard[[#This Row],[Actual (units)]])))</f>
        <v>0</v>
      </c>
      <c r="N322" s="39">
        <f>IF(tblBoard[[#This Row],[Date]]="","",IF(N(tblBoard[[#This Row],[Target (units)]])&gt;0,tblBoard[[#This Row],[Actual (units)]]/tblBoard[[#This Row],[Target (units)]],""))</f>
        <v>1</v>
      </c>
      <c r="O322" s="38">
        <f>IF(tblBoard[[#This Row],[Date]]="","",IF(N(tblBoard[[#This Row],[Target (units)]])&gt;0,IF(tblBoard[[#This Row],[Actual (units)]]&gt;=tblBoard[[#This Row],[Target (units)]]*TargetHour,1,0),""))</f>
        <v>1</v>
      </c>
      <c r="P322" s="40" t="str">
        <f>IF(NOT(ISNUMBER(tblBoard[[#This Row],[Attainment]])),"",IF(tblBoard[[#This Row],[Attainment]]&gt;=TargetHour,"On target",IF(tblBoard[[#This Row],[Attainment]]&gt;=TargetHour*(1-0.05),"Near target","Below target")))</f>
        <v>On target</v>
      </c>
      <c r="Q322" s="38">
        <f>IF(tblBoard[[#This Row],[Date]]="","",IF(tblBoard[[#This Row],[Hour]]="","",SUMIFS(tblBoard[Target (units)],tblBoard[Date],tblBoard[[#This Row],[Date]],tblBoard[Shift],tblBoard[[#This Row],[Shift]],tblBoard[Line],tblBoard[[#This Row],[Line]],tblBoard[Hour],"&lt;="&amp;tblBoard[[#This Row],[Hour]])))</f>
        <v>520</v>
      </c>
      <c r="R322" s="38">
        <f>IF(tblBoard[[#This Row],[Date]]="","",IF(tblBoard[[#This Row],[Hour]]="","",SUMIFS(tblBoard[Actual (units)],tblBoard[Date],tblBoard[[#This Row],[Date]],tblBoard[Shift],tblBoard[[#This Row],[Shift]],tblBoard[Line],tblBoard[[#This Row],[Line]],tblBoard[Hour],"&lt;="&amp;tblBoard[[#This Row],[Hour]])))</f>
        <v>510</v>
      </c>
      <c r="S322" s="38">
        <f>IF(tblBoard[[#This Row],[Date]]="","",IF(tblBoard[[#This Row],[Cum. target]]="","",tblBoard[[#This Row],[Cum. actual]]-tblBoard[[#This Row],[Cum. target]]))</f>
        <v>-10</v>
      </c>
      <c r="T322" s="41">
        <f>IF(tblBoard[[#This Row],[Date]]="","",IF(AND(tblBoard[[#This Row],[Date]]&gt;=FFrom,tblBoard[[#This Row],[Date]]&lt;=FTo,OR(DashLine="",tblBoard[[#This Row],[Line]]=DashLine)),tblBoard[[#This Row],[Date]],""))</f>
        <v>46311</v>
      </c>
      <c r="U322"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22" s="43" t="s">
        <v>97</v>
      </c>
    </row>
    <row r="323" spans="2:22" x14ac:dyDescent="0.25">
      <c r="B323" s="36">
        <v>46311</v>
      </c>
      <c r="C323" s="28" t="s">
        <v>93</v>
      </c>
      <c r="D323" s="28" t="s">
        <v>88</v>
      </c>
      <c r="E323" s="33">
        <v>6</v>
      </c>
      <c r="F323" s="28" t="s">
        <v>107</v>
      </c>
      <c r="G323" s="33">
        <v>60</v>
      </c>
      <c r="H323" s="33">
        <v>111</v>
      </c>
      <c r="I323" s="28" t="s">
        <v>118</v>
      </c>
      <c r="J323" s="37">
        <f>IF(tblBoard[[#This Row],[Date]]="","",IFERROR(INDEX(tblProducts[Takt time (s)],MATCH(tblBoard[[#This Row],[Product]],tblProducts[Product],0)),""))</f>
        <v>30</v>
      </c>
      <c r="K323" s="38">
        <f>IF(tblBoard[[#This Row],[Date]]="","",IF(OR(tblBoard[[#This Row],[Takt (s)]]="",tblBoard[[#This Row],[Available (min)]]=""),"",INT(tblBoard[[#This Row],[Available (min)]]*60/tblBoard[[#This Row],[Takt (s)]])))</f>
        <v>120</v>
      </c>
      <c r="L323" s="38">
        <f>IF(tblBoard[[#This Row],[Date]]="","",IF(tblBoard[[#This Row],[Target (units)]]="","",tblBoard[[#This Row],[Actual (units)]]-tblBoard[[#This Row],[Target (units)]]))</f>
        <v>-9</v>
      </c>
      <c r="M323" s="38">
        <f>IF(tblBoard[[#This Row],[Date]]="","",IF(tblBoard[[#This Row],[Target (units)]]="","",MAX(0,tblBoard[[#This Row],[Target (units)]]-tblBoard[[#This Row],[Actual (units)]])))</f>
        <v>9</v>
      </c>
      <c r="N323" s="39">
        <f>IF(tblBoard[[#This Row],[Date]]="","",IF(N(tblBoard[[#This Row],[Target (units)]])&gt;0,tblBoard[[#This Row],[Actual (units)]]/tblBoard[[#This Row],[Target (units)]],""))</f>
        <v>0.925</v>
      </c>
      <c r="O323" s="38">
        <f>IF(tblBoard[[#This Row],[Date]]="","",IF(N(tblBoard[[#This Row],[Target (units)]])&gt;0,IF(tblBoard[[#This Row],[Actual (units)]]&gt;=tblBoard[[#This Row],[Target (units)]]*TargetHour,1,0),""))</f>
        <v>0</v>
      </c>
      <c r="P323" s="40" t="str">
        <f>IF(NOT(ISNUMBER(tblBoard[[#This Row],[Attainment]])),"",IF(tblBoard[[#This Row],[Attainment]]&gt;=TargetHour,"On target",IF(tblBoard[[#This Row],[Attainment]]&gt;=TargetHour*(1-0.05),"Near target","Below target")))</f>
        <v>Below target</v>
      </c>
      <c r="Q323" s="38">
        <f>IF(tblBoard[[#This Row],[Date]]="","",IF(tblBoard[[#This Row],[Hour]]="","",SUMIFS(tblBoard[Target (units)],tblBoard[Date],tblBoard[[#This Row],[Date]],tblBoard[Shift],tblBoard[[#This Row],[Shift]],tblBoard[Line],tblBoard[[#This Row],[Line]],tblBoard[Hour],"&lt;="&amp;tblBoard[[#This Row],[Hour]])))</f>
        <v>640</v>
      </c>
      <c r="R323" s="38">
        <f>IF(tblBoard[[#This Row],[Date]]="","",IF(tblBoard[[#This Row],[Hour]]="","",SUMIFS(tblBoard[Actual (units)],tblBoard[Date],tblBoard[[#This Row],[Date]],tblBoard[Shift],tblBoard[[#This Row],[Shift]],tblBoard[Line],tblBoard[[#This Row],[Line]],tblBoard[Hour],"&lt;="&amp;tblBoard[[#This Row],[Hour]])))</f>
        <v>621</v>
      </c>
      <c r="S323" s="38">
        <f>IF(tblBoard[[#This Row],[Date]]="","",IF(tblBoard[[#This Row],[Cum. target]]="","",tblBoard[[#This Row],[Cum. actual]]-tblBoard[[#This Row],[Cum. target]]))</f>
        <v>-19</v>
      </c>
      <c r="T323" s="41">
        <f>IF(tblBoard[[#This Row],[Date]]="","",IF(AND(tblBoard[[#This Row],[Date]]&gt;=FFrom,tblBoard[[#This Row],[Date]]&lt;=FTo,OR(DashLine="",tblBoard[[#This Row],[Line]]=DashLine)),tblBoard[[#This Row],[Date]],""))</f>
        <v>46311</v>
      </c>
      <c r="U323"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23" s="43" t="s">
        <v>97</v>
      </c>
    </row>
    <row r="324" spans="2:22" x14ac:dyDescent="0.25">
      <c r="B324" s="36">
        <v>46311</v>
      </c>
      <c r="C324" s="28" t="s">
        <v>93</v>
      </c>
      <c r="D324" s="28" t="s">
        <v>88</v>
      </c>
      <c r="E324" s="33">
        <v>7</v>
      </c>
      <c r="F324" s="28" t="s">
        <v>107</v>
      </c>
      <c r="G324" s="33">
        <v>50</v>
      </c>
      <c r="H324" s="33">
        <v>97</v>
      </c>
      <c r="I324" s="28" t="s">
        <v>124</v>
      </c>
      <c r="J324" s="37">
        <f>IF(tblBoard[[#This Row],[Date]]="","",IFERROR(INDEX(tblProducts[Takt time (s)],MATCH(tblBoard[[#This Row],[Product]],tblProducts[Product],0)),""))</f>
        <v>30</v>
      </c>
      <c r="K324" s="38">
        <f>IF(tblBoard[[#This Row],[Date]]="","",IF(OR(tblBoard[[#This Row],[Takt (s)]]="",tblBoard[[#This Row],[Available (min)]]=""),"",INT(tblBoard[[#This Row],[Available (min)]]*60/tblBoard[[#This Row],[Takt (s)]])))</f>
        <v>100</v>
      </c>
      <c r="L324" s="38">
        <f>IF(tblBoard[[#This Row],[Date]]="","",IF(tblBoard[[#This Row],[Target (units)]]="","",tblBoard[[#This Row],[Actual (units)]]-tblBoard[[#This Row],[Target (units)]]))</f>
        <v>-3</v>
      </c>
      <c r="M324" s="38">
        <f>IF(tblBoard[[#This Row],[Date]]="","",IF(tblBoard[[#This Row],[Target (units)]]="","",MAX(0,tblBoard[[#This Row],[Target (units)]]-tblBoard[[#This Row],[Actual (units)]])))</f>
        <v>3</v>
      </c>
      <c r="N324" s="39">
        <f>IF(tblBoard[[#This Row],[Date]]="","",IF(N(tblBoard[[#This Row],[Target (units)]])&gt;0,tblBoard[[#This Row],[Actual (units)]]/tblBoard[[#This Row],[Target (units)]],""))</f>
        <v>0.97</v>
      </c>
      <c r="O324" s="38">
        <f>IF(tblBoard[[#This Row],[Date]]="","",IF(N(tblBoard[[#This Row],[Target (units)]])&gt;0,IF(tblBoard[[#This Row],[Actual (units)]]&gt;=tblBoard[[#This Row],[Target (units)]]*TargetHour,1,0),""))</f>
        <v>0</v>
      </c>
      <c r="P324" s="40" t="str">
        <f>IF(NOT(ISNUMBER(tblBoard[[#This Row],[Attainment]])),"",IF(tblBoard[[#This Row],[Attainment]]&gt;=TargetHour,"On target",IF(tblBoard[[#This Row],[Attainment]]&gt;=TargetHour*(1-0.05),"Near target","Below target")))</f>
        <v>Near target</v>
      </c>
      <c r="Q324" s="38">
        <f>IF(tblBoard[[#This Row],[Date]]="","",IF(tblBoard[[#This Row],[Hour]]="","",SUMIFS(tblBoard[Target (units)],tblBoard[Date],tblBoard[[#This Row],[Date]],tblBoard[Shift],tblBoard[[#This Row],[Shift]],tblBoard[Line],tblBoard[[#This Row],[Line]],tblBoard[Hour],"&lt;="&amp;tblBoard[[#This Row],[Hour]])))</f>
        <v>740</v>
      </c>
      <c r="R324" s="38">
        <f>IF(tblBoard[[#This Row],[Date]]="","",IF(tblBoard[[#This Row],[Hour]]="","",SUMIFS(tblBoard[Actual (units)],tblBoard[Date],tblBoard[[#This Row],[Date]],tblBoard[Shift],tblBoard[[#This Row],[Shift]],tblBoard[Line],tblBoard[[#This Row],[Line]],tblBoard[Hour],"&lt;="&amp;tblBoard[[#This Row],[Hour]])))</f>
        <v>718</v>
      </c>
      <c r="S324" s="38">
        <f>IF(tblBoard[[#This Row],[Date]]="","",IF(tblBoard[[#This Row],[Cum. target]]="","",tblBoard[[#This Row],[Cum. actual]]-tblBoard[[#This Row],[Cum. target]]))</f>
        <v>-22</v>
      </c>
      <c r="T324" s="41">
        <f>IF(tblBoard[[#This Row],[Date]]="","",IF(AND(tblBoard[[#This Row],[Date]]&gt;=FFrom,tblBoard[[#This Row],[Date]]&lt;=FTo,OR(DashLine="",tblBoard[[#This Row],[Line]]=DashLine)),tblBoard[[#This Row],[Date]],""))</f>
        <v>46311</v>
      </c>
      <c r="U324"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24" s="43" t="s">
        <v>97</v>
      </c>
    </row>
    <row r="325" spans="2:22" x14ac:dyDescent="0.25">
      <c r="B325" s="36">
        <v>46311</v>
      </c>
      <c r="C325" s="28" t="s">
        <v>93</v>
      </c>
      <c r="D325" s="28" t="s">
        <v>88</v>
      </c>
      <c r="E325" s="33">
        <v>8</v>
      </c>
      <c r="F325" s="28" t="s">
        <v>107</v>
      </c>
      <c r="G325" s="33">
        <v>50</v>
      </c>
      <c r="H325" s="33">
        <v>103</v>
      </c>
      <c r="I325" s="28"/>
      <c r="J325" s="37">
        <f>IF(tblBoard[[#This Row],[Date]]="","",IFERROR(INDEX(tblProducts[Takt time (s)],MATCH(tblBoard[[#This Row],[Product]],tblProducts[Product],0)),""))</f>
        <v>30</v>
      </c>
      <c r="K325" s="38">
        <f>IF(tblBoard[[#This Row],[Date]]="","",IF(OR(tblBoard[[#This Row],[Takt (s)]]="",tblBoard[[#This Row],[Available (min)]]=""),"",INT(tblBoard[[#This Row],[Available (min)]]*60/tblBoard[[#This Row],[Takt (s)]])))</f>
        <v>100</v>
      </c>
      <c r="L325" s="38">
        <f>IF(tblBoard[[#This Row],[Date]]="","",IF(tblBoard[[#This Row],[Target (units)]]="","",tblBoard[[#This Row],[Actual (units)]]-tblBoard[[#This Row],[Target (units)]]))</f>
        <v>3</v>
      </c>
      <c r="M325" s="38">
        <f>IF(tblBoard[[#This Row],[Date]]="","",IF(tblBoard[[#This Row],[Target (units)]]="","",MAX(0,tblBoard[[#This Row],[Target (units)]]-tblBoard[[#This Row],[Actual (units)]])))</f>
        <v>0</v>
      </c>
      <c r="N325" s="39">
        <f>IF(tblBoard[[#This Row],[Date]]="","",IF(N(tblBoard[[#This Row],[Target (units)]])&gt;0,tblBoard[[#This Row],[Actual (units)]]/tblBoard[[#This Row],[Target (units)]],""))</f>
        <v>1.03</v>
      </c>
      <c r="O325" s="38">
        <f>IF(tblBoard[[#This Row],[Date]]="","",IF(N(tblBoard[[#This Row],[Target (units)]])&gt;0,IF(tblBoard[[#This Row],[Actual (units)]]&gt;=tblBoard[[#This Row],[Target (units)]]*TargetHour,1,0),""))</f>
        <v>1</v>
      </c>
      <c r="P325" s="40" t="str">
        <f>IF(NOT(ISNUMBER(tblBoard[[#This Row],[Attainment]])),"",IF(tblBoard[[#This Row],[Attainment]]&gt;=TargetHour,"On target",IF(tblBoard[[#This Row],[Attainment]]&gt;=TargetHour*(1-0.05),"Near target","Below target")))</f>
        <v>On target</v>
      </c>
      <c r="Q325" s="38">
        <f>IF(tblBoard[[#This Row],[Date]]="","",IF(tblBoard[[#This Row],[Hour]]="","",SUMIFS(tblBoard[Target (units)],tblBoard[Date],tblBoard[[#This Row],[Date]],tblBoard[Shift],tblBoard[[#This Row],[Shift]],tblBoard[Line],tblBoard[[#This Row],[Line]],tblBoard[Hour],"&lt;="&amp;tblBoard[[#This Row],[Hour]])))</f>
        <v>840</v>
      </c>
      <c r="R325" s="38">
        <f>IF(tblBoard[[#This Row],[Date]]="","",IF(tblBoard[[#This Row],[Hour]]="","",SUMIFS(tblBoard[Actual (units)],tblBoard[Date],tblBoard[[#This Row],[Date]],tblBoard[Shift],tblBoard[[#This Row],[Shift]],tblBoard[Line],tblBoard[[#This Row],[Line]],tblBoard[Hour],"&lt;="&amp;tblBoard[[#This Row],[Hour]])))</f>
        <v>821</v>
      </c>
      <c r="S325" s="38">
        <f>IF(tblBoard[[#This Row],[Date]]="","",IF(tblBoard[[#This Row],[Cum. target]]="","",tblBoard[[#This Row],[Cum. actual]]-tblBoard[[#This Row],[Cum. target]]))</f>
        <v>-19</v>
      </c>
      <c r="T325" s="41">
        <f>IF(tblBoard[[#This Row],[Date]]="","",IF(AND(tblBoard[[#This Row],[Date]]&gt;=FFrom,tblBoard[[#This Row],[Date]]&lt;=FTo,OR(DashLine="",tblBoard[[#This Row],[Line]]=DashLine)),tblBoard[[#This Row],[Date]],""))</f>
        <v>46311</v>
      </c>
      <c r="U325" s="42" t="str">
        <f>IF(tblBoard[[#This Row],[Date]]="","",IF(tblBoard[[#This Row],[Shift]]="","Missing shift",IF(tblBoard[[#This Row],[Line]]="","Missing line",IF(tblBoard[[#This Row],[Hour]]="","Missing hour",IF(tblBoard[[#This Row],[Available (min)]]="","Missing available",IF(tblBoard[[#This Row],[Actual (units)]]="","Missing actual",IF(tblBoard[[#This Row],[Takt (s)]]="","Pick a product from the Setup list",IF(tblBoard[[#This Row],[Available (min)]]&gt;60,"More than 60 minutes in an hour",IF(AND(N(tblBoard[[#This Row],[Gap (units)]])&lt;0,tblBoard[[#This Row],[Miss reason]]=""),"Give the miss reason",IF(COUNTIFS(tblBoard[Date],tblBoard[[#This Row],[Date]],tblBoard[Shift],tblBoard[[#This Row],[Shift]],tblBoard[Line],tblBoard[[#This Row],[Line]],tblBoard[Hour],tblBoard[[#This Row],[Hour]])&gt;1,"Duplicate hour row",IF(tblBoard[[#This Row],[Actual (units)]]&gt;tblBoard[[#This Row],[Target (units)]]*1.3,"Far above takt pace: check takt or count","OK")))))))))))</f>
        <v>OK</v>
      </c>
      <c r="V325" s="43" t="s">
        <v>97</v>
      </c>
    </row>
  </sheetData>
  <mergeCells count="3">
    <mergeCell ref="A1:V1"/>
    <mergeCell ref="B2:U2"/>
    <mergeCell ref="B4:V4"/>
  </mergeCells>
  <conditionalFormatting sqref="N6:N825">
    <cfRule type="expression" dxfId="3" priority="1" stopIfTrue="1">
      <formula>AND(ISNUMBER(N6),N6&gt;=(TargetHour))</formula>
    </cfRule>
    <cfRule type="expression" dxfId="4" priority="2" stopIfTrue="1">
      <formula>AND(ISNUMBER(N6),N6&gt;=(TargetHour)*(1-0.05))</formula>
    </cfRule>
    <cfRule type="expression" dxfId="5" priority="3">
      <formula>ISNUMBER(N6)</formula>
    </cfRule>
    <cfRule type="dataBar" priority="4">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P6:P825">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U6:U825">
    <cfRule type="expression" dxfId="3" priority="25">
      <formula>$U6="OK"</formula>
    </cfRule>
    <cfRule type="expression" dxfId="1" priority="26">
      <formula>AND($U6&lt;&gt;"",$U6&lt;&gt;"OK")</formula>
    </cfRule>
  </conditionalFormatting>
  <dataValidations count="9">
    <dataValidation type="date" allowBlank="1" showInputMessage="1" showErrorMessage="1" errorTitle="Check this entry" error="Enter a date between 01 Jan 2000 and 31 Dec 2100." promptTitle="Date" prompt="Enter a date between 01 Jan 2000 and 31 Dec 2100." sqref="B6:B825">
      <formula1>36526</formula1>
      <formula2>73415</formula2>
    </dataValidation>
    <dataValidation type="list" allowBlank="1" showInputMessage="1" showErrorMessage="1" errorTitle="Check this entry" error="Pick from the list (edit the list on Setup: ShiftList)." promptTitle="Shift" prompt="Pick from the list (edit the list on Setup: ShiftList)." sqref="C6:C825">
      <formula1>ShiftList</formula1>
    </dataValidation>
    <dataValidation type="list" allowBlank="1" showInputMessage="1" showErrorMessage="1" errorTitle="Check this entry" error="Pick from the list (edit the list on Setup: Lines)." promptTitle="Line" prompt="Pick from the list (edit the list on Setup: Lines)." sqref="D6:D825">
      <formula1>Lines</formula1>
    </dataValidation>
    <dataValidation type="whole" allowBlank="1" showInputMessage="1" showErrorMessage="1" errorTitle="Check this entry" error="Enter a whole number from 1 to 24." promptTitle="Hour" prompt="Hour of the shift: 1 is the first hour. Enter a whole number from 1 to 24." sqref="E6:E825">
      <formula1>1</formula1>
      <formula2>24</formula2>
    </dataValidation>
    <dataValidation type="list" allowBlank="1" showInputMessage="1" showErrorMessage="1" errorTitle="Check this entry" error="Pick from the list (edit the list on Setup: Products)." promptTitle="Product" prompt="Pick from the list (edit the list on Setup: Products)." sqref="F6:F825">
      <formula1>Products</formula1>
    </dataValidation>
    <dataValidation type="whole" allowBlank="1" showInputMessage="1" showErrorMessage="1" errorTitle="Check this entry" error="Enter a whole number from 0 to 60." promptTitle="Available (min)" prompt="Minutes the line was planned to run in this hour: 60 minus breaks and planned stops. Enter a whole number from 0 to 60." sqref="G6:G825">
      <formula1>0</formula1>
      <formula2>60</formula2>
    </dataValidation>
    <dataValidation type="whole" allowBlank="1" showInputMessage="1" showErrorMessage="1" errorTitle="Check this entry" error="Enter a whole number from 0 to 1,000,000." promptTitle="Actual (units)" prompt="Good units completed in the hour. Enter a whole number from 0 to 1,000,000." sqref="H6:H825">
      <formula1>0</formula1>
      <formula2>1000000</formula2>
    </dataValidation>
    <dataValidation type="list" allowBlank="1" showInputMessage="1" showErrorMessage="1" errorTitle="Check this entry" error="Pick from the list (edit the list on Setup: Reasons)." promptTitle="Miss reason" prompt="Why the hour fell short. Leave blank when it made its target. Pick from the list (edit the list on Setup: Reasons)." sqref="I6:I825">
      <formula1>Reasons</formula1>
    </dataValidation>
    <dataValidation type="textLength" allowBlank="1" showInputMessage="1" showErrorMessage="1" errorTitle="Check this entry" error="Text up to 255 characters." promptTitle="Countermeasure" prompt="Text up to 255 characters." sqref="V6:V825">
      <formula1>0</formula1>
      <formula2>255</formula2>
    </dataValidation>
  </dataValidations>
  <hyperlinks>
    <hyperlink ref="V2" r:id="rId1" tooltip="Free manufacturing calculators and templates"/>
  </hyperlinks>
  <pageMargins left="0.4" right="0.4" top="0.7" bottom="0.65" header="0.3" footer="0.3"/>
  <pageSetup fitToHeight="0" orientation="landscape"/>
  <headerFooter>
    <oddHeader>&amp;L&amp;8MFG Calcs - Hour-by-Hour Production Board&amp;R&amp;8&amp;A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N6:N825</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R42"/>
  <sheetViews>
    <sheetView showGridLines="0" workbookViewId="0"/>
  </sheetViews>
  <sheetFormatPr defaultRowHeight="15"/>
  <cols>
    <col min="1" max="1" width="2.7109375" customWidth="1"/>
    <col min="2" max="2" width="6.7109375" customWidth="1"/>
    <col min="3" max="3" width="7.7109375" customWidth="1"/>
    <col min="4" max="5" width="11.28515625" customWidth="1"/>
    <col min="6" max="6" width="9.7109375" customWidth="1"/>
    <col min="7" max="8" width="8.28515625" customWidth="1"/>
    <col min="9" max="9" width="7.28515625" customWidth="1"/>
    <col min="10" max="11" width="9.7109375" customWidth="1"/>
    <col min="12" max="12" width="8.7109375" customWidth="1"/>
    <col min="13" max="13" width="10.7109375" customWidth="1"/>
    <col min="14" max="15" width="10.28515625" customWidth="1"/>
    <col min="16" max="18" width="13.7109375" customWidth="1"/>
  </cols>
  <sheetData>
    <row r="1" spans="1:18" ht="30" customHeight="1">
      <c r="A1" s="1" t="s">
        <v>0</v>
      </c>
      <c r="B1" s="1"/>
      <c r="C1" s="1"/>
      <c r="D1" s="1"/>
      <c r="E1" s="1"/>
      <c r="F1" s="1"/>
      <c r="G1" s="1"/>
      <c r="H1" s="1"/>
      <c r="I1" s="1"/>
      <c r="J1" s="1"/>
      <c r="K1" s="1"/>
      <c r="L1" s="1"/>
      <c r="M1" s="1"/>
      <c r="N1" s="1"/>
      <c r="O1" s="1"/>
      <c r="P1" s="1"/>
      <c r="Q1" s="1"/>
      <c r="R1" s="1"/>
    </row>
    <row r="2" spans="1:18" ht="21" customHeight="1">
      <c r="B2" s="2" t="s">
        <v>24</v>
      </c>
      <c r="C2" s="2"/>
      <c r="D2" s="2"/>
      <c r="E2" s="2"/>
      <c r="F2" s="2"/>
      <c r="G2" s="2"/>
      <c r="H2" s="2"/>
      <c r="I2" s="2"/>
      <c r="J2" s="2"/>
      <c r="K2" s="2"/>
      <c r="L2" s="2"/>
      <c r="M2" s="2"/>
      <c r="N2" s="2"/>
      <c r="O2" s="2"/>
      <c r="P2" s="2"/>
      <c r="Q2" s="2"/>
      <c r="R2" s="3" t="s">
        <v>2</v>
      </c>
    </row>
    <row r="3" spans="1:18" ht="6" customHeight="1"/>
    <row r="4" spans="1:18" ht="30" customHeight="1">
      <c r="B4" s="44" t="s">
        <v>147</v>
      </c>
      <c r="C4" s="44"/>
      <c r="D4" s="44"/>
      <c r="E4" s="44"/>
      <c r="F4" s="44"/>
      <c r="G4" s="44"/>
      <c r="H4" s="44"/>
      <c r="I4" s="44"/>
      <c r="J4" s="44"/>
      <c r="K4" s="44"/>
      <c r="L4" s="44"/>
      <c r="M4" s="44"/>
      <c r="N4" s="45" t="str">
        <f>PlantName</f>
        <v>Calder Pump Assembly (example)</v>
      </c>
      <c r="O4" s="45"/>
      <c r="P4" s="45"/>
      <c r="Q4" s="45"/>
      <c r="R4" s="45"/>
    </row>
    <row r="6" spans="1:18">
      <c r="B6" s="27" t="s">
        <v>126</v>
      </c>
      <c r="C6" s="27"/>
      <c r="D6" s="46">
        <v>46311</v>
      </c>
      <c r="E6" s="46"/>
      <c r="F6" s="46"/>
      <c r="H6" s="27" t="s">
        <v>68</v>
      </c>
      <c r="I6" s="27"/>
      <c r="J6" s="28" t="s">
        <v>91</v>
      </c>
      <c r="K6" s="28"/>
      <c r="L6" s="28"/>
      <c r="N6" s="27" t="s">
        <v>65</v>
      </c>
      <c r="O6" s="27"/>
      <c r="P6" s="28" t="s">
        <v>88</v>
      </c>
      <c r="Q6" s="28"/>
      <c r="R6" s="28"/>
    </row>
    <row r="7" spans="1:18">
      <c r="B7" s="47" t="str">
        <f>IF(COUNTIFS(tblBoard[Date],BoardDate,tblBoard[Shift],BoardShift,tblBoard[Line],BoardLine)=0,"No rows on the Hourly Board for this date, shift and line: the board prints blank, ready to fill in by hand.",COUNTIFS(tblBoard[Date],BoardDate,tblBoard[Shift],BoardShift,tblBoard[Line],BoardLine)&amp;" hours logged. Target per hour = available minutes x 60 / takt, rounded down; running totals from hour 1.")</f>
        <v>8 hours logged. Target per hour = available minutes x 60 / takt, rounded down; running totals from hour 1.</v>
      </c>
      <c r="C7" s="47"/>
      <c r="D7" s="47"/>
      <c r="E7" s="47"/>
      <c r="F7" s="47"/>
      <c r="G7" s="47"/>
      <c r="H7" s="47"/>
      <c r="I7" s="47"/>
      <c r="J7" s="47"/>
      <c r="K7" s="47"/>
      <c r="L7" s="47"/>
      <c r="M7" s="47"/>
      <c r="N7" s="47"/>
      <c r="O7" s="47"/>
      <c r="P7" s="47"/>
      <c r="Q7" s="47"/>
      <c r="R7" s="47"/>
    </row>
    <row r="9" spans="1:18" ht="18" customHeight="1">
      <c r="B9" s="48" t="s">
        <v>148</v>
      </c>
      <c r="C9" s="48"/>
      <c r="D9" s="48"/>
      <c r="E9" s="48"/>
      <c r="F9" s="48"/>
      <c r="G9" s="48" t="s">
        <v>149</v>
      </c>
      <c r="H9" s="48"/>
      <c r="I9" s="48"/>
      <c r="J9" s="48"/>
      <c r="K9" s="48"/>
      <c r="L9" s="48" t="s">
        <v>150</v>
      </c>
      <c r="M9" s="48"/>
      <c r="N9" s="48"/>
      <c r="O9" s="48"/>
      <c r="P9" s="48" t="s">
        <v>151</v>
      </c>
      <c r="Q9" s="48"/>
      <c r="R9" s="48"/>
    </row>
    <row r="10" spans="1:18" ht="21" customHeight="1">
      <c r="B10" s="49">
        <f>IF((SUMIFS(tblBoard[Target (units)],tblBoard[Date],BoardDate,tblBoard[Shift],BoardShift,tblBoard[Line],BoardLine))=0,"",(SUMIFS(tblBoard[Actual (units)],tblBoard[Date],BoardDate,tblBoard[Shift],BoardShift,tblBoard[Line],BoardLine))/(SUMIFS(tblBoard[Target (units)],tblBoard[Date],BoardDate,tblBoard[Shift],BoardShift,tblBoard[Line],BoardLine)))</f>
        <v>0.936904761904762</v>
      </c>
      <c r="C10" s="49"/>
      <c r="D10" s="49"/>
      <c r="E10" s="49"/>
      <c r="F10" s="49"/>
      <c r="G10" s="50">
        <f>SUMIFS(tblBoard[Actual (units)],tblBoard[Date],BoardDate,tblBoard[Shift],BoardShift,tblBoard[Line],BoardLine)</f>
        <v>787</v>
      </c>
      <c r="H10" s="50"/>
      <c r="I10" s="50"/>
      <c r="J10" s="50"/>
      <c r="K10" s="50"/>
      <c r="L10" s="49">
        <f>IF((COUNTIFS(tblBoard[Date],BoardDate,tblBoard[Shift],BoardShift,tblBoard[Line],BoardLine,tblBoard[Target (units)],"&gt;0"))=0,"",(SUMIFS(tblBoard[Hit],tblBoard[Date],BoardDate,tblBoard[Shift],BoardShift,tblBoard[Line],BoardLine))/(COUNTIFS(tblBoard[Date],BoardDate,tblBoard[Shift],BoardShift,tblBoard[Line],BoardLine,tblBoard[Target (units)],"&gt;0")))</f>
        <v>0.625</v>
      </c>
      <c r="M10" s="49"/>
      <c r="N10" s="49"/>
      <c r="O10" s="49"/>
      <c r="P10" s="50">
        <f>SUMIFS(tblBoard[Short (units)],tblBoard[Date],BoardDate,tblBoard[Shift],BoardShift,tblBoard[Line],BoardLine)</f>
        <v>71</v>
      </c>
      <c r="Q10" s="50"/>
      <c r="R10" s="50"/>
    </row>
    <row r="11" spans="1:18" ht="21" customHeight="1">
      <c r="B11" s="49"/>
      <c r="C11" s="49"/>
      <c r="D11" s="49"/>
      <c r="E11" s="49"/>
      <c r="F11" s="49"/>
      <c r="G11" s="50"/>
      <c r="H11" s="50"/>
      <c r="I11" s="50"/>
      <c r="J11" s="50"/>
      <c r="K11" s="50"/>
      <c r="L11" s="49"/>
      <c r="M11" s="49"/>
      <c r="N11" s="49"/>
      <c r="O11" s="49"/>
      <c r="P11" s="50"/>
      <c r="Q11" s="50"/>
      <c r="R11" s="50"/>
    </row>
    <row r="12" spans="1:18">
      <c r="B12" s="51">
        <f>TargetHour</f>
        <v>1</v>
      </c>
      <c r="C12" s="51"/>
      <c r="D12" s="51"/>
      <c r="E12" s="51"/>
      <c r="F12" s="51"/>
      <c r="G12" s="52" t="str">
        <f>"Target at takt: "&amp;FIXED(SUMIFS(tblBoard[Target (units)],tblBoard[Date],BoardDate,tblBoard[Shift],BoardShift,tblBoard[Line],BoardLine),0,FALSE)</f>
        <v>Target at takt: 840</v>
      </c>
      <c r="H12" s="52"/>
      <c r="I12" s="52"/>
      <c r="J12" s="52"/>
      <c r="K12" s="52"/>
      <c r="L12" s="52" t="str">
        <f>SUMIFS(tblBoard[Hit],tblBoard[Date],BoardDate,tblBoard[Shift],BoardShift,tblBoard[Line],BoardLine)&amp;" of "&amp;COUNTIFS(tblBoard[Date],BoardDate,tblBoard[Shift],BoardShift,tblBoard[Line],BoardLine,tblBoard[Target (units)],"&gt;0")&amp;" hours"</f>
        <v>5 of 8 hours</v>
      </c>
      <c r="M12" s="52"/>
      <c r="N12" s="52"/>
      <c r="O12" s="52"/>
      <c r="P12" s="52" t="s">
        <v>152</v>
      </c>
      <c r="Q12" s="52"/>
      <c r="R12" s="52"/>
    </row>
    <row r="13" spans="1:18" ht="18" customHeight="1">
      <c r="B13" s="53" t="str">
        <f>IF(NOT(ISNUMBER(KpiDayAttain)),"No data",IF(KpiDayAttain&gt;=(TargetHour),"On target",IF(KpiDayAttain&gt;=(TargetHour)*(1-0.05),"Near target","Below target")))</f>
        <v>Below target</v>
      </c>
      <c r="C13" s="53"/>
      <c r="D13" s="53"/>
      <c r="E13" s="53"/>
      <c r="F13" s="53"/>
      <c r="G13" s="53"/>
      <c r="H13" s="53"/>
      <c r="I13" s="53"/>
      <c r="J13" s="53"/>
      <c r="K13" s="53"/>
      <c r="L13" s="53"/>
      <c r="M13" s="53"/>
      <c r="N13" s="53"/>
      <c r="O13" s="53"/>
      <c r="P13" s="53"/>
      <c r="Q13" s="53"/>
      <c r="R13" s="53"/>
    </row>
    <row r="15" spans="1:18">
      <c r="B15" s="30" t="s">
        <v>153</v>
      </c>
      <c r="C15" s="30"/>
      <c r="D15" s="30"/>
      <c r="E15" s="30"/>
      <c r="F15" s="30"/>
      <c r="G15" s="30"/>
      <c r="H15" s="30"/>
      <c r="I15" s="30"/>
      <c r="J15" s="30"/>
      <c r="K15" s="30"/>
      <c r="L15" s="30"/>
      <c r="M15" s="30"/>
      <c r="N15" s="30"/>
      <c r="O15" s="30"/>
      <c r="P15" s="30"/>
      <c r="Q15" s="30"/>
      <c r="R15" s="30"/>
    </row>
    <row r="16" spans="1:18" ht="32" customHeight="1">
      <c r="B16" s="54" t="s">
        <v>71</v>
      </c>
      <c r="C16" s="31" t="s">
        <v>69</v>
      </c>
      <c r="D16" s="31" t="s">
        <v>73</v>
      </c>
      <c r="E16" s="31"/>
      <c r="F16" s="31" t="s">
        <v>127</v>
      </c>
      <c r="G16" s="31" t="s">
        <v>154</v>
      </c>
      <c r="H16" s="31" t="s">
        <v>155</v>
      </c>
      <c r="I16" s="31" t="s">
        <v>156</v>
      </c>
      <c r="J16" s="31" t="s">
        <v>137</v>
      </c>
      <c r="K16" s="31" t="s">
        <v>138</v>
      </c>
      <c r="L16" s="31" t="s">
        <v>139</v>
      </c>
      <c r="M16" s="31" t="s">
        <v>134</v>
      </c>
      <c r="N16" s="31" t="s">
        <v>129</v>
      </c>
      <c r="O16" s="31"/>
      <c r="P16" s="31" t="s">
        <v>142</v>
      </c>
      <c r="Q16" s="31"/>
      <c r="R16" s="31"/>
    </row>
    <row r="17" spans="2:18">
      <c r="B17" s="55" t="str">
        <f>IFERROR(INDEX(tblHours[Hour],1)&amp;"","")</f>
        <v>1</v>
      </c>
      <c r="C17" s="56">
        <f>IF($B$17="","",IF(BoardStart="","",BoardStart+(VALUE($B$17)-1)/24))</f>
        <v>0.25</v>
      </c>
      <c r="D17" s="57" t="str">
        <f>IF($B$17="","",IF(SUMPRODUCT(MAX((tblBoard[Date]=BoardDate)*(tblBoard[Shift]=BoardShift)*(tblBoard[Line]=BoardLine)*(tblBoard[Hour]=VALUE($B$17))*(ROW(tblBoard[Date])-MIN(ROW(tblBoard[Date]))+1)))=0,"",INDEX(tblBoard[Product],SUMPRODUCT(MAX((tblBoard[Date]=BoardDate)*(tblBoard[Shift]=BoardShift)*(tblBoard[Line]=BoardLine)*(tblBoard[Hour]=VALUE($B$17))*(ROW(tblBoard[Date])-MIN(ROW(tblBoard[Date]))+1))))&amp;""))</f>
        <v>Bracket kit BK-3</v>
      </c>
      <c r="E17" s="57"/>
      <c r="F17" s="38">
        <f>IF($B$17="","",IF(COUNTIFS(tblBoard[Date],BoardDate,tblBoard[Shift],BoardShift,tblBoard[Line],BoardLine,tblBoard[Hour],VALUE($B$17))&gt;0,SUMIFS(tblBoard[Available (min)],tblBoard[Date],BoardDate,tblBoard[Shift],BoardShift,tblBoard[Line],BoardLine,tblBoard[Hour],VALUE($B$17)),""))</f>
        <v>60</v>
      </c>
      <c r="G17" s="38">
        <f>IF($B$17="","",IF(COUNTIFS(tblBoard[Date],BoardDate,tblBoard[Shift],BoardShift,tblBoard[Line],BoardLine,tblBoard[Hour],VALUE($B$17))&gt;0,SUMIFS(tblBoard[Target (units)],tblBoard[Date],BoardDate,tblBoard[Shift],BoardShift,tblBoard[Line],BoardLine,tblBoard[Hour],VALUE($B$17)),""))</f>
        <v>120</v>
      </c>
      <c r="H17" s="38">
        <f>IF($B$17="","",IF(COUNTIFS(tblBoard[Date],BoardDate,tblBoard[Shift],BoardShift,tblBoard[Line],BoardLine,tblBoard[Hour],VALUE($B$17))&gt;0,SUMIFS(tblBoard[Actual (units)],tblBoard[Date],BoardDate,tblBoard[Shift],BoardShift,tblBoard[Line],BoardLine,tblBoard[Hour],VALUE($B$17)),""))</f>
        <v>104</v>
      </c>
      <c r="I17" s="38">
        <f>IF($B$17="","",IF($G$17="","",$H$17-$G$17))</f>
        <v>-16</v>
      </c>
      <c r="J17" s="38">
        <f>IF($B$17="","",IF(COUNTIFS(tblBoard[Date],BoardDate,tblBoard[Shift],BoardShift,tblBoard[Line],BoardLine,tblBoard[Hour],VALUE($B$17))&gt;0,SUMIFS(tblBoard[Target (units)],tblBoard[Date],BoardDate,tblBoard[Shift],BoardShift,tblBoard[Line],BoardLine,tblBoard[Hour],"&lt;="&amp;VALUE($B$17)),""))</f>
        <v>120</v>
      </c>
      <c r="K17" s="38">
        <f>IF($B$17="","",IF(COUNTIFS(tblBoard[Date],BoardDate,tblBoard[Shift],BoardShift,tblBoard[Line],BoardLine,tblBoard[Hour],VALUE($B$17))&gt;0,SUMIFS(tblBoard[Actual (units)],tblBoard[Date],BoardDate,tblBoard[Shift],BoardShift,tblBoard[Line],BoardLine,tblBoard[Hour],"&lt;="&amp;VALUE($B$17)),""))</f>
        <v>104</v>
      </c>
      <c r="L17" s="38">
        <f>IF($B$17="","",IF($J$17="","",$K$17-$J$17))</f>
        <v>-16</v>
      </c>
      <c r="M17" s="39">
        <f>IF($B$17="","",IF(N($G$17)&gt;0,$H$17/$G$17,""))</f>
        <v>0.866666666666667</v>
      </c>
      <c r="N17" s="57" t="str">
        <f>IF($B$17="","",IF(SUMPRODUCT(MAX((tblBoard[Date]=BoardDate)*(tblBoard[Shift]=BoardShift)*(tblBoard[Line]=BoardLine)*(tblBoard[Hour]=VALUE($B$17))*(ROW(tblBoard[Date])-MIN(ROW(tblBoard[Date]))+1)))=0,"",INDEX(tblBoard[Miss reason],SUMPRODUCT(MAX((tblBoard[Date]=BoardDate)*(tblBoard[Shift]=BoardShift)*(tblBoard[Line]=BoardLine)*(tblBoard[Hour]=VALUE($B$17))*(ROW(tblBoard[Date])-MIN(ROW(tblBoard[Date]))+1))))&amp;""))</f>
        <v>Start-up</v>
      </c>
      <c r="O17" s="57"/>
      <c r="P17" s="57">
        <f>IF($B$17="","",IF(SUMPRODUCT(MAX((tblBoard[Date]=BoardDate)*(tblBoard[Shift]=BoardShift)*(tblBoard[Line]=BoardLine)*(tblBoard[Hour]=VALUE($B$17))*(ROW(tblBoard[Date])-MIN(ROW(tblBoard[Date]))+1)))=0,"",INDEX(tblBoard[Countermeasure],SUMPRODUCT(MAX((tblBoard[Date]=BoardDate)*(tblBoard[Shift]=BoardShift)*(tblBoard[Line]=BoardLine)*(tblBoard[Hour]=VALUE($B$17))*(ROW(tblBoard[Date])-MIN(ROW(tblBoard[Date]))+1))))&amp;""))</f>
        <v/>
      </c>
      <c r="Q17" s="57"/>
      <c r="R17" s="57"/>
    </row>
    <row r="18" spans="2:18">
      <c r="B18" s="55" t="str">
        <f>IFERROR(INDEX(tblHours[Hour],2)&amp;"","")</f>
        <v>2</v>
      </c>
      <c r="C18" s="56">
        <f>IF($B$18="","",IF(BoardStart="","",BoardStart+(VALUE($B$18)-1)/24))</f>
        <v>0.291666666666667</v>
      </c>
      <c r="D18" s="57" t="str">
        <f>IF($B$18="","",IF(SUMPRODUCT(MAX((tblBoard[Date]=BoardDate)*(tblBoard[Shift]=BoardShift)*(tblBoard[Line]=BoardLine)*(tblBoard[Hour]=VALUE($B$18))*(ROW(tblBoard[Date])-MIN(ROW(tblBoard[Date]))+1)))=0,"",INDEX(tblBoard[Product],SUMPRODUCT(MAX((tblBoard[Date]=BoardDate)*(tblBoard[Shift]=BoardShift)*(tblBoard[Line]=BoardLine)*(tblBoard[Hour]=VALUE($B$18))*(ROW(tblBoard[Date])-MIN(ROW(tblBoard[Date]))+1))))&amp;""))</f>
        <v>Bracket kit BK-3</v>
      </c>
      <c r="E18" s="57"/>
      <c r="F18" s="38">
        <f>IF($B$18="","",IF(COUNTIFS(tblBoard[Date],BoardDate,tblBoard[Shift],BoardShift,tblBoard[Line],BoardLine,tblBoard[Hour],VALUE($B$18))&gt;0,SUMIFS(tblBoard[Available (min)],tblBoard[Date],BoardDate,tblBoard[Shift],BoardShift,tblBoard[Line],BoardLine,tblBoard[Hour],VALUE($B$18)),""))</f>
        <v>60</v>
      </c>
      <c r="G18" s="38">
        <f>IF($B$18="","",IF(COUNTIFS(tblBoard[Date],BoardDate,tblBoard[Shift],BoardShift,tblBoard[Line],BoardLine,tblBoard[Hour],VALUE($B$18))&gt;0,SUMIFS(tblBoard[Target (units)],tblBoard[Date],BoardDate,tblBoard[Shift],BoardShift,tblBoard[Line],BoardLine,tblBoard[Hour],VALUE($B$18)),""))</f>
        <v>120</v>
      </c>
      <c r="H18" s="38">
        <f>IF($B$18="","",IF(COUNTIFS(tblBoard[Date],BoardDate,tblBoard[Shift],BoardShift,tblBoard[Line],BoardLine,tblBoard[Hour],VALUE($B$18))&gt;0,SUMIFS(tblBoard[Actual (units)],tblBoard[Date],BoardDate,tblBoard[Shift],BoardShift,tblBoard[Line],BoardLine,tblBoard[Hour],VALUE($B$18)),""))</f>
        <v>127</v>
      </c>
      <c r="I18" s="38">
        <f>IF($B$18="","",IF($G$18="","",$H$18-$G$18))</f>
        <v>7</v>
      </c>
      <c r="J18" s="38">
        <f>IF($B$18="","",IF(COUNTIFS(tblBoard[Date],BoardDate,tblBoard[Shift],BoardShift,tblBoard[Line],BoardLine,tblBoard[Hour],VALUE($B$18))&gt;0,SUMIFS(tblBoard[Target (units)],tblBoard[Date],BoardDate,tblBoard[Shift],BoardShift,tblBoard[Line],BoardLine,tblBoard[Hour],"&lt;="&amp;VALUE($B$18)),""))</f>
        <v>240</v>
      </c>
      <c r="K18" s="38">
        <f>IF($B$18="","",IF(COUNTIFS(tblBoard[Date],BoardDate,tblBoard[Shift],BoardShift,tblBoard[Line],BoardLine,tblBoard[Hour],VALUE($B$18))&gt;0,SUMIFS(tblBoard[Actual (units)],tblBoard[Date],BoardDate,tblBoard[Shift],BoardShift,tblBoard[Line],BoardLine,tblBoard[Hour],"&lt;="&amp;VALUE($B$18)),""))</f>
        <v>231</v>
      </c>
      <c r="L18" s="38">
        <f>IF($B$18="","",IF($J$18="","",$K$18-$J$18))</f>
        <v>-9</v>
      </c>
      <c r="M18" s="39">
        <f>IF($B$18="","",IF(N($G$18)&gt;0,$H$18/$G$18,""))</f>
        <v>1.05833333333333</v>
      </c>
      <c r="N18" s="57">
        <f>IF($B$18="","",IF(SUMPRODUCT(MAX((tblBoard[Date]=BoardDate)*(tblBoard[Shift]=BoardShift)*(tblBoard[Line]=BoardLine)*(tblBoard[Hour]=VALUE($B$18))*(ROW(tblBoard[Date])-MIN(ROW(tblBoard[Date]))+1)))=0,"",INDEX(tblBoard[Miss reason],SUMPRODUCT(MAX((tblBoard[Date]=BoardDate)*(tblBoard[Shift]=BoardShift)*(tblBoard[Line]=BoardLine)*(tblBoard[Hour]=VALUE($B$18))*(ROW(tblBoard[Date])-MIN(ROW(tblBoard[Date]))+1))))&amp;""))</f>
        <v/>
      </c>
      <c r="O18" s="57"/>
      <c r="P18" s="57">
        <f>IF($B$18="","",IF(SUMPRODUCT(MAX((tblBoard[Date]=BoardDate)*(tblBoard[Shift]=BoardShift)*(tblBoard[Line]=BoardLine)*(tblBoard[Hour]=VALUE($B$18))*(ROW(tblBoard[Date])-MIN(ROW(tblBoard[Date]))+1)))=0,"",INDEX(tblBoard[Countermeasure],SUMPRODUCT(MAX((tblBoard[Date]=BoardDate)*(tblBoard[Shift]=BoardShift)*(tblBoard[Line]=BoardLine)*(tblBoard[Hour]=VALUE($B$18))*(ROW(tblBoard[Date])-MIN(ROW(tblBoard[Date]))+1))))&amp;""))</f>
        <v/>
      </c>
      <c r="Q18" s="57"/>
      <c r="R18" s="57"/>
    </row>
    <row r="19" spans="2:18">
      <c r="B19" s="55" t="str">
        <f>IFERROR(INDEX(tblHours[Hour],3)&amp;"","")</f>
        <v>3</v>
      </c>
      <c r="C19" s="56">
        <f>IF($B$19="","",IF(BoardStart="","",BoardStart+(VALUE($B$19)-1)/24))</f>
        <v>0.333333333333333</v>
      </c>
      <c r="D19" s="57" t="str">
        <f>IF($B$19="","",IF(SUMPRODUCT(MAX((tblBoard[Date]=BoardDate)*(tblBoard[Shift]=BoardShift)*(tblBoard[Line]=BoardLine)*(tblBoard[Hour]=VALUE($B$19))*(ROW(tblBoard[Date])-MIN(ROW(tblBoard[Date]))+1)))=0,"",INDEX(tblBoard[Product],SUMPRODUCT(MAX((tblBoard[Date]=BoardDate)*(tblBoard[Shift]=BoardShift)*(tblBoard[Line]=BoardLine)*(tblBoard[Hour]=VALUE($B$19))*(ROW(tblBoard[Date])-MIN(ROW(tblBoard[Date]))+1))))&amp;""))</f>
        <v>Bracket kit BK-3</v>
      </c>
      <c r="E19" s="57"/>
      <c r="F19" s="38">
        <f>IF($B$19="","",IF(COUNTIFS(tblBoard[Date],BoardDate,tblBoard[Shift],BoardShift,tblBoard[Line],BoardLine,tblBoard[Hour],VALUE($B$19))&gt;0,SUMIFS(tblBoard[Available (min)],tblBoard[Date],BoardDate,tblBoard[Shift],BoardShift,tblBoard[Line],BoardLine,tblBoard[Hour],VALUE($B$19)),""))</f>
        <v>50</v>
      </c>
      <c r="G19" s="38">
        <f>IF($B$19="","",IF(COUNTIFS(tblBoard[Date],BoardDate,tblBoard[Shift],BoardShift,tblBoard[Line],BoardLine,tblBoard[Hour],VALUE($B$19))&gt;0,SUMIFS(tblBoard[Target (units)],tblBoard[Date],BoardDate,tblBoard[Shift],BoardShift,tblBoard[Line],BoardLine,tblBoard[Hour],VALUE($B$19)),""))</f>
        <v>100</v>
      </c>
      <c r="H19" s="38">
        <f>IF($B$19="","",IF(COUNTIFS(tblBoard[Date],BoardDate,tblBoard[Shift],BoardShift,tblBoard[Line],BoardLine,tblBoard[Hour],VALUE($B$19))&gt;0,SUMIFS(tblBoard[Actual (units)],tblBoard[Date],BoardDate,tblBoard[Shift],BoardShift,tblBoard[Line],BoardLine,tblBoard[Hour],VALUE($B$19)),""))</f>
        <v>51</v>
      </c>
      <c r="I19" s="38">
        <f>IF($B$19="","",IF($G$19="","",$H$19-$G$19))</f>
        <v>-49</v>
      </c>
      <c r="J19" s="38">
        <f>IF($B$19="","",IF(COUNTIFS(tblBoard[Date],BoardDate,tblBoard[Shift],BoardShift,tblBoard[Line],BoardLine,tblBoard[Hour],VALUE($B$19))&gt;0,SUMIFS(tblBoard[Target (units)],tblBoard[Date],BoardDate,tblBoard[Shift],BoardShift,tblBoard[Line],BoardLine,tblBoard[Hour],"&lt;="&amp;VALUE($B$19)),""))</f>
        <v>340</v>
      </c>
      <c r="K19" s="38">
        <f>IF($B$19="","",IF(COUNTIFS(tblBoard[Date],BoardDate,tblBoard[Shift],BoardShift,tblBoard[Line],BoardLine,tblBoard[Hour],VALUE($B$19))&gt;0,SUMIFS(tblBoard[Actual (units)],tblBoard[Date],BoardDate,tblBoard[Shift],BoardShift,tblBoard[Line],BoardLine,tblBoard[Hour],"&lt;="&amp;VALUE($B$19)),""))</f>
        <v>282</v>
      </c>
      <c r="L19" s="38">
        <f>IF($B$19="","",IF($J$19="","",$K$19-$J$19))</f>
        <v>-58</v>
      </c>
      <c r="M19" s="39">
        <f>IF($B$19="","",IF(N($G$19)&gt;0,$H$19/$G$19,""))</f>
        <v>0.51</v>
      </c>
      <c r="N19" s="57" t="str">
        <f>IF($B$19="","",IF(SUMPRODUCT(MAX((tblBoard[Date]=BoardDate)*(tblBoard[Shift]=BoardShift)*(tblBoard[Line]=BoardLine)*(tblBoard[Hour]=VALUE($B$19))*(ROW(tblBoard[Date])-MIN(ROW(tblBoard[Date]))+1)))=0,"",INDEX(tblBoard[Miss reason],SUMPRODUCT(MAX((tblBoard[Date]=BoardDate)*(tblBoard[Shift]=BoardShift)*(tblBoard[Line]=BoardLine)*(tblBoard[Hour]=VALUE($B$19))*(ROW(tblBoard[Date])-MIN(ROW(tblBoard[Date]))+1))))&amp;""))</f>
        <v>Material shortage</v>
      </c>
      <c r="O19" s="57"/>
      <c r="P19" s="57" t="str">
        <f>IF($B$19="","",IF(SUMPRODUCT(MAX((tblBoard[Date]=BoardDate)*(tblBoard[Shift]=BoardShift)*(tblBoard[Line]=BoardLine)*(tblBoard[Hour]=VALUE($B$19))*(ROW(tblBoard[Date])-MIN(ROW(tblBoard[Date]))+1)))=0,"",INDEX(tblBoard[Countermeasure],SUMPRODUCT(MAX((tblBoard[Date]=BoardDate)*(tblBoard[Shift]=BoardShift)*(tblBoard[Line]=BoardLine)*(tblBoard[Hour]=VALUE($B$19))*(ROW(tblBoard[Date])-MIN(ROW(tblBoard[Date]))+1))))&amp;""))</f>
        <v>Housings late from goods-in; kanban raised</v>
      </c>
      <c r="Q19" s="57"/>
      <c r="R19" s="57"/>
    </row>
    <row r="20" spans="2:18">
      <c r="B20" s="55" t="str">
        <f>IFERROR(INDEX(tblHours[Hour],4)&amp;"","")</f>
        <v>4</v>
      </c>
      <c r="C20" s="56">
        <f>IF($B$20="","",IF(BoardStart="","",BoardStart+(VALUE($B$20)-1)/24))</f>
        <v>0.375</v>
      </c>
      <c r="D20" s="57" t="str">
        <f>IF($B$20="","",IF(SUMPRODUCT(MAX((tblBoard[Date]=BoardDate)*(tblBoard[Shift]=BoardShift)*(tblBoard[Line]=BoardLine)*(tblBoard[Hour]=VALUE($B$20))*(ROW(tblBoard[Date])-MIN(ROW(tblBoard[Date]))+1)))=0,"",INDEX(tblBoard[Product],SUMPRODUCT(MAX((tblBoard[Date]=BoardDate)*(tblBoard[Shift]=BoardShift)*(tblBoard[Line]=BoardLine)*(tblBoard[Hour]=VALUE($B$20))*(ROW(tblBoard[Date])-MIN(ROW(tblBoard[Date]))+1))))&amp;""))</f>
        <v>Bracket kit BK-3</v>
      </c>
      <c r="E20" s="57"/>
      <c r="F20" s="38">
        <f>IF($B$20="","",IF(COUNTIFS(tblBoard[Date],BoardDate,tblBoard[Shift],BoardShift,tblBoard[Line],BoardLine,tblBoard[Hour],VALUE($B$20))&gt;0,SUMIFS(tblBoard[Available (min)],tblBoard[Date],BoardDate,tblBoard[Shift],BoardShift,tblBoard[Line],BoardLine,tblBoard[Hour],VALUE($B$20)),""))</f>
        <v>60</v>
      </c>
      <c r="G20" s="38">
        <f>IF($B$20="","",IF(COUNTIFS(tblBoard[Date],BoardDate,tblBoard[Shift],BoardShift,tblBoard[Line],BoardLine,tblBoard[Hour],VALUE($B$20))&gt;0,SUMIFS(tblBoard[Target (units)],tblBoard[Date],BoardDate,tblBoard[Shift],BoardShift,tblBoard[Line],BoardLine,tblBoard[Hour],VALUE($B$20)),""))</f>
        <v>120</v>
      </c>
      <c r="H20" s="38">
        <f>IF($B$20="","",IF(COUNTIFS(tblBoard[Date],BoardDate,tblBoard[Shift],BoardShift,tblBoard[Line],BoardLine,tblBoard[Hour],VALUE($B$20))&gt;0,SUMIFS(tblBoard[Actual (units)],tblBoard[Date],BoardDate,tblBoard[Shift],BoardShift,tblBoard[Line],BoardLine,tblBoard[Hour],VALUE($B$20)),""))</f>
        <v>125</v>
      </c>
      <c r="I20" s="38">
        <f>IF($B$20="","",IF($G$20="","",$H$20-$G$20))</f>
        <v>5</v>
      </c>
      <c r="J20" s="38">
        <f>IF($B$20="","",IF(COUNTIFS(tblBoard[Date],BoardDate,tblBoard[Shift],BoardShift,tblBoard[Line],BoardLine,tblBoard[Hour],VALUE($B$20))&gt;0,SUMIFS(tblBoard[Target (units)],tblBoard[Date],BoardDate,tblBoard[Shift],BoardShift,tblBoard[Line],BoardLine,tblBoard[Hour],"&lt;="&amp;VALUE($B$20)),""))</f>
        <v>460</v>
      </c>
      <c r="K20" s="38">
        <f>IF($B$20="","",IF(COUNTIFS(tblBoard[Date],BoardDate,tblBoard[Shift],BoardShift,tblBoard[Line],BoardLine,tblBoard[Hour],VALUE($B$20))&gt;0,SUMIFS(tblBoard[Actual (units)],tblBoard[Date],BoardDate,tblBoard[Shift],BoardShift,tblBoard[Line],BoardLine,tblBoard[Hour],"&lt;="&amp;VALUE($B$20)),""))</f>
        <v>407</v>
      </c>
      <c r="L20" s="38">
        <f>IF($B$20="","",IF($J$20="","",$K$20-$J$20))</f>
        <v>-53</v>
      </c>
      <c r="M20" s="39">
        <f>IF($B$20="","",IF(N($G$20)&gt;0,$H$20/$G$20,""))</f>
        <v>1.04166666666667</v>
      </c>
      <c r="N20" s="57">
        <f>IF($B$20="","",IF(SUMPRODUCT(MAX((tblBoard[Date]=BoardDate)*(tblBoard[Shift]=BoardShift)*(tblBoard[Line]=BoardLine)*(tblBoard[Hour]=VALUE($B$20))*(ROW(tblBoard[Date])-MIN(ROW(tblBoard[Date]))+1)))=0,"",INDEX(tblBoard[Miss reason],SUMPRODUCT(MAX((tblBoard[Date]=BoardDate)*(tblBoard[Shift]=BoardShift)*(tblBoard[Line]=BoardLine)*(tblBoard[Hour]=VALUE($B$20))*(ROW(tblBoard[Date])-MIN(ROW(tblBoard[Date]))+1))))&amp;""))</f>
        <v/>
      </c>
      <c r="O20" s="57"/>
      <c r="P20" s="57">
        <f>IF($B$20="","",IF(SUMPRODUCT(MAX((tblBoard[Date]=BoardDate)*(tblBoard[Shift]=BoardShift)*(tblBoard[Line]=BoardLine)*(tblBoard[Hour]=VALUE($B$20))*(ROW(tblBoard[Date])-MIN(ROW(tblBoard[Date]))+1)))=0,"",INDEX(tblBoard[Countermeasure],SUMPRODUCT(MAX((tblBoard[Date]=BoardDate)*(tblBoard[Shift]=BoardShift)*(tblBoard[Line]=BoardLine)*(tblBoard[Hour]=VALUE($B$20))*(ROW(tblBoard[Date])-MIN(ROW(tblBoard[Date]))+1))))&amp;""))</f>
        <v/>
      </c>
      <c r="Q20" s="57"/>
      <c r="R20" s="57"/>
    </row>
    <row r="21" spans="2:18">
      <c r="B21" s="55" t="str">
        <f>IFERROR(INDEX(tblHours[Hour],5)&amp;"","")</f>
        <v>5</v>
      </c>
      <c r="C21" s="56">
        <f>IF($B$21="","",IF(BoardStart="","",BoardStart+(VALUE($B$21)-1)/24))</f>
        <v>0.416666666666667</v>
      </c>
      <c r="D21" s="57" t="str">
        <f>IF($B$21="","",IF(SUMPRODUCT(MAX((tblBoard[Date]=BoardDate)*(tblBoard[Shift]=BoardShift)*(tblBoard[Line]=BoardLine)*(tblBoard[Hour]=VALUE($B$21))*(ROW(tblBoard[Date])-MIN(ROW(tblBoard[Date]))+1)))=0,"",INDEX(tblBoard[Product],SUMPRODUCT(MAX((tblBoard[Date]=BoardDate)*(tblBoard[Shift]=BoardShift)*(tblBoard[Line]=BoardLine)*(tblBoard[Hour]=VALUE($B$21))*(ROW(tblBoard[Date])-MIN(ROW(tblBoard[Date]))+1))))&amp;""))</f>
        <v>Bracket kit BK-3</v>
      </c>
      <c r="E21" s="57"/>
      <c r="F21" s="38">
        <f>IF($B$21="","",IF(COUNTIFS(tblBoard[Date],BoardDate,tblBoard[Shift],BoardShift,tblBoard[Line],BoardLine,tblBoard[Hour],VALUE($B$21))&gt;0,SUMIFS(tblBoard[Available (min)],tblBoard[Date],BoardDate,tblBoard[Shift],BoardShift,tblBoard[Line],BoardLine,tblBoard[Hour],VALUE($B$21)),""))</f>
        <v>30</v>
      </c>
      <c r="G21" s="38">
        <f>IF($B$21="","",IF(COUNTIFS(tblBoard[Date],BoardDate,tblBoard[Shift],BoardShift,tblBoard[Line],BoardLine,tblBoard[Hour],VALUE($B$21))&gt;0,SUMIFS(tblBoard[Target (units)],tblBoard[Date],BoardDate,tblBoard[Shift],BoardShift,tblBoard[Line],BoardLine,tblBoard[Hour],VALUE($B$21)),""))</f>
        <v>60</v>
      </c>
      <c r="H21" s="38">
        <f>IF($B$21="","",IF(COUNTIFS(tblBoard[Date],BoardDate,tblBoard[Shift],BoardShift,tblBoard[Line],BoardLine,tblBoard[Hour],VALUE($B$21))&gt;0,SUMIFS(tblBoard[Actual (units)],tblBoard[Date],BoardDate,tblBoard[Shift],BoardShift,tblBoard[Line],BoardLine,tblBoard[Hour],VALUE($B$21)),""))</f>
        <v>61</v>
      </c>
      <c r="I21" s="38">
        <f>IF($B$21="","",IF($G$21="","",$H$21-$G$21))</f>
        <v>1</v>
      </c>
      <c r="J21" s="38">
        <f>IF($B$21="","",IF(COUNTIFS(tblBoard[Date],BoardDate,tblBoard[Shift],BoardShift,tblBoard[Line],BoardLine,tblBoard[Hour],VALUE($B$21))&gt;0,SUMIFS(tblBoard[Target (units)],tblBoard[Date],BoardDate,tblBoard[Shift],BoardShift,tblBoard[Line],BoardLine,tblBoard[Hour],"&lt;="&amp;VALUE($B$21)),""))</f>
        <v>520</v>
      </c>
      <c r="K21" s="38">
        <f>IF($B$21="","",IF(COUNTIFS(tblBoard[Date],BoardDate,tblBoard[Shift],BoardShift,tblBoard[Line],BoardLine,tblBoard[Hour],VALUE($B$21))&gt;0,SUMIFS(tblBoard[Actual (units)],tblBoard[Date],BoardDate,tblBoard[Shift],BoardShift,tblBoard[Line],BoardLine,tblBoard[Hour],"&lt;="&amp;VALUE($B$21)),""))</f>
        <v>468</v>
      </c>
      <c r="L21" s="38">
        <f>IF($B$21="","",IF($J$21="","",$K$21-$J$21))</f>
        <v>-52</v>
      </c>
      <c r="M21" s="39">
        <f>IF($B$21="","",IF(N($G$21)&gt;0,$H$21/$G$21,""))</f>
        <v>1.01666666666667</v>
      </c>
      <c r="N21" s="57">
        <f>IF($B$21="","",IF(SUMPRODUCT(MAX((tblBoard[Date]=BoardDate)*(tblBoard[Shift]=BoardShift)*(tblBoard[Line]=BoardLine)*(tblBoard[Hour]=VALUE($B$21))*(ROW(tblBoard[Date])-MIN(ROW(tblBoard[Date]))+1)))=0,"",INDEX(tblBoard[Miss reason],SUMPRODUCT(MAX((tblBoard[Date]=BoardDate)*(tblBoard[Shift]=BoardShift)*(tblBoard[Line]=BoardLine)*(tblBoard[Hour]=VALUE($B$21))*(ROW(tblBoard[Date])-MIN(ROW(tblBoard[Date]))+1))))&amp;""))</f>
        <v/>
      </c>
      <c r="O21" s="57"/>
      <c r="P21" s="57">
        <f>IF($B$21="","",IF(SUMPRODUCT(MAX((tblBoard[Date]=BoardDate)*(tblBoard[Shift]=BoardShift)*(tblBoard[Line]=BoardLine)*(tblBoard[Hour]=VALUE($B$21))*(ROW(tblBoard[Date])-MIN(ROW(tblBoard[Date]))+1)))=0,"",INDEX(tblBoard[Countermeasure],SUMPRODUCT(MAX((tblBoard[Date]=BoardDate)*(tblBoard[Shift]=BoardShift)*(tblBoard[Line]=BoardLine)*(tblBoard[Hour]=VALUE($B$21))*(ROW(tblBoard[Date])-MIN(ROW(tblBoard[Date]))+1))))&amp;""))</f>
        <v/>
      </c>
      <c r="Q21" s="57"/>
      <c r="R21" s="57"/>
    </row>
    <row r="22" spans="2:18">
      <c r="B22" s="55" t="str">
        <f>IFERROR(INDEX(tblHours[Hour],6)&amp;"","")</f>
        <v>6</v>
      </c>
      <c r="C22" s="56">
        <f>IF($B$22="","",IF(BoardStart="","",BoardStart+(VALUE($B$22)-1)/24))</f>
        <v>0.458333333333333</v>
      </c>
      <c r="D22" s="57" t="str">
        <f>IF($B$22="","",IF(SUMPRODUCT(MAX((tblBoard[Date]=BoardDate)*(tblBoard[Shift]=BoardShift)*(tblBoard[Line]=BoardLine)*(tblBoard[Hour]=VALUE($B$22))*(ROW(tblBoard[Date])-MIN(ROW(tblBoard[Date]))+1)))=0,"",INDEX(tblBoard[Product],SUMPRODUCT(MAX((tblBoard[Date]=BoardDate)*(tblBoard[Shift]=BoardShift)*(tblBoard[Line]=BoardLine)*(tblBoard[Hour]=VALUE($B$22))*(ROW(tblBoard[Date])-MIN(ROW(tblBoard[Date]))+1))))&amp;""))</f>
        <v>Bracket kit BK-3</v>
      </c>
      <c r="E22" s="57"/>
      <c r="F22" s="38">
        <f>IF($B$22="","",IF(COUNTIFS(tblBoard[Date],BoardDate,tblBoard[Shift],BoardShift,tblBoard[Line],BoardLine,tblBoard[Hour],VALUE($B$22))&gt;0,SUMIFS(tblBoard[Available (min)],tblBoard[Date],BoardDate,tblBoard[Shift],BoardShift,tblBoard[Line],BoardLine,tblBoard[Hour],VALUE($B$22)),""))</f>
        <v>60</v>
      </c>
      <c r="G22" s="38">
        <f>IF($B$22="","",IF(COUNTIFS(tblBoard[Date],BoardDate,tblBoard[Shift],BoardShift,tblBoard[Line],BoardLine,tblBoard[Hour],VALUE($B$22))&gt;0,SUMIFS(tblBoard[Target (units)],tblBoard[Date],BoardDate,tblBoard[Shift],BoardShift,tblBoard[Line],BoardLine,tblBoard[Hour],VALUE($B$22)),""))</f>
        <v>120</v>
      </c>
      <c r="H22" s="38">
        <f>IF($B$22="","",IF(COUNTIFS(tblBoard[Date],BoardDate,tblBoard[Shift],BoardShift,tblBoard[Line],BoardLine,tblBoard[Hour],VALUE($B$22))&gt;0,SUMIFS(tblBoard[Actual (units)],tblBoard[Date],BoardDate,tblBoard[Shift],BoardShift,tblBoard[Line],BoardLine,tblBoard[Hour],VALUE($B$22)),""))</f>
        <v>114</v>
      </c>
      <c r="I22" s="38">
        <f>IF($B$22="","",IF($G$22="","",$H$22-$G$22))</f>
        <v>-6</v>
      </c>
      <c r="J22" s="38">
        <f>IF($B$22="","",IF(COUNTIFS(tblBoard[Date],BoardDate,tblBoard[Shift],BoardShift,tblBoard[Line],BoardLine,tblBoard[Hour],VALUE($B$22))&gt;0,SUMIFS(tblBoard[Target (units)],tblBoard[Date],BoardDate,tblBoard[Shift],BoardShift,tblBoard[Line],BoardLine,tblBoard[Hour],"&lt;="&amp;VALUE($B$22)),""))</f>
        <v>640</v>
      </c>
      <c r="K22" s="38">
        <f>IF($B$22="","",IF(COUNTIFS(tblBoard[Date],BoardDate,tblBoard[Shift],BoardShift,tblBoard[Line],BoardLine,tblBoard[Hour],VALUE($B$22))&gt;0,SUMIFS(tblBoard[Actual (units)],tblBoard[Date],BoardDate,tblBoard[Shift],BoardShift,tblBoard[Line],BoardLine,tblBoard[Hour],"&lt;="&amp;VALUE($B$22)),""))</f>
        <v>582</v>
      </c>
      <c r="L22" s="38">
        <f>IF($B$22="","",IF($J$22="","",$K$22-$J$22))</f>
        <v>-58</v>
      </c>
      <c r="M22" s="39">
        <f>IF($B$22="","",IF(N($G$22)&gt;0,$H$22/$G$22,""))</f>
        <v>0.95</v>
      </c>
      <c r="N22" s="57" t="str">
        <f>IF($B$22="","",IF(SUMPRODUCT(MAX((tblBoard[Date]=BoardDate)*(tblBoard[Shift]=BoardShift)*(tblBoard[Line]=BoardLine)*(tblBoard[Hour]=VALUE($B$22))*(ROW(tblBoard[Date])-MIN(ROW(tblBoard[Date]))+1)))=0,"",INDEX(tblBoard[Miss reason],SUMPRODUCT(MAX((tblBoard[Date]=BoardDate)*(tblBoard[Shift]=BoardShift)*(tblBoard[Line]=BoardLine)*(tblBoard[Hour]=VALUE($B$22))*(ROW(tblBoard[Date])-MIN(ROW(tblBoard[Date]))+1))))&amp;""))</f>
        <v>Minor stops</v>
      </c>
      <c r="O22" s="57"/>
      <c r="P22" s="57">
        <f>IF($B$22="","",IF(SUMPRODUCT(MAX((tblBoard[Date]=BoardDate)*(tblBoard[Shift]=BoardShift)*(tblBoard[Line]=BoardLine)*(tblBoard[Hour]=VALUE($B$22))*(ROW(tblBoard[Date])-MIN(ROW(tblBoard[Date]))+1)))=0,"",INDEX(tblBoard[Countermeasure],SUMPRODUCT(MAX((tblBoard[Date]=BoardDate)*(tblBoard[Shift]=BoardShift)*(tblBoard[Line]=BoardLine)*(tblBoard[Hour]=VALUE($B$22))*(ROW(tblBoard[Date])-MIN(ROW(tblBoard[Date]))+1))))&amp;""))</f>
        <v/>
      </c>
      <c r="Q22" s="57"/>
      <c r="R22" s="57"/>
    </row>
    <row r="23" spans="2:18">
      <c r="B23" s="55" t="str">
        <f>IFERROR(INDEX(tblHours[Hour],7)&amp;"","")</f>
        <v>7</v>
      </c>
      <c r="C23" s="56">
        <f>IF($B$23="","",IF(BoardStart="","",BoardStart+(VALUE($B$23)-1)/24))</f>
        <v>0.5</v>
      </c>
      <c r="D23" s="57" t="str">
        <f>IF($B$23="","",IF(SUMPRODUCT(MAX((tblBoard[Date]=BoardDate)*(tblBoard[Shift]=BoardShift)*(tblBoard[Line]=BoardLine)*(tblBoard[Hour]=VALUE($B$23))*(ROW(tblBoard[Date])-MIN(ROW(tblBoard[Date]))+1)))=0,"",INDEX(tblBoard[Product],SUMPRODUCT(MAX((tblBoard[Date]=BoardDate)*(tblBoard[Shift]=BoardShift)*(tblBoard[Line]=BoardLine)*(tblBoard[Hour]=VALUE($B$23))*(ROW(tblBoard[Date])-MIN(ROW(tblBoard[Date]))+1))))&amp;""))</f>
        <v>Bracket kit BK-3</v>
      </c>
      <c r="E23" s="57"/>
      <c r="F23" s="38">
        <f>IF($B$23="","",IF(COUNTIFS(tblBoard[Date],BoardDate,tblBoard[Shift],BoardShift,tblBoard[Line],BoardLine,tblBoard[Hour],VALUE($B$23))&gt;0,SUMIFS(tblBoard[Available (min)],tblBoard[Date],BoardDate,tblBoard[Shift],BoardShift,tblBoard[Line],BoardLine,tblBoard[Hour],VALUE($B$23)),""))</f>
        <v>50</v>
      </c>
      <c r="G23" s="38">
        <f>IF($B$23="","",IF(COUNTIFS(tblBoard[Date],BoardDate,tblBoard[Shift],BoardShift,tblBoard[Line],BoardLine,tblBoard[Hour],VALUE($B$23))&gt;0,SUMIFS(tblBoard[Target (units)],tblBoard[Date],BoardDate,tblBoard[Shift],BoardShift,tblBoard[Line],BoardLine,tblBoard[Hour],VALUE($B$23)),""))</f>
        <v>100</v>
      </c>
      <c r="H23" s="38">
        <f>IF($B$23="","",IF(COUNTIFS(tblBoard[Date],BoardDate,tblBoard[Shift],BoardShift,tblBoard[Line],BoardLine,tblBoard[Hour],VALUE($B$23))&gt;0,SUMIFS(tblBoard[Actual (units)],tblBoard[Date],BoardDate,tblBoard[Shift],BoardShift,tblBoard[Line],BoardLine,tblBoard[Hour],VALUE($B$23)),""))</f>
        <v>102</v>
      </c>
      <c r="I23" s="38">
        <f>IF($B$23="","",IF($G$23="","",$H$23-$G$23))</f>
        <v>2</v>
      </c>
      <c r="J23" s="38">
        <f>IF($B$23="","",IF(COUNTIFS(tblBoard[Date],BoardDate,tblBoard[Shift],BoardShift,tblBoard[Line],BoardLine,tblBoard[Hour],VALUE($B$23))&gt;0,SUMIFS(tblBoard[Target (units)],tblBoard[Date],BoardDate,tblBoard[Shift],BoardShift,tblBoard[Line],BoardLine,tblBoard[Hour],"&lt;="&amp;VALUE($B$23)),""))</f>
        <v>740</v>
      </c>
      <c r="K23" s="38">
        <f>IF($B$23="","",IF(COUNTIFS(tblBoard[Date],BoardDate,tblBoard[Shift],BoardShift,tblBoard[Line],BoardLine,tblBoard[Hour],VALUE($B$23))&gt;0,SUMIFS(tblBoard[Actual (units)],tblBoard[Date],BoardDate,tblBoard[Shift],BoardShift,tblBoard[Line],BoardLine,tblBoard[Hour],"&lt;="&amp;VALUE($B$23)),""))</f>
        <v>684</v>
      </c>
      <c r="L23" s="38">
        <f>IF($B$23="","",IF($J$23="","",$K$23-$J$23))</f>
        <v>-56</v>
      </c>
      <c r="M23" s="39">
        <f>IF($B$23="","",IF(N($G$23)&gt;0,$H$23/$G$23,""))</f>
        <v>1.02</v>
      </c>
      <c r="N23" s="57">
        <f>IF($B$23="","",IF(SUMPRODUCT(MAX((tblBoard[Date]=BoardDate)*(tblBoard[Shift]=BoardShift)*(tblBoard[Line]=BoardLine)*(tblBoard[Hour]=VALUE($B$23))*(ROW(tblBoard[Date])-MIN(ROW(tblBoard[Date]))+1)))=0,"",INDEX(tblBoard[Miss reason],SUMPRODUCT(MAX((tblBoard[Date]=BoardDate)*(tblBoard[Shift]=BoardShift)*(tblBoard[Line]=BoardLine)*(tblBoard[Hour]=VALUE($B$23))*(ROW(tblBoard[Date])-MIN(ROW(tblBoard[Date]))+1))))&amp;""))</f>
        <v/>
      </c>
      <c r="O23" s="57"/>
      <c r="P23" s="57">
        <f>IF($B$23="","",IF(SUMPRODUCT(MAX((tblBoard[Date]=BoardDate)*(tblBoard[Shift]=BoardShift)*(tblBoard[Line]=BoardLine)*(tblBoard[Hour]=VALUE($B$23))*(ROW(tblBoard[Date])-MIN(ROW(tblBoard[Date]))+1)))=0,"",INDEX(tblBoard[Countermeasure],SUMPRODUCT(MAX((tblBoard[Date]=BoardDate)*(tblBoard[Shift]=BoardShift)*(tblBoard[Line]=BoardLine)*(tblBoard[Hour]=VALUE($B$23))*(ROW(tblBoard[Date])-MIN(ROW(tblBoard[Date]))+1))))&amp;""))</f>
        <v/>
      </c>
      <c r="Q23" s="57"/>
      <c r="R23" s="57"/>
    </row>
    <row r="24" spans="2:18">
      <c r="B24" s="55" t="str">
        <f>IFERROR(INDEX(tblHours[Hour],8)&amp;"","")</f>
        <v>8</v>
      </c>
      <c r="C24" s="56">
        <f>IF($B$24="","",IF(BoardStart="","",BoardStart+(VALUE($B$24)-1)/24))</f>
        <v>0.541666666666667</v>
      </c>
      <c r="D24" s="57" t="str">
        <f>IF($B$24="","",IF(SUMPRODUCT(MAX((tblBoard[Date]=BoardDate)*(tblBoard[Shift]=BoardShift)*(tblBoard[Line]=BoardLine)*(tblBoard[Hour]=VALUE($B$24))*(ROW(tblBoard[Date])-MIN(ROW(tblBoard[Date]))+1)))=0,"",INDEX(tblBoard[Product],SUMPRODUCT(MAX((tblBoard[Date]=BoardDate)*(tblBoard[Shift]=BoardShift)*(tblBoard[Line]=BoardLine)*(tblBoard[Hour]=VALUE($B$24))*(ROW(tblBoard[Date])-MIN(ROW(tblBoard[Date]))+1))))&amp;""))</f>
        <v>Bracket kit BK-3</v>
      </c>
      <c r="E24" s="57"/>
      <c r="F24" s="38">
        <f>IF($B$24="","",IF(COUNTIFS(tblBoard[Date],BoardDate,tblBoard[Shift],BoardShift,tblBoard[Line],BoardLine,tblBoard[Hour],VALUE($B$24))&gt;0,SUMIFS(tblBoard[Available (min)],tblBoard[Date],BoardDate,tblBoard[Shift],BoardShift,tblBoard[Line],BoardLine,tblBoard[Hour],VALUE($B$24)),""))</f>
        <v>50</v>
      </c>
      <c r="G24" s="38">
        <f>IF($B$24="","",IF(COUNTIFS(tblBoard[Date],BoardDate,tblBoard[Shift],BoardShift,tblBoard[Line],BoardLine,tblBoard[Hour],VALUE($B$24))&gt;0,SUMIFS(tblBoard[Target (units)],tblBoard[Date],BoardDate,tblBoard[Shift],BoardShift,tblBoard[Line],BoardLine,tblBoard[Hour],VALUE($B$24)),""))</f>
        <v>100</v>
      </c>
      <c r="H24" s="38">
        <f>IF($B$24="","",IF(COUNTIFS(tblBoard[Date],BoardDate,tblBoard[Shift],BoardShift,tblBoard[Line],BoardLine,tblBoard[Hour],VALUE($B$24))&gt;0,SUMIFS(tblBoard[Actual (units)],tblBoard[Date],BoardDate,tblBoard[Shift],BoardShift,tblBoard[Line],BoardLine,tblBoard[Hour],VALUE($B$24)),""))</f>
        <v>103</v>
      </c>
      <c r="I24" s="38">
        <f>IF($B$24="","",IF($G$24="","",$H$24-$G$24))</f>
        <v>3</v>
      </c>
      <c r="J24" s="38">
        <f>IF($B$24="","",IF(COUNTIFS(tblBoard[Date],BoardDate,tblBoard[Shift],BoardShift,tblBoard[Line],BoardLine,tblBoard[Hour],VALUE($B$24))&gt;0,SUMIFS(tblBoard[Target (units)],tblBoard[Date],BoardDate,tblBoard[Shift],BoardShift,tblBoard[Line],BoardLine,tblBoard[Hour],"&lt;="&amp;VALUE($B$24)),""))</f>
        <v>840</v>
      </c>
      <c r="K24" s="38">
        <f>IF($B$24="","",IF(COUNTIFS(tblBoard[Date],BoardDate,tblBoard[Shift],BoardShift,tblBoard[Line],BoardLine,tblBoard[Hour],VALUE($B$24))&gt;0,SUMIFS(tblBoard[Actual (units)],tblBoard[Date],BoardDate,tblBoard[Shift],BoardShift,tblBoard[Line],BoardLine,tblBoard[Hour],"&lt;="&amp;VALUE($B$24)),""))</f>
        <v>787</v>
      </c>
      <c r="L24" s="38">
        <f>IF($B$24="","",IF($J$24="","",$K$24-$J$24))</f>
        <v>-53</v>
      </c>
      <c r="M24" s="39">
        <f>IF($B$24="","",IF(N($G$24)&gt;0,$H$24/$G$24,""))</f>
        <v>1.03</v>
      </c>
      <c r="N24" s="57">
        <f>IF($B$24="","",IF(SUMPRODUCT(MAX((tblBoard[Date]=BoardDate)*(tblBoard[Shift]=BoardShift)*(tblBoard[Line]=BoardLine)*(tblBoard[Hour]=VALUE($B$24))*(ROW(tblBoard[Date])-MIN(ROW(tblBoard[Date]))+1)))=0,"",INDEX(tblBoard[Miss reason],SUMPRODUCT(MAX((tblBoard[Date]=BoardDate)*(tblBoard[Shift]=BoardShift)*(tblBoard[Line]=BoardLine)*(tblBoard[Hour]=VALUE($B$24))*(ROW(tblBoard[Date])-MIN(ROW(tblBoard[Date]))+1))))&amp;""))</f>
        <v/>
      </c>
      <c r="O24" s="57"/>
      <c r="P24" s="57">
        <f>IF($B$24="","",IF(SUMPRODUCT(MAX((tblBoard[Date]=BoardDate)*(tblBoard[Shift]=BoardShift)*(tblBoard[Line]=BoardLine)*(tblBoard[Hour]=VALUE($B$24))*(ROW(tblBoard[Date])-MIN(ROW(tblBoard[Date]))+1)))=0,"",INDEX(tblBoard[Countermeasure],SUMPRODUCT(MAX((tblBoard[Date]=BoardDate)*(tblBoard[Shift]=BoardShift)*(tblBoard[Line]=BoardLine)*(tblBoard[Hour]=VALUE($B$24))*(ROW(tblBoard[Date])-MIN(ROW(tblBoard[Date]))+1))))&amp;""))</f>
        <v/>
      </c>
      <c r="Q24" s="57"/>
      <c r="R24" s="57"/>
    </row>
    <row r="40" spans="2:18" ht="21" customHeight="1">
      <c r="B40" s="58" t="s">
        <v>157</v>
      </c>
      <c r="C40" s="58"/>
      <c r="D40" s="58"/>
      <c r="E40" s="58"/>
      <c r="F40" s="59"/>
      <c r="G40" s="59"/>
      <c r="H40" s="59"/>
      <c r="I40" s="59"/>
      <c r="J40" s="59"/>
      <c r="K40" s="59"/>
      <c r="L40" s="59"/>
      <c r="M40" s="59"/>
      <c r="N40" s="59"/>
      <c r="O40" s="59"/>
      <c r="P40" s="59"/>
      <c r="Q40" s="59"/>
      <c r="R40" s="59"/>
    </row>
    <row r="41" spans="2:18" ht="21" customHeight="1">
      <c r="B41" s="58" t="s">
        <v>158</v>
      </c>
      <c r="C41" s="58"/>
      <c r="D41" s="58"/>
      <c r="E41" s="58"/>
      <c r="F41" s="59"/>
      <c r="G41" s="59"/>
      <c r="H41" s="59"/>
      <c r="I41" s="59"/>
      <c r="J41" s="59"/>
      <c r="K41" s="59"/>
      <c r="L41" s="59"/>
      <c r="M41" s="59"/>
      <c r="N41" s="59"/>
      <c r="O41" s="59"/>
      <c r="P41" s="59"/>
      <c r="Q41" s="59"/>
      <c r="R41" s="59"/>
    </row>
    <row r="42" spans="2:18" ht="21" customHeight="1">
      <c r="B42" s="58" t="s">
        <v>159</v>
      </c>
      <c r="C42" s="58"/>
      <c r="D42" s="58"/>
      <c r="E42" s="58"/>
      <c r="F42" s="59"/>
      <c r="G42" s="59"/>
      <c r="H42" s="59"/>
      <c r="I42" s="59"/>
      <c r="J42" s="59"/>
      <c r="K42" s="59"/>
      <c r="L42" s="59"/>
      <c r="M42" s="59"/>
      <c r="N42" s="59"/>
      <c r="O42" s="59"/>
      <c r="P42" s="59"/>
      <c r="Q42" s="59"/>
      <c r="R42" s="59"/>
    </row>
  </sheetData>
  <sheetProtection sheet="1" formatColumns="0" formatRows="0"/>
  <mergeCells count="61">
    <mergeCell ref="A1:R1"/>
    <mergeCell ref="B2:Q2"/>
    <mergeCell ref="B4:M4"/>
    <mergeCell ref="N4:R4"/>
    <mergeCell ref="B6:C6"/>
    <mergeCell ref="D6:F6"/>
    <mergeCell ref="H6:I6"/>
    <mergeCell ref="J6:L6"/>
    <mergeCell ref="N6:O6"/>
    <mergeCell ref="P6:R6"/>
    <mergeCell ref="B7:R7"/>
    <mergeCell ref="B9:F9"/>
    <mergeCell ref="B10:F11"/>
    <mergeCell ref="B12:F12"/>
    <mergeCell ref="B13:F13"/>
    <mergeCell ref="G9:K9"/>
    <mergeCell ref="G10:K11"/>
    <mergeCell ref="G12:K12"/>
    <mergeCell ref="G13:K13"/>
    <mergeCell ref="L9:O9"/>
    <mergeCell ref="L10:O11"/>
    <mergeCell ref="L12:O12"/>
    <mergeCell ref="L13:O13"/>
    <mergeCell ref="P9:R9"/>
    <mergeCell ref="P10:R11"/>
    <mergeCell ref="P12:R12"/>
    <mergeCell ref="P13:R13"/>
    <mergeCell ref="B15:R15"/>
    <mergeCell ref="D16:E16"/>
    <mergeCell ref="N16:O16"/>
    <mergeCell ref="P16:R16"/>
    <mergeCell ref="D17:E17"/>
    <mergeCell ref="D18:E18"/>
    <mergeCell ref="D19:E19"/>
    <mergeCell ref="D20:E20"/>
    <mergeCell ref="D21:E21"/>
    <mergeCell ref="D22:E22"/>
    <mergeCell ref="D23:E23"/>
    <mergeCell ref="D24:E24"/>
    <mergeCell ref="N17:O17"/>
    <mergeCell ref="N18:O18"/>
    <mergeCell ref="N19:O19"/>
    <mergeCell ref="N20:O20"/>
    <mergeCell ref="N21:O21"/>
    <mergeCell ref="N22:O22"/>
    <mergeCell ref="N23:O23"/>
    <mergeCell ref="N24:O24"/>
    <mergeCell ref="P17:R17"/>
    <mergeCell ref="P18:R18"/>
    <mergeCell ref="P19:R19"/>
    <mergeCell ref="P20:R20"/>
    <mergeCell ref="P21:R21"/>
    <mergeCell ref="P22:R22"/>
    <mergeCell ref="P23:R23"/>
    <mergeCell ref="P24:R24"/>
    <mergeCell ref="B40:E40"/>
    <mergeCell ref="F40:R40"/>
    <mergeCell ref="B41:E41"/>
    <mergeCell ref="F41:R41"/>
    <mergeCell ref="B42:E42"/>
    <mergeCell ref="F42:R42"/>
  </mergeCells>
  <conditionalFormatting sqref="B1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M17:M24">
    <cfRule type="expression" dxfId="3" priority="21" stopIfTrue="1">
      <formula>AND(ISNUMBER(M17),M17&gt;=(TargetHour))</formula>
    </cfRule>
    <cfRule type="expression" dxfId="4" priority="22" stopIfTrue="1">
      <formula>AND(ISNUMBER(M17),M17&gt;=(TargetHour)*(1-0.05))</formula>
    </cfRule>
    <cfRule type="expression" dxfId="5" priority="23">
      <formula>ISNUMBER(M17)</formula>
    </cfRule>
  </conditionalFormatting>
  <dataValidations count="3">
    <dataValidation type="date" allowBlank="1" showInputMessage="1" showErrorMessage="1" errorTitle="Check this entry" error="Enter a date between 01 Jan 2000 and 31 Dec 2100." promptTitle="Date" prompt="The production date to show. A date with no rows gives a blank board. Enter a date between 01 Jan 2000 and 31 Dec 2100." sqref="D6">
      <formula1>36526</formula1>
      <formula2>73415</formula2>
    </dataValidation>
    <dataValidation type="list" allowBlank="1" showInputMessage="1" showErrorMessage="1" errorTitle="Check this entry" error="Pick from the list (edit the list on Setup: ShiftList)." promptTitle="Shift" prompt="The shift to show; its start time on Setup labels the hours. Pick from the list (edit the list on Setup: ShiftList)." sqref="J6">
      <formula1>ShiftList</formula1>
    </dataValidation>
    <dataValidation type="list" allowBlank="1" showInputMessage="1" showErrorMessage="1" errorTitle="Check this entry" error="Pick from the list (edit the list on Setup: Lines)." promptTitle="Line" prompt="The line or cell to show. Pick from the list (edit the list on Setup: Lines)." sqref="P6">
      <formula1>Lines</formula1>
    </dataValidation>
  </dataValidations>
  <hyperlinks>
    <hyperlink ref="R2" r:id="rId1" tooltip="Free manufacturing calculators and templates"/>
  </hyperlinks>
  <printOptions horizontalCentered="1"/>
  <pageMargins left="0.4" right="0.4" top="0.7" bottom="0.65" header="0.3" footer="0.3"/>
  <pageSetup fitToHeight="0" orientation="landscape"/>
  <headerFooter>
    <oddHeader>&amp;L&amp;8MFG Calcs - Hour-by-Hour Production Board&amp;R&amp;8&amp;A</oddHeader>
    <oddFooter>&amp;L&amp;8mfgcalcs.com - free manufacturing templates&amp;R&amp;8Page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89"/>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65</v>
      </c>
      <c r="C4" s="28"/>
      <c r="D4" s="28"/>
      <c r="F4" s="27" t="s">
        <v>160</v>
      </c>
      <c r="G4" s="46"/>
      <c r="H4" s="46"/>
      <c r="J4" s="27" t="s">
        <v>161</v>
      </c>
      <c r="K4" s="46"/>
      <c r="L4" s="46"/>
    </row>
    <row r="5" spans="1:12" x14ac:dyDescent="0.25">
      <c r="B5" s="47" t="str">
        <f>PlantName&amp;": "&amp;COUNTIFS(tblBoard[View date],"&gt;0")&amp;" line-hours in view. Leave the filters blank to include everything; dates are inclusive."</f>
        <v>Calder Pump Assembly (example): 320 line-hours in view. Leave the filters blank to include everything; dates are inclusive.</v>
      </c>
      <c r="C5" s="47"/>
      <c r="D5" s="47"/>
      <c r="E5" s="47"/>
      <c r="F5" s="47"/>
      <c r="G5" s="47"/>
      <c r="H5" s="47"/>
      <c r="I5" s="47"/>
      <c r="J5" s="47"/>
      <c r="K5" s="47"/>
      <c r="L5" s="47"/>
    </row>
    <row r="7" spans="1:12" ht="18" customHeight="1" x14ac:dyDescent="0.25">
      <c r="B7" s="48" t="s">
        <v>162</v>
      </c>
      <c r="C7" s="48"/>
      <c r="D7" s="48" t="s">
        <v>150</v>
      </c>
      <c r="E7" s="48"/>
      <c r="F7" s="48"/>
      <c r="G7" s="48" t="s">
        <v>151</v>
      </c>
      <c r="H7" s="48"/>
      <c r="I7" s="48"/>
      <c r="J7" s="48" t="s">
        <v>163</v>
      </c>
      <c r="K7" s="48"/>
      <c r="L7" s="48"/>
    </row>
    <row r="8" spans="1:12" ht="21" customHeight="1" x14ac:dyDescent="0.25">
      <c r="B8" s="49">
        <f>IF((SUMIFS(tblBoard[Target (units)],tblBoard[View date],"&gt;0"))=0,"",(SUMIFS(tblBoard[Actual (units)],tblBoard[View date],"&gt;0"))/(SUMIFS(tblBoard[Target (units)],tblBoard[View date],"&gt;0")))</f>
        <v>0.95611526616806</v>
      </c>
      <c r="C8" s="49"/>
      <c r="D8" s="49">
        <f>IF((COUNTIFS(tblBoard[View date],"&gt;0",tblBoard[Target (units)],"&gt;0"))=0,"",(SUMIFS(tblBoard[Hit],tblBoard[View date],"&gt;0"))/(COUNTIFS(tblBoard[View date],"&gt;0",tblBoard[Target (units)],"&gt;0")))</f>
        <v>0.415625</v>
      </c>
      <c r="E8" s="49"/>
      <c r="F8" s="49"/>
      <c r="G8" s="50">
        <f>SUMIFS(tblBoard[Short (units)],tblBoard[View date],"&gt;0")</f>
        <v>1474</v>
      </c>
      <c r="H8" s="50"/>
      <c r="I8" s="50"/>
      <c r="J8" s="60" t="str">
        <f>IF(COUNT($F$53:$F$60)=0,"None logged","Hour "&amp;INDEX($B$53:$B$60,MATCH(MIN($F$53:$F$60),$F$53:$F$60,0)))</f>
        <v>Hour 1</v>
      </c>
      <c r="K8" s="60"/>
      <c r="L8" s="60"/>
    </row>
    <row r="9" spans="1:12" ht="21" customHeight="1" x14ac:dyDescent="0.25">
      <c r="B9" s="49"/>
      <c r="C9" s="49"/>
      <c r="D9" s="49"/>
      <c r="E9" s="49"/>
      <c r="F9" s="49"/>
      <c r="G9" s="50"/>
      <c r="H9" s="50"/>
      <c r="I9" s="50"/>
      <c r="J9" s="60"/>
      <c r="K9" s="60"/>
      <c r="L9" s="60"/>
    </row>
    <row r="10" spans="1:12" x14ac:dyDescent="0.25">
      <c r="B10" s="51">
        <f>TargetHour</f>
        <v>1</v>
      </c>
      <c r="C10" s="51"/>
      <c r="D10" s="52" t="s">
        <v>164</v>
      </c>
      <c r="E10" s="52"/>
      <c r="F10" s="52"/>
      <c r="G10" s="52" t="s">
        <v>152</v>
      </c>
      <c r="H10" s="52"/>
      <c r="I10" s="52"/>
      <c r="J10" s="52" t="s">
        <v>165</v>
      </c>
      <c r="K10" s="52"/>
      <c r="L10" s="52"/>
    </row>
    <row r="11" spans="1:12" ht="18" customHeight="1" x14ac:dyDescent="0.25">
      <c r="B11" s="53" t="str">
        <f>IF(NOT(ISNUMBER(KpiAttain)),"No data",IF(KpiAttain&gt;=(TargetHour),"On target",IF(KpiAttain&gt;=(TargetHour)*(1-0.05),"Near target","Below target")))</f>
        <v>Near target</v>
      </c>
      <c r="C11" s="53"/>
      <c r="D11" s="53"/>
      <c r="E11" s="53"/>
      <c r="F11" s="53"/>
      <c r="G11" s="53"/>
      <c r="H11" s="53"/>
      <c r="I11" s="53"/>
      <c r="J11" s="53"/>
      <c r="K11" s="53"/>
      <c r="L11" s="53"/>
    </row>
    <row r="29" spans="2:12" ht="18" customHeight="1" x14ac:dyDescent="0.25">
      <c r="B29" s="48" t="s">
        <v>149</v>
      </c>
      <c r="C29" s="48"/>
      <c r="D29" s="48" t="s">
        <v>166</v>
      </c>
      <c r="E29" s="48"/>
      <c r="F29" s="48"/>
      <c r="G29" s="48" t="s">
        <v>167</v>
      </c>
      <c r="H29" s="48"/>
      <c r="I29" s="48"/>
      <c r="J29" s="48" t="s">
        <v>168</v>
      </c>
      <c r="K29" s="48"/>
      <c r="L29" s="48"/>
    </row>
    <row r="30" spans="2:12" ht="21" customHeight="1" x14ac:dyDescent="0.25">
      <c r="B30" s="50">
        <f>SUMIFS(tblBoard[Actual (units)],tblBoard[View date],"&gt;0")</f>
        <v>26079</v>
      </c>
      <c r="C30" s="50"/>
      <c r="D30" s="50">
        <f>SUMIFS(tblBoard[Target (units)],tblBoard[View date],"&gt;0")</f>
        <v>27276</v>
      </c>
      <c r="E30" s="50"/>
      <c r="F30" s="50"/>
      <c r="G30" s="50">
        <f>COUNTIFS(tblBoard[View date],"&gt;0",tblBoard[Target (units)],"&gt;0")</f>
        <v>320</v>
      </c>
      <c r="H30" s="50"/>
      <c r="I30" s="50"/>
      <c r="J30" s="60" t="str">
        <f>IF(INDEX($J$78:$J$85,1)&gt;0,INDEX($H$78:$H$85,1),"None logged")</f>
        <v>Material shortage</v>
      </c>
      <c r="K30" s="60"/>
      <c r="L30" s="60"/>
    </row>
    <row r="31" spans="2:12" ht="21" customHeight="1" x14ac:dyDescent="0.25">
      <c r="B31" s="50"/>
      <c r="C31" s="50"/>
      <c r="D31" s="50"/>
      <c r="E31" s="50"/>
      <c r="F31" s="50"/>
      <c r="G31" s="50"/>
      <c r="H31" s="50"/>
      <c r="I31" s="50"/>
      <c r="J31" s="60"/>
      <c r="K31" s="60"/>
      <c r="L31" s="60"/>
    </row>
    <row r="32" spans="2:12" x14ac:dyDescent="0.25">
      <c r="B32" s="52" t="s">
        <v>169</v>
      </c>
      <c r="C32" s="52"/>
      <c r="D32" s="52" t="s">
        <v>170</v>
      </c>
      <c r="E32" s="52"/>
      <c r="F32" s="52"/>
      <c r="G32" s="52" t="s">
        <v>171</v>
      </c>
      <c r="H32" s="52"/>
      <c r="I32" s="52"/>
      <c r="J32" s="52" t="s">
        <v>172</v>
      </c>
      <c r="K32" s="52"/>
      <c r="L32" s="52"/>
    </row>
    <row r="33" spans="2:12" ht="18" customHeight="1" x14ac:dyDescent="0.25">
      <c r="B33" s="53"/>
      <c r="C33" s="53"/>
      <c r="D33" s="53"/>
      <c r="E33" s="53"/>
      <c r="F33" s="53"/>
      <c r="G33" s="53"/>
      <c r="H33" s="53"/>
      <c r="I33" s="53"/>
      <c r="J33" s="53"/>
      <c r="K33" s="53"/>
      <c r="L33" s="53"/>
    </row>
    <row r="51" spans="2:8" x14ac:dyDescent="0.25">
      <c r="B51" s="30" t="s">
        <v>173</v>
      </c>
      <c r="C51" s="30"/>
      <c r="D51" s="30"/>
      <c r="E51" s="30"/>
      <c r="F51" s="30"/>
      <c r="G51" s="30"/>
      <c r="H51" s="30"/>
    </row>
    <row r="52" spans="2:8" ht="32" customHeight="1" x14ac:dyDescent="0.25">
      <c r="B52" s="54" t="s">
        <v>174</v>
      </c>
      <c r="C52" s="31" t="s">
        <v>131</v>
      </c>
      <c r="D52" s="31" t="s">
        <v>128</v>
      </c>
      <c r="E52" s="31" t="s">
        <v>133</v>
      </c>
      <c r="F52" s="31" t="s">
        <v>134</v>
      </c>
      <c r="G52" s="31" t="s">
        <v>175</v>
      </c>
      <c r="H52" s="31" t="s">
        <v>176</v>
      </c>
    </row>
    <row r="53" spans="2:8" x14ac:dyDescent="0.25">
      <c r="B53" s="55" t="str">
        <f>IFERROR(INDEX(tblHours[Hour],1)&amp;"","")</f>
        <v>1</v>
      </c>
      <c r="C53" s="38">
        <f>IF($B$53="","",SUMIFS(tblBoard[Target (units)],tblBoard[Hour],$B$53,tblBoard[View date],"&gt;0"))</f>
        <v>3900</v>
      </c>
      <c r="D53" s="38">
        <f>IF($B$53="","",SUMIFS(tblBoard[Actual (units)],tblBoard[Hour],$B$53,tblBoard[View date],"&gt;0"))</f>
        <v>3421</v>
      </c>
      <c r="E53" s="38">
        <f>IF($B$53="","",SUMIFS(tblBoard[Short (units)],tblBoard[Hour],$B$53,tblBoard[View date],"&gt;0"))</f>
        <v>479</v>
      </c>
      <c r="F53" s="39">
        <f>IF($B$53="","",IF((SUMIFS(tblBoard[Target (units)],tblBoard[Hour],$B$53,tblBoard[View date],"&gt;0"))=0,"",(SUMIFS(tblBoard[Actual (units)],tblBoard[Hour],$B$53,tblBoard[View date],"&gt;0"))/(SUMIFS(tblBoard[Target (units)],tblBoard[Hour],$B$53,tblBoard[View date],"&gt;0"))))</f>
        <v>0.877179487179487</v>
      </c>
      <c r="G53" s="39">
        <f>IF($B$53="","",IF((COUNTIFS(tblBoard[Hour],$B$53,tblBoard[View date],"&gt;0",tblBoard[Target (units)],"&gt;0"))=0,"",(SUMIFS(tblBoard[Hit],tblBoard[Hour],$B$53,tblBoard[View date],"&gt;0"))/(COUNTIFS(tblBoard[Hour],$B$53,tblBoard[View date],"&gt;0",tblBoard[Target (units)],"&gt;0"))))</f>
        <v>0</v>
      </c>
      <c r="H53" s="61">
        <f>TargetHour</f>
        <v>1</v>
      </c>
    </row>
    <row r="54" spans="2:8" x14ac:dyDescent="0.25">
      <c r="B54" s="55" t="str">
        <f>IFERROR(INDEX(tblHours[Hour],2)&amp;"","")</f>
        <v>2</v>
      </c>
      <c r="C54" s="38">
        <f>IF($B$54="","",SUMIFS(tblBoard[Target (units)],tblBoard[Hour],$B$54,tblBoard[View date],"&gt;0"))</f>
        <v>3900</v>
      </c>
      <c r="D54" s="38">
        <f>IF($B$54="","",SUMIFS(tblBoard[Actual (units)],tblBoard[Hour],$B$54,tblBoard[View date],"&gt;0"))</f>
        <v>3836</v>
      </c>
      <c r="E54" s="38">
        <f>IF($B$54="","",SUMIFS(tblBoard[Short (units)],tblBoard[Hour],$B$54,tblBoard[View date],"&gt;0"))</f>
        <v>121</v>
      </c>
      <c r="F54" s="39">
        <f>IF($B$54="","",IF((SUMIFS(tblBoard[Target (units)],tblBoard[Hour],$B$54,tblBoard[View date],"&gt;0"))=0,"",(SUMIFS(tblBoard[Actual (units)],tblBoard[Hour],$B$54,tblBoard[View date],"&gt;0"))/(SUMIFS(tblBoard[Target (units)],tblBoard[Hour],$B$54,tblBoard[View date],"&gt;0"))))</f>
        <v>0.983589743589744</v>
      </c>
      <c r="G54" s="39">
        <f>IF($B$54="","",IF((COUNTIFS(tblBoard[Hour],$B$54,tblBoard[View date],"&gt;0",tblBoard[Target (units)],"&gt;0"))=0,"",(SUMIFS(tblBoard[Hit],tblBoard[Hour],$B$54,tblBoard[View date],"&gt;0"))/(COUNTIFS(tblBoard[Hour],$B$54,tblBoard[View date],"&gt;0",tblBoard[Target (units)],"&gt;0"))))</f>
        <v>0.5</v>
      </c>
      <c r="H54" s="61">
        <f>TargetHour</f>
        <v>1</v>
      </c>
    </row>
    <row r="55" spans="2:8" x14ac:dyDescent="0.25">
      <c r="B55" s="55" t="str">
        <f>IFERROR(INDEX(tblHours[Hour],3)&amp;"","")</f>
        <v>3</v>
      </c>
      <c r="C55" s="38">
        <f>IF($B$55="","",SUMIFS(tblBoard[Target (units)],tblBoard[Hour],$B$55,tblBoard[View date],"&gt;0"))</f>
        <v>3244</v>
      </c>
      <c r="D55" s="38">
        <f>IF($B$55="","",SUMIFS(tblBoard[Actual (units)],tblBoard[Hour],$B$55,tblBoard[View date],"&gt;0"))</f>
        <v>2972</v>
      </c>
      <c r="E55" s="38">
        <f>IF($B$55="","",SUMIFS(tblBoard[Short (units)],tblBoard[Hour],$B$55,tblBoard[View date],"&gt;0"))</f>
        <v>322</v>
      </c>
      <c r="F55" s="39">
        <f>IF($B$55="","",IF((SUMIFS(tblBoard[Target (units)],tblBoard[Hour],$B$55,tblBoard[View date],"&gt;0"))=0,"",(SUMIFS(tblBoard[Actual (units)],tblBoard[Hour],$B$55,tblBoard[View date],"&gt;0"))/(SUMIFS(tblBoard[Target (units)],tblBoard[Hour],$B$55,tblBoard[View date],"&gt;0"))))</f>
        <v>0.916152897657213</v>
      </c>
      <c r="G55" s="39">
        <f>IF($B$55="","",IF((COUNTIFS(tblBoard[Hour],$B$55,tblBoard[View date],"&gt;0",tblBoard[Target (units)],"&gt;0"))=0,"",(SUMIFS(tblBoard[Hit],tblBoard[Hour],$B$55,tblBoard[View date],"&gt;0"))/(COUNTIFS(tblBoard[Hour],$B$55,tblBoard[View date],"&gt;0",tblBoard[Target (units)],"&gt;0"))))</f>
        <v>0.475</v>
      </c>
      <c r="H55" s="61">
        <f>TargetHour</f>
        <v>1</v>
      </c>
    </row>
    <row r="56" spans="2:8" x14ac:dyDescent="0.25">
      <c r="B56" s="55" t="str">
        <f>IFERROR(INDEX(tblHours[Hour],4)&amp;"","")</f>
        <v>4</v>
      </c>
      <c r="C56" s="38">
        <f>IF($B$56="","",SUMIFS(tblBoard[Target (units)],tblBoard[Hour],$B$56,tblBoard[View date],"&gt;0"))</f>
        <v>3900</v>
      </c>
      <c r="D56" s="38">
        <f>IF($B$56="","",SUMIFS(tblBoard[Actual (units)],tblBoard[Hour],$B$56,tblBoard[View date],"&gt;0"))</f>
        <v>3805</v>
      </c>
      <c r="E56" s="38">
        <f>IF($B$56="","",SUMIFS(tblBoard[Short (units)],tblBoard[Hour],$B$56,tblBoard[View date],"&gt;0"))</f>
        <v>139</v>
      </c>
      <c r="F56" s="39">
        <f>IF($B$56="","",IF((SUMIFS(tblBoard[Target (units)],tblBoard[Hour],$B$56,tblBoard[View date],"&gt;0"))=0,"",(SUMIFS(tblBoard[Actual (units)],tblBoard[Hour],$B$56,tblBoard[View date],"&gt;0"))/(SUMIFS(tblBoard[Target (units)],tblBoard[Hour],$B$56,tblBoard[View date],"&gt;0"))))</f>
        <v>0.975641025641026</v>
      </c>
      <c r="G56" s="39">
        <f>IF($B$56="","",IF((COUNTIFS(tblBoard[Hour],$B$56,tblBoard[View date],"&gt;0",tblBoard[Target (units)],"&gt;0"))=0,"",(SUMIFS(tblBoard[Hit],tblBoard[Hour],$B$56,tblBoard[View date],"&gt;0"))/(COUNTIFS(tblBoard[Hour],$B$56,tblBoard[View date],"&gt;0",tblBoard[Target (units)],"&gt;0"))))</f>
        <v>0.475</v>
      </c>
      <c r="H56" s="61">
        <f>TargetHour</f>
        <v>1</v>
      </c>
    </row>
    <row r="57" spans="2:8" x14ac:dyDescent="0.25">
      <c r="B57" s="55" t="str">
        <f>IFERROR(INDEX(tblHours[Hour],5)&amp;"","")</f>
        <v>5</v>
      </c>
      <c r="C57" s="38">
        <f>IF($B$57="","",SUMIFS(tblBoard[Target (units)],tblBoard[Hour],$B$57,tblBoard[View date],"&gt;0"))</f>
        <v>1944</v>
      </c>
      <c r="D57" s="38">
        <f>IF($B$57="","",SUMIFS(tblBoard[Actual (units)],tblBoard[Hour],$B$57,tblBoard[View date],"&gt;0"))</f>
        <v>1948</v>
      </c>
      <c r="E57" s="38">
        <f>IF($B$57="","",SUMIFS(tblBoard[Short (units)],tblBoard[Hour],$B$57,tblBoard[View date],"&gt;0"))</f>
        <v>22</v>
      </c>
      <c r="F57" s="39">
        <f>IF($B$57="","",IF((SUMIFS(tblBoard[Target (units)],tblBoard[Hour],$B$57,tblBoard[View date],"&gt;0"))=0,"",(SUMIFS(tblBoard[Actual (units)],tblBoard[Hour],$B$57,tblBoard[View date],"&gt;0"))/(SUMIFS(tblBoard[Target (units)],tblBoard[Hour],$B$57,tblBoard[View date],"&gt;0"))))</f>
        <v>1.00205761316872</v>
      </c>
      <c r="G57" s="39">
        <f>IF($B$57="","",IF((COUNTIFS(tblBoard[Hour],$B$57,tblBoard[View date],"&gt;0",tblBoard[Target (units)],"&gt;0"))=0,"",(SUMIFS(tblBoard[Hit],tblBoard[Hour],$B$57,tblBoard[View date],"&gt;0"))/(COUNTIFS(tblBoard[Hour],$B$57,tblBoard[View date],"&gt;0",tblBoard[Target (units)],"&gt;0"))))</f>
        <v>0.675</v>
      </c>
      <c r="H57" s="61">
        <f>TargetHour</f>
        <v>1</v>
      </c>
    </row>
    <row r="58" spans="2:8" x14ac:dyDescent="0.25">
      <c r="B58" s="55" t="str">
        <f>IFERROR(INDEX(tblHours[Hour],6)&amp;"","")</f>
        <v>6</v>
      </c>
      <c r="C58" s="38">
        <f>IF($B$58="","",SUMIFS(tblBoard[Target (units)],tblBoard[Hour],$B$58,tblBoard[View date],"&gt;0"))</f>
        <v>3900</v>
      </c>
      <c r="D58" s="38">
        <f>IF($B$58="","",SUMIFS(tblBoard[Actual (units)],tblBoard[Hour],$B$58,tblBoard[View date],"&gt;0"))</f>
        <v>3650</v>
      </c>
      <c r="E58" s="38">
        <f>IF($B$58="","",SUMIFS(tblBoard[Short (units)],tblBoard[Hour],$B$58,tblBoard[View date],"&gt;0"))</f>
        <v>255</v>
      </c>
      <c r="F58" s="39">
        <f>IF($B$58="","",IF((SUMIFS(tblBoard[Target (units)],tblBoard[Hour],$B$58,tblBoard[View date],"&gt;0"))=0,"",(SUMIFS(tblBoard[Actual (units)],tblBoard[Hour],$B$58,tblBoard[View date],"&gt;0"))/(SUMIFS(tblBoard[Target (units)],tblBoard[Hour],$B$58,tblBoard[View date],"&gt;0"))))</f>
        <v>0.935897435897436</v>
      </c>
      <c r="G58" s="39">
        <f>IF($B$58="","",IF((COUNTIFS(tblBoard[Hour],$B$58,tblBoard[View date],"&gt;0",tblBoard[Target (units)],"&gt;0"))=0,"",(SUMIFS(tblBoard[Hit],tblBoard[Hour],$B$58,tblBoard[View date],"&gt;0"))/(COUNTIFS(tblBoard[Hour],$B$58,tblBoard[View date],"&gt;0",tblBoard[Target (units)],"&gt;0"))))</f>
        <v>0.125</v>
      </c>
      <c r="H58" s="61">
        <f>TargetHour</f>
        <v>1</v>
      </c>
    </row>
    <row r="59" spans="2:8" x14ac:dyDescent="0.25">
      <c r="B59" s="55" t="str">
        <f>IFERROR(INDEX(tblHours[Hour],7)&amp;"","")</f>
        <v>7</v>
      </c>
      <c r="C59" s="38">
        <f>IF($B$59="","",SUMIFS(tblBoard[Target (units)],tblBoard[Hour],$B$59,tblBoard[View date],"&gt;0"))</f>
        <v>3244</v>
      </c>
      <c r="D59" s="38">
        <f>IF($B$59="","",SUMIFS(tblBoard[Actual (units)],tblBoard[Hour],$B$59,tblBoard[View date],"&gt;0"))</f>
        <v>3211</v>
      </c>
      <c r="E59" s="38">
        <f>IF($B$59="","",SUMIFS(tblBoard[Short (units)],tblBoard[Hour],$B$59,tblBoard[View date],"&gt;0"))</f>
        <v>83</v>
      </c>
      <c r="F59" s="39">
        <f>IF($B$59="","",IF((SUMIFS(tblBoard[Target (units)],tblBoard[Hour],$B$59,tblBoard[View date],"&gt;0"))=0,"",(SUMIFS(tblBoard[Actual (units)],tblBoard[Hour],$B$59,tblBoard[View date],"&gt;0"))/(SUMIFS(tblBoard[Target (units)],tblBoard[Hour],$B$59,tblBoard[View date],"&gt;0"))))</f>
        <v>0.989827373612824</v>
      </c>
      <c r="G59" s="39">
        <f>IF($B$59="","",IF((COUNTIFS(tblBoard[Hour],$B$59,tblBoard[View date],"&gt;0",tblBoard[Target (units)],"&gt;0"))=0,"",(SUMIFS(tblBoard[Hit],tblBoard[Hour],$B$59,tblBoard[View date],"&gt;0"))/(COUNTIFS(tblBoard[Hour],$B$59,tblBoard[View date],"&gt;0",tblBoard[Target (units)],"&gt;0"))))</f>
        <v>0.5</v>
      </c>
      <c r="H59" s="61">
        <f>TargetHour</f>
        <v>1</v>
      </c>
    </row>
    <row r="60" spans="2:8" x14ac:dyDescent="0.25">
      <c r="B60" s="55" t="str">
        <f>IFERROR(INDEX(tblHours[Hour],8)&amp;"","")</f>
        <v>8</v>
      </c>
      <c r="C60" s="38">
        <f>IF($B$60="","",SUMIFS(tblBoard[Target (units)],tblBoard[Hour],$B$60,tblBoard[View date],"&gt;0"))</f>
        <v>3244</v>
      </c>
      <c r="D60" s="38">
        <f>IF($B$60="","",SUMIFS(tblBoard[Actual (units)],tblBoard[Hour],$B$60,tblBoard[View date],"&gt;0"))</f>
        <v>3236</v>
      </c>
      <c r="E60" s="38">
        <f>IF($B$60="","",SUMIFS(tblBoard[Short (units)],tblBoard[Hour],$B$60,tblBoard[View date],"&gt;0"))</f>
        <v>53</v>
      </c>
      <c r="F60" s="39">
        <f>IF($B$60="","",IF((SUMIFS(tblBoard[Target (units)],tblBoard[Hour],$B$60,tblBoard[View date],"&gt;0"))=0,"",(SUMIFS(tblBoard[Actual (units)],tblBoard[Hour],$B$60,tblBoard[View date],"&gt;0"))/(SUMIFS(tblBoard[Target (units)],tblBoard[Hour],$B$60,tblBoard[View date],"&gt;0"))))</f>
        <v>0.997533908754624</v>
      </c>
      <c r="G60" s="39">
        <f>IF($B$60="","",IF((COUNTIFS(tblBoard[Hour],$B$60,tblBoard[View date],"&gt;0",tblBoard[Target (units)],"&gt;0"))=0,"",(SUMIFS(tblBoard[Hit],tblBoard[Hour],$B$60,tblBoard[View date],"&gt;0"))/(COUNTIFS(tblBoard[Hour],$B$60,tblBoard[View date],"&gt;0",tblBoard[Target (units)],"&gt;0"))))</f>
        <v>0.575</v>
      </c>
      <c r="H60" s="61">
        <f>TargetHour</f>
        <v>1</v>
      </c>
    </row>
    <row r="62" spans="2:8" x14ac:dyDescent="0.25">
      <c r="B62" s="30" t="s">
        <v>177</v>
      </c>
      <c r="C62" s="30"/>
      <c r="D62" s="30"/>
      <c r="E62" s="30"/>
      <c r="F62" s="30"/>
      <c r="G62" s="30"/>
    </row>
    <row r="63" spans="2:8" ht="32" customHeight="1" x14ac:dyDescent="0.25">
      <c r="B63" s="54" t="s">
        <v>126</v>
      </c>
      <c r="C63" s="31" t="s">
        <v>131</v>
      </c>
      <c r="D63" s="31" t="s">
        <v>128</v>
      </c>
      <c r="E63" s="31" t="s">
        <v>133</v>
      </c>
      <c r="F63" s="31" t="s">
        <v>134</v>
      </c>
      <c r="G63" s="31" t="s">
        <v>176</v>
      </c>
    </row>
    <row r="64" spans="2:8" x14ac:dyDescent="0.25">
      <c r="B64" s="62">
        <f>IF($B$65="","",IFERROR(LARGE(tblBoard[View date],COUNTIF(tblBoard[View date],"&gt;="&amp;$B$65)+1),""))</f>
        <v>46300</v>
      </c>
      <c r="C64" s="38">
        <f>IF($B$64="","",SUMIFS(tblBoard[Target (units)],tblBoard[View date],$B$64))</f>
        <v>2940</v>
      </c>
      <c r="D64" s="38">
        <f>IF($B$64="","",SUMIFS(tblBoard[Actual (units)],tblBoard[View date],$B$64))</f>
        <v>2745</v>
      </c>
      <c r="E64" s="38">
        <f>IF($B$64="","",SUMIFS(tblBoard[Short (units)],tblBoard[View date],$B$64))</f>
        <v>224</v>
      </c>
      <c r="F64" s="39">
        <f>IF($B$64="","",IF((SUMIFS(tblBoard[Target (units)],tblBoard[View date],$B$64))=0,"",(SUMIFS(tblBoard[Actual (units)],tblBoard[View date],$B$64))/(SUMIFS(tblBoard[Target (units)],tblBoard[View date],$B$64))))</f>
        <v>0.933673469387755</v>
      </c>
      <c r="G64" s="61">
        <f>TargetHour</f>
        <v>1</v>
      </c>
    </row>
    <row r="65" spans="2:43" x14ac:dyDescent="0.25">
      <c r="B65" s="62">
        <f>IF($B$66="","",IFERROR(LARGE(tblBoard[View date],COUNTIF(tblBoard[View date],"&gt;="&amp;$B$66)+1),""))</f>
        <v>46301</v>
      </c>
      <c r="C65" s="38">
        <f>IF($B$65="","",SUMIFS(tblBoard[Target (units)],tblBoard[View date],$B$65))</f>
        <v>2833</v>
      </c>
      <c r="D65" s="38">
        <f>IF($B$65="","",SUMIFS(tblBoard[Actual (units)],tblBoard[View date],$B$65))</f>
        <v>2707</v>
      </c>
      <c r="E65" s="38">
        <f>IF($B$65="","",SUMIFS(tblBoard[Short (units)],tblBoard[View date],$B$65))</f>
        <v>152</v>
      </c>
      <c r="F65" s="39">
        <f>IF($B$65="","",IF((SUMIFS(tblBoard[Target (units)],tblBoard[View date],$B$65))=0,"",(SUMIFS(tblBoard[Actual (units)],tblBoard[View date],$B$65))/(SUMIFS(tblBoard[Target (units)],tblBoard[View date],$B$65))))</f>
        <v>0.955524179315214</v>
      </c>
      <c r="G65" s="61">
        <f>TargetHour</f>
        <v>1</v>
      </c>
    </row>
    <row r="66" spans="2:43" x14ac:dyDescent="0.25">
      <c r="B66" s="62">
        <f>IF($B$67="","",IFERROR(LARGE(tblBoard[View date],COUNTIF(tblBoard[View date],"&gt;="&amp;$B$67)+1),""))</f>
        <v>46302</v>
      </c>
      <c r="C66" s="38">
        <f>IF($B$66="","",SUMIFS(tblBoard[Target (units)],tblBoard[View date],$B$66))</f>
        <v>2306</v>
      </c>
      <c r="D66" s="38">
        <f>IF($B$66="","",SUMIFS(tblBoard[Actual (units)],tblBoard[View date],$B$66))</f>
        <v>2213</v>
      </c>
      <c r="E66" s="38">
        <f>IF($B$66="","",SUMIFS(tblBoard[Short (units)],tblBoard[View date],$B$66))</f>
        <v>115</v>
      </c>
      <c r="F66" s="39">
        <f>IF($B$66="","",IF((SUMIFS(tblBoard[Target (units)],tblBoard[View date],$B$66))=0,"",(SUMIFS(tblBoard[Actual (units)],tblBoard[View date],$B$66))/(SUMIFS(tblBoard[Target (units)],tblBoard[View date],$B$66))))</f>
        <v>0.959670424978317</v>
      </c>
      <c r="G66" s="61">
        <f>TargetHour</f>
        <v>1</v>
      </c>
    </row>
    <row r="67" spans="2:43" x14ac:dyDescent="0.25">
      <c r="B67" s="62">
        <f>IF($B$68="","",IFERROR(LARGE(tblBoard[View date],COUNTIF(tblBoard[View date],"&gt;="&amp;$B$68)+1),""))</f>
        <v>46303</v>
      </c>
      <c r="C67" s="38">
        <f>IF($B$67="","",SUMIFS(tblBoard[Target (units)],tblBoard[View date],$B$67))</f>
        <v>2726</v>
      </c>
      <c r="D67" s="38">
        <f>IF($B$67="","",SUMIFS(tblBoard[Actual (units)],tblBoard[View date],$B$67))</f>
        <v>2622</v>
      </c>
      <c r="E67" s="38">
        <f>IF($B$67="","",SUMIFS(tblBoard[Short (units)],tblBoard[View date],$B$67))</f>
        <v>128</v>
      </c>
      <c r="F67" s="39">
        <f>IF($B$67="","",IF((SUMIFS(tblBoard[Target (units)],tblBoard[View date],$B$67))=0,"",(SUMIFS(tblBoard[Actual (units)],tblBoard[View date],$B$67))/(SUMIFS(tblBoard[Target (units)],tblBoard[View date],$B$67))))</f>
        <v>0.961848862802641</v>
      </c>
      <c r="G67" s="61">
        <f>TargetHour</f>
        <v>1</v>
      </c>
    </row>
    <row r="68" spans="2:43" x14ac:dyDescent="0.25">
      <c r="B68" s="62">
        <f>IF($B$69="","",IFERROR(LARGE(tblBoard[View date],COUNTIF(tblBoard[View date],"&gt;="&amp;$B$69)+1),""))</f>
        <v>46304</v>
      </c>
      <c r="C68" s="38">
        <f>IF($B$68="","",SUMIFS(tblBoard[Target (units)],tblBoard[View date],$B$68))</f>
        <v>2623</v>
      </c>
      <c r="D68" s="38">
        <f>IF($B$68="","",SUMIFS(tblBoard[Actual (units)],tblBoard[View date],$B$68))</f>
        <v>2502</v>
      </c>
      <c r="E68" s="38">
        <f>IF($B$68="","",SUMIFS(tblBoard[Short (units)],tblBoard[View date],$B$68))</f>
        <v>152</v>
      </c>
      <c r="F68" s="39">
        <f>IF($B$68="","",IF((SUMIFS(tblBoard[Target (units)],tblBoard[View date],$B$68))=0,"",(SUMIFS(tblBoard[Actual (units)],tblBoard[View date],$B$68))/(SUMIFS(tblBoard[Target (units)],tblBoard[View date],$B$68))))</f>
        <v>0.95386961494472</v>
      </c>
      <c r="G68" s="61">
        <f>TargetHour</f>
        <v>1</v>
      </c>
    </row>
    <row r="69" spans="2:43" x14ac:dyDescent="0.25">
      <c r="B69" s="62">
        <f>IF($B$70="","",IFERROR(LARGE(tblBoard[View date],COUNTIF(tblBoard[View date],"&gt;="&amp;$B$70)+1),""))</f>
        <v>46307</v>
      </c>
      <c r="C69" s="38">
        <f>IF($B$69="","",SUMIFS(tblBoard[Target (units)],tblBoard[View date],$B$69))</f>
        <v>2940</v>
      </c>
      <c r="D69" s="38">
        <f>IF($B$69="","",SUMIFS(tblBoard[Actual (units)],tblBoard[View date],$B$69))</f>
        <v>2867</v>
      </c>
      <c r="E69" s="38">
        <f>IF($B$69="","",SUMIFS(tblBoard[Short (units)],tblBoard[View date],$B$69))</f>
        <v>114</v>
      </c>
      <c r="F69" s="39">
        <f>IF($B$69="","",IF((SUMIFS(tblBoard[Target (units)],tblBoard[View date],$B$69))=0,"",(SUMIFS(tblBoard[Actual (units)],tblBoard[View date],$B$69))/(SUMIFS(tblBoard[Target (units)],tblBoard[View date],$B$69))))</f>
        <v>0.975170068027211</v>
      </c>
      <c r="G69" s="61">
        <f>TargetHour</f>
        <v>1</v>
      </c>
    </row>
    <row r="70" spans="2:43" x14ac:dyDescent="0.25">
      <c r="B70" s="62">
        <f>IF($B$71="","",IFERROR(LARGE(tblBoard[View date],COUNTIF(tblBoard[View date],"&gt;="&amp;$B$71)+1),""))</f>
        <v>46308</v>
      </c>
      <c r="C70" s="38">
        <f>IF($B$70="","",SUMIFS(tblBoard[Target (units)],tblBoard[View date],$B$70))</f>
        <v>2940</v>
      </c>
      <c r="D70" s="38">
        <f>IF($B$70="","",SUMIFS(tblBoard[Actual (units)],tblBoard[View date],$B$70))</f>
        <v>2766</v>
      </c>
      <c r="E70" s="38">
        <f>IF($B$70="","",SUMIFS(tblBoard[Short (units)],tblBoard[View date],$B$70))</f>
        <v>191</v>
      </c>
      <c r="F70" s="39">
        <f>IF($B$70="","",IF((SUMIFS(tblBoard[Target (units)],tblBoard[View date],$B$70))=0,"",(SUMIFS(tblBoard[Actual (units)],tblBoard[View date],$B$70))/(SUMIFS(tblBoard[Target (units)],tblBoard[View date],$B$70))))</f>
        <v>0.940816326530612</v>
      </c>
      <c r="G70" s="61">
        <f>TargetHour</f>
        <v>1</v>
      </c>
    </row>
    <row r="71" spans="2:43" x14ac:dyDescent="0.25">
      <c r="B71" s="62">
        <f>IF($B$72="","",IFERROR(LARGE(tblBoard[View date],COUNTIF(tblBoard[View date],"&gt;="&amp;$B$72)+1),""))</f>
        <v>46309</v>
      </c>
      <c r="C71" s="38">
        <f>IF($B$71="","",SUMIFS(tblBoard[Target (units)],tblBoard[View date],$B$71))</f>
        <v>2726</v>
      </c>
      <c r="D71" s="38">
        <f>IF($B$71="","",SUMIFS(tblBoard[Actual (units)],tblBoard[View date],$B$71))</f>
        <v>2627</v>
      </c>
      <c r="E71" s="38">
        <f>IF($B$71="","",SUMIFS(tblBoard[Short (units)],tblBoard[View date],$B$71))</f>
        <v>124</v>
      </c>
      <c r="F71" s="39">
        <f>IF($B$71="","",IF((SUMIFS(tblBoard[Target (units)],tblBoard[View date],$B$71))=0,"",(SUMIFS(tblBoard[Actual (units)],tblBoard[View date],$B$71))/(SUMIFS(tblBoard[Target (units)],tblBoard[View date],$B$71))))</f>
        <v>0.963683052090976</v>
      </c>
      <c r="G71" s="61">
        <f>TargetHour</f>
        <v>1</v>
      </c>
    </row>
    <row r="72" spans="2:43" x14ac:dyDescent="0.25">
      <c r="B72" s="62">
        <f>IF($B$73="","",IFERROR(LARGE(tblBoard[View date],COUNTIF(tblBoard[View date],"&gt;="&amp;$B$73)+1),""))</f>
        <v>46310</v>
      </c>
      <c r="C72" s="38">
        <f>IF($B$72="","",SUMIFS(tblBoard[Target (units)],tblBoard[View date],$B$72))</f>
        <v>2516</v>
      </c>
      <c r="D72" s="38">
        <f>IF($B$72="","",SUMIFS(tblBoard[Actual (units)],tblBoard[View date],$B$72))</f>
        <v>2410</v>
      </c>
      <c r="E72" s="38">
        <f>IF($B$72="","",SUMIFS(tblBoard[Short (units)],tblBoard[View date],$B$72))</f>
        <v>135</v>
      </c>
      <c r="F72" s="39">
        <f>IF($B$72="","",IF((SUMIFS(tblBoard[Target (units)],tblBoard[View date],$B$72))=0,"",(SUMIFS(tblBoard[Actual (units)],tblBoard[View date],$B$72))/(SUMIFS(tblBoard[Target (units)],tblBoard[View date],$B$72))))</f>
        <v>0.957869634340223</v>
      </c>
      <c r="G72" s="61">
        <f>TargetHour</f>
        <v>1</v>
      </c>
    </row>
    <row r="73" spans="2:43" x14ac:dyDescent="0.25">
      <c r="B73" s="62">
        <f>IF(COUNT(tblBoard[View date])=0,"",MAX(tblBoard[View date]))</f>
        <v>46311</v>
      </c>
      <c r="C73" s="38">
        <f>IF($B$73="","",SUMIFS(tblBoard[Target (units)],tblBoard[View date],$B$73))</f>
        <v>2726</v>
      </c>
      <c r="D73" s="38">
        <f>IF($B$73="","",SUMIFS(tblBoard[Actual (units)],tblBoard[View date],$B$73))</f>
        <v>2620</v>
      </c>
      <c r="E73" s="38">
        <f>IF($B$73="","",SUMIFS(tblBoard[Short (units)],tblBoard[View date],$B$73))</f>
        <v>139</v>
      </c>
      <c r="F73" s="39">
        <f>IF($B$73="","",IF((SUMIFS(tblBoard[Target (units)],tblBoard[View date],$B$73))=0,"",(SUMIFS(tblBoard[Actual (units)],tblBoard[View date],$B$73))/(SUMIFS(tblBoard[Target (units)],tblBoard[View date],$B$73))))</f>
        <v>0.961115187087307</v>
      </c>
      <c r="G73" s="61">
        <f>TargetHour</f>
        <v>1</v>
      </c>
    </row>
    <row r="75" spans="2:43" x14ac:dyDescent="0.25">
      <c r="B75" s="30" t="s">
        <v>178</v>
      </c>
      <c r="C75" s="30"/>
      <c r="D75" s="30"/>
      <c r="E75" s="30"/>
      <c r="F75" s="30"/>
      <c r="G75" s="30" t="s">
        <v>179</v>
      </c>
      <c r="H75" s="30"/>
      <c r="I75" s="30"/>
      <c r="J75" s="30"/>
      <c r="K75" s="30"/>
      <c r="L75" s="30"/>
    </row>
    <row r="76" spans="2:43" ht="20" customHeight="1" x14ac:dyDescent="0.25">
      <c r="B76" s="54" t="s">
        <v>65</v>
      </c>
      <c r="C76" s="31" t="s">
        <v>154</v>
      </c>
      <c r="D76" s="31" t="s">
        <v>155</v>
      </c>
      <c r="E76" s="31" t="s">
        <v>180</v>
      </c>
      <c r="F76" s="31" t="s">
        <v>181</v>
      </c>
      <c r="G76" s="31" t="s">
        <v>182</v>
      </c>
      <c r="H76" s="54" t="s">
        <v>129</v>
      </c>
      <c r="I76" s="54"/>
      <c r="J76" s="31" t="s">
        <v>183</v>
      </c>
      <c r="K76" s="31" t="s">
        <v>184</v>
      </c>
      <c r="L76" s="31" t="s">
        <v>185</v>
      </c>
      <c r="AO76" s="7" t="s">
        <v>186</v>
      </c>
      <c r="AP76" s="7" t="s">
        <v>187</v>
      </c>
      <c r="AQ76" s="7" t="s">
        <v>188</v>
      </c>
    </row>
    <row r="77" spans="2:43" x14ac:dyDescent="0.25">
      <c r="B77" s="55" t="str">
        <f>IFERROR(INDEX(tblLines[Line],1)&amp;"","")</f>
        <v>A1</v>
      </c>
      <c r="C77" s="38">
        <f>IF($B$77="","",SUMIFS(tblBoard[Target (units)],tblBoard[Line],$B$77,tblBoard[View date],"&gt;0"))</f>
        <v>11744</v>
      </c>
      <c r="D77" s="38">
        <f>IF($B$77="","",SUMIFS(tblBoard[Actual (units)],tblBoard[Line],$B$77,tblBoard[View date],"&gt;0"))</f>
        <v>11422</v>
      </c>
      <c r="E77" s="39">
        <f>IF($B$77="","",IF((SUMIFS(tblBoard[Target (units)],tblBoard[Line],$B$77,tblBoard[View date],"&gt;0"))=0,"",(SUMIFS(tblBoard[Actual (units)],tblBoard[Line],$B$77,tblBoard[View date],"&gt;0"))/(SUMIFS(tblBoard[Target (units)],tblBoard[Line],$B$77,tblBoard[View date],"&gt;0"))))</f>
        <v>0.97258174386921</v>
      </c>
      <c r="F77" s="39">
        <f>IF($B$77="","",IF((COUNTIFS(tblBoard[Line],$B$77,tblBoard[View date],"&gt;0",tblBoard[Target (units)],"&gt;0"))=0,"",(SUMIFS(tblBoard[Hit],tblBoard[Line],$B$77,tblBoard[View date],"&gt;0"))/(COUNTIFS(tblBoard[Line],$B$77,tblBoard[View date],"&gt;0",tblBoard[Target (units)],"&gt;0"))))</f>
        <v>0.4125</v>
      </c>
      <c r="G77" s="63"/>
      <c r="H77" s="63"/>
      <c r="I77" s="63"/>
      <c r="J77" s="63" t="s">
        <v>189</v>
      </c>
      <c r="K77" s="63" t="s">
        <v>190</v>
      </c>
      <c r="L77" s="63" t="s">
        <v>190</v>
      </c>
    </row>
    <row r="78" spans="2:43" x14ac:dyDescent="0.25">
      <c r="B78" s="55" t="str">
        <f>IFERROR(INDEX(tblLines[Line],2)&amp;"","")</f>
        <v>A2</v>
      </c>
      <c r="C78" s="38">
        <f>IF($B$78="","",SUMIFS(tblBoard[Target (units)],tblBoard[Line],$B$78,tblBoard[View date],"&gt;0"))</f>
        <v>15532</v>
      </c>
      <c r="D78" s="38">
        <f>IF($B$78="","",SUMIFS(tblBoard[Actual (units)],tblBoard[Line],$B$78,tblBoard[View date],"&gt;0"))</f>
        <v>14657</v>
      </c>
      <c r="E78" s="39">
        <f>IF($B$78="","",IF((SUMIFS(tblBoard[Target (units)],tblBoard[Line],$B$78,tblBoard[View date],"&gt;0"))=0,"",(SUMIFS(tblBoard[Actual (units)],tblBoard[Line],$B$78,tblBoard[View date],"&gt;0"))/(SUMIFS(tblBoard[Target (units)],tblBoard[Line],$B$78,tblBoard[View date],"&gt;0"))))</f>
        <v>0.943664692248262</v>
      </c>
      <c r="F78" s="39">
        <f>IF($B$78="","",IF((COUNTIFS(tblBoard[Line],$B$78,tblBoard[View date],"&gt;0",tblBoard[Target (units)],"&gt;0"))=0,"",(SUMIFS(tblBoard[Hit],tblBoard[Line],$B$78,tblBoard[View date],"&gt;0"))/(COUNTIFS(tblBoard[Line],$B$78,tblBoard[View date],"&gt;0",tblBoard[Target (units)],"&gt;0"))))</f>
        <v>0.41875</v>
      </c>
      <c r="G78" s="64">
        <v>1</v>
      </c>
      <c r="H78" s="57" t="str">
        <f>IF(INDEX($AP$78:$AP$85,MATCH(1,$AQ$78:$AQ$85,0))&lt;0,"",INDEX($AO$78:$AO$85,MATCH(1,$AQ$78:$AQ$85,0)))</f>
        <v>Material shortage</v>
      </c>
      <c r="I78" s="57"/>
      <c r="J78" s="38">
        <f>IF($H$78="","",INDEX($AP$78:$AP$85,MATCH(1,$AQ$78:$AQ$85,0)))</f>
        <v>546</v>
      </c>
      <c r="K78" s="39">
        <f>IF(OR($H$78="",$J$86=0),"",$J$78/$J$86)</f>
        <v>0.370420624151967</v>
      </c>
      <c r="L78" s="39">
        <f>IF(OR($H$78="",$J$86=0),"",SUM($J$78:$J$78)/$J$86)</f>
        <v>0.370420624151967</v>
      </c>
      <c r="AO78" s="11" t="str">
        <f>IFERROR(INDEX(tblReasons[Reason],1)&amp;"","")</f>
        <v>Start-up</v>
      </c>
      <c r="AP78" s="65">
        <f>IF($AO$78="",-1,SUMIFS(tblBoard[Short (units)],tblBoard[Miss reason],$AO$78,tblBoard[View date],"&gt;0"))</f>
        <v>479</v>
      </c>
      <c r="AQ78" s="65">
        <f>COUNTIF($AP$78:$AP$85,"&gt;"&amp;$AP$78)+COUNTIF($AP$78:$AP$78,$AP$78)</f>
        <v>2</v>
      </c>
    </row>
    <row r="79" spans="2:43" x14ac:dyDescent="0.25">
      <c r="G79" s="64">
        <v>2</v>
      </c>
      <c r="H79" s="57" t="str">
        <f>IF(INDEX($AP$78:$AP$85,MATCH(2,$AQ$78:$AQ$85,0))&lt;0,"",INDEX($AO$78:$AO$85,MATCH(2,$AQ$78:$AQ$85,0)))</f>
        <v>Start-up</v>
      </c>
      <c r="I79" s="57"/>
      <c r="J79" s="38">
        <f>IF($H$79="","",INDEX($AP$78:$AP$85,MATCH(2,$AQ$78:$AQ$85,0)))</f>
        <v>479</v>
      </c>
      <c r="K79" s="39">
        <f>IF(OR($H$79="",$J$86=0),"",$J$79/$J$86)</f>
        <v>0.324966078697422</v>
      </c>
      <c r="L79" s="39">
        <f>IF(OR($H$79="",$J$86=0),"",SUM($J$78:$J$79)/$J$86)</f>
        <v>0.695386702849389</v>
      </c>
      <c r="AO79" s="11" t="str">
        <f>IFERROR(INDEX(tblReasons[Reason],2)&amp;"","")</f>
        <v>Material shortage</v>
      </c>
      <c r="AP79" s="65">
        <f>IF($AO$79="",-1,SUMIFS(tblBoard[Short (units)],tblBoard[Miss reason],$AO$79,tblBoard[View date],"&gt;0"))</f>
        <v>546</v>
      </c>
      <c r="AQ79" s="65">
        <f>COUNTIF($AP$78:$AP$85,"&gt;"&amp;$AP$79)+COUNTIF($AP$78:$AP$79,$AP$79)</f>
        <v>1</v>
      </c>
    </row>
    <row r="80" spans="2:43" x14ac:dyDescent="0.25">
      <c r="G80" s="64">
        <v>3</v>
      </c>
      <c r="H80" s="57" t="str">
        <f>IF(INDEX($AP$78:$AP$85,MATCH(3,$AQ$78:$AQ$85,0))&lt;0,"",INDEX($AO$78:$AO$85,MATCH(3,$AQ$78:$AQ$85,0)))</f>
        <v>Minor stops</v>
      </c>
      <c r="I80" s="57"/>
      <c r="J80" s="38">
        <f>IF($H$80="","",INDEX($AP$78:$AP$85,MATCH(3,$AQ$78:$AQ$85,0)))</f>
        <v>224</v>
      </c>
      <c r="K80" s="39">
        <f>IF(OR($H$80="",$J$86=0),"",$J$80/$J$86)</f>
        <v>0.151967435549525</v>
      </c>
      <c r="L80" s="39">
        <f>IF(OR($H$80="",$J$86=0),"",SUM($J$78:$J$80)/$J$86)</f>
        <v>0.847354138398915</v>
      </c>
      <c r="AO80" s="11" t="str">
        <f>IFERROR(INDEX(tblReasons[Reason],3)&amp;"","")</f>
        <v>Minor stops</v>
      </c>
      <c r="AP80" s="65">
        <f>IF($AO$80="",-1,SUMIFS(tblBoard[Short (units)],tblBoard[Miss reason],$AO$80,tblBoard[View date],"&gt;0"))</f>
        <v>224</v>
      </c>
      <c r="AQ80" s="65">
        <f>COUNTIF($AP$78:$AP$85,"&gt;"&amp;$AP$80)+COUNTIF($AP$78:$AP$80,$AP$80)</f>
        <v>3</v>
      </c>
    </row>
    <row r="81" spans="2:43" x14ac:dyDescent="0.25">
      <c r="G81" s="64">
        <v>4</v>
      </c>
      <c r="H81" s="57" t="str">
        <f>IF(INDEX($AP$78:$AP$85,MATCH(4,$AQ$78:$AQ$85,0))&lt;0,"",INDEX($AO$78:$AO$85,MATCH(4,$AQ$78:$AQ$85,0)))</f>
        <v>Quality check</v>
      </c>
      <c r="I81" s="57"/>
      <c r="J81" s="38">
        <f>IF($H$81="","",INDEX($AP$78:$AP$85,MATCH(4,$AQ$78:$AQ$85,0)))</f>
        <v>83</v>
      </c>
      <c r="K81" s="39">
        <f>IF(OR($H$81="",$J$86=0),"",$J$81/$J$86)</f>
        <v>0.0563093622795115</v>
      </c>
      <c r="L81" s="39">
        <f>IF(OR($H$81="",$J$86=0),"",SUM($J$78:$J$81)/$J$86)</f>
        <v>0.903663500678426</v>
      </c>
      <c r="AO81" s="11" t="str">
        <f>IFERROR(INDEX(tblReasons[Reason],4)&amp;"","")</f>
        <v>Machine fault</v>
      </c>
      <c r="AP81" s="65">
        <f>IF($AO$81="",-1,SUMIFS(tblBoard[Short (units)],tblBoard[Miss reason],$AO$81,tblBoard[View date],"&gt;0"))</f>
        <v>51</v>
      </c>
      <c r="AQ81" s="65">
        <f>COUNTIF($AP$78:$AP$85,"&gt;"&amp;$AP$81)+COUNTIF($AP$78:$AP$81,$AP$81)</f>
        <v>6</v>
      </c>
    </row>
    <row r="82" spans="2:43" x14ac:dyDescent="0.25">
      <c r="G82" s="64">
        <v>5</v>
      </c>
      <c r="H82" s="57" t="str">
        <f>IF(INDEX($AP$78:$AP$85,MATCH(5,$AQ$78:$AQ$85,0))&lt;0,"",INDEX($AO$78:$AO$85,MATCH(5,$AQ$78:$AQ$85,0)))</f>
        <v>Operator away</v>
      </c>
      <c r="I82" s="57"/>
      <c r="J82" s="38">
        <f>IF($H$82="","",INDEX($AP$78:$AP$85,MATCH(5,$AQ$78:$AQ$85,0)))</f>
        <v>65</v>
      </c>
      <c r="K82" s="39">
        <f>IF(OR($H$82="",$J$86=0),"",$J$82/$J$86)</f>
        <v>0.0440976933514247</v>
      </c>
      <c r="L82" s="39">
        <f>IF(OR($H$82="",$J$86=0),"",SUM($J$78:$J$82)/$J$86)</f>
        <v>0.947761194029851</v>
      </c>
      <c r="AO82" s="11" t="str">
        <f>IFERROR(INDEX(tblReasons[Reason],5)&amp;"","")</f>
        <v>Quality check</v>
      </c>
      <c r="AP82" s="65">
        <f>IF($AO$82="",-1,SUMIFS(tblBoard[Short (units)],tblBoard[Miss reason],$AO$82,tblBoard[View date],"&gt;0"))</f>
        <v>83</v>
      </c>
      <c r="AQ82" s="65">
        <f>COUNTIF($AP$78:$AP$85,"&gt;"&amp;$AP$82)+COUNTIF($AP$78:$AP$82,$AP$82)</f>
        <v>4</v>
      </c>
    </row>
    <row r="83" spans="2:43" x14ac:dyDescent="0.25">
      <c r="G83" s="64">
        <v>6</v>
      </c>
      <c r="H83" s="57" t="str">
        <f>IF(INDEX($AP$78:$AP$85,MATCH(6,$AQ$78:$AQ$85,0))&lt;0,"",INDEX($AO$78:$AO$85,MATCH(6,$AQ$78:$AQ$85,0)))</f>
        <v>Machine fault</v>
      </c>
      <c r="I83" s="57"/>
      <c r="J83" s="38">
        <f>IF($H$83="","",INDEX($AP$78:$AP$85,MATCH(6,$AQ$78:$AQ$85,0)))</f>
        <v>51</v>
      </c>
      <c r="K83" s="39">
        <f>IF(OR($H$83="",$J$86=0),"",$J$83/$J$86)</f>
        <v>0.0345997286295794</v>
      </c>
      <c r="L83" s="39">
        <f>IF(OR($H$83="",$J$86=0),"",SUM($J$78:$J$83)/$J$86)</f>
        <v>0.98236092265943</v>
      </c>
      <c r="AO83" s="11" t="str">
        <f>IFERROR(INDEX(tblReasons[Reason],6)&amp;"","")</f>
        <v>Changeover</v>
      </c>
      <c r="AP83" s="65">
        <f>IF($AO$83="",-1,SUMIFS(tblBoard[Short (units)],tblBoard[Miss reason],$AO$83,tblBoard[View date],"&gt;0"))</f>
        <v>0</v>
      </c>
      <c r="AQ83" s="65">
        <f>COUNTIF($AP$78:$AP$85,"&gt;"&amp;$AP$83)+COUNTIF($AP$78:$AP$83,$AP$83)</f>
        <v>8</v>
      </c>
    </row>
    <row r="84" spans="2:43" x14ac:dyDescent="0.25">
      <c r="G84" s="64">
        <v>7</v>
      </c>
      <c r="H84" s="57" t="str">
        <f>IF(INDEX($AP$78:$AP$85,MATCH(7,$AQ$78:$AQ$85,0))&lt;0,"",INDEX($AO$78:$AO$85,MATCH(7,$AQ$78:$AQ$85,0)))</f>
        <v>Other</v>
      </c>
      <c r="I84" s="57"/>
      <c r="J84" s="38">
        <f>IF($H$84="","",INDEX($AP$78:$AP$85,MATCH(7,$AQ$78:$AQ$85,0)))</f>
        <v>26</v>
      </c>
      <c r="K84" s="39">
        <f>IF(OR($H$84="",$J$86=0),"",$J$84/$J$86)</f>
        <v>0.0176390773405699</v>
      </c>
      <c r="L84" s="39">
        <f>IF(OR($H$84="",$J$86=0),"",SUM($J$78:$J$84)/$J$86)</f>
        <v>1</v>
      </c>
      <c r="AO84" s="11" t="str">
        <f>IFERROR(INDEX(tblReasons[Reason],7)&amp;"","")</f>
        <v>Operator away</v>
      </c>
      <c r="AP84" s="65">
        <f>IF($AO$84="",-1,SUMIFS(tblBoard[Short (units)],tblBoard[Miss reason],$AO$84,tblBoard[View date],"&gt;0"))</f>
        <v>65</v>
      </c>
      <c r="AQ84" s="65">
        <f>COUNTIF($AP$78:$AP$85,"&gt;"&amp;$AP$84)+COUNTIF($AP$78:$AP$84,$AP$84)</f>
        <v>5</v>
      </c>
    </row>
    <row r="85" spans="2:43" x14ac:dyDescent="0.25">
      <c r="G85" s="64">
        <v>8</v>
      </c>
      <c r="H85" s="57" t="str">
        <f>IF(INDEX($AP$78:$AP$85,MATCH(8,$AQ$78:$AQ$85,0))&lt;0,"",INDEX($AO$78:$AO$85,MATCH(8,$AQ$78:$AQ$85,0)))</f>
        <v>Changeover</v>
      </c>
      <c r="I85" s="57"/>
      <c r="J85" s="38">
        <f>IF($H$85="","",INDEX($AP$78:$AP$85,MATCH(8,$AQ$78:$AQ$85,0)))</f>
        <v>0</v>
      </c>
      <c r="K85" s="39">
        <f>IF(OR($H$85="",$J$86=0),"",$J$85/$J$86)</f>
        <v>0</v>
      </c>
      <c r="L85" s="39">
        <f>IF(OR($H$85="",$J$86=0),"",SUM($J$78:$J$85)/$J$86)</f>
        <v>1</v>
      </c>
      <c r="AO85" s="11" t="str">
        <f>IFERROR(INDEX(tblReasons[Reason],8)&amp;"","")</f>
        <v>Other</v>
      </c>
      <c r="AP85" s="65">
        <f>IF($AO$85="",-1,SUMIFS(tblBoard[Short (units)],tblBoard[Miss reason],$AO$85,tblBoard[View date],"&gt;0"))</f>
        <v>26</v>
      </c>
      <c r="AQ85" s="65">
        <f>COUNTIF($AP$78:$AP$85,"&gt;"&amp;$AP$85)+COUNTIF($AP$78:$AP$85,$AP$85)</f>
        <v>7</v>
      </c>
    </row>
    <row r="86" spans="2:43" x14ac:dyDescent="0.25">
      <c r="G86" s="66"/>
      <c r="H86" s="66" t="s">
        <v>191</v>
      </c>
      <c r="I86" s="66"/>
      <c r="J86" s="67">
        <f>SUMIF($AP$78:$AP$85,"&gt;0")</f>
        <v>1474</v>
      </c>
      <c r="K86" s="66"/>
      <c r="L86" s="66"/>
    </row>
    <row r="87" spans="2:43" ht="8" customHeight="1" x14ac:dyDescent="0.25"/>
    <row r="88" spans="2:43" ht="26.76" customHeight="1" x14ac:dyDescent="0.25">
      <c r="B88" s="21" t="s">
        <v>192</v>
      </c>
      <c r="C88" s="21"/>
      <c r="D88" s="21"/>
      <c r="E88" s="21"/>
      <c r="F88" s="21"/>
      <c r="G88" s="21"/>
      <c r="H88" s="21"/>
      <c r="I88" s="21"/>
      <c r="J88" s="21"/>
      <c r="K88" s="21"/>
      <c r="L88" s="21"/>
    </row>
    <row r="89" spans="2:43" x14ac:dyDescent="0.25">
      <c r="B89" s="68">
        <f>IF(OR(COUNTA(tblLines[Line])&gt;2,COUNT(tblHours[Hour])&gt;8,COUNTA(tblReasons[Reason])&gt;8),"Setup lists are longer than the Dashboard blocks: some lines, hours or reasons are not shown.","")</f>
        <v/>
      </c>
      <c r="C89" s="68"/>
      <c r="D89" s="68"/>
      <c r="E89" s="68"/>
      <c r="F89" s="68"/>
      <c r="G89" s="68"/>
      <c r="H89" s="68"/>
      <c r="I89" s="68"/>
      <c r="J89" s="68"/>
      <c r="K89" s="68"/>
      <c r="L89" s="68"/>
    </row>
  </sheetData>
  <sheetProtection sheet="1" formatColumns="0" formatRows="0"/>
  <mergeCells count="56">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H51"/>
    <mergeCell ref="B62:G62"/>
    <mergeCell ref="B75:F75"/>
    <mergeCell ref="G75:L75"/>
    <mergeCell ref="H76:I76"/>
    <mergeCell ref="H77:I77"/>
    <mergeCell ref="H78:I78"/>
    <mergeCell ref="H79:I79"/>
    <mergeCell ref="H80:I80"/>
    <mergeCell ref="H81:I81"/>
    <mergeCell ref="H82:I82"/>
    <mergeCell ref="H83:I83"/>
    <mergeCell ref="H84:I84"/>
    <mergeCell ref="H85:I85"/>
    <mergeCell ref="H86:I86"/>
    <mergeCell ref="B88:L88"/>
    <mergeCell ref="B89:L89"/>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77:E78">
    <cfRule type="expression" dxfId="3" priority="27" stopIfTrue="1">
      <formula>AND(ISNUMBER(E77),E77&gt;=(TargetHour))</formula>
    </cfRule>
    <cfRule type="expression" dxfId="4" priority="28" stopIfTrue="1">
      <formula>AND(ISNUMBER(E77),E77&gt;=(TargetHour)*(1-0.05))</formula>
    </cfRule>
    <cfRule type="expression" dxfId="5" priority="29">
      <formula>ISNUMBER(E77)</formula>
    </cfRule>
  </conditionalFormatting>
  <conditionalFormatting sqref="F53:F60">
    <cfRule type="expression" dxfId="3" priority="21" stopIfTrue="1">
      <formula>AND(ISNUMBER(F53),F53&gt;=(TargetHour))</formula>
    </cfRule>
    <cfRule type="expression" dxfId="4" priority="22" stopIfTrue="1">
      <formula>AND(ISNUMBER(F53),F53&gt;=(TargetHour)*(1-0.05))</formula>
    </cfRule>
    <cfRule type="expression" dxfId="5" priority="23">
      <formula>ISNUMBER(F53)</formula>
    </cfRule>
  </conditionalFormatting>
  <conditionalFormatting sqref="F64:F73">
    <cfRule type="expression" dxfId="3" priority="24" stopIfTrue="1">
      <formula>AND(ISNUMBER(F64),F64&gt;=(TargetHour))</formula>
    </cfRule>
    <cfRule type="expression" dxfId="4" priority="25" stopIfTrue="1">
      <formula>AND(ISNUMBER(F64),F64&gt;=(TargetHour)*(1-0.05))</formula>
    </cfRule>
    <cfRule type="expression" dxfId="5" priority="26">
      <formula>ISNUMBER(F64)</formula>
    </cfRule>
  </conditionalFormatting>
  <conditionalFormatting sqref="J78:J85">
    <cfRule type="dataBar" priority="30">
      <dataBar>
        <cfvo type="num" val="0"/>
        <cfvo type="max"/>
        <color rgb="FFA8BDF0"/>
      </dataBar>
      <extLst>
        <ext xmlns:x14="http://schemas.microsoft.com/office/spreadsheetml/2009/9/main" uri="{B025F937-C7B1-47D3-B67F-A62EFF666E3E}">
          <x14:id>{DA7ABA51-AAAA-BBBB-0005-000000000001}</x14:id>
        </ext>
      </extLst>
    </cfRule>
  </conditionalFormatting>
  <dataValidations count="3">
    <dataValidation type="list" allowBlank="1" showInputMessage="1" showErrorMessage="1" errorTitle="Check this entry" error="Pick from the list (edit the list on Setup: Lines)." promptTitle="Line" prompt="Leave blank for all lines. Pick from the list (edit the list on Setup: Lines)." sqref="C4">
      <formula1>Lines</formula1>
    </dataValidation>
    <dataValidation type="date" allowBlank="1" showInputMessage="1" showErrorMessage="1" errorTitle="Check this entry" error="Enter a date between 01 Jan 2000 and 31 Dec 2100." promptTitle="From" prompt="First date to include. Leave blank to start at the first record. Set From and To to one day for that day's boa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Hour-by-Hour Production Board&amp;R&amp;8&amp;A</oddHeader>
    <oddFooter>&amp;L&amp;8mfgcalcs.com - free manufacturing templates&amp;R&amp;8Page &amp;P of &amp;N</oddFooter>
  </headerFooter>
  <rowBreaks count="3" manualBreakCount="3">
    <brk id="28" max="16383" man="1"/>
    <brk id="50" max="16383" man="1"/>
    <brk id="74"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J78:J85</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193</v>
      </c>
      <c r="C4" s="8"/>
      <c r="D4" s="8"/>
    </row>
    <row r="5" spans="1:4" ht="5" customHeight="1"/>
    <row r="6" spans="1:4" ht="55.8" customHeight="1">
      <c r="B6" s="10" t="s">
        <v>194</v>
      </c>
      <c r="C6" s="10"/>
      <c r="D6" s="10"/>
    </row>
    <row r="8" spans="1:4" ht="21" customHeight="1">
      <c r="B8" s="8" t="s">
        <v>195</v>
      </c>
      <c r="C8" s="8"/>
      <c r="D8" s="8"/>
    </row>
    <row r="9" spans="1:4" ht="5" customHeight="1"/>
    <row r="10" spans="1:4" ht="20" customHeight="1">
      <c r="B10" s="54" t="s">
        <v>196</v>
      </c>
      <c r="C10" s="54" t="s">
        <v>197</v>
      </c>
      <c r="D10" s="31" t="s">
        <v>198</v>
      </c>
    </row>
    <row r="11" spans="1:4" ht="30.4" customHeight="1">
      <c r="B11" s="69" t="s">
        <v>199</v>
      </c>
      <c r="C11" s="70" t="s">
        <v>200</v>
      </c>
      <c r="D11" s="71" t="s">
        <v>201</v>
      </c>
    </row>
    <row r="12" spans="1:4" ht="17.2" customHeight="1">
      <c r="B12" s="69" t="s">
        <v>154</v>
      </c>
      <c r="C12" s="70" t="s">
        <v>202</v>
      </c>
      <c r="D12" s="71" t="s">
        <v>189</v>
      </c>
    </row>
    <row r="13" spans="1:4" ht="17.2" customHeight="1">
      <c r="B13" s="69" t="s">
        <v>156</v>
      </c>
      <c r="C13" s="70" t="s">
        <v>203</v>
      </c>
      <c r="D13" s="71" t="s">
        <v>189</v>
      </c>
    </row>
    <row r="14" spans="1:4" ht="17.2" customHeight="1">
      <c r="B14" s="69" t="s">
        <v>204</v>
      </c>
      <c r="C14" s="70" t="s">
        <v>205</v>
      </c>
      <c r="D14" s="71" t="s">
        <v>189</v>
      </c>
    </row>
    <row r="15" spans="1:4" ht="17.2" customHeight="1">
      <c r="B15" s="69" t="s">
        <v>134</v>
      </c>
      <c r="C15" s="70" t="s">
        <v>206</v>
      </c>
      <c r="D15" s="71" t="s">
        <v>190</v>
      </c>
    </row>
    <row r="16" spans="1:4" ht="30.4" customHeight="1">
      <c r="B16" s="69" t="s">
        <v>135</v>
      </c>
      <c r="C16" s="70" t="s">
        <v>207</v>
      </c>
      <c r="D16" s="71" t="s">
        <v>208</v>
      </c>
    </row>
    <row r="17" spans="2:4" ht="30.4" customHeight="1">
      <c r="B17" s="69" t="s">
        <v>136</v>
      </c>
      <c r="C17" s="70" t="s">
        <v>209</v>
      </c>
      <c r="D17" s="71" t="s">
        <v>208</v>
      </c>
    </row>
    <row r="18" spans="2:4" ht="30.4" customHeight="1">
      <c r="B18" s="69" t="s">
        <v>210</v>
      </c>
      <c r="C18" s="70" t="s">
        <v>211</v>
      </c>
      <c r="D18" s="71" t="s">
        <v>189</v>
      </c>
    </row>
    <row r="19" spans="2:4" ht="30.4" customHeight="1">
      <c r="B19" s="69" t="s">
        <v>212</v>
      </c>
      <c r="C19" s="70" t="s">
        <v>213</v>
      </c>
      <c r="D19" s="71" t="s">
        <v>214</v>
      </c>
    </row>
    <row r="20" spans="2:4" ht="30.4" customHeight="1">
      <c r="B20" s="69" t="s">
        <v>215</v>
      </c>
      <c r="C20" s="70" t="s">
        <v>216</v>
      </c>
      <c r="D20" s="71" t="s">
        <v>208</v>
      </c>
    </row>
    <row r="21" spans="2:4" ht="56.8" customHeight="1">
      <c r="B21" s="69" t="s">
        <v>23</v>
      </c>
      <c r="C21" s="70" t="s">
        <v>217</v>
      </c>
      <c r="D21" s="71" t="s">
        <v>214</v>
      </c>
    </row>
    <row r="23" spans="2:4" ht="21" customHeight="1">
      <c r="B23" s="8" t="s">
        <v>218</v>
      </c>
      <c r="C23" s="8"/>
      <c r="D23" s="8"/>
    </row>
    <row r="24" spans="2:4" ht="5" customHeight="1"/>
    <row r="25" spans="2:4" ht="42.6" customHeight="1">
      <c r="B25" s="26" t="s">
        <v>57</v>
      </c>
      <c r="C25" s="10" t="s">
        <v>219</v>
      </c>
      <c r="D25" s="10"/>
    </row>
    <row r="26" spans="2:4" ht="16.2" customHeight="1">
      <c r="B26" s="26" t="s">
        <v>57</v>
      </c>
      <c r="C26" s="10" t="s">
        <v>220</v>
      </c>
      <c r="D26" s="10"/>
    </row>
    <row r="27" spans="2:4" ht="29.4" customHeight="1">
      <c r="B27" s="26" t="s">
        <v>57</v>
      </c>
      <c r="C27" s="10" t="s">
        <v>221</v>
      </c>
      <c r="D27" s="10"/>
    </row>
    <row r="28" spans="2:4" ht="29.4" customHeight="1">
      <c r="B28" s="26" t="s">
        <v>57</v>
      </c>
      <c r="C28" s="10" t="s">
        <v>222</v>
      </c>
      <c r="D28" s="10"/>
    </row>
    <row r="30" spans="2:4" ht="21" customHeight="1">
      <c r="B30" s="8" t="s">
        <v>223</v>
      </c>
      <c r="C30" s="8"/>
      <c r="D30" s="8"/>
    </row>
    <row r="31" spans="2:4" ht="5" customHeight="1"/>
    <row r="32" spans="2:4" ht="29.4" customHeight="1">
      <c r="B32" s="26" t="s">
        <v>57</v>
      </c>
      <c r="C32" s="10" t="s">
        <v>224</v>
      </c>
      <c r="D32" s="10"/>
    </row>
    <row r="33" spans="2:4" ht="16.2" customHeight="1">
      <c r="B33" s="26" t="s">
        <v>57</v>
      </c>
      <c r="C33" s="10" t="s">
        <v>225</v>
      </c>
      <c r="D33" s="10"/>
    </row>
    <row r="34" spans="2:4" ht="29.4" customHeight="1">
      <c r="B34" s="26" t="s">
        <v>57</v>
      </c>
      <c r="C34" s="10" t="s">
        <v>226</v>
      </c>
      <c r="D34" s="10"/>
    </row>
    <row r="35" spans="2:4" ht="29.4" customHeight="1">
      <c r="B35" s="26" t="s">
        <v>57</v>
      </c>
      <c r="C35" s="10" t="s">
        <v>227</v>
      </c>
      <c r="D35" s="10"/>
    </row>
    <row r="36" spans="2:4" ht="16.2" customHeight="1">
      <c r="B36" s="26" t="s">
        <v>57</v>
      </c>
      <c r="C36" s="10" t="s">
        <v>228</v>
      </c>
      <c r="D36" s="10"/>
    </row>
    <row r="38" spans="2:4" ht="21" customHeight="1">
      <c r="B38" s="8" t="s">
        <v>229</v>
      </c>
      <c r="C38" s="8"/>
      <c r="D38" s="8"/>
    </row>
    <row r="39" spans="2:4" ht="5" customHeight="1"/>
    <row r="40" spans="2:4" ht="55.8" customHeight="1">
      <c r="B40" s="10" t="s">
        <v>230</v>
      </c>
      <c r="C40" s="10"/>
      <c r="D40" s="10"/>
    </row>
    <row r="41" spans="2:4">
      <c r="B41" s="24" t="s">
        <v>231</v>
      </c>
      <c r="C41" s="24"/>
      <c r="D41" s="24"/>
    </row>
    <row r="43" spans="2:4" ht="21" customHeight="1">
      <c r="B43" s="8" t="s">
        <v>44</v>
      </c>
      <c r="C43" s="8"/>
      <c r="D43" s="8"/>
    </row>
    <row r="44" spans="2:4" ht="5" customHeight="1"/>
    <row r="45" spans="2:4" ht="42.6" customHeight="1">
      <c r="B45" s="10" t="s">
        <v>232</v>
      </c>
      <c r="C45" s="10"/>
      <c r="D45" s="10"/>
    </row>
    <row r="47" spans="2:4" ht="21" customHeight="1">
      <c r="B47" s="8" t="s">
        <v>233</v>
      </c>
      <c r="C47" s="8"/>
      <c r="D47" s="8"/>
    </row>
    <row r="48" spans="2:4" ht="5" customHeight="1"/>
    <row r="49" spans="2:4" ht="16.2" customHeight="1">
      <c r="B49" s="26" t="s">
        <v>57</v>
      </c>
      <c r="C49" s="10" t="s">
        <v>234</v>
      </c>
      <c r="D49" s="10"/>
    </row>
    <row r="50" spans="2:4" ht="29.4" customHeight="1">
      <c r="B50" s="26" t="s">
        <v>57</v>
      </c>
      <c r="C50" s="10" t="s">
        <v>235</v>
      </c>
      <c r="D50" s="10"/>
    </row>
    <row r="51" spans="2:4" ht="16.2" customHeight="1">
      <c r="B51" s="26" t="s">
        <v>57</v>
      </c>
      <c r="C51" s="10" t="s">
        <v>236</v>
      </c>
      <c r="D51" s="10"/>
    </row>
    <row r="52" spans="2:4">
      <c r="B52" s="21" t="s">
        <v>237</v>
      </c>
      <c r="C52" s="21"/>
      <c r="D52" s="21"/>
    </row>
    <row r="54" spans="2:4" ht="21" customHeight="1">
      <c r="B54" s="8" t="s">
        <v>238</v>
      </c>
      <c r="C54" s="8"/>
      <c r="D54" s="8"/>
    </row>
    <row r="55" spans="2:4" ht="5" customHeight="1"/>
    <row r="56" spans="2:4">
      <c r="B56" s="54" t="s">
        <v>52</v>
      </c>
      <c r="C56" s="54" t="s">
        <v>239</v>
      </c>
      <c r="D56" s="31" t="s">
        <v>126</v>
      </c>
    </row>
    <row r="57" spans="2:4" ht="16.2" customHeight="1">
      <c r="B57" s="72" t="s">
        <v>240</v>
      </c>
      <c r="C57" s="73" t="s">
        <v>241</v>
      </c>
      <c r="D57" s="74" t="s">
        <v>242</v>
      </c>
    </row>
    <row r="59" spans="2:4">
      <c r="B59" s="21" t="s">
        <v>64</v>
      </c>
      <c r="C59" s="21"/>
      <c r="D59" s="21"/>
    </row>
  </sheetData>
  <sheetProtection sheet="1" formatColumns="0" formatRows="0"/>
  <mergeCells count="28">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Hour-by-Hour Production Board&amp;R&amp;8&amp;A</oddHeader>
    <oddFooter>&amp;L&amp;8mfgcalcs.com - free manufacturing templates&amp;R&amp;8Page &amp;P of &amp;N</oddFooter>
  </headerFooter>
  <rowBreaks count="2" manualBreakCount="2">
    <brk id="22" max="16383" man="1"/>
    <brk id="53"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V48"/>
  <sheetViews>
    <sheetView showGridLines="0" workbookViewId="0"/>
  </sheetViews>
  <sheetFormatPr defaultRowHeight="15"/>
  <cols>
    <col min="1" max="1" width="2.7109375" customWidth="1"/>
    <col min="2" max="19" width="12.7109375" customWidth="1"/>
    <col min="20" max="20" width="12.28515625" customWidth="1"/>
    <col min="21" max="21" width="24.7109375" customWidth="1"/>
    <col min="22" max="22" width="34.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30</v>
      </c>
      <c r="C2" s="2"/>
      <c r="D2" s="2"/>
      <c r="E2" s="2"/>
      <c r="F2" s="2"/>
      <c r="G2" s="2"/>
      <c r="H2" s="2"/>
      <c r="I2" s="2"/>
      <c r="J2" s="2"/>
      <c r="K2" s="2"/>
      <c r="L2" s="2"/>
      <c r="M2" s="2"/>
      <c r="N2" s="2"/>
      <c r="O2" s="2"/>
      <c r="P2" s="2"/>
      <c r="Q2" s="2"/>
      <c r="R2" s="2"/>
      <c r="S2" s="2"/>
      <c r="T2" s="2"/>
      <c r="U2" s="2"/>
      <c r="V2" s="3" t="s">
        <v>2</v>
      </c>
    </row>
    <row r="3" spans="1:22" ht="6" customHeight="1"/>
    <row r="4" spans="1:22" ht="30" customHeight="1">
      <c r="B4" s="75" t="s">
        <v>243</v>
      </c>
      <c r="C4" s="75"/>
      <c r="D4" s="22" t="str">
        <f>IF(COUNTIF($K$11:$K$32,"PASS")=22,"PASS","FAIL")</f>
        <v>PASS</v>
      </c>
      <c r="E4" s="22"/>
      <c r="F4" s="23" t="str">
        <f>COUNTIF($K$11:$K$32,"PASS")&amp;" of 22 checks pass"</f>
        <v>22 of 22 checks pass</v>
      </c>
      <c r="G4" s="23"/>
      <c r="H4" s="23"/>
      <c r="I4" s="23"/>
      <c r="J4" s="23"/>
    </row>
    <row r="6" spans="1:22" ht="29.4" customHeight="1">
      <c r="B6" s="10" t="s">
        <v>244</v>
      </c>
      <c r="C6" s="10"/>
      <c r="D6" s="10"/>
      <c r="E6" s="10"/>
      <c r="F6" s="10"/>
      <c r="G6" s="10"/>
      <c r="H6" s="10"/>
      <c r="I6" s="10"/>
      <c r="J6" s="10"/>
      <c r="K6" s="10"/>
      <c r="L6" s="10"/>
    </row>
    <row r="8" spans="1:22" ht="21" customHeight="1">
      <c r="B8" s="8" t="s">
        <v>245</v>
      </c>
      <c r="C8" s="8"/>
      <c r="D8" s="8"/>
      <c r="E8" s="8"/>
      <c r="F8" s="8"/>
      <c r="G8" s="8"/>
      <c r="H8" s="8"/>
      <c r="I8" s="8"/>
      <c r="J8" s="8"/>
      <c r="K8" s="8"/>
      <c r="L8" s="8"/>
    </row>
    <row r="9" spans="1:22" ht="5" customHeight="1"/>
    <row r="10" spans="1:22" ht="30" customHeight="1">
      <c r="B10" s="31" t="s">
        <v>246</v>
      </c>
      <c r="C10" s="54" t="s">
        <v>141</v>
      </c>
      <c r="D10" s="54"/>
      <c r="E10" s="54"/>
      <c r="F10" s="54"/>
      <c r="G10" s="31" t="s">
        <v>247</v>
      </c>
      <c r="H10" s="31" t="s">
        <v>248</v>
      </c>
      <c r="I10" s="31" t="s">
        <v>249</v>
      </c>
      <c r="J10" s="31" t="s">
        <v>250</v>
      </c>
      <c r="K10" s="31" t="s">
        <v>251</v>
      </c>
    </row>
    <row r="11" spans="1:22" ht="16.2" customHeight="1">
      <c r="B11" s="64">
        <v>1</v>
      </c>
      <c r="C11" s="73" t="s">
        <v>252</v>
      </c>
      <c r="D11" s="73"/>
      <c r="E11" s="73"/>
      <c r="F11" s="73"/>
      <c r="G11" s="76">
        <v>131</v>
      </c>
      <c r="H11" s="38">
        <f>$K$45</f>
        <v>131</v>
      </c>
      <c r="I11" s="77">
        <f>IF(AND(ISNUMBER($G$11),ISNUMBER($H$11)),ABS($H$11-$G$11),"")</f>
        <v>0</v>
      </c>
      <c r="J11" s="78">
        <v>1E-09</v>
      </c>
      <c r="K11" s="40" t="str">
        <f>IF(AND(ISNUMBER($G$11),ISNUMBER($H$11)),IF(ABS($H$11-$G$11)&lt;=$J$11,"PASS","FAIL"),"FAIL")</f>
        <v>PASS</v>
      </c>
    </row>
    <row r="12" spans="1:22" ht="16.2" customHeight="1">
      <c r="B12" s="64">
        <v>2</v>
      </c>
      <c r="C12" s="73" t="s">
        <v>253</v>
      </c>
      <c r="D12" s="73"/>
      <c r="E12" s="73"/>
      <c r="F12" s="73"/>
      <c r="G12" s="76">
        <v>-6</v>
      </c>
      <c r="H12" s="38">
        <f>$L$45</f>
        <v>-6</v>
      </c>
      <c r="I12" s="77">
        <f>IF(AND(ISNUMBER($G$12),ISNUMBER($H$12)),ABS($H$12-$G$12),"")</f>
        <v>0</v>
      </c>
      <c r="J12" s="78">
        <v>1E-09</v>
      </c>
      <c r="K12" s="40" t="str">
        <f>IF(AND(ISNUMBER($G$12),ISNUMBER($H$12)),IF(ABS($H$12-$G$12)&lt;=$J$12,"PASS","FAIL"),"FAIL")</f>
        <v>PASS</v>
      </c>
    </row>
    <row r="13" spans="1:22" ht="16.2" customHeight="1">
      <c r="B13" s="64">
        <v>3</v>
      </c>
      <c r="C13" s="73" t="s">
        <v>254</v>
      </c>
      <c r="D13" s="73"/>
      <c r="E13" s="73"/>
      <c r="F13" s="73"/>
      <c r="G13" s="61">
        <v>0.9541984732824428</v>
      </c>
      <c r="H13" s="39">
        <f>$N$45</f>
        <v>0.954198473282443</v>
      </c>
      <c r="I13" s="77">
        <f>IF(AND(ISNUMBER($G$13),ISNUMBER($H$13)),ABS($H$13-$G$13),"")</f>
        <v>0</v>
      </c>
      <c r="J13" s="78">
        <v>1E-09</v>
      </c>
      <c r="K13" s="40" t="str">
        <f>IF(AND(ISNUMBER($G$13),ISNUMBER($H$13)),IF(ABS($H$13-$G$13)&lt;=$J$13,"PASS","FAIL"),"FAIL")</f>
        <v>PASS</v>
      </c>
    </row>
    <row r="14" spans="1:22" ht="16.2" customHeight="1">
      <c r="B14" s="64">
        <v>4</v>
      </c>
      <c r="C14" s="73" t="s">
        <v>255</v>
      </c>
      <c r="D14" s="73"/>
      <c r="E14" s="73"/>
      <c r="F14" s="73"/>
      <c r="G14" s="76">
        <v>109</v>
      </c>
      <c r="H14" s="38">
        <f>$K$46</f>
        <v>109</v>
      </c>
      <c r="I14" s="77">
        <f>IF(AND(ISNUMBER($G$14),ISNUMBER($H$14)),ABS($H$14-$G$14),"")</f>
        <v>0</v>
      </c>
      <c r="J14" s="78">
        <v>1E-09</v>
      </c>
      <c r="K14" s="40" t="str">
        <f>IF(AND(ISNUMBER($G$14),ISNUMBER($H$14)),IF(ABS($H$14-$G$14)&lt;=$J$14,"PASS","FAIL"),"FAIL")</f>
        <v>PASS</v>
      </c>
    </row>
    <row r="15" spans="1:22" ht="16.2" customHeight="1">
      <c r="B15" s="64">
        <v>5</v>
      </c>
      <c r="C15" s="73" t="s">
        <v>256</v>
      </c>
      <c r="D15" s="73"/>
      <c r="E15" s="73"/>
      <c r="F15" s="73"/>
      <c r="G15" s="76">
        <v>3</v>
      </c>
      <c r="H15" s="38">
        <f>$L$46</f>
        <v>3</v>
      </c>
      <c r="I15" s="77">
        <f>IF(AND(ISNUMBER($G$15),ISNUMBER($H$15)),ABS($H$15-$G$15),"")</f>
        <v>0</v>
      </c>
      <c r="J15" s="78">
        <v>1E-09</v>
      </c>
      <c r="K15" s="40" t="str">
        <f>IF(AND(ISNUMBER($G$15),ISNUMBER($H$15)),IF(ABS($H$15-$G$15)&lt;=$J$15,"PASS","FAIL"),"FAIL")</f>
        <v>PASS</v>
      </c>
    </row>
    <row r="16" spans="1:22" ht="16.2" customHeight="1">
      <c r="B16" s="64">
        <v>6</v>
      </c>
      <c r="C16" s="73" t="s">
        <v>257</v>
      </c>
      <c r="D16" s="73"/>
      <c r="E16" s="73"/>
      <c r="F16" s="73"/>
      <c r="G16" s="61">
        <v>1.027522935779817</v>
      </c>
      <c r="H16" s="39">
        <f>$N$46</f>
        <v>1.02752293577982</v>
      </c>
      <c r="I16" s="77">
        <f>IF(AND(ISNUMBER($G$16),ISNUMBER($H$16)),ABS($H$16-$G$16),"")</f>
        <v>0</v>
      </c>
      <c r="J16" s="78">
        <v>1E-09</v>
      </c>
      <c r="K16" s="40" t="str">
        <f>IF(AND(ISNUMBER($G$16),ISNUMBER($H$16)),IF(ABS($H$16-$G$16)&lt;=$J$16,"PASS","FAIL"),"FAIL")</f>
        <v>PASS</v>
      </c>
    </row>
    <row r="17" spans="2:11" ht="16.2" customHeight="1">
      <c r="B17" s="64">
        <v>7</v>
      </c>
      <c r="C17" s="73" t="s">
        <v>258</v>
      </c>
      <c r="D17" s="73"/>
      <c r="E17" s="73"/>
      <c r="F17" s="73"/>
      <c r="G17" s="76">
        <v>131</v>
      </c>
      <c r="H17" s="38">
        <f>$K$47</f>
        <v>131</v>
      </c>
      <c r="I17" s="77">
        <f>IF(AND(ISNUMBER($G$17),ISNUMBER($H$17)),ABS($H$17-$G$17),"")</f>
        <v>0</v>
      </c>
      <c r="J17" s="78">
        <v>1E-09</v>
      </c>
      <c r="K17" s="40" t="str">
        <f>IF(AND(ISNUMBER($G$17),ISNUMBER($H$17)),IF(ABS($H$17-$G$17)&lt;=$J$17,"PASS","FAIL"),"FAIL")</f>
        <v>PASS</v>
      </c>
    </row>
    <row r="18" spans="2:11" ht="16.2" customHeight="1">
      <c r="B18" s="64">
        <v>8</v>
      </c>
      <c r="C18" s="73" t="s">
        <v>259</v>
      </c>
      <c r="D18" s="73"/>
      <c r="E18" s="73"/>
      <c r="F18" s="73"/>
      <c r="G18" s="76">
        <v>-31</v>
      </c>
      <c r="H18" s="38">
        <f>$L$47</f>
        <v>-31</v>
      </c>
      <c r="I18" s="77">
        <f>IF(AND(ISNUMBER($G$18),ISNUMBER($H$18)),ABS($H$18-$G$18),"")</f>
        <v>0</v>
      </c>
      <c r="J18" s="78">
        <v>1E-09</v>
      </c>
      <c r="K18" s="40" t="str">
        <f>IF(AND(ISNUMBER($G$18),ISNUMBER($H$18)),IF(ABS($H$18-$G$18)&lt;=$J$18,"PASS","FAIL"),"FAIL")</f>
        <v>PASS</v>
      </c>
    </row>
    <row r="19" spans="2:11" ht="16.2" customHeight="1">
      <c r="B19" s="64">
        <v>9</v>
      </c>
      <c r="C19" s="73" t="s">
        <v>260</v>
      </c>
      <c r="D19" s="73"/>
      <c r="E19" s="73"/>
      <c r="F19" s="73"/>
      <c r="G19" s="61">
        <v>0.7633587786259542</v>
      </c>
      <c r="H19" s="39">
        <f>$N$47</f>
        <v>0.763358778625954</v>
      </c>
      <c r="I19" s="77">
        <f>IF(AND(ISNUMBER($G$19),ISNUMBER($H$19)),ABS($H$19-$G$19),"")</f>
        <v>0</v>
      </c>
      <c r="J19" s="78">
        <v>1E-09</v>
      </c>
      <c r="K19" s="40" t="str">
        <f>IF(AND(ISNUMBER($G$19),ISNUMBER($H$19)),IF(ABS($H$19-$G$19)&lt;=$J$19,"PASS","FAIL"),"FAIL")</f>
        <v>PASS</v>
      </c>
    </row>
    <row r="20" spans="2:11" ht="16.2" customHeight="1">
      <c r="B20" s="64">
        <v>10</v>
      </c>
      <c r="C20" s="73" t="s">
        <v>261</v>
      </c>
      <c r="D20" s="73"/>
      <c r="E20" s="73"/>
      <c r="F20" s="73"/>
      <c r="G20" s="76">
        <v>30</v>
      </c>
      <c r="H20" s="38">
        <f>$K$48</f>
        <v>30</v>
      </c>
      <c r="I20" s="77">
        <f>IF(AND(ISNUMBER($G$20),ISNUMBER($H$20)),ABS($H$20-$G$20),"")</f>
        <v>0</v>
      </c>
      <c r="J20" s="78">
        <v>1E-09</v>
      </c>
      <c r="K20" s="40" t="str">
        <f>IF(AND(ISNUMBER($G$20),ISNUMBER($H$20)),IF(ABS($H$20-$G$20)&lt;=$J$20,"PASS","FAIL"),"FAIL")</f>
        <v>PASS</v>
      </c>
    </row>
    <row r="21" spans="2:11" ht="16.2" customHeight="1">
      <c r="B21" s="64">
        <v>11</v>
      </c>
      <c r="C21" s="73" t="s">
        <v>262</v>
      </c>
      <c r="D21" s="73"/>
      <c r="E21" s="73"/>
      <c r="F21" s="73"/>
      <c r="G21" s="76">
        <v>0</v>
      </c>
      <c r="H21" s="38">
        <f>$L$48</f>
        <v>0</v>
      </c>
      <c r="I21" s="77">
        <f>IF(AND(ISNUMBER($G$21),ISNUMBER($H$21)),ABS($H$21-$G$21),"")</f>
        <v>0</v>
      </c>
      <c r="J21" s="78">
        <v>1E-09</v>
      </c>
      <c r="K21" s="40" t="str">
        <f>IF(AND(ISNUMBER($G$21),ISNUMBER($H$21)),IF(ABS($H$21-$G$21)&lt;=$J$21,"PASS","FAIL"),"FAIL")</f>
        <v>PASS</v>
      </c>
    </row>
    <row r="22" spans="2:11" ht="16.2" customHeight="1">
      <c r="B22" s="64">
        <v>12</v>
      </c>
      <c r="C22" s="73" t="s">
        <v>263</v>
      </c>
      <c r="D22" s="73"/>
      <c r="E22" s="73"/>
      <c r="F22" s="73"/>
      <c r="G22" s="61">
        <v>1</v>
      </c>
      <c r="H22" s="39">
        <f>$N$48</f>
        <v>1</v>
      </c>
      <c r="I22" s="77">
        <f>IF(AND(ISNUMBER($G$22),ISNUMBER($H$22)),ABS($H$22-$G$22),"")</f>
        <v>0</v>
      </c>
      <c r="J22" s="78">
        <v>1E-09</v>
      </c>
      <c r="K22" s="40" t="str">
        <f>IF(AND(ISNUMBER($G$22),ISNUMBER($H$22)),IF(ABS($H$22-$G$22)&lt;=$J$22,"PASS","FAIL"),"FAIL")</f>
        <v>PASS</v>
      </c>
    </row>
    <row r="23" spans="2:11" ht="16.2" customHeight="1">
      <c r="B23" s="64">
        <v>13</v>
      </c>
      <c r="C23" s="73" t="s">
        <v>264</v>
      </c>
      <c r="D23" s="73"/>
      <c r="E23" s="73"/>
      <c r="F23" s="73"/>
      <c r="G23" s="72" t="s">
        <v>265</v>
      </c>
      <c r="H23" s="57" t="str">
        <f>$P$45</f>
        <v>Near target</v>
      </c>
      <c r="I23" s="57"/>
      <c r="J23" s="74" t="s">
        <v>266</v>
      </c>
      <c r="K23" s="40" t="str">
        <f>IF($H$23&amp;""=$G$23&amp;"","PASS","FAIL")</f>
        <v>PASS</v>
      </c>
    </row>
    <row r="24" spans="2:11" ht="16.2" customHeight="1">
      <c r="B24" s="64">
        <v>14</v>
      </c>
      <c r="C24" s="73" t="s">
        <v>267</v>
      </c>
      <c r="D24" s="73"/>
      <c r="E24" s="73"/>
      <c r="F24" s="73"/>
      <c r="G24" s="72" t="s">
        <v>268</v>
      </c>
      <c r="H24" s="57" t="str">
        <f>$P$46</f>
        <v>On target</v>
      </c>
      <c r="I24" s="57"/>
      <c r="J24" s="74" t="s">
        <v>266</v>
      </c>
      <c r="K24" s="40" t="str">
        <f>IF($H$24&amp;""=$G$24&amp;"","PASS","FAIL")</f>
        <v>PASS</v>
      </c>
    </row>
    <row r="25" spans="2:11" ht="16.2" customHeight="1">
      <c r="B25" s="64">
        <v>15</v>
      </c>
      <c r="C25" s="73" t="s">
        <v>269</v>
      </c>
      <c r="D25" s="73"/>
      <c r="E25" s="73"/>
      <c r="F25" s="73"/>
      <c r="G25" s="76">
        <v>240</v>
      </c>
      <c r="H25" s="38">
        <f>$Q$46</f>
        <v>240</v>
      </c>
      <c r="I25" s="77">
        <f>IF(AND(ISNUMBER($G$25),ISNUMBER($H$25)),ABS($H$25-$G$25),"")</f>
        <v>0</v>
      </c>
      <c r="J25" s="78">
        <v>1E-09</v>
      </c>
      <c r="K25" s="40" t="str">
        <f>IF(AND(ISNUMBER($G$25),ISNUMBER($H$25)),IF(ABS($H$25-$G$25)&lt;=$J$25,"PASS","FAIL"),"FAIL")</f>
        <v>PASS</v>
      </c>
    </row>
    <row r="26" spans="2:11" ht="16.2" customHeight="1">
      <c r="B26" s="64">
        <v>16</v>
      </c>
      <c r="C26" s="73" t="s">
        <v>270</v>
      </c>
      <c r="D26" s="73"/>
      <c r="E26" s="73"/>
      <c r="F26" s="73"/>
      <c r="G26" s="76">
        <v>237</v>
      </c>
      <c r="H26" s="38">
        <f>$R$46</f>
        <v>237</v>
      </c>
      <c r="I26" s="77">
        <f>IF(AND(ISNUMBER($G$26),ISNUMBER($H$26)),ABS($H$26-$G$26),"")</f>
        <v>0</v>
      </c>
      <c r="J26" s="78">
        <v>1E-09</v>
      </c>
      <c r="K26" s="40" t="str">
        <f>IF(AND(ISNUMBER($G$26),ISNUMBER($H$26)),IF(ABS($H$26-$G$26)&lt;=$J$26,"PASS","FAIL"),"FAIL")</f>
        <v>PASS</v>
      </c>
    </row>
    <row r="27" spans="2:11" ht="16.2" customHeight="1">
      <c r="B27" s="64">
        <v>17</v>
      </c>
      <c r="C27" s="73" t="s">
        <v>271</v>
      </c>
      <c r="D27" s="73"/>
      <c r="E27" s="73"/>
      <c r="F27" s="73"/>
      <c r="G27" s="76">
        <v>-34</v>
      </c>
      <c r="H27" s="38">
        <f>$S$47</f>
        <v>-34</v>
      </c>
      <c r="I27" s="77">
        <f>IF(AND(ISNUMBER($G$27),ISNUMBER($H$27)),ABS($H$27-$G$27),"")</f>
        <v>0</v>
      </c>
      <c r="J27" s="78">
        <v>1E-09</v>
      </c>
      <c r="K27" s="40" t="str">
        <f>IF(AND(ISNUMBER($G$27),ISNUMBER($H$27)),IF(ABS($H$27-$G$27)&lt;=$J$27,"PASS","FAIL"),"FAIL")</f>
        <v>PASS</v>
      </c>
    </row>
    <row r="28" spans="2:11" ht="16.2" customHeight="1">
      <c r="B28" s="64">
        <v>18</v>
      </c>
      <c r="C28" s="73" t="s">
        <v>272</v>
      </c>
      <c r="D28" s="73"/>
      <c r="E28" s="73"/>
      <c r="F28" s="73"/>
      <c r="G28" s="72" t="s">
        <v>273</v>
      </c>
      <c r="H28" s="57" t="str">
        <f>$U$47</f>
        <v>Give the miss reason</v>
      </c>
      <c r="I28" s="57"/>
      <c r="J28" s="74" t="s">
        <v>266</v>
      </c>
      <c r="K28" s="40" t="str">
        <f>IF($H$28&amp;""=$G$28&amp;"","PASS","FAIL")</f>
        <v>PASS</v>
      </c>
    </row>
    <row r="29" spans="2:11" ht="16.2" customHeight="1">
      <c r="B29" s="64">
        <v>19</v>
      </c>
      <c r="C29" s="73" t="s">
        <v>274</v>
      </c>
      <c r="D29" s="73"/>
      <c r="E29" s="73"/>
      <c r="F29" s="73"/>
      <c r="G29" s="76">
        <v>30</v>
      </c>
      <c r="H29" s="38">
        <f>$Q$48</f>
        <v>30</v>
      </c>
      <c r="I29" s="77">
        <f>IF(AND(ISNUMBER($G$29),ISNUMBER($H$29)),ABS($H$29-$G$29),"")</f>
        <v>0</v>
      </c>
      <c r="J29" s="78">
        <v>1E-09</v>
      </c>
      <c r="K29" s="40" t="str">
        <f>IF(AND(ISNUMBER($G$29),ISNUMBER($H$29)),IF(ABS($H$29-$G$29)&lt;=$J$29,"PASS","FAIL"),"FAIL")</f>
        <v>PASS</v>
      </c>
    </row>
    <row r="30" spans="2:11" ht="16.2" customHeight="1">
      <c r="B30" s="64">
        <v>20</v>
      </c>
      <c r="C30" s="73" t="s">
        <v>275</v>
      </c>
      <c r="D30" s="73"/>
      <c r="E30" s="73"/>
      <c r="F30" s="73"/>
      <c r="G30" s="61">
        <v>0.9152119700748129</v>
      </c>
      <c r="H30" s="39">
        <f>IF((SUMIFS(tblVerifyBoard[Target (units)],tblVerifyBoard[View date],"&gt;0"))=0,"",(SUMIFS(tblVerifyBoard[Actual (units)],tblVerifyBoard[View date],"&gt;0"))/(SUMIFS(tblVerifyBoard[Target (units)],tblVerifyBoard[View date],"&gt;0")))</f>
        <v>0.915211970074813</v>
      </c>
      <c r="I30" s="77">
        <f>IF(AND(ISNUMBER($G$30),ISNUMBER($H$30)),ABS($H$30-$G$30),"")</f>
        <v>0</v>
      </c>
      <c r="J30" s="78">
        <v>1E-09</v>
      </c>
      <c r="K30" s="40" t="str">
        <f>IF(AND(ISNUMBER($G$30),ISNUMBER($H$30)),IF(ABS($H$30-$G$30)&lt;=$J$30,"PASS","FAIL"),"FAIL")</f>
        <v>PASS</v>
      </c>
    </row>
    <row r="31" spans="2:11" ht="16.2" customHeight="1">
      <c r="B31" s="64">
        <v>21</v>
      </c>
      <c r="C31" s="73" t="s">
        <v>276</v>
      </c>
      <c r="D31" s="73"/>
      <c r="E31" s="73"/>
      <c r="F31" s="73"/>
      <c r="G31" s="61">
        <v>0.5</v>
      </c>
      <c r="H31" s="39">
        <f>IF((COUNTIFS(tblVerifyBoard[View date],"&gt;0",tblVerifyBoard[Target (units)],"&gt;0"))=0,"",(SUMIFS(tblVerifyBoard[Hit],tblVerifyBoard[View date],"&gt;0"))/(COUNTIFS(tblVerifyBoard[View date],"&gt;0",tblVerifyBoard[Target (units)],"&gt;0")))</f>
        <v>0.5</v>
      </c>
      <c r="I31" s="77">
        <f>IF(AND(ISNUMBER($G$31),ISNUMBER($H$31)),ABS($H$31-$G$31),"")</f>
        <v>0</v>
      </c>
      <c r="J31" s="78">
        <v>1E-09</v>
      </c>
      <c r="K31" s="40" t="str">
        <f>IF(AND(ISNUMBER($G$31),ISNUMBER($H$31)),IF(ABS($H$31-$G$31)&lt;=$J$31,"PASS","FAIL"),"FAIL")</f>
        <v>PASS</v>
      </c>
    </row>
    <row r="32" spans="2:11" ht="16.2" customHeight="1">
      <c r="B32" s="64">
        <v>22</v>
      </c>
      <c r="C32" s="73" t="s">
        <v>277</v>
      </c>
      <c r="D32" s="73"/>
      <c r="E32" s="73"/>
      <c r="F32" s="73"/>
      <c r="G32" s="76">
        <v>37</v>
      </c>
      <c r="H32" s="38">
        <f>SUMIFS(tblVerifyBoard[Short (units)],tblVerifyBoard[View date],"&gt;0")</f>
        <v>37</v>
      </c>
      <c r="I32" s="77">
        <f>IF(AND(ISNUMBER($G$32),ISNUMBER($H$32)),ABS($H$32-$G$32),"")</f>
        <v>0</v>
      </c>
      <c r="J32" s="78">
        <v>1E-09</v>
      </c>
      <c r="K32" s="40" t="str">
        <f>IF(AND(ISNUMBER($G$32),ISNUMBER($H$32)),IF(ABS($H$32-$G$32)&lt;=$J$32,"PASS","FAIL"),"FAIL")</f>
        <v>PASS</v>
      </c>
    </row>
    <row r="34" spans="2:22" ht="21" customHeight="1">
      <c r="B34" s="8" t="s">
        <v>278</v>
      </c>
      <c r="C34" s="8"/>
      <c r="D34" s="8"/>
      <c r="E34" s="8"/>
      <c r="F34" s="8"/>
      <c r="G34" s="8"/>
      <c r="H34" s="8"/>
      <c r="I34" s="8"/>
      <c r="J34" s="8"/>
      <c r="K34" s="8"/>
      <c r="L34" s="8"/>
    </row>
    <row r="35" spans="2:22" ht="5" customHeight="1"/>
    <row r="36" spans="2:22">
      <c r="B36" s="21" t="s">
        <v>279</v>
      </c>
      <c r="C36" s="21"/>
      <c r="D36" s="21"/>
      <c r="E36" s="21"/>
      <c r="F36" s="21"/>
      <c r="G36" s="21"/>
      <c r="H36" s="21"/>
      <c r="I36" s="21"/>
      <c r="J36" s="21"/>
      <c r="K36" s="21"/>
      <c r="L36" s="21"/>
    </row>
    <row r="37" spans="2:22">
      <c r="B37" s="30" t="s">
        <v>280</v>
      </c>
      <c r="C37" s="30"/>
      <c r="D37" s="30"/>
      <c r="E37" s="30"/>
      <c r="F37" s="30"/>
    </row>
    <row r="38" spans="2:22">
      <c r="B38" s="27" t="s">
        <v>281</v>
      </c>
      <c r="C38" s="27"/>
      <c r="D38" s="27"/>
      <c r="E38" s="76">
        <v>0</v>
      </c>
      <c r="F38" s="7"/>
    </row>
    <row r="39" spans="2:22">
      <c r="B39" s="27" t="s">
        <v>282</v>
      </c>
      <c r="C39" s="27"/>
      <c r="D39" s="27"/>
      <c r="E39" s="76">
        <v>2958465</v>
      </c>
      <c r="F39" s="7"/>
    </row>
    <row r="40" spans="2:22">
      <c r="B40" s="27" t="s">
        <v>283</v>
      </c>
      <c r="C40" s="27"/>
      <c r="D40" s="27"/>
      <c r="E40" s="72" t="s">
        <v>97</v>
      </c>
      <c r="F40" s="72"/>
    </row>
    <row r="41" spans="2:22">
      <c r="B41" s="27" t="s">
        <v>80</v>
      </c>
      <c r="C41" s="27"/>
      <c r="D41" s="27"/>
      <c r="E41" s="61">
        <v>1</v>
      </c>
      <c r="F41" s="7"/>
    </row>
    <row r="43" spans="2:22">
      <c r="B43" s="30" t="s">
        <v>284</v>
      </c>
      <c r="C43" s="30"/>
      <c r="D43" s="30"/>
      <c r="E43" s="30"/>
      <c r="F43" s="30"/>
      <c r="G43" s="30"/>
      <c r="H43" s="30"/>
      <c r="I43" s="30"/>
      <c r="J43" s="30"/>
      <c r="K43" s="30"/>
      <c r="L43" s="30"/>
    </row>
    <row r="44" spans="2:22" ht="32" customHeight="1">
      <c r="B44" s="31" t="s">
        <v>126</v>
      </c>
      <c r="C44" s="31" t="s">
        <v>68</v>
      </c>
      <c r="D44" s="31" t="s">
        <v>65</v>
      </c>
      <c r="E44" s="31" t="s">
        <v>71</v>
      </c>
      <c r="F44" s="31" t="s">
        <v>73</v>
      </c>
      <c r="G44" s="31" t="s">
        <v>127</v>
      </c>
      <c r="H44" s="31" t="s">
        <v>128</v>
      </c>
      <c r="I44" s="31" t="s">
        <v>129</v>
      </c>
      <c r="J44" s="31" t="s">
        <v>130</v>
      </c>
      <c r="K44" s="31" t="s">
        <v>131</v>
      </c>
      <c r="L44" s="31" t="s">
        <v>132</v>
      </c>
      <c r="M44" s="31" t="s">
        <v>133</v>
      </c>
      <c r="N44" s="31" t="s">
        <v>134</v>
      </c>
      <c r="O44" s="31" t="s">
        <v>135</v>
      </c>
      <c r="P44" s="31" t="s">
        <v>136</v>
      </c>
      <c r="Q44" s="31" t="s">
        <v>137</v>
      </c>
      <c r="R44" s="31" t="s">
        <v>138</v>
      </c>
      <c r="S44" s="31" t="s">
        <v>139</v>
      </c>
      <c r="T44" s="31" t="s">
        <v>140</v>
      </c>
      <c r="U44" s="31" t="s">
        <v>141</v>
      </c>
      <c r="V44" s="31" t="s">
        <v>142</v>
      </c>
    </row>
    <row r="45" spans="2:22">
      <c r="B45" s="79">
        <v>46027</v>
      </c>
      <c r="C45" s="72" t="s">
        <v>285</v>
      </c>
      <c r="D45" s="72" t="s">
        <v>286</v>
      </c>
      <c r="E45" s="76">
        <v>1</v>
      </c>
      <c r="F45" s="72" t="s">
        <v>287</v>
      </c>
      <c r="G45" s="76">
        <v>60</v>
      </c>
      <c r="H45" s="76">
        <v>125</v>
      </c>
      <c r="I45" s="72" t="s">
        <v>288</v>
      </c>
      <c r="J45" s="80">
        <v>27.47368421052632</v>
      </c>
      <c r="K45" s="38">
        <f>IF(tblVerifyBoard[[#This Row],[Date]]="","",IF(OR(tblVerifyBoard[[#This Row],[Takt (s)]]="",tblVerifyBoard[[#This Row],[Available (min)]]=""),"",INT(tblVerifyBoard[[#This Row],[Available (min)]]*60/tblVerifyBoard[[#This Row],[Takt (s)]])))</f>
        <v>131</v>
      </c>
      <c r="L45" s="38">
        <f>IF(tblVerifyBoard[[#This Row],[Date]]="","",IF(tblVerifyBoard[[#This Row],[Target (units)]]="","",tblVerifyBoard[[#This Row],[Actual (units)]]-tblVerifyBoard[[#This Row],[Target (units)]]))</f>
        <v>-6</v>
      </c>
      <c r="M45" s="38">
        <f>IF(tblVerifyBoard[[#This Row],[Date]]="","",IF(tblVerifyBoard[[#This Row],[Target (units)]]="","",MAX(0,tblVerifyBoard[[#This Row],[Target (units)]]-tblVerifyBoard[[#This Row],[Actual (units)]])))</f>
        <v>6</v>
      </c>
      <c r="N45" s="39">
        <f>IF(tblVerifyBoard[[#This Row],[Date]]="","",IF(N(tblVerifyBoard[[#This Row],[Target (units)]])&gt;0,tblVerifyBoard[[#This Row],[Actual (units)]]/tblVerifyBoard[[#This Row],[Target (units)]],""))</f>
        <v>0.954198473282443</v>
      </c>
      <c r="O45" s="38">
        <f>IF(tblVerifyBoard[[#This Row],[Date]]="","",IF(N(tblVerifyBoard[[#This Row],[Target (units)]])&gt;0,IF(tblVerifyBoard[[#This Row],[Actual (units)]]&gt;=tblVerifyBoard[[#This Row],[Target (units)]]*$E$41,1,0),""))</f>
        <v>0</v>
      </c>
      <c r="P45" s="40" t="str">
        <f>IF(NOT(ISNUMBER(tblVerifyBoard[[#This Row],[Attainment]])),"",IF(tblVerifyBoard[[#This Row],[Attainment]]&gt;=$E$41,"On target",IF(tblVerifyBoard[[#This Row],[Attainment]]&gt;=$E$41*(1-0.05),"Near target","Below target")))</f>
        <v>Near target</v>
      </c>
      <c r="Q45" s="38">
        <f>IF(tblVerifyBoard[[#This Row],[Date]]="","",IF(tblVerifyBoard[[#This Row],[Hour]]="","",SUMIFS(tblVerifyBoard[Target (units)],tblVerifyBoard[Date],tblVerifyBoard[[#This Row],[Date]],tblVerifyBoard[Shift],tblVerifyBoard[[#This Row],[Shift]],tblVerifyBoard[Line],tblVerifyBoard[[#This Row],[Line]],tblVerifyBoard[Hour],"&lt;="&amp;tblVerifyBoard[[#This Row],[Hour]])))</f>
        <v>131</v>
      </c>
      <c r="R45" s="38">
        <f>IF(tblVerifyBoard[[#This Row],[Date]]="","",IF(tblVerifyBoard[[#This Row],[Hour]]="","",SUMIFS(tblVerifyBoard[Actual (units)],tblVerifyBoard[Date],tblVerifyBoard[[#This Row],[Date]],tblVerifyBoard[Shift],tblVerifyBoard[[#This Row],[Shift]],tblVerifyBoard[Line],tblVerifyBoard[[#This Row],[Line]],tblVerifyBoard[Hour],"&lt;="&amp;tblVerifyBoard[[#This Row],[Hour]])))</f>
        <v>125</v>
      </c>
      <c r="S45" s="38">
        <f>IF(tblVerifyBoard[[#This Row],[Date]]="","",IF(tblVerifyBoard[[#This Row],[Cum. target]]="","",tblVerifyBoard[[#This Row],[Cum. actual]]-tblVerifyBoard[[#This Row],[Cum. target]]))</f>
        <v>-6</v>
      </c>
      <c r="T45" s="41">
        <f>IF(tblVerifyBoard[[#This Row],[Date]]="","",IF(AND(tblVerifyBoard[[#This Row],[Date]]&gt;=$E$38,tblVerifyBoard[[#This Row],[Date]]&lt;=$E$39,OR($E$40="",tblVerifyBoard[[#This Row],[Line]]=$E$40)),tblVerifyBoard[[#This Row],[Date]],""))</f>
        <v>46027</v>
      </c>
      <c r="U45" s="42" t="str">
        <f>IF(tblVerifyBoard[[#This Row],[Date]]="","",IF(tblVerifyBoard[[#This Row],[Shift]]="","Missing shift",IF(tblVerifyBoard[[#This Row],[Line]]="","Missing line",IF(tblVerifyBoard[[#This Row],[Hour]]="","Missing hour",IF(tblVerifyBoard[[#This Row],[Available (min)]]="","Missing available",IF(tblVerifyBoard[[#This Row],[Actual (units)]]="","Missing actual",IF(tblVerifyBoard[[#This Row],[Takt (s)]]="","Pick a product from the Setup list",IF(tblVerifyBoard[[#This Row],[Available (min)]]&gt;60,"More than 60 minutes in an hour",IF(AND(N(tblVerifyBoard[[#This Row],[Gap (units)]])&lt;0,tblVerifyBoard[[#This Row],[Miss reason]]=""),"Give the miss reason",IF(COUNTIFS(tblVerifyBoard[Date],tblVerifyBoard[[#This Row],[Date]],tblVerifyBoard[Shift],tblVerifyBoard[[#This Row],[Shift]],tblVerifyBoard[Line],tblVerifyBoard[[#This Row],[Line]],tblVerifyBoard[Hour],tblVerifyBoard[[#This Row],[Hour]])&gt;1,"Duplicate hour row",IF(tblVerifyBoard[[#This Row],[Actual (units)]]&gt;tblVerifyBoard[[#This Row],[Target (units)]]*1.3,"Far above takt pace: check takt or count","OK")))))))))))</f>
        <v>OK</v>
      </c>
      <c r="V45" s="72"/>
    </row>
    <row r="46" spans="2:22">
      <c r="B46" s="79">
        <v>46027</v>
      </c>
      <c r="C46" s="72" t="s">
        <v>285</v>
      </c>
      <c r="D46" s="72" t="s">
        <v>286</v>
      </c>
      <c r="E46" s="76">
        <v>2</v>
      </c>
      <c r="F46" s="72" t="s">
        <v>287</v>
      </c>
      <c r="G46" s="76">
        <v>50</v>
      </c>
      <c r="H46" s="76">
        <v>112</v>
      </c>
      <c r="I46" s="72"/>
      <c r="J46" s="80">
        <v>27.47368421052632</v>
      </c>
      <c r="K46" s="38">
        <f>IF(tblVerifyBoard[[#This Row],[Date]]="","",IF(OR(tblVerifyBoard[[#This Row],[Takt (s)]]="",tblVerifyBoard[[#This Row],[Available (min)]]=""),"",INT(tblVerifyBoard[[#This Row],[Available (min)]]*60/tblVerifyBoard[[#This Row],[Takt (s)]])))</f>
        <v>109</v>
      </c>
      <c r="L46" s="38">
        <f>IF(tblVerifyBoard[[#This Row],[Date]]="","",IF(tblVerifyBoard[[#This Row],[Target (units)]]="","",tblVerifyBoard[[#This Row],[Actual (units)]]-tblVerifyBoard[[#This Row],[Target (units)]]))</f>
        <v>3</v>
      </c>
      <c r="M46" s="38">
        <f>IF(tblVerifyBoard[[#This Row],[Date]]="","",IF(tblVerifyBoard[[#This Row],[Target (units)]]="","",MAX(0,tblVerifyBoard[[#This Row],[Target (units)]]-tblVerifyBoard[[#This Row],[Actual (units)]])))</f>
        <v>0</v>
      </c>
      <c r="N46" s="39">
        <f>IF(tblVerifyBoard[[#This Row],[Date]]="","",IF(N(tblVerifyBoard[[#This Row],[Target (units)]])&gt;0,tblVerifyBoard[[#This Row],[Actual (units)]]/tblVerifyBoard[[#This Row],[Target (units)]],""))</f>
        <v>1.02752293577982</v>
      </c>
      <c r="O46" s="38">
        <f>IF(tblVerifyBoard[[#This Row],[Date]]="","",IF(N(tblVerifyBoard[[#This Row],[Target (units)]])&gt;0,IF(tblVerifyBoard[[#This Row],[Actual (units)]]&gt;=tblVerifyBoard[[#This Row],[Target (units)]]*$E$41,1,0),""))</f>
        <v>1</v>
      </c>
      <c r="P46" s="40" t="str">
        <f>IF(NOT(ISNUMBER(tblVerifyBoard[[#This Row],[Attainment]])),"",IF(tblVerifyBoard[[#This Row],[Attainment]]&gt;=$E$41,"On target",IF(tblVerifyBoard[[#This Row],[Attainment]]&gt;=$E$41*(1-0.05),"Near target","Below target")))</f>
        <v>On target</v>
      </c>
      <c r="Q46" s="38">
        <f>IF(tblVerifyBoard[[#This Row],[Date]]="","",IF(tblVerifyBoard[[#This Row],[Hour]]="","",SUMIFS(tblVerifyBoard[Target (units)],tblVerifyBoard[Date],tblVerifyBoard[[#This Row],[Date]],tblVerifyBoard[Shift],tblVerifyBoard[[#This Row],[Shift]],tblVerifyBoard[Line],tblVerifyBoard[[#This Row],[Line]],tblVerifyBoard[Hour],"&lt;="&amp;tblVerifyBoard[[#This Row],[Hour]])))</f>
        <v>240</v>
      </c>
      <c r="R46" s="38">
        <f>IF(tblVerifyBoard[[#This Row],[Date]]="","",IF(tblVerifyBoard[[#This Row],[Hour]]="","",SUMIFS(tblVerifyBoard[Actual (units)],tblVerifyBoard[Date],tblVerifyBoard[[#This Row],[Date]],tblVerifyBoard[Shift],tblVerifyBoard[[#This Row],[Shift]],tblVerifyBoard[Line],tblVerifyBoard[[#This Row],[Line]],tblVerifyBoard[Hour],"&lt;="&amp;tblVerifyBoard[[#This Row],[Hour]])))</f>
        <v>237</v>
      </c>
      <c r="S46" s="38">
        <f>IF(tblVerifyBoard[[#This Row],[Date]]="","",IF(tblVerifyBoard[[#This Row],[Cum. target]]="","",tblVerifyBoard[[#This Row],[Cum. actual]]-tblVerifyBoard[[#This Row],[Cum. target]]))</f>
        <v>-3</v>
      </c>
      <c r="T46" s="41">
        <f>IF(tblVerifyBoard[[#This Row],[Date]]="","",IF(AND(tblVerifyBoard[[#This Row],[Date]]&gt;=$E$38,tblVerifyBoard[[#This Row],[Date]]&lt;=$E$39,OR($E$40="",tblVerifyBoard[[#This Row],[Line]]=$E$40)),tblVerifyBoard[[#This Row],[Date]],""))</f>
        <v>46027</v>
      </c>
      <c r="U46" s="42" t="str">
        <f>IF(tblVerifyBoard[[#This Row],[Date]]="","",IF(tblVerifyBoard[[#This Row],[Shift]]="","Missing shift",IF(tblVerifyBoard[[#This Row],[Line]]="","Missing line",IF(tblVerifyBoard[[#This Row],[Hour]]="","Missing hour",IF(tblVerifyBoard[[#This Row],[Available (min)]]="","Missing available",IF(tblVerifyBoard[[#This Row],[Actual (units)]]="","Missing actual",IF(tblVerifyBoard[[#This Row],[Takt (s)]]="","Pick a product from the Setup list",IF(tblVerifyBoard[[#This Row],[Available (min)]]&gt;60,"More than 60 minutes in an hour",IF(AND(N(tblVerifyBoard[[#This Row],[Gap (units)]])&lt;0,tblVerifyBoard[[#This Row],[Miss reason]]=""),"Give the miss reason",IF(COUNTIFS(tblVerifyBoard[Date],tblVerifyBoard[[#This Row],[Date]],tblVerifyBoard[Shift],tblVerifyBoard[[#This Row],[Shift]],tblVerifyBoard[Line],tblVerifyBoard[[#This Row],[Line]],tblVerifyBoard[Hour],tblVerifyBoard[[#This Row],[Hour]])&gt;1,"Duplicate hour row",IF(tblVerifyBoard[[#This Row],[Actual (units)]]&gt;tblVerifyBoard[[#This Row],[Target (units)]]*1.3,"Far above takt pace: check takt or count","OK")))))))))))</f>
        <v>OK</v>
      </c>
      <c r="V46" s="72"/>
    </row>
    <row r="47" spans="2:22">
      <c r="B47" s="79">
        <v>46027</v>
      </c>
      <c r="C47" s="72" t="s">
        <v>285</v>
      </c>
      <c r="D47" s="72" t="s">
        <v>286</v>
      </c>
      <c r="E47" s="76">
        <v>3</v>
      </c>
      <c r="F47" s="72" t="s">
        <v>287</v>
      </c>
      <c r="G47" s="76">
        <v>60</v>
      </c>
      <c r="H47" s="76">
        <v>100</v>
      </c>
      <c r="I47" s="72"/>
      <c r="J47" s="80">
        <v>27.47368421052632</v>
      </c>
      <c r="K47" s="38">
        <f>IF(tblVerifyBoard[[#This Row],[Date]]="","",IF(OR(tblVerifyBoard[[#This Row],[Takt (s)]]="",tblVerifyBoard[[#This Row],[Available (min)]]=""),"",INT(tblVerifyBoard[[#This Row],[Available (min)]]*60/tblVerifyBoard[[#This Row],[Takt (s)]])))</f>
        <v>131</v>
      </c>
      <c r="L47" s="38">
        <f>IF(tblVerifyBoard[[#This Row],[Date]]="","",IF(tblVerifyBoard[[#This Row],[Target (units)]]="","",tblVerifyBoard[[#This Row],[Actual (units)]]-tblVerifyBoard[[#This Row],[Target (units)]]))</f>
        <v>-31</v>
      </c>
      <c r="M47" s="38">
        <f>IF(tblVerifyBoard[[#This Row],[Date]]="","",IF(tblVerifyBoard[[#This Row],[Target (units)]]="","",MAX(0,tblVerifyBoard[[#This Row],[Target (units)]]-tblVerifyBoard[[#This Row],[Actual (units)]])))</f>
        <v>31</v>
      </c>
      <c r="N47" s="39">
        <f>IF(tblVerifyBoard[[#This Row],[Date]]="","",IF(N(tblVerifyBoard[[#This Row],[Target (units)]])&gt;0,tblVerifyBoard[[#This Row],[Actual (units)]]/tblVerifyBoard[[#This Row],[Target (units)]],""))</f>
        <v>0.763358778625954</v>
      </c>
      <c r="O47" s="38">
        <f>IF(tblVerifyBoard[[#This Row],[Date]]="","",IF(N(tblVerifyBoard[[#This Row],[Target (units)]])&gt;0,IF(tblVerifyBoard[[#This Row],[Actual (units)]]&gt;=tblVerifyBoard[[#This Row],[Target (units)]]*$E$41,1,0),""))</f>
        <v>0</v>
      </c>
      <c r="P47" s="40" t="str">
        <f>IF(NOT(ISNUMBER(tblVerifyBoard[[#This Row],[Attainment]])),"",IF(tblVerifyBoard[[#This Row],[Attainment]]&gt;=$E$41,"On target",IF(tblVerifyBoard[[#This Row],[Attainment]]&gt;=$E$41*(1-0.05),"Near target","Below target")))</f>
        <v>Below target</v>
      </c>
      <c r="Q47" s="38">
        <f>IF(tblVerifyBoard[[#This Row],[Date]]="","",IF(tblVerifyBoard[[#This Row],[Hour]]="","",SUMIFS(tblVerifyBoard[Target (units)],tblVerifyBoard[Date],tblVerifyBoard[[#This Row],[Date]],tblVerifyBoard[Shift],tblVerifyBoard[[#This Row],[Shift]],tblVerifyBoard[Line],tblVerifyBoard[[#This Row],[Line]],tblVerifyBoard[Hour],"&lt;="&amp;tblVerifyBoard[[#This Row],[Hour]])))</f>
        <v>371</v>
      </c>
      <c r="R47" s="38">
        <f>IF(tblVerifyBoard[[#This Row],[Date]]="","",IF(tblVerifyBoard[[#This Row],[Hour]]="","",SUMIFS(tblVerifyBoard[Actual (units)],tblVerifyBoard[Date],tblVerifyBoard[[#This Row],[Date]],tblVerifyBoard[Shift],tblVerifyBoard[[#This Row],[Shift]],tblVerifyBoard[Line],tblVerifyBoard[[#This Row],[Line]],tblVerifyBoard[Hour],"&lt;="&amp;tblVerifyBoard[[#This Row],[Hour]])))</f>
        <v>337</v>
      </c>
      <c r="S47" s="38">
        <f>IF(tblVerifyBoard[[#This Row],[Date]]="","",IF(tblVerifyBoard[[#This Row],[Cum. target]]="","",tblVerifyBoard[[#This Row],[Cum. actual]]-tblVerifyBoard[[#This Row],[Cum. target]]))</f>
        <v>-34</v>
      </c>
      <c r="T47" s="41">
        <f>IF(tblVerifyBoard[[#This Row],[Date]]="","",IF(AND(tblVerifyBoard[[#This Row],[Date]]&gt;=$E$38,tblVerifyBoard[[#This Row],[Date]]&lt;=$E$39,OR($E$40="",tblVerifyBoard[[#This Row],[Line]]=$E$40)),tblVerifyBoard[[#This Row],[Date]],""))</f>
        <v>46027</v>
      </c>
      <c r="U47" s="42" t="str">
        <f>IF(tblVerifyBoard[[#This Row],[Date]]="","",IF(tblVerifyBoard[[#This Row],[Shift]]="","Missing shift",IF(tblVerifyBoard[[#This Row],[Line]]="","Missing line",IF(tblVerifyBoard[[#This Row],[Hour]]="","Missing hour",IF(tblVerifyBoard[[#This Row],[Available (min)]]="","Missing available",IF(tblVerifyBoard[[#This Row],[Actual (units)]]="","Missing actual",IF(tblVerifyBoard[[#This Row],[Takt (s)]]="","Pick a product from the Setup list",IF(tblVerifyBoard[[#This Row],[Available (min)]]&gt;60,"More than 60 minutes in an hour",IF(AND(N(tblVerifyBoard[[#This Row],[Gap (units)]])&lt;0,tblVerifyBoard[[#This Row],[Miss reason]]=""),"Give the miss reason",IF(COUNTIFS(tblVerifyBoard[Date],tblVerifyBoard[[#This Row],[Date]],tblVerifyBoard[Shift],tblVerifyBoard[[#This Row],[Shift]],tblVerifyBoard[Line],tblVerifyBoard[[#This Row],[Line]],tblVerifyBoard[Hour],tblVerifyBoard[[#This Row],[Hour]])&gt;1,"Duplicate hour row",IF(tblVerifyBoard[[#This Row],[Actual (units)]]&gt;tblVerifyBoard[[#This Row],[Target (units)]]*1.3,"Far above takt pace: check takt or count","OK")))))))))))</f>
        <v>Give the miss reason</v>
      </c>
      <c r="V47" s="72"/>
    </row>
    <row r="48" spans="2:22">
      <c r="B48" s="79">
        <v>46027</v>
      </c>
      <c r="C48" s="72" t="s">
        <v>285</v>
      </c>
      <c r="D48" s="72" t="s">
        <v>289</v>
      </c>
      <c r="E48" s="76">
        <v>1</v>
      </c>
      <c r="F48" s="72" t="s">
        <v>290</v>
      </c>
      <c r="G48" s="76">
        <v>30</v>
      </c>
      <c r="H48" s="76">
        <v>30</v>
      </c>
      <c r="I48" s="72"/>
      <c r="J48" s="80">
        <v>60</v>
      </c>
      <c r="K48" s="38">
        <f>IF(tblVerifyBoard[[#This Row],[Date]]="","",IF(OR(tblVerifyBoard[[#This Row],[Takt (s)]]="",tblVerifyBoard[[#This Row],[Available (min)]]=""),"",INT(tblVerifyBoard[[#This Row],[Available (min)]]*60/tblVerifyBoard[[#This Row],[Takt (s)]])))</f>
        <v>30</v>
      </c>
      <c r="L48" s="38">
        <f>IF(tblVerifyBoard[[#This Row],[Date]]="","",IF(tblVerifyBoard[[#This Row],[Target (units)]]="","",tblVerifyBoard[[#This Row],[Actual (units)]]-tblVerifyBoard[[#This Row],[Target (units)]]))</f>
        <v>0</v>
      </c>
      <c r="M48" s="38">
        <f>IF(tblVerifyBoard[[#This Row],[Date]]="","",IF(tblVerifyBoard[[#This Row],[Target (units)]]="","",MAX(0,tblVerifyBoard[[#This Row],[Target (units)]]-tblVerifyBoard[[#This Row],[Actual (units)]])))</f>
        <v>0</v>
      </c>
      <c r="N48" s="39">
        <f>IF(tblVerifyBoard[[#This Row],[Date]]="","",IF(N(tblVerifyBoard[[#This Row],[Target (units)]])&gt;0,tblVerifyBoard[[#This Row],[Actual (units)]]/tblVerifyBoard[[#This Row],[Target (units)]],""))</f>
        <v>1</v>
      </c>
      <c r="O48" s="38">
        <f>IF(tblVerifyBoard[[#This Row],[Date]]="","",IF(N(tblVerifyBoard[[#This Row],[Target (units)]])&gt;0,IF(tblVerifyBoard[[#This Row],[Actual (units)]]&gt;=tblVerifyBoard[[#This Row],[Target (units)]]*$E$41,1,0),""))</f>
        <v>1</v>
      </c>
      <c r="P48" s="40" t="str">
        <f>IF(NOT(ISNUMBER(tblVerifyBoard[[#This Row],[Attainment]])),"",IF(tblVerifyBoard[[#This Row],[Attainment]]&gt;=$E$41,"On target",IF(tblVerifyBoard[[#This Row],[Attainment]]&gt;=$E$41*(1-0.05),"Near target","Below target")))</f>
        <v>On target</v>
      </c>
      <c r="Q48" s="38">
        <f>IF(tblVerifyBoard[[#This Row],[Date]]="","",IF(tblVerifyBoard[[#This Row],[Hour]]="","",SUMIFS(tblVerifyBoard[Target (units)],tblVerifyBoard[Date],tblVerifyBoard[[#This Row],[Date]],tblVerifyBoard[Shift],tblVerifyBoard[[#This Row],[Shift]],tblVerifyBoard[Line],tblVerifyBoard[[#This Row],[Line]],tblVerifyBoard[Hour],"&lt;="&amp;tblVerifyBoard[[#This Row],[Hour]])))</f>
        <v>30</v>
      </c>
      <c r="R48" s="38">
        <f>IF(tblVerifyBoard[[#This Row],[Date]]="","",IF(tblVerifyBoard[[#This Row],[Hour]]="","",SUMIFS(tblVerifyBoard[Actual (units)],tblVerifyBoard[Date],tblVerifyBoard[[#This Row],[Date]],tblVerifyBoard[Shift],tblVerifyBoard[[#This Row],[Shift]],tblVerifyBoard[Line],tblVerifyBoard[[#This Row],[Line]],tblVerifyBoard[Hour],"&lt;="&amp;tblVerifyBoard[[#This Row],[Hour]])))</f>
        <v>30</v>
      </c>
      <c r="S48" s="38">
        <f>IF(tblVerifyBoard[[#This Row],[Date]]="","",IF(tblVerifyBoard[[#This Row],[Cum. target]]="","",tblVerifyBoard[[#This Row],[Cum. actual]]-tblVerifyBoard[[#This Row],[Cum. target]]))</f>
        <v>0</v>
      </c>
      <c r="T48" s="41">
        <f>IF(tblVerifyBoard[[#This Row],[Date]]="","",IF(AND(tblVerifyBoard[[#This Row],[Date]]&gt;=$E$38,tblVerifyBoard[[#This Row],[Date]]&lt;=$E$39,OR($E$40="",tblVerifyBoard[[#This Row],[Line]]=$E$40)),tblVerifyBoard[[#This Row],[Date]],""))</f>
        <v>46027</v>
      </c>
      <c r="U48" s="42" t="str">
        <f>IF(tblVerifyBoard[[#This Row],[Date]]="","",IF(tblVerifyBoard[[#This Row],[Shift]]="","Missing shift",IF(tblVerifyBoard[[#This Row],[Line]]="","Missing line",IF(tblVerifyBoard[[#This Row],[Hour]]="","Missing hour",IF(tblVerifyBoard[[#This Row],[Available (min)]]="","Missing available",IF(tblVerifyBoard[[#This Row],[Actual (units)]]="","Missing actual",IF(tblVerifyBoard[[#This Row],[Takt (s)]]="","Pick a product from the Setup list",IF(tblVerifyBoard[[#This Row],[Available (min)]]&gt;60,"More than 60 minutes in an hour",IF(AND(N(tblVerifyBoard[[#This Row],[Gap (units)]])&lt;0,tblVerifyBoard[[#This Row],[Miss reason]]=""),"Give the miss reason",IF(COUNTIFS(tblVerifyBoard[Date],tblVerifyBoard[[#This Row],[Date]],tblVerifyBoard[Shift],tblVerifyBoard[[#This Row],[Shift]],tblVerifyBoard[Line],tblVerifyBoard[[#This Row],[Line]],tblVerifyBoard[Hour],tblVerifyBoard[[#This Row],[Hour]])&gt;1,"Duplicate hour row",IF(tblVerifyBoard[[#This Row],[Actual (units)]]&gt;tblVerifyBoard[[#This Row],[Target (units)]]*1.3,"Far above takt pace: check takt or count","OK")))))))))))</f>
        <v>OK</v>
      </c>
      <c r="V48" s="72"/>
    </row>
  </sheetData>
  <sheetProtection sheet="1" formatColumns="0" formatRows="0"/>
  <mergeCells count="39">
    <mergeCell ref="A1:V1"/>
    <mergeCell ref="B2:U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B34:L34"/>
    <mergeCell ref="B36:L36"/>
    <mergeCell ref="B37:F37"/>
    <mergeCell ref="B38:D38"/>
    <mergeCell ref="B39:D39"/>
    <mergeCell ref="B40:D40"/>
    <mergeCell ref="E40:F40"/>
    <mergeCell ref="B41:D41"/>
    <mergeCell ref="B43:L4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U45:U48">
    <cfRule type="expression" dxfId="3" priority="41">
      <formula>$U45="OK"</formula>
    </cfRule>
    <cfRule type="expression" dxfId="1" priority="42">
      <formula>AND($U45&lt;&gt;"",$U45&lt;&gt;"OK")</formula>
    </cfRule>
  </conditionalFormatting>
  <hyperlinks>
    <hyperlink ref="V2" r:id="rId1" tooltip="Free manufacturing calculators and templates"/>
  </hyperlinks>
  <printOptions horizontalCentered="1"/>
  <pageMargins left="0.4" right="0.4" top="0.7" bottom="0.65" header="0.3" footer="0.3"/>
  <pageSetup fitToHeight="0" orientation="landscape"/>
  <headerFooter>
    <oddHeader>&amp;L&amp;8MFG Calcs - Hour-by-Hour Production Board&amp;R&amp;8&amp;A</oddHeader>
    <oddFooter>&amp;L&amp;8mfgcalcs.com - free manufacturing templates&amp;R&amp;8Page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31</vt:i4>
      </vt:variant>
    </vt:vector>
  </HeadingPairs>
  <TitlesOfParts>
    <vt:vector size="38" baseType="lpstr">
      <vt:lpstr>Start Here</vt:lpstr>
      <vt:lpstr>Setup</vt:lpstr>
      <vt:lpstr>Hourly Board</vt:lpstr>
      <vt:lpstr>Daily Board</vt:lpstr>
      <vt:lpstr>Dashboard</vt:lpstr>
      <vt:lpstr>Method</vt:lpstr>
      <vt:lpstr>Verify</vt:lpstr>
      <vt:lpstr>BoardDate</vt:lpstr>
      <vt:lpstr>BoardLine</vt:lpstr>
      <vt:lpstr>BoardShift</vt:lpstr>
      <vt:lpstr>DashFrom</vt:lpstr>
      <vt:lpstr>DashLine</vt:lpstr>
      <vt:lpstr>DashTo</vt:lpstr>
      <vt:lpstr>KpiActual</vt:lpstr>
      <vt:lpstr>KpiAttain</vt:lpstr>
      <vt:lpstr>KpiDayActual</vt:lpstr>
      <vt:lpstr>KpiDayAttain</vt:lpstr>
      <vt:lpstr>KpiDayHits</vt:lpstr>
      <vt:lpstr>KpiDayShort</vt:lpstr>
      <vt:lpstr>KpiHits</vt:lpstr>
      <vt:lpstr>KpiHours</vt:lpstr>
      <vt:lpstr>KpiShort</vt:lpstr>
      <vt:lpstr>KpiTarget</vt:lpstr>
      <vt:lpstr>KpiTop</vt:lpstr>
      <vt:lpstr>KpiWeak</vt:lpstr>
      <vt:lpstr>PlantName</vt:lpstr>
      <vt:lpstr>'Daily Board'!Print_Area</vt:lpstr>
      <vt:lpstr>Dashboard!Print_Area</vt:lpstr>
      <vt:lpstr>'Hourly Board'!Print_Area</vt:lpstr>
      <vt:lpstr>Method!Print_Area</vt:lpstr>
      <vt:lpstr>Setup!Print_Area</vt:lpstr>
      <vt:lpstr>'Start Here'!Print_Area</vt:lpstr>
      <vt:lpstr>Verify!Print_Area</vt:lpstr>
      <vt:lpstr>'Hourly Board'!Print_Titles</vt:lpstr>
      <vt:lpstr>Method!Print_Titles</vt:lpstr>
      <vt:lpstr>SelfCheck</vt:lpstr>
      <vt:lpstr>SelfCheckSummary</vt:lpstr>
      <vt:lpstr>TargetHour</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Hour-by-Hour Production Board - free Excel template from MFG Calcs</dc:title>
  <dc:subject>Log each line's output every hour against a takt-based target and see the running plan vs actual, the hours that miss and why, by line, day and hour of the shift.</dc:subject>
  <dc:creator>MFG Calcs</dc:creator>
  <cp:keywords>hour by hour, production board, takt board, production analysis board, takt time, plan vs actual, hourly output, lean</cp:keywords>
  <dc:description>https://www.mfgcalcs.com/templates/hour-by-hour-production-board - version 1.0.0, updated 2026-10-24. Free from MFG Calcs - keep this credit when you share it.</dc:description>
  <cp:lastModifiedBy>MFG Calcs</cp:lastModifiedBy>
  <dcterms:created xsi:type="dcterms:W3CDTF">2026-10-24T12:00:00Z</dcterms:created>
  <dcterms:modified xsi:type="dcterms:W3CDTF">2026-10-24T12:00:00Z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hour-by-hour-production-board</vt:lpwstr>
  </property>
  <property fmtid="{D5CDD505-2E9C-101B-9397-08002B2CF9AE}" pid="3" name="Template version">
    <vt:lpwstr>1.0.0</vt:lpwstr>
  </property>
  <property fmtid="{D5CDD505-2E9C-101B-9397-08002B2CF9AE}" pid="4" name="Template updated">
    <vt:lpwstr>2026-10-24</vt:lpwstr>
  </property>
  <property fmtid="{D5CDD505-2E9C-101B-9397-08002B2CF9AE}" pid="5" name="Template layout">
    <vt:lpwstr>log</vt:lpwstr>
  </property>
  <property fmtid="{D5CDD505-2E9C-101B-9397-08002B2CF9AE}" pid="6" name="Template URL">
    <vt:lpwstr>https://www.mfgcalcs.com/templates/hour-by-hour-production-board</vt:lpwstr>
  </property>
  <property fmtid="{D5CDD505-2E9C-101B-9397-08002B2CF9AE}" pid="7" name="Template sheet roles">
    <vt:lpwstr>Start Here=start;Setup=setup;Hourly Board=work;Daily Board=output;Dashboard=dashboard;Method=method;Verify=verify</vt:lpwstr>
  </property>
</Properties>
</file>