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Cost Builder" sheetId="3" r:id="rId3"/>
    <sheet name="Dashboard" sheetId="4" r:id="rId4"/>
    <sheet name="Method" sheetId="5" r:id="rId5"/>
    <sheet name="Verify" sheetId="6" r:id="rId6"/>
  </sheets>
  <definedNames>
    <definedName name="AmortQty">'Cost Builder'!$C$62</definedName>
    <definedName name="BreakList">'Cost Builder'!$D$70:$H$70</definedName>
    <definedName name="Cavities">'Cost Builder'!$C$20</definedName>
    <definedName name="ChangeCost">'Cost Builder'!$C$66</definedName>
    <definedName name="ChangeH">'Cost Builder'!$C$63</definedName>
    <definedName name="CoName">Setup!$C$6</definedName>
    <definedName name="CoolTimer">'Cost Builder'!$C$38</definedName>
    <definedName name="Currency">Setup!$C$7</definedName>
    <definedName name="Customer">'Cost Builder'!$C$8</definedName>
    <definedName name="CycleS">'Cost Builder'!$C$41</definedName>
    <definedName name="DashBreak">Dashboard!$C$4</definedName>
    <definedName name="Efficiency">Setup!$C$15</definedName>
    <definedName name="ExtrasPP">'Cost Builder'!$C$56</definedName>
    <definedName name="Fill">'Cost Builder'!$C$36</definedName>
    <definedName name="GoodPerHour">'Cost Builder'!$C$43</definedName>
    <definedName name="GoodShot">'Cost Builder'!$C$25</definedName>
    <definedName name="HoursPerDay">Setup!$C$16</definedName>
    <definedName name="KpiCost">Dashboard!$D$8</definedName>
    <definedName name="KpiMargin">Dashboard!$G$8</definedName>
    <definedName name="KpiPrice">Dashboard!$B$8</definedName>
    <definedName name="KpiRate">Dashboard!$J$8</definedName>
    <definedName name="LabourRate">Setup!$C$11</definedName>
    <definedName name="Margin">Setup!$C$13</definedName>
    <definedName name="MoldBilling">'Cost Builder'!$C$61</definedName>
    <definedName name="MoldCost">'Cost Builder'!$C$60</definedName>
    <definedName name="MoldMove">'Cost Builder'!$C$40</definedName>
    <definedName name="Overhead">Setup!$C$12</definedName>
    <definedName name="PackHold">'Cost Builder'!$C$37</definedName>
    <definedName name="PartDesc">'Cost Builder'!$C$10</definedName>
    <definedName name="PartG">'Cost Builder'!$C$23</definedName>
    <definedName name="PartNo">'Cost Builder'!$C$9</definedName>
    <definedName name="PartWt">'Cost Builder'!$C$18</definedName>
    <definedName name="PreparedBy">'Cost Builder'!$C$12</definedName>
    <definedName name="Press">'Cost Builder'!$C$35</definedName>
    <definedName name="PressCheck">'Cost Builder'!$C$45</definedName>
    <definedName name="Presses">tblPresses[Press]</definedName>
    <definedName name="PressPP">'Cost Builder'!$C$44</definedName>
    <definedName name="PressRate">'Cost Builder'!$C$42</definedName>
    <definedName name="PriceKg">'Cost Builder'!$C$28</definedName>
    <definedName name="_xlnm.Print_Area" localSheetId="2">'Cost Builder'!$A$1:$I$83</definedName>
    <definedName name="_xlnm.Print_Area" localSheetId="3">Dashboard!$A$1:$L$46</definedName>
    <definedName name="_xlnm.Print_Area" localSheetId="4">Method!$A$1:$D$58</definedName>
    <definedName name="_xlnm.Print_Area" localSheetId="1">Setup!$A$1:$F$35</definedName>
    <definedName name="_xlnm.Print_Area" localSheetId="0">'Start Here'!$A$1:$F$56</definedName>
    <definedName name="_xlnm.Print_Area" localSheetId="5">Verify!$A$1:$L$108</definedName>
    <definedName name="_xlnm.Print_Titles" localSheetId="4">Method!$1:$2</definedName>
    <definedName name="PurgeKg">'Cost Builder'!$C$64</definedName>
    <definedName name="QuoteDate">'Cost Builder'!$C$11</definedName>
    <definedName name="Recovery">'Cost Builder'!$C$39</definedName>
    <definedName name="RegrindG">'Cost Builder'!$C$26</definedName>
    <definedName name="RegrindMax">'Cost Builder'!$C$22</definedName>
    <definedName name="Reject">'Cost Builder'!$C$21</definedName>
    <definedName name="Resin">'Cost Builder'!$C$16</definedName>
    <definedName name="ResinLoss">'Cost Builder'!$C$30</definedName>
    <definedName name="ResinPP">'Cost Builder'!$C$29</definedName>
    <definedName name="Resins">tblResins[Resin]</definedName>
    <definedName name="RoundStep">Setup!$C$14</definedName>
    <definedName name="RunnerWt">'Cost Builder'!$C$19</definedName>
    <definedName name="SelfCheck">Verify!$D$4</definedName>
    <definedName name="SelfCheckSummary">Verify!$F$4</definedName>
    <definedName name="SelIdx">IFERROR(MATCH(DashBreak,'Cost Builder'!$D$70:$H$70,0),1)</definedName>
    <definedName name="ShotCheck">'Cost Builder'!$C$31</definedName>
    <definedName name="ShotG">'Cost Builder'!$C$24</definedName>
    <definedName name="ToolPP">'Cost Builder'!$C$65</definedName>
    <definedName name="VirginG">'Cost Builder'!$C$27</definedName>
    <definedName name="WtUnit">'Cost Builder'!$C$17</definedName>
  </definedNames>
  <calcPr calcId="124519" fullCalcOnLoad="1"/>
</workbook>
</file>

<file path=xl/sharedStrings.xml><?xml version="1.0" encoding="utf-8"?>
<sst xmlns="http://schemas.openxmlformats.org/spreadsheetml/2006/main" count="478" uniqueCount="289">
  <si>
    <t>Injection Molding Part Cost</t>
  </si>
  <si>
    <t>Read this first: what the workbook does and how to use it.</t>
  </si>
  <si>
    <t>mfgcalcs.com</t>
  </si>
  <si>
    <t>Cost an injection molded part from resin, cycle time, press rate, secondary work, changeover and mold amortisation, and price five order quantities.</t>
  </si>
  <si>
    <t>For: Estimators, sales engineers and owners of custom injection molders, and buyers who want to check a molded-part quote.</t>
  </si>
  <si>
    <t>Version 1.0.0  ·  updated 15 October 2026</t>
  </si>
  <si>
    <t>Quick start</t>
  </si>
  <si>
    <t>1.</t>
  </si>
  <si>
    <t>On Setup, type your company name, currency, costing defaults, press rates and resin prices.</t>
  </si>
  <si>
    <t>2.</t>
  </si>
  <si>
    <t>On Cost Builder, choose the resin and press, then enter part and runner weights, cavities, reject rate and the regrind allowed.</t>
  </si>
  <si>
    <t>3.</t>
  </si>
  <si>
    <t>Enter the cycle-time parts (fill, pack and hold, cooling, screw recovery, mold movement) and any secondary operations and packaging.</t>
  </si>
  <si>
    <t>4.</t>
  </si>
  <si>
    <t>Enter the mold cost and how it is paid, the changeover per run and five order quantities; read cost, price and margin.</t>
  </si>
  <si>
    <t>5.</t>
  </si>
  <si>
    <t>On the Dashboard, pick a quantity to see the tiles, the two charts and where the cost goes.</t>
  </si>
  <si>
    <t>What is in this workbook</t>
  </si>
  <si>
    <t>Start Here</t>
  </si>
  <si>
    <t>Setup</t>
  </si>
  <si>
    <t>Your company, currency, costing defaults, press rates and resin prices.</t>
  </si>
  <si>
    <t>Cost Builder</t>
  </si>
  <si>
    <t>The part, shot, cycle, secondary work, mold and changeover, and the cost and price for five order quantities.</t>
  </si>
  <si>
    <t>Dashboard</t>
  </si>
  <si>
    <t>Piece price, cost and margin at the order quantity you pick, and where the cost of a molded part goes.</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</si>
  <si>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</si>
  <si>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</si>
  <si>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</si>
  <si>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</si>
  <si>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</si>
  <si>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</si>
  <si>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</si>
  <si>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</si>
  <si>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</si>
  <si>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</si>
  <si>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</si>
  <si>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</si>
  <si>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</si>
  <si>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</si>
  <si>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</si>
  <si>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</si>
  <si>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</si>
  <si>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</si>
  <si>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</si>
  <si>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</si>
  <si>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Molded Part Cost Calculator on mfgcalcs.com</t>
  </si>
  <si>
    <t>Latest version</t>
  </si>
  <si>
    <t>mfgcalcs.com/templates/injection-molding-cost</t>
  </si>
  <si>
    <t>More free templates</t>
  </si>
  <si>
    <t>mfgcalcs.com/templates</t>
  </si>
  <si>
    <t>Version</t>
  </si>
  <si>
    <t>1.0.0 (updated 15 October 2026)</t>
  </si>
  <si>
    <t>About the example data</t>
  </si>
  <si>
    <t>Every number already in this workbook is example data for Cedar Valley Molders, a fictional business invented for this template, so the dashboard and charts show something meaningful on day one. The example costs a 4-cavity ABS instrument housing with brass inserts and a pad-printed logo for a fictional customer; all prices, rates and process data are invented for the example. To start with your own data, overwrite the yellow cells.</t>
  </si>
  <si>
    <t>Good to know</t>
  </si>
  <si>
    <t>•</t>
  </si>
  <si>
    <t>Sheets Start Here,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</si>
  <si>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</si>
  <si>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</si>
  <si>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</si>
  <si>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</si>
  <si>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</si>
  <si>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Press</t>
  </si>
  <si>
    <t>Clamp (t)</t>
  </si>
  <si>
    <t>Rate per hour</t>
  </si>
  <si>
    <t>Notes</t>
  </si>
  <si>
    <t>Resin</t>
  </si>
  <si>
    <t>Price</t>
  </si>
  <si>
    <t>Per</t>
  </si>
  <si>
    <t>Company and currency</t>
  </si>
  <si>
    <t>Company name</t>
  </si>
  <si>
    <t>Cedar Valley Molders (example)</t>
  </si>
  <si>
    <t>Currency label</t>
  </si>
  <si>
    <t>USD</t>
  </si>
  <si>
    <t>Costing defaults</t>
  </si>
  <si>
    <t>Labour rate for secondary work</t>
  </si>
  <si>
    <t>Overhead on press time and changeover</t>
  </si>
  <si>
    <t>Target margin on price</t>
  </si>
  <si>
    <t>Round piece prices up to the nearest</t>
  </si>
  <si>
    <t>Press efficiency for scheduling</t>
  </si>
  <si>
    <t>Scheduled press hours per day</t>
  </si>
  <si>
    <t>h/day</t>
  </si>
  <si>
    <t>Presses and resins</t>
  </si>
  <si>
    <t>Presses (example rates)</t>
  </si>
  <si>
    <t>85 t all-electric</t>
  </si>
  <si>
    <t>Includes shared operator</t>
  </si>
  <si>
    <t>150 t hydraulic</t>
  </si>
  <si>
    <t/>
  </si>
  <si>
    <t>250 t hydraulic</t>
  </si>
  <si>
    <t>450 t hydraulic</t>
  </si>
  <si>
    <t>With robot</t>
  </si>
  <si>
    <t>Resins (example prices)</t>
  </si>
  <si>
    <t>ABS general purpose</t>
  </si>
  <si>
    <t>kg</t>
  </si>
  <si>
    <t>Example price; use your supplier's quote</t>
  </si>
  <si>
    <t>PP copolymer</t>
  </si>
  <si>
    <t>Example price</t>
  </si>
  <si>
    <t>PC/ABS flame retardant</t>
  </si>
  <si>
    <t>PA66 30% glass</t>
  </si>
  <si>
    <t>lb</t>
  </si>
  <si>
    <t>Example price per pound</t>
  </si>
  <si>
    <t>POM copolymer</t>
  </si>
  <si>
    <t>Item</t>
  </si>
  <si>
    <t>Labour (s/part)</t>
  </si>
  <si>
    <t>Bought-in</t>
  </si>
  <si>
    <t>Cost per part</t>
  </si>
  <si>
    <t>Check</t>
  </si>
  <si>
    <t>Example for Cedar Valley Molders (fictional). Overwrite the yellow cells with your part; edit or delete the example table rows. Blue cells calculate. The Dashboard fills from here.</t>
  </si>
  <si>
    <t>Part and quote</t>
  </si>
  <si>
    <t>Customer</t>
  </si>
  <si>
    <t>Brightwater Instruments (example)</t>
  </si>
  <si>
    <t>Part number</t>
  </si>
  <si>
    <t>BWI-4410-H</t>
  </si>
  <si>
    <t>Part description</t>
  </si>
  <si>
    <t>Instrument rear housing, ABS, 2 brass inserts, logo</t>
  </si>
  <si>
    <t>Date</t>
  </si>
  <si>
    <t>Prepared by</t>
  </si>
  <si>
    <t>Estimating</t>
  </si>
  <si>
    <t>Shot and resin</t>
  </si>
  <si>
    <t>Weights in</t>
  </si>
  <si>
    <t>g</t>
  </si>
  <si>
    <t>Part weight</t>
  </si>
  <si>
    <t>Sprue and runner per shot</t>
  </si>
  <si>
    <t>Cavities</t>
  </si>
  <si>
    <t>Reject rate</t>
  </si>
  <si>
    <t>Regrind allowed, share of shot</t>
  </si>
  <si>
    <t>Part weight in grams</t>
  </si>
  <si>
    <t>Shot weight</t>
  </si>
  <si>
    <t>Good parts per shot</t>
  </si>
  <si>
    <t>parts</t>
  </si>
  <si>
    <t>Regrind used per shot</t>
  </si>
  <si>
    <t>Virgin resin bought per good part</t>
  </si>
  <si>
    <t>Resin price</t>
  </si>
  <si>
    <t>Resin cost per good part</t>
  </si>
  <si>
    <t>of which runner and reject loss</t>
  </si>
  <si>
    <t>Shot check</t>
  </si>
  <si>
    <t>Cycle time and press</t>
  </si>
  <si>
    <t>Fill time</t>
  </si>
  <si>
    <t>s</t>
  </si>
  <si>
    <t>Pack and hold time</t>
  </si>
  <si>
    <t>Cooling timer</t>
  </si>
  <si>
    <t>Screw recovery time</t>
  </si>
  <si>
    <t>Mold open, eject and close</t>
  </si>
  <si>
    <t>Cycle time</t>
  </si>
  <si>
    <t>Press rate</t>
  </si>
  <si>
    <t>Good parts per running hour</t>
  </si>
  <si>
    <t>parts/h</t>
  </si>
  <si>
    <t>Press cost per good part</t>
  </si>
  <si>
    <t>Press check</t>
  </si>
  <si>
    <t>Secondary operations and packaging (per good part)</t>
  </si>
  <si>
    <t>Heat-stake 2 brass inserts</t>
  </si>
  <si>
    <t>Pad print logo, 1 colour</t>
  </si>
  <si>
    <t>Bag and carton, 50 per carton</t>
  </si>
  <si>
    <t>Secondary total</t>
  </si>
  <si>
    <t>Secondary and packing per part</t>
  </si>
  <si>
    <t>Mold and changeover</t>
  </si>
  <si>
    <t>Mold cost</t>
  </si>
  <si>
    <t>Mold paid by</t>
  </si>
  <si>
    <t>Amortise</t>
  </si>
  <si>
    <t>Amortise over</t>
  </si>
  <si>
    <t>good parts</t>
  </si>
  <si>
    <t>Changeover per run (mold change, start-up)</t>
  </si>
  <si>
    <t>h</t>
  </si>
  <si>
    <t>Resin purged and scrapped per run</t>
  </si>
  <si>
    <t>Mold amortisation per part</t>
  </si>
  <si>
    <t>Changeover cost per run</t>
  </si>
  <si>
    <t>Cost and price by order quantity</t>
  </si>
  <si>
    <t>Order quantity (good parts)</t>
  </si>
  <si>
    <t>Unit</t>
  </si>
  <si>
    <t>Shots to run</t>
  </si>
  <si>
    <t>shots</t>
  </si>
  <si>
    <t>Press time</t>
  </si>
  <si>
    <t>Secondary operations and packing</t>
  </si>
  <si>
    <t>Changeover, spread over the order</t>
  </si>
  <si>
    <t>Mold amortisation</t>
  </si>
  <si>
    <t>Overhead</t>
  </si>
  <si>
    <t>Total cost per part</t>
  </si>
  <si>
    <t>Piece price</t>
  </si>
  <si>
    <t>Order value</t>
  </si>
  <si>
    <t>Margin achieved</t>
  </si>
  <si>
    <t>% of price</t>
  </si>
  <si>
    <t>Press hours</t>
  </si>
  <si>
    <t>Press days</t>
  </si>
  <si>
    <t>days</t>
  </si>
  <si>
    <t>Order quantity shown</t>
  </si>
  <si>
    <t>MARGIN ACHIEVED</t>
  </si>
  <si>
    <t>GOOD PARTS PER RUNNING HOUR</t>
  </si>
  <si>
    <t>Rounded up to your price step</t>
  </si>
  <si>
    <t>All lines, before margin</t>
  </si>
  <si>
    <t>Cost build-up at the quantity shown</t>
  </si>
  <si>
    <t>Cost line</t>
  </si>
  <si>
    <t>Per part</t>
  </si>
  <si>
    <t>Share of cost</t>
  </si>
  <si>
    <t>For the order</t>
  </si>
  <si>
    <t>%</t>
  </si>
  <si>
    <t>Secondary and packing</t>
  </si>
  <si>
    <t>Changeover</t>
  </si>
  <si>
    <t>Chart data: cost per part by group</t>
  </si>
  <si>
    <t>Quantity</t>
  </si>
  <si>
    <t>Press time and overhead</t>
  </si>
  <si>
    <t>What this workbook calculates</t>
  </si>
  <si>
    <t>The cost of one good molded part is the resin it takes (runner and rejects included, less the regrind allowed), the press time per good part at the press rate, secondary work and packing, the changeover spread over the order, mold amortisation and overhead. The price is that cost marked up to the target margin on price and rounded up to your price step.</t>
  </si>
  <si>
    <t>Calculations</t>
  </si>
  <si>
    <t>How it is calculated</t>
  </si>
  <si>
    <t>Units</t>
  </si>
  <si>
    <t>Weights</t>
  </si>
  <si>
    <t>Part and runner weights in g (oz x 28.349523125). Shot = part x cavities + runner.</t>
  </si>
  <si>
    <t>Cavities x (1 - reject rate).</t>
  </si>
  <si>
    <t>The smaller of the scrap per shot (shot - good parts per shot x part weight) and regrind allowed x shot weight.</t>
  </si>
  <si>
    <t>Resin per good part</t>
  </si>
  <si>
    <t>Virgin resin = (shot - regrind) / good parts per shot; cost = virgin g x price per kg / 1000 (a price per lb / 0.45359237). Loss = cost - part weight x price / 1000.</t>
  </si>
  <si>
    <t>g, currency/part</t>
  </si>
  <si>
    <t>Fill + pack and hold + the longer of cooling timer and screw recovery + mold open, eject and close.</t>
  </si>
  <si>
    <t>Press rate x cycle / 3600 / good parts per shot. Good parts per hour = 3600 / cycle x good parts per shot.</t>
  </si>
  <si>
    <t>currency/part</t>
  </si>
  <si>
    <t>Sum over rows of labour seconds / 3600 x labour rate + bought-in cost.</t>
  </si>
  <si>
    <t>Mold amortisation = mold cost / amortisation quantity (0 if the customer pays). Changeover per run = hours x press rate + purge kg x resin price.</t>
  </si>
  <si>
    <t>currency</t>
  </si>
  <si>
    <t>Order lines</t>
  </si>
  <si>
    <t>Shots = CEILING(quantity / good parts per shot). Changeover per part = changeover / quantity. Overhead = (press + changeover) x overhead %.</t>
  </si>
  <si>
    <t>CEILING(total cost / (1 - target margin), price step). Margin achieved = (price - cost) / price.</t>
  </si>
  <si>
    <t>Press hours and days</t>
  </si>
  <si>
    <t>Changeover hours + shots x cycle / 3600 / press efficiency; days = hours / scheduled hours per day.</t>
  </si>
  <si>
    <t>h, days</t>
  </si>
  <si>
    <t>Assumptions</t>
  </si>
  <si>
    <t>The press rate is per running hour and includes the operator's share; downtime is not charged per part but slows the schedule (press efficiency).</t>
  </si>
  <si>
    <t>Rejects are found and scrapped at the press; their resin is reground up to the limit allowed, the rest is lost.</t>
  </si>
  <si>
    <t>Resin price is the delivered price of virgin material; regrind costs nothing extra to reuse.</t>
  </si>
  <si>
    <t>Secondary work happens off the press at the labour rate; work inside the cycle is in the press rate.</t>
  </si>
  <si>
    <t>Limitations</t>
  </si>
  <si>
    <t>Cycle time comes from the times you enter; it does not predict cooling time from wall thickness or resin data.</t>
  </si>
  <si>
    <t>Colourant, drying energy and mold maintenance are not separate lines; add them as secondary rows or to the press rate.</t>
  </si>
  <si>
    <t>One resin per part; overmolding and two-shot parts need a second shot block.</t>
  </si>
  <si>
    <t>No taxes, duties, freight, currency conversion or payment discounts are calculated.</t>
  </si>
  <si>
    <t>Agreement with the live calculator</t>
  </si>
  <si>
    <t>The live Molded Part Cost calculator computes resin per good part + press rate x cycle / 3600 / cavities + tooling per part. This workbook divides press time by good parts per shot (cavities x (1 - reject rate)) so rejected shots are paid for; at a 0% reject rate the two are identical, and the build checks the calculator's own example that way (0.095 resin, 55 per hour, 22 s, 8 cavities, 0.017 tooling). The shot and resin block is the Resin Cost per Part calculator's model and the cycle time is the Injection Molding Cycle Time calculator's; both are checked against their engines. Changeover, secondary work, overhead, margin and press days are this template's own.</t>
  </si>
  <si>
    <t>Open the Molded Part Cost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</si>
  <si>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</si>
  <si>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</si>
  <si>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Molder costing practice: resin per good part, press time at an hourly rate, changeover per run, mold amortised over an agreed quantity.</t>
  </si>
  <si>
    <t>Unit conversions: 1 lb = 0.45359237 kg and 1 oz = 28.349523125 g exactly (international yard and pound agreement, 1959).</t>
  </si>
  <si>
    <t>MFG Calcs Molded Part Cost, Resin Cost per Part and Injection Molding Cycle Time calculators: the same formulas for the overlapping quantities.</t>
  </si>
  <si>
    <t>Standards are cited by name so you can look them up; no copyrighted standard text or tables are reproduced. Statistical constants used are public.</t>
  </si>
  <si>
    <t>Version history</t>
  </si>
  <si>
    <t>Change</t>
  </si>
  <si>
    <t>1.0.0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</si>
  <si>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</si>
  <si>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</si>
  <si>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</si>
  <si>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</si>
  <si>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</si>
  <si>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No.</t>
  </si>
  <si>
    <t>Expected (reference)</t>
  </si>
  <si>
    <t>Workbook result</t>
  </si>
  <si>
    <t>Difference</t>
  </si>
  <si>
    <t>Tolerance</t>
  </si>
  <si>
    <t>Result</t>
  </si>
  <si>
    <t>Regrind used per shot (g)</t>
  </si>
  <si>
    <t>Virgin resin per good part (g)</t>
  </si>
  <si>
    <t>Cycle time (s)</t>
  </si>
  <si>
    <t>Extras row 1: cost per part</t>
  </si>
  <si>
    <t>Test row: Check asks for a cost</t>
  </si>
  <si>
    <t>Enter labour or bought-in cost</t>
  </si>
  <si>
    <t>exact</t>
  </si>
  <si>
    <t>Qty 2000: shots</t>
  </si>
  <si>
    <t>Qty 2000: total cost per part</t>
  </si>
  <si>
    <t>Qty 2000: piece price</t>
  </si>
  <si>
    <t>Qty 2000: press hours</t>
  </si>
  <si>
    <t>Qty 10000: shots</t>
  </si>
  <si>
    <t>Qty 10000: total cost per part</t>
  </si>
  <si>
    <t>Qty 10000: piece price</t>
  </si>
  <si>
    <t>Qty 10000: press hours</t>
  </si>
  <si>
    <t>Qty 50000: shots</t>
  </si>
  <si>
    <t>Qty 50000: total cost per part</t>
  </si>
  <si>
    <t>Qty 50000: piece price</t>
  </si>
  <si>
    <t>Qty 50000: press hours</t>
  </si>
  <si>
    <t>Fixed test inputs</t>
  </si>
  <si>
    <t>White cells are fixed test inputs; blue cells are the workbook's formulas evaluated on them.</t>
  </si>
  <si>
    <t>Parameters</t>
  </si>
  <si>
    <t>Labour rate</t>
  </si>
  <si>
    <t>Price rounding step</t>
  </si>
  <si>
    <t>Press efficiency</t>
  </si>
  <si>
    <t>Test table: Extras</t>
  </si>
  <si>
    <t>Test: empty line</t>
  </si>
  <si>
    <t>Test secondary total (the test row adds nothing)</t>
  </si>
  <si>
    <t>Test shot and resin (the example part)</t>
  </si>
  <si>
    <t>Test cycle and press</t>
  </si>
  <si>
    <t>Test mold and changeover</t>
  </si>
  <si>
    <t>Test cost and price by order quantity (same formulas as the Cost Builder)</t>
  </si>
</sst>
</file>

<file path=xl/styles.xml><?xml version="1.0" encoding="utf-8"?>
<styleSheet xmlns="http://schemas.openxmlformats.org/spreadsheetml/2006/main">
  <numFmts count="9">
    <numFmt numFmtId="164" formatCode="#,##0.00"/>
    <numFmt numFmtId="165" formatCode="0.0%"/>
    <numFmt numFmtId="166" formatCode="#,##0.0000"/>
    <numFmt numFmtId="167" formatCode="#,##0.0"/>
    <numFmt numFmtId="168" formatCode="#,##0"/>
    <numFmt numFmtId="169" formatCode="d mmm yyyy"/>
    <numFmt numFmtId="170" formatCode="#,##0.000"/>
    <numFmt numFmtId="171" formatCode="&quot;Target &quot;0.0%"/>
    <numFmt numFmtId="172" formatCode="0.0E+00"/>
  </numFmts>
  <fonts count="24">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b/>
      <sz val="10"/>
      <color rgb="FF14386C"/>
      <name val="Calibri"/>
      <family val="2"/>
      <scheme val="minor"/>
    </font>
    <font>
      <i/>
      <sz val="9"/>
      <color rgb="FF6B7280"/>
      <name val="Calibri"/>
      <family val="2"/>
      <scheme val="minor"/>
    </font>
    <font>
      <b/>
      <sz val="10"/>
      <color rgb="FFFFFFFF"/>
      <name val="Calibri"/>
      <family val="2"/>
      <scheme val="minor"/>
    </font>
    <font>
      <sz val="9"/>
      <color rgb="FF8A4A06"/>
      <name val="Calibri"/>
      <family val="2"/>
      <scheme val="minor"/>
    </font>
    <font>
      <sz val="9"/>
      <color rgb="FF1B2430"/>
      <name val="Calibri"/>
      <family val="2"/>
      <scheme val="minor"/>
    </font>
    <font>
      <b/>
      <sz val="9"/>
      <color rgb="FF4A5361"/>
      <name val="Calibri"/>
      <family val="2"/>
      <scheme val="minor"/>
    </font>
    <font>
      <sz val="9"/>
      <color rgb="FF4A5361"/>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1">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C7D4EE"/>
      </left>
      <right style="thin">
        <color rgb="FFC7D4EE"/>
      </right>
      <top style="medium">
        <color rgb="FF14386C"/>
      </top>
      <bottom style="thin">
        <color rgb="FFC7D4EE"/>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
      <left style="thin">
        <color rgb="FFD6DBE3"/>
      </left>
      <right style="thin">
        <color rgb="FFD6DBE3"/>
      </right>
      <top style="thin">
        <color rgb="FFD6DBE3"/>
      </top>
      <bottom style="thin">
        <color rgb="FFD6DBE3"/>
      </bottom>
      <diagonal/>
    </border>
  </borders>
  <cellStyleXfs count="1">
    <xf numFmtId="0" fontId="0" fillId="0" borderId="0"/>
  </cellStyleXfs>
  <cellXfs count="81">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vertical="center"/>
      <protection locked="0"/>
    </xf>
    <xf numFmtId="165" fontId="10" fillId="3" borderId="2" xfId="0" applyNumberFormat="1" applyFont="1" applyFill="1" applyBorder="1" applyAlignment="1" applyProtection="1">
      <alignment vertical="center"/>
      <protection locked="0"/>
    </xf>
    <xf numFmtId="166" fontId="10" fillId="3" borderId="2" xfId="0" applyNumberFormat="1" applyFont="1" applyFill="1" applyBorder="1" applyAlignment="1" applyProtection="1">
      <alignment vertical="center"/>
      <protection locked="0"/>
    </xf>
    <xf numFmtId="167" fontId="10" fillId="3" borderId="2" xfId="0" applyNumberFormat="1" applyFont="1" applyFill="1" applyBorder="1" applyAlignment="1" applyProtection="1">
      <alignment vertical="center"/>
      <protection locked="0"/>
    </xf>
    <xf numFmtId="0" fontId="17" fillId="0" borderId="0" xfId="0" applyFont="1" applyAlignment="1">
      <alignment vertical="center"/>
    </xf>
    <xf numFmtId="0" fontId="18" fillId="0" borderId="0" xfId="0" applyFont="1" applyAlignment="1">
      <alignment horizontal="center" vertical="center"/>
    </xf>
    <xf numFmtId="0" fontId="19" fillId="2" borderId="5" xfId="0" applyFont="1" applyFill="1" applyBorder="1" applyAlignment="1">
      <alignment horizontal="center" vertical="center" wrapText="1"/>
    </xf>
    <xf numFmtId="168" fontId="10" fillId="3" borderId="2" xfId="0" applyNumberFormat="1" applyFont="1" applyFill="1" applyBorder="1" applyAlignment="1" applyProtection="1">
      <alignment vertical="center"/>
      <protection locked="0"/>
    </xf>
    <xf numFmtId="0" fontId="20" fillId="7" borderId="2" xfId="0" applyFont="1" applyFill="1" applyBorder="1" applyAlignment="1">
      <alignment vertical="center" wrapText="1"/>
    </xf>
    <xf numFmtId="0" fontId="10" fillId="3" borderId="2" xfId="0" applyFont="1" applyFill="1" applyBorder="1" applyAlignment="1" applyProtection="1">
      <alignment vertical="top" wrapText="1"/>
      <protection locked="0"/>
    </xf>
    <xf numFmtId="169" fontId="10" fillId="3" borderId="2" xfId="0" applyNumberFormat="1" applyFont="1" applyFill="1" applyBorder="1" applyAlignment="1" applyProtection="1">
      <alignment horizontal="left" vertical="center"/>
      <protection locked="0"/>
    </xf>
    <xf numFmtId="164" fontId="10" fillId="4" borderId="3" xfId="0" applyNumberFormat="1" applyFont="1" applyFill="1" applyBorder="1" applyAlignment="1">
      <alignment vertical="center"/>
    </xf>
    <xf numFmtId="170" fontId="10" fillId="4" borderId="3" xfId="0" applyNumberFormat="1" applyFont="1" applyFill="1" applyBorder="1" applyAlignment="1">
      <alignment vertical="center"/>
    </xf>
    <xf numFmtId="164" fontId="9" fillId="4" borderId="3" xfId="0" applyNumberFormat="1" applyFont="1" applyFill="1" applyBorder="1" applyAlignment="1">
      <alignment vertical="center"/>
    </xf>
    <xf numFmtId="166" fontId="9" fillId="4" borderId="3" xfId="0" applyNumberFormat="1" applyFont="1" applyFill="1" applyBorder="1" applyAlignment="1">
      <alignment vertical="center"/>
    </xf>
    <xf numFmtId="166" fontId="10" fillId="4" borderId="3" xfId="0" applyNumberFormat="1" applyFont="1" applyFill="1" applyBorder="1" applyAlignment="1">
      <alignment vertical="center"/>
    </xf>
    <xf numFmtId="0" fontId="10" fillId="4" borderId="3" xfId="0" applyFont="1" applyFill="1" applyBorder="1" applyAlignment="1">
      <alignment vertical="center"/>
    </xf>
    <xf numFmtId="167" fontId="9" fillId="4" borderId="3" xfId="0" applyNumberFormat="1" applyFont="1" applyFill="1" applyBorder="1" applyAlignment="1">
      <alignment vertical="center"/>
    </xf>
    <xf numFmtId="168" fontId="10" fillId="4" borderId="3" xfId="0" applyNumberFormat="1" applyFont="1" applyFill="1" applyBorder="1" applyAlignment="1">
      <alignment vertical="center"/>
    </xf>
    <xf numFmtId="0" fontId="21" fillId="4" borderId="3" xfId="0" applyFont="1" applyFill="1" applyBorder="1" applyAlignment="1">
      <alignment vertical="center"/>
    </xf>
    <xf numFmtId="0" fontId="19" fillId="2" borderId="5" xfId="0" applyFont="1" applyFill="1" applyBorder="1" applyAlignment="1">
      <alignment horizontal="left" vertical="center" wrapText="1"/>
    </xf>
    <xf numFmtId="168" fontId="10" fillId="3" borderId="2" xfId="0" applyNumberFormat="1" applyFont="1" applyFill="1" applyBorder="1" applyAlignment="1" applyProtection="1">
      <alignment horizontal="center" vertical="center"/>
      <protection locked="0"/>
    </xf>
    <xf numFmtId="166" fontId="9" fillId="4" borderId="6" xfId="0" applyNumberFormat="1" applyFont="1" applyFill="1" applyBorder="1" applyAlignment="1">
      <alignment vertical="center"/>
    </xf>
    <xf numFmtId="166" fontId="15" fillId="4" borderId="3" xfId="0" applyNumberFormat="1" applyFont="1" applyFill="1" applyBorder="1" applyAlignment="1">
      <alignment horizontal="center" vertical="center"/>
    </xf>
    <xf numFmtId="165" fontId="10" fillId="4" borderId="3" xfId="0" applyNumberFormat="1" applyFont="1" applyFill="1" applyBorder="1" applyAlignment="1">
      <alignment vertical="center"/>
    </xf>
    <xf numFmtId="167" fontId="10" fillId="4" borderId="3" xfId="0" applyNumberFormat="1" applyFont="1" applyFill="1" applyBorder="1" applyAlignment="1">
      <alignment vertical="center"/>
    </xf>
    <xf numFmtId="0" fontId="18" fillId="0" borderId="0" xfId="0" applyFont="1" applyAlignment="1">
      <alignment vertical="center"/>
    </xf>
    <xf numFmtId="0" fontId="22" fillId="9" borderId="7" xfId="0" applyFont="1" applyFill="1" applyBorder="1" applyAlignment="1">
      <alignment vertical="center" wrapText="1"/>
    </xf>
    <xf numFmtId="166" fontId="4" fillId="9" borderId="8" xfId="0" applyNumberFormat="1" applyFont="1" applyFill="1" applyBorder="1" applyAlignment="1">
      <alignment horizontal="left" vertical="center"/>
    </xf>
    <xf numFmtId="165" fontId="4" fillId="9" borderId="8" xfId="0" applyNumberFormat="1" applyFont="1" applyFill="1" applyBorder="1" applyAlignment="1">
      <alignment horizontal="left" vertical="center"/>
    </xf>
    <xf numFmtId="168" fontId="4" fillId="9" borderId="8" xfId="0" applyNumberFormat="1" applyFont="1" applyFill="1" applyBorder="1" applyAlignment="1">
      <alignment horizontal="left" vertical="center"/>
    </xf>
    <xf numFmtId="0" fontId="23" fillId="9" borderId="8" xfId="0" applyFont="1" applyFill="1" applyBorder="1" applyAlignment="1">
      <alignment vertical="center"/>
    </xf>
    <xf numFmtId="171" fontId="23" fillId="9" borderId="8" xfId="0" applyNumberFormat="1" applyFont="1" applyFill="1" applyBorder="1" applyAlignment="1">
      <alignment horizontal="left" vertical="center"/>
    </xf>
    <xf numFmtId="0" fontId="22" fillId="9" borderId="9" xfId="0" applyFont="1" applyFill="1" applyBorder="1" applyAlignment="1">
      <alignment vertical="center"/>
    </xf>
    <xf numFmtId="0" fontId="9" fillId="0" borderId="10" xfId="0" applyFont="1" applyBorder="1" applyAlignment="1">
      <alignment vertical="center"/>
    </xf>
    <xf numFmtId="168" fontId="9" fillId="0" borderId="10" xfId="0" applyNumberFormat="1" applyFont="1" applyBorder="1" applyAlignment="1">
      <alignment horizontal="center" vertical="center"/>
    </xf>
    <xf numFmtId="0" fontId="9" fillId="0" borderId="10" xfId="0" applyFont="1" applyBorder="1" applyAlignment="1">
      <alignment vertical="top" wrapText="1"/>
    </xf>
    <xf numFmtId="0" fontId="10" fillId="0" borderId="10" xfId="0" applyFont="1" applyBorder="1" applyAlignment="1">
      <alignment vertical="top" wrapText="1"/>
    </xf>
    <xf numFmtId="0" fontId="10" fillId="0" borderId="10" xfId="0" applyFont="1" applyBorder="1" applyAlignment="1">
      <alignment horizontal="center" vertical="top"/>
    </xf>
    <xf numFmtId="0" fontId="10" fillId="0" borderId="10" xfId="0" applyFont="1" applyBorder="1" applyAlignment="1">
      <alignment vertical="center"/>
    </xf>
    <xf numFmtId="0" fontId="10" fillId="0" borderId="10" xfId="0" applyFont="1" applyBorder="1" applyAlignment="1">
      <alignment vertical="center" wrapText="1"/>
    </xf>
    <xf numFmtId="0" fontId="10" fillId="0" borderId="10" xfId="0" applyFont="1" applyBorder="1" applyAlignment="1">
      <alignment horizontal="center" vertical="center"/>
    </xf>
    <xf numFmtId="0" fontId="8" fillId="0" borderId="0" xfId="0" applyFont="1" applyAlignment="1">
      <alignment vertical="center"/>
    </xf>
    <xf numFmtId="170" fontId="10" fillId="0" borderId="10" xfId="0" applyNumberFormat="1" applyFont="1" applyBorder="1" applyAlignment="1">
      <alignment vertical="center"/>
    </xf>
    <xf numFmtId="172" fontId="10" fillId="4" borderId="3" xfId="0" applyNumberFormat="1" applyFont="1" applyFill="1" applyBorder="1" applyAlignment="1">
      <alignment vertical="center"/>
    </xf>
    <xf numFmtId="172" fontId="10" fillId="0" borderId="10" xfId="0" applyNumberFormat="1" applyFont="1" applyBorder="1" applyAlignment="1">
      <alignment vertical="center"/>
    </xf>
    <xf numFmtId="0" fontId="10" fillId="4" borderId="3" xfId="0" applyFont="1" applyFill="1" applyBorder="1" applyAlignment="1">
      <alignment horizontal="center" vertical="center"/>
    </xf>
    <xf numFmtId="166" fontId="10" fillId="0" borderId="10" xfId="0" applyNumberFormat="1" applyFont="1" applyBorder="1" applyAlignment="1">
      <alignment vertical="center"/>
    </xf>
    <xf numFmtId="164" fontId="10" fillId="0" borderId="10" xfId="0" applyNumberFormat="1" applyFont="1" applyBorder="1" applyAlignment="1">
      <alignment vertical="center"/>
    </xf>
    <xf numFmtId="168" fontId="10" fillId="0" borderId="10" xfId="0" applyNumberFormat="1" applyFont="1" applyBorder="1" applyAlignment="1">
      <alignment vertical="center"/>
    </xf>
    <xf numFmtId="165" fontId="10" fillId="0" borderId="10" xfId="0" applyNumberFormat="1" applyFont="1" applyBorder="1" applyAlignment="1">
      <alignment vertical="center"/>
    </xf>
    <xf numFmtId="167" fontId="10" fillId="0" borderId="10" xfId="0" applyNumberFormat="1" applyFont="1" applyBorder="1" applyAlignment="1">
      <alignment vertical="center"/>
    </xf>
  </cellXfs>
  <cellStyles count="1">
    <cellStyle name="Normal" xfId="0" builtinId="0"/>
  </cellStyles>
  <dxfs count="4">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Piece price and cost by order quantity</a:t>
            </a:r>
          </a:p>
        </c:rich>
      </c:tx>
      <c:layout/>
    </c:title>
    <c:plotArea>
      <c:layout/>
      <c:barChart>
        <c:barDir val="col"/>
        <c:grouping val="clustered"/>
        <c:ser>
          <c:idx val="0"/>
          <c:order val="0"/>
          <c:tx>
            <c:v>Piece price</c:v>
          </c:tx>
          <c:spPr>
            <a:solidFill>
              <a:srgbClr val="3B64D8"/>
            </a:solidFill>
            <a:ln w="9525">
              <a:solidFill>
                <a:srgbClr val="FFFFFF"/>
              </a:solidFill>
            </a:ln>
          </c:spPr>
          <c:dLbls>
            <c:numFmt formatCode="0.000" sourceLinked="0"/>
            <c:txPr>
              <a:bodyPr/>
              <a:lstStyle/>
              <a:p>
                <a:pPr>
                  <a:defRPr sz="800" b="1" baseline="0">
                    <a:solidFill>
                      <a:srgbClr val="FFFFFF"/>
                    </a:solidFill>
                    <a:latin typeface="Calibri"/>
                  </a:defRPr>
                </a:pPr>
                <a:endParaRPr lang="en-US"/>
              </a:p>
            </c:txPr>
            <c:dLblPos val="inBase"/>
            <c:showVal val="1"/>
          </c:dLbls>
          <c:cat>
            <c:numRef>
              <c:f>Dashboard!$E$41:$I$41</c:f>
              <c:numCache>
                <c:formatCode>General</c:formatCode>
                <c:ptCount val="5"/>
                <c:pt idx="0">
                  <c:v>2000</c:v>
                </c:pt>
                <c:pt idx="1">
                  <c:v>5000</c:v>
                </c:pt>
                <c:pt idx="2">
                  <c:v>10000</c:v>
                </c:pt>
                <c:pt idx="3">
                  <c:v>25000</c:v>
                </c:pt>
                <c:pt idx="4">
                  <c:v>50000</c:v>
                </c:pt>
              </c:numCache>
            </c:numRef>
          </c:cat>
          <c:val>
            <c:numRef>
              <c:f>'Cost Builder'!$D$79:$H$79</c:f>
              <c:numCache>
                <c:formatCode>General</c:formatCode>
                <c:ptCount val="5"/>
                <c:pt idx="0">
                  <c:v>0.928</c:v>
                </c:pt>
                <c:pt idx="1">
                  <c:v>0.855</c:v>
                </c:pt>
                <c:pt idx="2">
                  <c:v>0.831</c:v>
                </c:pt>
                <c:pt idx="3">
                  <c:v>0.817</c:v>
                </c:pt>
                <c:pt idx="4">
                  <c:v>0.812</c:v>
                </c:pt>
              </c:numCache>
            </c:numRef>
          </c:val>
        </c:ser>
        <c:gapWidth val="60"/>
        <c:overlap val="-10"/>
        <c:axId val="50010001"/>
        <c:axId val="50010002"/>
      </c:barChart>
      <c:lineChart>
        <c:grouping val="standard"/>
        <c:ser>
          <c:idx val="1"/>
          <c:order val="1"/>
          <c:tx>
            <c:v>Cost per part</c:v>
          </c:tx>
          <c:spPr>
            <a:ln w="28575">
              <a:solidFill>
                <a:srgbClr val="E8702A"/>
              </a:solidFill>
            </a:ln>
          </c:spPr>
          <c:marker>
            <c:symbol val="circle"/>
            <c:size val="5"/>
            <c:spPr>
              <a:solidFill>
                <a:srgbClr val="E8702A"/>
              </a:solidFill>
              <a:ln>
                <a:solidFill>
                  <a:srgbClr val="E8702A"/>
                </a:solidFill>
              </a:ln>
            </c:spPr>
          </c:marker>
          <c:cat>
            <c:numRef>
              <c:f>Dashboard!$E$41:$I$41</c:f>
              <c:numCache>
                <c:formatCode>General</c:formatCode>
                <c:ptCount val="5"/>
                <c:pt idx="0">
                  <c:v>2000</c:v>
                </c:pt>
                <c:pt idx="1">
                  <c:v>5000</c:v>
                </c:pt>
                <c:pt idx="2">
                  <c:v>10000</c:v>
                </c:pt>
                <c:pt idx="3">
                  <c:v>25000</c:v>
                </c:pt>
                <c:pt idx="4">
                  <c:v>50000</c:v>
                </c:pt>
              </c:numCache>
            </c:numRef>
          </c:cat>
          <c:val>
            <c:numRef>
              <c:f>'Cost Builder'!$D$78:$H$78</c:f>
              <c:numCache>
                <c:formatCode>General</c:formatCode>
                <c:ptCount val="5"/>
                <c:pt idx="0">
                  <c:v>0.741869340101523</c:v>
                </c:pt>
                <c:pt idx="1">
                  <c:v>0.683921340101523</c:v>
                </c:pt>
                <c:pt idx="2">
                  <c:v>0.664605340101523</c:v>
                </c:pt>
                <c:pt idx="3">
                  <c:v>0.653015740101523</c:v>
                </c:pt>
                <c:pt idx="4">
                  <c:v>0.649152540101523</c:v>
                </c:pt>
              </c:numCache>
            </c:numRef>
          </c:val>
        </c:ser>
        <c:marker val="1"/>
        <c:axId val="50010001"/>
        <c:axId val="50010002"/>
      </c:lineChart>
      <c:catAx>
        <c:axId val="50010001"/>
        <c:scaling>
          <c:orientation val="minMax"/>
        </c:scaling>
        <c:axPos val="b"/>
        <c:numFmt formatCode="#,##0" sourceLinked="0"/>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min val="0"/>
        </c:scaling>
        <c:axPos val="l"/>
        <c:majorGridlines>
          <c:spPr>
            <a:ln w="9525">
              <a:solidFill>
                <a:srgbClr val="E6E9EE"/>
              </a:solidFill>
            </a:ln>
          </c:spPr>
        </c:majorGridlines>
        <c:numFmt formatCode="0.0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Where the cost per part goes</a:t>
            </a:r>
          </a:p>
        </c:rich>
      </c:tx>
      <c:layout/>
    </c:title>
    <c:plotArea>
      <c:layout/>
      <c:barChart>
        <c:barDir val="col"/>
        <c:grouping val="stacked"/>
        <c:ser>
          <c:idx val="0"/>
          <c:order val="0"/>
          <c:tx>
            <c:v>Resin</c:v>
          </c:tx>
          <c:spPr>
            <a:solidFill>
              <a:srgbClr val="3B64D8"/>
            </a:solidFill>
            <a:ln w="9525">
              <a:solidFill>
                <a:srgbClr val="FFFFFF"/>
              </a:solidFill>
            </a:ln>
          </c:spPr>
          <c:cat>
            <c:numRef>
              <c:f>Dashboard!$E$41:$I$41</c:f>
              <c:numCache>
                <c:formatCode>General</c:formatCode>
                <c:ptCount val="5"/>
                <c:pt idx="0">
                  <c:v>2000</c:v>
                </c:pt>
                <c:pt idx="1">
                  <c:v>5000</c:v>
                </c:pt>
                <c:pt idx="2">
                  <c:v>10000</c:v>
                </c:pt>
                <c:pt idx="3">
                  <c:v>25000</c:v>
                </c:pt>
                <c:pt idx="4">
                  <c:v>50000</c:v>
                </c:pt>
              </c:numCache>
            </c:numRef>
          </c:cat>
          <c:val>
            <c:numRef>
              <c:f>Dashboard!$E$42:$I$42</c:f>
              <c:numCache>
                <c:formatCode>General</c:formatCode>
                <c:ptCount val="5"/>
                <c:pt idx="0">
                  <c:v>0.122345177664975</c:v>
                </c:pt>
                <c:pt idx="1">
                  <c:v>0.122345177664975</c:v>
                </c:pt>
                <c:pt idx="2">
                  <c:v>0.122345177664975</c:v>
                </c:pt>
                <c:pt idx="3">
                  <c:v>0.122345177664975</c:v>
                </c:pt>
                <c:pt idx="4">
                  <c:v>0.122345177664975</c:v>
                </c:pt>
              </c:numCache>
            </c:numRef>
          </c:val>
        </c:ser>
        <c:ser>
          <c:idx val="1"/>
          <c:order val="1"/>
          <c:tx>
            <c:v>Press time and overhead</c:v>
          </c:tx>
          <c:spPr>
            <a:solidFill>
              <a:srgbClr val="E8702A"/>
            </a:solidFill>
            <a:ln w="9525">
              <a:solidFill>
                <a:srgbClr val="FFFFFF"/>
              </a:solidFill>
            </a:ln>
          </c:spPr>
          <c:cat>
            <c:numRef>
              <c:f>Dashboard!$E$41:$I$41</c:f>
              <c:numCache>
                <c:formatCode>General</c:formatCode>
                <c:ptCount val="5"/>
                <c:pt idx="0">
                  <c:v>2000</c:v>
                </c:pt>
                <c:pt idx="1">
                  <c:v>5000</c:v>
                </c:pt>
                <c:pt idx="2">
                  <c:v>10000</c:v>
                </c:pt>
                <c:pt idx="3">
                  <c:v>25000</c:v>
                </c:pt>
                <c:pt idx="4">
                  <c:v>50000</c:v>
                </c:pt>
              </c:numCache>
            </c:numRef>
          </c:cat>
          <c:val>
            <c:numRef>
              <c:f>Dashboard!$E$43:$I$43</c:f>
              <c:numCache>
                <c:formatCode>General</c:formatCode>
                <c:ptCount val="5"/>
                <c:pt idx="0">
                  <c:v>0.151724162436548</c:v>
                </c:pt>
                <c:pt idx="1">
                  <c:v>0.146456162436548</c:v>
                </c:pt>
                <c:pt idx="2">
                  <c:v>0.144700162436548</c:v>
                </c:pt>
                <c:pt idx="3">
                  <c:v>0.143646562436548</c:v>
                </c:pt>
                <c:pt idx="4">
                  <c:v>0.143295362436548</c:v>
                </c:pt>
              </c:numCache>
            </c:numRef>
          </c:val>
        </c:ser>
        <c:ser>
          <c:idx val="2"/>
          <c:order val="2"/>
          <c:tx>
            <c:v>Secondary and packing</c:v>
          </c:tx>
          <c:spPr>
            <a:solidFill>
              <a:srgbClr val="1BA37A"/>
            </a:solidFill>
            <a:ln w="9525">
              <a:solidFill>
                <a:srgbClr val="FFFFFF"/>
              </a:solidFill>
            </a:ln>
          </c:spPr>
          <c:cat>
            <c:numRef>
              <c:f>Dashboard!$E$41:$I$41</c:f>
              <c:numCache>
                <c:formatCode>General</c:formatCode>
                <c:ptCount val="5"/>
                <c:pt idx="0">
                  <c:v>2000</c:v>
                </c:pt>
                <c:pt idx="1">
                  <c:v>5000</c:v>
                </c:pt>
                <c:pt idx="2">
                  <c:v>10000</c:v>
                </c:pt>
                <c:pt idx="3">
                  <c:v>25000</c:v>
                </c:pt>
                <c:pt idx="4">
                  <c:v>50000</c:v>
                </c:pt>
              </c:numCache>
            </c:numRef>
          </c:cat>
          <c:val>
            <c:numRef>
              <c:f>Dashboard!$E$44:$I$44</c:f>
              <c:numCache>
                <c:formatCode>General</c:formatCode>
                <c:ptCount val="5"/>
                <c:pt idx="0">
                  <c:v>0.253333333333333</c:v>
                </c:pt>
                <c:pt idx="1">
                  <c:v>0.253333333333333</c:v>
                </c:pt>
                <c:pt idx="2">
                  <c:v>0.253333333333333</c:v>
                </c:pt>
                <c:pt idx="3">
                  <c:v>0.253333333333333</c:v>
                </c:pt>
                <c:pt idx="4">
                  <c:v>0.253333333333333</c:v>
                </c:pt>
              </c:numCache>
            </c:numRef>
          </c:val>
        </c:ser>
        <c:ser>
          <c:idx val="3"/>
          <c:order val="3"/>
          <c:tx>
            <c:v>Changeover</c:v>
          </c:tx>
          <c:spPr>
            <a:solidFill>
              <a:srgbClr val="E0A100"/>
            </a:solidFill>
            <a:ln w="9525">
              <a:solidFill>
                <a:srgbClr val="FFFFFF"/>
              </a:solidFill>
            </a:ln>
          </c:spPr>
          <c:cat>
            <c:numRef>
              <c:f>Dashboard!$E$41:$I$41</c:f>
              <c:numCache>
                <c:formatCode>General</c:formatCode>
                <c:ptCount val="5"/>
                <c:pt idx="0">
                  <c:v>2000</c:v>
                </c:pt>
                <c:pt idx="1">
                  <c:v>5000</c:v>
                </c:pt>
                <c:pt idx="2">
                  <c:v>10000</c:v>
                </c:pt>
                <c:pt idx="3">
                  <c:v>25000</c:v>
                </c:pt>
                <c:pt idx="4">
                  <c:v>50000</c:v>
                </c:pt>
              </c:numCache>
            </c:numRef>
          </c:cat>
          <c:val>
            <c:numRef>
              <c:f>Dashboard!$E$45:$I$45</c:f>
              <c:numCache>
                <c:formatCode>General</c:formatCode>
                <c:ptCount val="5"/>
                <c:pt idx="0">
                  <c:v>0.0878</c:v>
                </c:pt>
                <c:pt idx="1">
                  <c:v>0.03512</c:v>
                </c:pt>
                <c:pt idx="2">
                  <c:v>0.01756</c:v>
                </c:pt>
                <c:pt idx="3">
                  <c:v>0.007024</c:v>
                </c:pt>
                <c:pt idx="4">
                  <c:v>0.003512</c:v>
                </c:pt>
              </c:numCache>
            </c:numRef>
          </c:val>
        </c:ser>
        <c:ser>
          <c:idx val="4"/>
          <c:order val="4"/>
          <c:tx>
            <c:v>Mold amortisation</c:v>
          </c:tx>
          <c:spPr>
            <a:solidFill>
              <a:srgbClr val="D0558A"/>
            </a:solidFill>
            <a:ln w="9525">
              <a:solidFill>
                <a:srgbClr val="FFFFFF"/>
              </a:solidFill>
            </a:ln>
          </c:spPr>
          <c:cat>
            <c:numRef>
              <c:f>Dashboard!$E$41:$I$41</c:f>
              <c:numCache>
                <c:formatCode>General</c:formatCode>
                <c:ptCount val="5"/>
                <c:pt idx="0">
                  <c:v>2000</c:v>
                </c:pt>
                <c:pt idx="1">
                  <c:v>5000</c:v>
                </c:pt>
                <c:pt idx="2">
                  <c:v>10000</c:v>
                </c:pt>
                <c:pt idx="3">
                  <c:v>25000</c:v>
                </c:pt>
                <c:pt idx="4">
                  <c:v>50000</c:v>
                </c:pt>
              </c:numCache>
            </c:numRef>
          </c:cat>
          <c:val>
            <c:numRef>
              <c:f>Dashboard!$E$46:$I$46</c:f>
              <c:numCache>
                <c:formatCode>General</c:formatCode>
                <c:ptCount val="5"/>
                <c:pt idx="0">
                  <c:v>0.126666666666667</c:v>
                </c:pt>
                <c:pt idx="1">
                  <c:v>0.126666666666667</c:v>
                </c:pt>
                <c:pt idx="2">
                  <c:v>0.126666666666667</c:v>
                </c:pt>
                <c:pt idx="3">
                  <c:v>0.126666666666667</c:v>
                </c:pt>
                <c:pt idx="4">
                  <c:v>0.126666666666667</c:v>
                </c:pt>
              </c:numCache>
            </c:numRef>
          </c:val>
        </c:ser>
        <c:gapWidth val="60"/>
        <c:overlap val="100"/>
        <c:axId val="50020001"/>
        <c:axId val="50020002"/>
      </c:barChart>
      <c:catAx>
        <c:axId val="50020001"/>
        <c:scaling>
          <c:orientation val="minMax"/>
        </c:scaling>
        <c:axPos val="b"/>
        <c:numFmt formatCode="#,##0" sourceLinked="0"/>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min val="0"/>
        </c:scaling>
        <c:axPos val="l"/>
        <c:majorGridlines>
          <c:spPr>
            <a:ln w="9525">
              <a:solidFill>
                <a:srgbClr val="E6E9EE"/>
              </a:solidFill>
            </a:ln>
          </c:spPr>
        </c:majorGridlines>
        <c:numFmt formatCode="0.0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12</xdr:row>
      <xdr:rowOff>38100</xdr:rowOff>
    </xdr:from>
    <xdr:to>
      <xdr:col>5</xdr:col>
      <xdr:colOff>676275</xdr:colOff>
      <xdr:row>27</xdr:row>
      <xdr:rowOff>152400</xdr:rowOff>
    </xdr:to>
    <xdr:graphicFrame macro="">
      <xdr:nvGraphicFramePr>
        <xdr:cNvPr id="2" name="Chart 1" descr="Column chart of the piece price at each order quantity with the cost per part as a line; the changeover spreads over larger orders so both fall, then level off."/>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38100</xdr:colOff>
      <xdr:row>12</xdr:row>
      <xdr:rowOff>38100</xdr:rowOff>
    </xdr:from>
    <xdr:to>
      <xdr:col>11</xdr:col>
      <xdr:colOff>676275</xdr:colOff>
      <xdr:row>27</xdr:row>
      <xdr:rowOff>152400</xdr:rowOff>
    </xdr:to>
    <xdr:graphicFrame macro="">
      <xdr:nvGraphicFramePr>
        <xdr:cNvPr id="3" name="Chart 2" descr="Stacked column chart of cost per part at each order quantity, split into resin, press time and overhead, secondary work and packing, changeover and mold amortisation."/>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ables/table1.xml><?xml version="1.0" encoding="utf-8"?>
<table xmlns="http://schemas.openxmlformats.org/spreadsheetml/2006/main" id="1" name="tblPresses" displayName="tblPresses" ref="B22:E26" totalsRowShown="0">
  <autoFilter ref="B22:E26"/>
  <tableColumns count="4">
    <tableColumn id="1" name="Press"/>
    <tableColumn id="2" name="Clamp (t)"/>
    <tableColumn id="3" name="Rate per hour"/>
    <tableColumn id="4" name="Notes"/>
  </tableColumns>
  <tableStyleInfo name="TableStyleLight1" showFirstColumn="0" showLastColumn="0" showRowStripes="0" showColumnStripes="0"/>
</table>
</file>

<file path=xl/tables/table2.xml><?xml version="1.0" encoding="utf-8"?>
<table xmlns="http://schemas.openxmlformats.org/spreadsheetml/2006/main" id="2" name="tblResins" displayName="tblResins" ref="B30:E35" totalsRowShown="0">
  <autoFilter ref="B30:E35"/>
  <tableColumns count="4">
    <tableColumn id="1" name="Resin"/>
    <tableColumn id="2" name="Price"/>
    <tableColumn id="3" name="Per"/>
    <tableColumn id="4" name="Notes"/>
  </tableColumns>
  <tableStyleInfo name="TableStyleLight1" showFirstColumn="0" showLastColumn="0" showRowStripes="0" showColumnStripes="0"/>
</table>
</file>

<file path=xl/tables/table3.xml><?xml version="1.0" encoding="utf-8"?>
<table xmlns="http://schemas.openxmlformats.org/spreadsheetml/2006/main" id="3" name="tblExtras" displayName="tblExtras" ref="B50:F53" totalsRowShown="0">
  <autoFilter ref="B50:F53"/>
  <tableColumns count="5">
    <tableColumn id="1" name="Item"/>
    <tableColumn id="2" name="Labour (s/part)"/>
    <tableColumn id="3" name="Bought-in"/>
    <tableColumn id="4" name="Cost per part">
      <calculatedColumnFormula>IF(tblExtras[[#This Row],[Item]]="","",tblExtras[[#This Row],[Labour (s/part)]]/3600*LabourRate+tblExtras[[#This Row],[Bought-in]])</calculatedColumnFormula>
    </tableColumn>
    <tableColumn id="5" name="Check">
      <calculatedColumnFormula>IF(tblExtras[[#This Row],[Item]]="","",IF(AND(N(tblExtras[[#This Row],[Labour (s/part)]])=0,N(tblExtras[[#This Row],[Bought-in]])=0),"Enter labour or bought-in cost","OK"))</calculatedColumnFormula>
    </tableColumn>
  </tableColumns>
  <tableStyleInfo name="TableStyleLight1" showFirstColumn="0" showLastColumn="0" showRowStripes="0" showColumnStripes="0"/>
</table>
</file>

<file path=xl/tables/table4.xml><?xml version="1.0" encoding="utf-8"?>
<table xmlns="http://schemas.openxmlformats.org/spreadsheetml/2006/main" id="4" name="tblVerifyExtras" displayName="tblVerifyExtras" ref="B45:F49" totalsRowShown="0">
  <tableColumns count="5">
    <tableColumn id="1" name="Item"/>
    <tableColumn id="2" name="Labour (s/part)"/>
    <tableColumn id="3" name="Bought-in"/>
    <tableColumn id="4" name="Cost per part">
      <calculatedColumnFormula>IF(tblVerifyExtras[[#This Row],[Item]]="","",tblVerifyExtras[[#This Row],[Labour (s/part)]]/3600*$E$36+tblVerifyExtras[[#This Row],[Bought-in]])</calculatedColumnFormula>
    </tableColumn>
    <tableColumn id="5" name="Check">
      <calculatedColumnFormula>IF(tblVerifyExtras[[#This Row],[Item]]="","",IF(AND(N(tblVerifyExtras[[#This Row],[Labour (s/part)]])=0,N(tblVerifyExtras[[#This Row],[Bought-in]])=0),"Enter labour or bought-in cost","OK"))</calculatedColumnFormula>
    </tableColumn>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injection-molding-cost" TargetMode="External"/><Relationship Id="rId2" Type="http://schemas.openxmlformats.org/officeDocument/2006/relationships/hyperlink" Target="https://www.mfgcalcs.com/calculators/injection-molding-plastics/molded-part-cost?utm_source=mfgcalcs-template&amp;utm_medium=xlsx&amp;utm_campaign=injection-molding-cost" TargetMode="External"/><Relationship Id="rId3" Type="http://schemas.openxmlformats.org/officeDocument/2006/relationships/hyperlink" Target="https://www.mfgcalcs.com/templates/injection-molding-cost?utm_source=mfgcalcs-template&amp;utm_medium=xlsx&amp;utm_campaign=injection-molding-cost" TargetMode="External"/><Relationship Id="rId4" Type="http://schemas.openxmlformats.org/officeDocument/2006/relationships/hyperlink" Target="https://www.mfgcalcs.com/templates?utm_source=mfgcalcs-template&amp;utm_medium=xlsx&amp;utm_campaign=injection-molding-cost"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injection-molding-cost" TargetMode="External"/><Relationship Id="rId2" Type="http://schemas.openxmlformats.org/officeDocument/2006/relationships/table" Target="../tables/table1.xml"/><Relationship Id="rId3"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injection-molding-cost" TargetMode="External"/><Relationship Id="rId2"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injection-molding-cost" TargetMode="External"/><Relationship Id="rId2"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injection-molding-cost" TargetMode="External"/><Relationship Id="rId2" Type="http://schemas.openxmlformats.org/officeDocument/2006/relationships/hyperlink" Target="https://www.mfgcalcs.com/calculators/injection-molding-plastics/molded-part-cost?utm_source=mfgcalcs-template&amp;utm_medium=xlsx&amp;utm_campaign=injection-molding-cost"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injection-molding-cost" TargetMode="External"/><Relationship Id="rId2"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6"/>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16.2" customHeight="1">
      <c r="B12" s="9" t="s">
        <v>7</v>
      </c>
      <c r="C12" s="10" t="s">
        <v>8</v>
      </c>
      <c r="D12" s="10"/>
      <c r="E12" s="10"/>
      <c r="F12" s="10"/>
    </row>
    <row r="13" spans="1:6" ht="29.4" customHeight="1">
      <c r="B13" s="9" t="s">
        <v>9</v>
      </c>
      <c r="C13" s="10" t="s">
        <v>10</v>
      </c>
      <c r="D13" s="10"/>
      <c r="E13" s="10"/>
      <c r="F13" s="10"/>
    </row>
    <row r="14" spans="1:6" ht="29.4" customHeight="1">
      <c r="B14" s="9" t="s">
        <v>11</v>
      </c>
      <c r="C14" s="10" t="s">
        <v>12</v>
      </c>
      <c r="D14" s="10"/>
      <c r="E14" s="10"/>
      <c r="F14" s="10"/>
    </row>
    <row r="15" spans="1:6" ht="16.2" customHeight="1">
      <c r="B15" s="9" t="s">
        <v>13</v>
      </c>
      <c r="C15" s="10" t="s">
        <v>14</v>
      </c>
      <c r="D15" s="10"/>
      <c r="E15" s="10"/>
      <c r="F15" s="10"/>
    </row>
    <row r="16" spans="1:6" ht="16.2" customHeight="1">
      <c r="B16" s="9" t="s">
        <v>15</v>
      </c>
      <c r="C16" s="10" t="s">
        <v>16</v>
      </c>
      <c r="D16" s="10"/>
      <c r="E16" s="10"/>
      <c r="F16" s="10"/>
    </row>
    <row r="18" spans="2:6" ht="21" customHeight="1">
      <c r="B18" s="8" t="s">
        <v>17</v>
      </c>
      <c r="C18" s="8"/>
      <c r="D18" s="8"/>
      <c r="E18" s="8"/>
      <c r="F18" s="8"/>
    </row>
    <row r="19" spans="2:6" ht="5" customHeight="1"/>
    <row r="20" spans="2:6" ht="16.2" customHeight="1">
      <c r="B20" s="11"/>
      <c r="C20" s="12" t="s">
        <v>18</v>
      </c>
      <c r="D20" s="10" t="s">
        <v>1</v>
      </c>
      <c r="E20" s="10"/>
      <c r="F20" s="10"/>
    </row>
    <row r="21" spans="2:6" ht="16.2" customHeight="1">
      <c r="B21" s="11"/>
      <c r="C21" s="12" t="s">
        <v>19</v>
      </c>
      <c r="D21" s="10" t="s">
        <v>20</v>
      </c>
      <c r="E21" s="10"/>
      <c r="F21" s="10"/>
    </row>
    <row r="22" spans="2:6" ht="29.4" customHeight="1">
      <c r="B22" s="11"/>
      <c r="C22" s="12" t="s">
        <v>21</v>
      </c>
      <c r="D22" s="10" t="s">
        <v>22</v>
      </c>
      <c r="E22" s="10"/>
      <c r="F22" s="10"/>
    </row>
    <row r="23" spans="2:6" ht="29.4" customHeight="1">
      <c r="B23" s="11"/>
      <c r="C23" s="12" t="s">
        <v>23</v>
      </c>
      <c r="D23" s="10" t="s">
        <v>24</v>
      </c>
      <c r="E23" s="10"/>
      <c r="F23" s="10"/>
    </row>
    <row r="24" spans="2:6" ht="16.2" customHeight="1">
      <c r="B24" s="11"/>
      <c r="C24" s="12" t="s">
        <v>25</v>
      </c>
      <c r="D24" s="10" t="s">
        <v>26</v>
      </c>
      <c r="E24" s="10"/>
      <c r="F24" s="10"/>
    </row>
    <row r="25" spans="2:6" ht="29.4" customHeight="1">
      <c r="B25" s="11"/>
      <c r="C25" s="12" t="s">
        <v>27</v>
      </c>
      <c r="D25" s="10" t="s">
        <v>28</v>
      </c>
      <c r="E25" s="10"/>
      <c r="F25" s="10"/>
    </row>
    <row r="27" spans="2:6" ht="21" customHeight="1">
      <c r="B27" s="8" t="s">
        <v>29</v>
      </c>
      <c r="C27" s="8"/>
      <c r="D27" s="8"/>
      <c r="E27" s="8"/>
      <c r="F27" s="8"/>
    </row>
    <row r="28" spans="2:6" ht="5" customHeight="1"/>
    <row r="29" spans="2:6" ht="29.4" customHeight="1">
      <c r="C29" s="13" t="s">
        <v>30</v>
      </c>
      <c r="D29" s="14" t="s">
        <v>31</v>
      </c>
      <c r="E29" s="14"/>
      <c r="F29" s="14"/>
    </row>
    <row r="30" spans="2:6" ht="29.4" customHeight="1">
      <c r="C30" s="15" t="s">
        <v>32</v>
      </c>
      <c r="D30" s="14" t="s">
        <v>33</v>
      </c>
      <c r="E30" s="14"/>
      <c r="F30" s="14"/>
    </row>
    <row r="31" spans="2:6" ht="16.2" customHeight="1">
      <c r="C31" s="16" t="s">
        <v>34</v>
      </c>
      <c r="D31" s="14" t="s">
        <v>35</v>
      </c>
      <c r="E31" s="14"/>
      <c r="F31" s="14"/>
    </row>
    <row r="32" spans="2:6" ht="18" customHeight="1">
      <c r="C32" s="17" t="s">
        <v>36</v>
      </c>
      <c r="D32" s="18" t="s">
        <v>37</v>
      </c>
      <c r="E32" s="19" t="s">
        <v>38</v>
      </c>
      <c r="F32" s="20" t="s">
        <v>39</v>
      </c>
    </row>
    <row r="33" spans="2:6" ht="26.76" customHeight="1">
      <c r="C33" s="21" t="s">
        <v>40</v>
      </c>
      <c r="D33" s="21"/>
      <c r="E33" s="21"/>
      <c r="F33" s="21"/>
    </row>
    <row r="35" spans="2:6" ht="21" customHeight="1">
      <c r="B35" s="8" t="s">
        <v>41</v>
      </c>
      <c r="C35" s="8"/>
      <c r="D35" s="8"/>
      <c r="E35" s="8"/>
      <c r="F35" s="8"/>
    </row>
    <row r="36" spans="2:6" ht="5" customHeight="1"/>
    <row r="37" spans="2:6" ht="26" customHeight="1">
      <c r="C37" s="17" t="s">
        <v>42</v>
      </c>
      <c r="D37" s="22" t="str">
        <f>SelfCheck</f>
        <v>PASS</v>
      </c>
      <c r="E37" s="23" t="str">
        <f>SelfCheckSummary</f>
        <v>20 of 20 checks pass</v>
      </c>
      <c r="F37" s="23"/>
    </row>
    <row r="38" spans="2:6" ht="26.76" customHeight="1">
      <c r="C38" s="21" t="s">
        <v>43</v>
      </c>
      <c r="D38" s="21"/>
      <c r="E38" s="21"/>
      <c r="F38" s="21"/>
    </row>
    <row r="39" spans="2:6">
      <c r="C39" s="17" t="s">
        <v>44</v>
      </c>
      <c r="D39" s="24" t="s">
        <v>45</v>
      </c>
      <c r="E39" s="24"/>
      <c r="F39" s="24"/>
    </row>
    <row r="40" spans="2:6">
      <c r="C40" s="17" t="s">
        <v>46</v>
      </c>
      <c r="D40" s="24" t="s">
        <v>47</v>
      </c>
      <c r="E40" s="24"/>
      <c r="F40" s="24"/>
    </row>
    <row r="41" spans="2:6">
      <c r="C41" s="17" t="s">
        <v>48</v>
      </c>
      <c r="D41" s="24" t="s">
        <v>49</v>
      </c>
      <c r="E41" s="24"/>
      <c r="F41" s="24"/>
    </row>
    <row r="42" spans="2:6">
      <c r="C42" s="17" t="s">
        <v>50</v>
      </c>
      <c r="D42" s="11" t="s">
        <v>51</v>
      </c>
      <c r="E42" s="11"/>
      <c r="F42" s="11"/>
    </row>
    <row r="44" spans="2:6" ht="21" customHeight="1">
      <c r="B44" s="8" t="s">
        <v>52</v>
      </c>
      <c r="C44" s="8"/>
      <c r="D44" s="8"/>
      <c r="E44" s="8"/>
      <c r="F44" s="8"/>
    </row>
    <row r="45" spans="2:6" ht="5" customHeight="1"/>
    <row r="46" spans="2:6" ht="61.8" customHeight="1">
      <c r="B46" s="25" t="s">
        <v>53</v>
      </c>
      <c r="C46" s="25"/>
      <c r="D46" s="25"/>
      <c r="E46" s="25"/>
      <c r="F46" s="25"/>
    </row>
    <row r="48" spans="2:6" ht="21" customHeight="1">
      <c r="B48" s="8" t="s">
        <v>54</v>
      </c>
      <c r="C48" s="8"/>
      <c r="D48" s="8"/>
      <c r="E48" s="8"/>
      <c r="F48" s="8"/>
    </row>
    <row r="49" spans="2:6" ht="5" customHeight="1"/>
    <row r="50" spans="2:6" ht="29.4" customHeight="1">
      <c r="B50" s="26" t="s">
        <v>55</v>
      </c>
      <c r="C50" s="10" t="s">
        <v>56</v>
      </c>
      <c r="D50" s="10"/>
      <c r="E50" s="10"/>
      <c r="F50" s="10"/>
    </row>
    <row r="51" spans="2:6" ht="16.2" customHeight="1">
      <c r="B51" s="26" t="s">
        <v>55</v>
      </c>
      <c r="C51" s="10" t="s">
        <v>57</v>
      </c>
      <c r="D51" s="10"/>
      <c r="E51" s="10"/>
      <c r="F51" s="10"/>
    </row>
    <row r="52" spans="2:6" ht="29.4" customHeight="1">
      <c r="B52" s="26" t="s">
        <v>55</v>
      </c>
      <c r="C52" s="10" t="s">
        <v>58</v>
      </c>
      <c r="D52" s="10"/>
      <c r="E52" s="10"/>
      <c r="F52" s="10"/>
    </row>
    <row r="53" spans="2:6" ht="16.2" customHeight="1">
      <c r="B53" s="26" t="s">
        <v>55</v>
      </c>
      <c r="C53" s="10" t="s">
        <v>59</v>
      </c>
      <c r="D53" s="10"/>
      <c r="E53" s="10"/>
      <c r="F53" s="10"/>
    </row>
    <row r="55" spans="2:6" ht="16.2" customHeight="1">
      <c r="B55" s="17" t="s">
        <v>60</v>
      </c>
      <c r="C55" s="17"/>
      <c r="D55" s="17"/>
      <c r="E55" s="17"/>
      <c r="F55" s="17"/>
    </row>
    <row r="56" spans="2:6" ht="26.76" customHeight="1">
      <c r="B56" s="21" t="s">
        <v>61</v>
      </c>
      <c r="C56" s="21"/>
      <c r="D56" s="21"/>
      <c r="E56" s="21"/>
      <c r="F56" s="21"/>
    </row>
  </sheetData>
  <sheetProtection sheet="1" formatColumns="0" formatRows="0"/>
  <mergeCells count="40">
    <mergeCell ref="A1:F1"/>
    <mergeCell ref="B2:E2"/>
    <mergeCell ref="D4:F4"/>
    <mergeCell ref="D5:F6"/>
    <mergeCell ref="D7:F7"/>
    <mergeCell ref="D8:F8"/>
    <mergeCell ref="B10:F10"/>
    <mergeCell ref="C12:F12"/>
    <mergeCell ref="C13:F13"/>
    <mergeCell ref="C14:F14"/>
    <mergeCell ref="C15:F15"/>
    <mergeCell ref="C16:F16"/>
    <mergeCell ref="B18:F18"/>
    <mergeCell ref="D20:F20"/>
    <mergeCell ref="D21:F21"/>
    <mergeCell ref="D22:F22"/>
    <mergeCell ref="D23:F23"/>
    <mergeCell ref="D24:F24"/>
    <mergeCell ref="D25:F25"/>
    <mergeCell ref="B27:F27"/>
    <mergeCell ref="D29:F29"/>
    <mergeCell ref="D30:F30"/>
    <mergeCell ref="D31:F31"/>
    <mergeCell ref="C33:F33"/>
    <mergeCell ref="B35:F35"/>
    <mergeCell ref="E37:F37"/>
    <mergeCell ref="C38:F38"/>
    <mergeCell ref="D39:F39"/>
    <mergeCell ref="D40:F40"/>
    <mergeCell ref="D41:F41"/>
    <mergeCell ref="D42:F42"/>
    <mergeCell ref="B44:F44"/>
    <mergeCell ref="B46:F46"/>
    <mergeCell ref="B48:F48"/>
    <mergeCell ref="C50:F50"/>
    <mergeCell ref="C51:F51"/>
    <mergeCell ref="C52:F52"/>
    <mergeCell ref="C53:F53"/>
    <mergeCell ref="B55:F55"/>
    <mergeCell ref="B56:F56"/>
  </mergeCells>
  <conditionalFormatting sqref="D37">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20" location="'Start Here'!A1" tooltip="Go to Start Here" display="Start Here"/>
    <hyperlink ref="C21" location="Setup!A1" tooltip="Go to Setup" display="Setup"/>
    <hyperlink ref="C22" location="'Cost Builder'!A1" tooltip="Go to Cost Builder" display="Cost Builder"/>
    <hyperlink ref="C23" location="Dashboard!A1" tooltip="Go to Dashboard" display="Dashboard"/>
    <hyperlink ref="C24" location="Method!A1" tooltip="Go to Method" display="Method"/>
    <hyperlink ref="C25" location="Verify!A1" tooltip="Go to Verify" display="Verify"/>
    <hyperlink ref="D39" r:id="rId2"/>
    <hyperlink ref="D40" r:id="rId3"/>
    <hyperlink ref="D41" r:id="rId4"/>
  </hyperlinks>
  <printOptions horizontalCentered="1"/>
  <pageMargins left="0.4" right="0.4" top="0.7" bottom="0.65" header="0.3" footer="0.3"/>
  <pageSetup fitToHeight="0" orientation="portrait"/>
  <headerFooter>
    <oddHeader>&amp;L&amp;8MFG Calcs - Injection Molding Part Cost&amp;R&amp;8&amp;A</oddHeader>
    <oddFooter>&amp;L&amp;8mfgcalcs.com - free manufacturing templates&amp;R&amp;8Page &amp;P of &amp;N</oddFooter>
  </headerFooter>
  <rowBreaks count="1" manualBreakCount="1">
    <brk id="33"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F35"/>
  <sheetViews>
    <sheetView showGridLines="0" workbookViewId="0"/>
  </sheetViews>
  <sheetFormatPr defaultRowHeight="15"/>
  <cols>
    <col min="1" max="1" width="2.7109375" customWidth="1"/>
    <col min="2" max="2" width="36.7109375" customWidth="1"/>
    <col min="3" max="3" width="14.7109375" customWidth="1"/>
    <col min="4" max="4" width="22.7109375" customWidth="1"/>
    <col min="5" max="5" width="10.7109375" customWidth="1"/>
    <col min="6" max="6" width="30.7109375" customWidth="1"/>
  </cols>
  <sheetData>
    <row r="1" spans="1:6" ht="30" customHeight="1">
      <c r="A1" s="1" t="s">
        <v>0</v>
      </c>
      <c r="B1" s="1"/>
      <c r="C1" s="1"/>
      <c r="D1" s="1"/>
      <c r="E1" s="1"/>
      <c r="F1" s="1"/>
    </row>
    <row r="2" spans="1:6" ht="21" customHeight="1">
      <c r="B2" s="2" t="s">
        <v>20</v>
      </c>
      <c r="C2" s="2"/>
      <c r="D2" s="2"/>
      <c r="E2" s="2"/>
      <c r="F2" s="3" t="s">
        <v>2</v>
      </c>
    </row>
    <row r="3" spans="1:6" ht="6" customHeight="1"/>
    <row r="4" spans="1:6" ht="21" customHeight="1">
      <c r="B4" s="8" t="s">
        <v>69</v>
      </c>
      <c r="C4" s="8"/>
      <c r="D4" s="8"/>
      <c r="E4" s="8"/>
      <c r="F4" s="8"/>
    </row>
    <row r="5" spans="1:6" ht="5" customHeight="1"/>
    <row r="6" spans="1:6">
      <c r="B6" s="27" t="s">
        <v>70</v>
      </c>
      <c r="C6" s="28" t="s">
        <v>71</v>
      </c>
      <c r="D6" s="28"/>
    </row>
    <row r="7" spans="1:6">
      <c r="B7" s="27" t="s">
        <v>72</v>
      </c>
      <c r="C7" s="28" t="s">
        <v>73</v>
      </c>
      <c r="D7" s="28"/>
    </row>
    <row r="9" spans="1:6" ht="21" customHeight="1">
      <c r="B9" s="8" t="s">
        <v>74</v>
      </c>
      <c r="C9" s="8"/>
      <c r="D9" s="8"/>
      <c r="E9" s="8"/>
      <c r="F9" s="8"/>
    </row>
    <row r="10" spans="1:6" ht="5" customHeight="1"/>
    <row r="11" spans="1:6">
      <c r="B11" s="27" t="s">
        <v>75</v>
      </c>
      <c r="C11" s="29">
        <v>28</v>
      </c>
      <c r="D11" s="7" t="str">
        <f>Currency&amp;"/h"</f>
        <v>USD/h</v>
      </c>
    </row>
    <row r="12" spans="1:6">
      <c r="B12" s="27" t="s">
        <v>76</v>
      </c>
      <c r="C12" s="30">
        <v>0.1</v>
      </c>
      <c r="D12" s="7"/>
    </row>
    <row r="13" spans="1:6">
      <c r="B13" s="27" t="s">
        <v>77</v>
      </c>
      <c r="C13" s="30">
        <v>0.2</v>
      </c>
      <c r="D13" s="7"/>
    </row>
    <row r="14" spans="1:6">
      <c r="B14" s="27" t="s">
        <v>78</v>
      </c>
      <c r="C14" s="31">
        <v>0.001</v>
      </c>
      <c r="D14" s="7" t="str">
        <f>Currency</f>
        <v>USD</v>
      </c>
    </row>
    <row r="15" spans="1:6">
      <c r="B15" s="27" t="s">
        <v>79</v>
      </c>
      <c r="C15" s="30">
        <v>0.85</v>
      </c>
      <c r="D15" s="7"/>
    </row>
    <row r="16" spans="1:6">
      <c r="B16" s="27" t="s">
        <v>80</v>
      </c>
      <c r="C16" s="32">
        <v>22.5</v>
      </c>
      <c r="D16" s="7" t="s">
        <v>81</v>
      </c>
    </row>
    <row r="18" spans="2:6" ht="21" customHeight="1">
      <c r="B18" s="8" t="s">
        <v>82</v>
      </c>
      <c r="C18" s="8"/>
      <c r="D18" s="8"/>
      <c r="E18" s="8"/>
      <c r="F18" s="8"/>
    </row>
    <row r="19" spans="2:6" ht="5" customHeight="1"/>
    <row r="20" spans="2:6">
      <c r="B20" s="33" t="s">
        <v>83</v>
      </c>
      <c r="C20" s="33"/>
      <c r="D20" s="33"/>
      <c r="E20" s="33"/>
    </row>
    <row r="21" spans="2:6" ht="14" customHeight="1">
      <c r="B21" s="34"/>
      <c r="C21" s="34"/>
      <c r="D21" s="34" t="str">
        <f>Currency&amp;"/h"</f>
        <v>USD/h</v>
      </c>
      <c r="E21" s="34"/>
    </row>
    <row r="22" spans="2:6" ht="20" customHeight="1">
      <c r="B22" s="35" t="s">
        <v>62</v>
      </c>
      <c r="C22" s="35" t="s">
        <v>63</v>
      </c>
      <c r="D22" s="35" t="s">
        <v>64</v>
      </c>
      <c r="E22" s="35" t="s">
        <v>65</v>
      </c>
    </row>
    <row r="23" spans="2:6">
      <c r="B23" s="28" t="s">
        <v>84</v>
      </c>
      <c r="C23" s="36">
        <v>85</v>
      </c>
      <c r="D23" s="29">
        <v>52</v>
      </c>
      <c r="E23" s="28" t="s">
        <v>85</v>
      </c>
    </row>
    <row r="24" spans="2:6">
      <c r="B24" s="28" t="s">
        <v>86</v>
      </c>
      <c r="C24" s="36">
        <v>150</v>
      </c>
      <c r="D24" s="29">
        <v>64</v>
      </c>
      <c r="E24" s="28" t="s">
        <v>87</v>
      </c>
    </row>
    <row r="25" spans="2:6">
      <c r="B25" s="28" t="s">
        <v>88</v>
      </c>
      <c r="C25" s="36">
        <v>250</v>
      </c>
      <c r="D25" s="29">
        <v>78</v>
      </c>
      <c r="E25" s="28" t="s">
        <v>87</v>
      </c>
    </row>
    <row r="26" spans="2:6">
      <c r="B26" s="28" t="s">
        <v>89</v>
      </c>
      <c r="C26" s="36">
        <v>450</v>
      </c>
      <c r="D26" s="29">
        <v>105</v>
      </c>
      <c r="E26" s="28" t="s">
        <v>90</v>
      </c>
    </row>
    <row r="28" spans="2:6">
      <c r="B28" s="33" t="s">
        <v>91</v>
      </c>
      <c r="C28" s="33"/>
      <c r="D28" s="33"/>
      <c r="E28" s="33"/>
    </row>
    <row r="29" spans="2:6" ht="14" customHeight="1">
      <c r="B29" s="34"/>
      <c r="C29" s="34" t="str">
        <f>Currency</f>
        <v>USD</v>
      </c>
      <c r="D29" s="34"/>
      <c r="E29" s="34"/>
    </row>
    <row r="30" spans="2:6" ht="20" customHeight="1">
      <c r="B30" s="35" t="s">
        <v>66</v>
      </c>
      <c r="C30" s="35" t="s">
        <v>67</v>
      </c>
      <c r="D30" s="35" t="s">
        <v>68</v>
      </c>
      <c r="E30" s="35" t="s">
        <v>65</v>
      </c>
    </row>
    <row r="31" spans="2:6">
      <c r="B31" s="28" t="s">
        <v>92</v>
      </c>
      <c r="C31" s="29">
        <v>2.6</v>
      </c>
      <c r="D31" s="28" t="s">
        <v>93</v>
      </c>
      <c r="E31" s="28" t="s">
        <v>94</v>
      </c>
    </row>
    <row r="32" spans="2:6">
      <c r="B32" s="28" t="s">
        <v>95</v>
      </c>
      <c r="C32" s="29">
        <v>1.55</v>
      </c>
      <c r="D32" s="28" t="s">
        <v>93</v>
      </c>
      <c r="E32" s="28" t="s">
        <v>96</v>
      </c>
    </row>
    <row r="33" spans="2:5">
      <c r="B33" s="28" t="s">
        <v>97</v>
      </c>
      <c r="C33" s="29">
        <v>4.9</v>
      </c>
      <c r="D33" s="28" t="s">
        <v>93</v>
      </c>
      <c r="E33" s="28" t="s">
        <v>96</v>
      </c>
    </row>
    <row r="34" spans="2:5">
      <c r="B34" s="28" t="s">
        <v>98</v>
      </c>
      <c r="C34" s="29">
        <v>1.95</v>
      </c>
      <c r="D34" s="28" t="s">
        <v>99</v>
      </c>
      <c r="E34" s="28" t="s">
        <v>100</v>
      </c>
    </row>
    <row r="35" spans="2:5">
      <c r="B35" s="28" t="s">
        <v>101</v>
      </c>
      <c r="C35" s="29">
        <v>3.1</v>
      </c>
      <c r="D35" s="28" t="s">
        <v>93</v>
      </c>
      <c r="E35" s="28" t="s">
        <v>96</v>
      </c>
    </row>
  </sheetData>
  <mergeCells count="9">
    <mergeCell ref="A1:F1"/>
    <mergeCell ref="B2:E2"/>
    <mergeCell ref="B4:F4"/>
    <mergeCell ref="C6:D6"/>
    <mergeCell ref="C7:D7"/>
    <mergeCell ref="B9:F9"/>
    <mergeCell ref="B18:F18"/>
    <mergeCell ref="B20:E20"/>
    <mergeCell ref="B28:E28"/>
  </mergeCells>
  <dataValidations count="16">
    <dataValidation type="textLength" allowBlank="1" showInputMessage="1" showErrorMessage="1" errorTitle="Check this entry" error="Text up to 80 characters." promptTitle="Company name" prompt="Text up to 80 characters." sqref="C6">
      <formula1>0</formula1>
      <formula2>80</formula2>
    </dataValidation>
    <dataValidation type="textLength" allowBlank="1" showInputMessage="1" showErrorMessage="1" errorTitle="Check this entry" error="Text up to 12 characters." promptTitle="Currency label" prompt="Text shown with every price, e.g. USD, INR, GBP, EUR, MXN. No exchange rate is applied. Text up to 12 characters." sqref="C7">
      <formula1>0</formula1>
      <formula2>12</formula2>
    </dataValidation>
    <dataValidation type="decimal" allowBlank="1" showInputMessage="1" showErrorMessage="1" errorTitle="Check this entry" error="Enter a number from 0 to 10,000." promptTitle="Labour rate for secondary work" prompt="Loaded hourly cost of the person doing inserts, printing and packing away from the press. Enter a number from 0 to 10,000." sqref="C11">
      <formula1>0</formula1>
      <formula2>10000</formula2>
    </dataValidation>
    <dataValidation type="decimal" allowBlank="1" showInputMessage="1" showErrorMessage="1" errorTitle="Check this entry" error="Enter a percentage from 0% to 500% (type 85% or 0.85)." promptTitle="Overhead on press time and ch..." prompt="Set to 0% if your press rates already include overhead (fully burdened rates). Enter a percentage from 0% to 500% (type 85% or 0.85)." sqref="C12">
      <formula1>0</formula1>
      <formula2>5</formula2>
    </dataValidation>
    <dataValidation type="decimal" allowBlank="1" showInputMessage="1" showErrorMessage="1" errorTitle="Check this entry" error="Enter a percentage from 0% to 95% (type 85% or 0.85)." promptTitle="Target margin on price" prompt="Margin on selling price: price = cost / (1 - margin). 20% margin is a 25% markup on cost. Enter a percentage from 0% to 95% (type 85% or 0.85)." sqref="C13">
      <formula1>0</formula1>
      <formula2>0.95</formula2>
    </dataValidation>
    <dataValidation type="decimal" allowBlank="1" showInputMessage="1" showErrorMessage="1" errorTitle="Check this entry" error="Enter a number from 0.0001 to 1,000." promptTitle="Round piece prices up to the ..." prompt="Enter a number from 0.0001 to 1,000." sqref="C14">
      <formula1>0.0001</formula1>
      <formula2>1000</formula2>
    </dataValidation>
    <dataValidation type="decimal" allowBlank="1" showInputMessage="1" showErrorMessage="1" errorTitle="Check this entry" error="Enter a percentage from 1% to 100% (type 85% or 0.85)." promptTitle="Press efficiency for scheduling" prompt="Share of scheduled press time that produces shots, from your OEE records. Used for press hours only; the press rate is charged per running hour. Enter a percentage from 1% to 100% (type 85% or 0.85)." sqref="C15">
      <formula1>0.01</formula1>
      <formula2>1</formula2>
    </dataValidation>
    <dataValidation type="decimal" allowBlank="1" showInputMessage="1" showErrorMessage="1" errorTitle="Check this entry" error="Enter a number from 1 to 24." promptTitle="Scheduled press hours per day" prompt="Enter a number from 1 to 24." sqref="C16">
      <formula1>1</formula1>
      <formula2>24</formula2>
    </dataValidation>
    <dataValidation type="textLength" allowBlank="1" showInputMessage="1" showErrorMessage="1" errorTitle="Check this entry" error="Text up to 40 characters." promptTitle="Press" prompt="Text up to 40 characters." sqref="B23:B126">
      <formula1>0</formula1>
      <formula2>40</formula2>
    </dataValidation>
    <dataValidation type="whole" allowBlank="1" showInputMessage="1" showErrorMessage="1" errorTitle="Check this entry" error="Enter a whole number from 1 to 10,000." promptTitle="Clamp (t)" prompt="Clamp force in tonnes (metric or US tons, as you list your presses). Enter a whole number from 1 to 10,000." sqref="C23:C126">
      <formula1>1</formula1>
      <formula2>10000</formula2>
    </dataValidation>
    <dataValidation type="decimal" allowBlank="1" showInputMessage="1" showErrorMessage="1" errorTitle="Check this entry" error="Enter a number from 0 to 100,000." promptTitle="Rate per hour" prompt="Your hourly rate for this press while running, operator share included. Enter a number from 0 to 100,000." sqref="D23:D126">
      <formula1>0</formula1>
      <formula2>100000</formula2>
    </dataValidation>
    <dataValidation type="textLength" allowBlank="1" showInputMessage="1" showErrorMessage="1" errorTitle="Check this entry" error="Text up to 120 characters." promptTitle="Notes" prompt="Text up to 120 characters." sqref="E23:E126">
      <formula1>0</formula1>
      <formula2>120</formula2>
    </dataValidation>
    <dataValidation type="textLength" allowBlank="1" showInputMessage="1" showErrorMessage="1" errorTitle="Check this entry" error="Text up to 60 characters." promptTitle="Resin" prompt="Text up to 60 characters." sqref="B31:B135">
      <formula1>0</formula1>
      <formula2>60</formula2>
    </dataValidation>
    <dataValidation type="decimal" allowBlank="1" showInputMessage="1" showErrorMessage="1" errorTitle="Check this entry" error="Enter a number from 0 to 1,000,000." promptTitle="Price" prompt="Delivered price per kg or per lb, as set in the Per column. Enter a number from 0 to 1,000,000." sqref="C31:C135">
      <formula1>0</formula1>
      <formula2>1000000.0</formula2>
    </dataValidation>
    <dataValidation type="list" allowBlank="1" showInputMessage="1" showErrorMessage="1" errorTitle="Check this entry" error="Pick one of: kg, lb." promptTitle="Per" prompt="Pick one of: kg, lb." sqref="D31:D135">
      <formula1>"kg,lb"</formula1>
    </dataValidation>
    <dataValidation type="textLength" allowBlank="1" showInputMessage="1" showErrorMessage="1" errorTitle="Check this entry" error="Text up to 120 characters." promptTitle="Notes" prompt="Text up to 120 characters." sqref="E31:E135">
      <formula1>0</formula1>
      <formula2>120</formula2>
    </dataValidation>
  </dataValidations>
  <hyperlinks>
    <hyperlink ref="F2" r:id="rId1" tooltip="Free manufacturing calculators and templates"/>
  </hyperlinks>
  <pageMargins left="0.4" right="0.4" top="0.7" bottom="0.65" header="0.3" footer="0.3"/>
  <pageSetup fitToHeight="0" orientation="portrait"/>
  <headerFooter>
    <oddHeader>&amp;L&amp;8MFG Calcs - Injection Molding Part Cost&amp;R&amp;8&amp;A</oddHeader>
    <oddFooter>&amp;L&amp;8mfgcalcs.com - free manufacturing templates&amp;R&amp;8Page &amp;P of &amp;N</oddFooter>
  </headerFooter>
  <tableParts count="2">
    <tablePart r:id="rId2"/>
    <tablePart r:id="rId3"/>
  </tableParts>
</worksheet>
</file>

<file path=xl/worksheets/sheet3.xml><?xml version="1.0" encoding="utf-8"?>
<worksheet xmlns="http://schemas.openxmlformats.org/spreadsheetml/2006/main" xmlns:r="http://schemas.openxmlformats.org/officeDocument/2006/relationships">
  <sheetPr>
    <tabColor rgb="FF3B64D8"/>
    <pageSetUpPr fitToPage="1"/>
  </sheetPr>
  <dimension ref="A1:I83"/>
  <sheetViews>
    <sheetView showGridLines="0" workbookViewId="0"/>
  </sheetViews>
  <sheetFormatPr defaultRowHeight="15"/>
  <cols>
    <col min="1" max="1" width="2.7109375" customWidth="1"/>
    <col min="2" max="2" width="36.7109375" customWidth="1"/>
    <col min="3" max="3" width="16.7109375" customWidth="1"/>
    <col min="4" max="8" width="13.7109375" customWidth="1"/>
    <col min="9" max="9" width="24.7109375" customWidth="1"/>
  </cols>
  <sheetData>
    <row r="1" spans="1:9" ht="30" customHeight="1">
      <c r="A1" s="1" t="s">
        <v>0</v>
      </c>
      <c r="B1" s="1"/>
      <c r="C1" s="1"/>
      <c r="D1" s="1"/>
      <c r="E1" s="1"/>
      <c r="F1" s="1"/>
      <c r="G1" s="1"/>
      <c r="H1" s="1"/>
      <c r="I1" s="1"/>
    </row>
    <row r="2" spans="1:9" ht="21" customHeight="1">
      <c r="B2" s="2" t="s">
        <v>22</v>
      </c>
      <c r="C2" s="2"/>
      <c r="D2" s="2"/>
      <c r="E2" s="2"/>
      <c r="F2" s="2"/>
      <c r="G2" s="2"/>
      <c r="H2" s="2"/>
      <c r="I2" s="3" t="s">
        <v>2</v>
      </c>
    </row>
    <row r="3" spans="1:9" ht="6" customHeight="1"/>
    <row r="4" spans="1:9" ht="21" customHeight="1">
      <c r="B4" s="37" t="s">
        <v>107</v>
      </c>
      <c r="C4" s="37"/>
      <c r="D4" s="37"/>
      <c r="E4" s="37"/>
      <c r="F4" s="37"/>
      <c r="G4" s="37"/>
      <c r="H4" s="37"/>
      <c r="I4" s="37"/>
    </row>
    <row r="6" spans="1:9" ht="21" customHeight="1">
      <c r="B6" s="8" t="s">
        <v>108</v>
      </c>
      <c r="C6" s="8"/>
      <c r="D6" s="8"/>
      <c r="E6" s="8"/>
      <c r="F6" s="8"/>
      <c r="G6" s="8"/>
      <c r="H6" s="8"/>
      <c r="I6" s="8"/>
    </row>
    <row r="7" spans="1:9" ht="5" customHeight="1"/>
    <row r="8" spans="1:9">
      <c r="B8" s="27" t="s">
        <v>109</v>
      </c>
      <c r="C8" s="38" t="s">
        <v>110</v>
      </c>
      <c r="D8" s="38"/>
      <c r="E8" s="38"/>
    </row>
    <row r="9" spans="1:9">
      <c r="B9" s="27" t="s">
        <v>111</v>
      </c>
      <c r="C9" s="38" t="s">
        <v>112</v>
      </c>
      <c r="D9" s="38"/>
      <c r="E9" s="38"/>
    </row>
    <row r="10" spans="1:9">
      <c r="B10" s="27" t="s">
        <v>113</v>
      </c>
      <c r="C10" s="38" t="s">
        <v>114</v>
      </c>
      <c r="D10" s="38"/>
      <c r="E10" s="38"/>
    </row>
    <row r="11" spans="1:9">
      <c r="B11" s="27" t="s">
        <v>115</v>
      </c>
      <c r="C11" s="39">
        <v>46308</v>
      </c>
      <c r="D11" s="39"/>
      <c r="E11" s="39"/>
    </row>
    <row r="12" spans="1:9">
      <c r="B12" s="27" t="s">
        <v>116</v>
      </c>
      <c r="C12" s="38" t="s">
        <v>117</v>
      </c>
      <c r="D12" s="38"/>
      <c r="E12" s="38"/>
    </row>
    <row r="14" spans="1:9" ht="21" customHeight="1">
      <c r="B14" s="8" t="s">
        <v>118</v>
      </c>
      <c r="C14" s="8"/>
      <c r="D14" s="8"/>
      <c r="E14" s="8"/>
      <c r="F14" s="8"/>
      <c r="G14" s="8"/>
      <c r="H14" s="8"/>
      <c r="I14" s="8"/>
    </row>
    <row r="15" spans="1:9" ht="5" customHeight="1"/>
    <row r="16" spans="1:9">
      <c r="B16" s="27" t="s">
        <v>66</v>
      </c>
      <c r="C16" s="28" t="s">
        <v>92</v>
      </c>
      <c r="D16" s="28"/>
    </row>
    <row r="17" spans="2:4">
      <c r="B17" s="27" t="s">
        <v>119</v>
      </c>
      <c r="C17" s="28" t="s">
        <v>120</v>
      </c>
      <c r="D17" s="28"/>
    </row>
    <row r="18" spans="2:4">
      <c r="B18" s="27" t="s">
        <v>121</v>
      </c>
      <c r="C18" s="29">
        <v>46</v>
      </c>
      <c r="D18" s="7" t="str">
        <f>WtUnit</f>
        <v>g</v>
      </c>
    </row>
    <row r="19" spans="2:4">
      <c r="B19" s="27" t="s">
        <v>122</v>
      </c>
      <c r="C19" s="29">
        <v>22</v>
      </c>
      <c r="D19" s="7" t="str">
        <f>WtUnit</f>
        <v>g</v>
      </c>
    </row>
    <row r="20" spans="2:4">
      <c r="B20" s="27" t="s">
        <v>123</v>
      </c>
      <c r="C20" s="36">
        <v>4</v>
      </c>
      <c r="D20" s="7"/>
    </row>
    <row r="21" spans="2:4">
      <c r="B21" s="27" t="s">
        <v>124</v>
      </c>
      <c r="C21" s="30">
        <v>0.015</v>
      </c>
      <c r="D21" s="7"/>
    </row>
    <row r="22" spans="2:4">
      <c r="B22" s="27" t="s">
        <v>125</v>
      </c>
      <c r="C22" s="30">
        <v>0.1</v>
      </c>
      <c r="D22" s="7"/>
    </row>
    <row r="23" spans="2:4">
      <c r="B23" s="27" t="s">
        <v>126</v>
      </c>
      <c r="C23" s="40">
        <f>PartWt*IF(WtUnit="oz",28.349523125,1)</f>
        <v>46</v>
      </c>
      <c r="D23" s="7" t="s">
        <v>120</v>
      </c>
    </row>
    <row r="24" spans="2:4">
      <c r="B24" s="27" t="s">
        <v>127</v>
      </c>
      <c r="C24" s="40">
        <f>(PartWt*Cavities+RunnerWt)*IF(WtUnit="oz",28.349523125,1)</f>
        <v>206</v>
      </c>
      <c r="D24" s="7" t="s">
        <v>120</v>
      </c>
    </row>
    <row r="25" spans="2:4">
      <c r="B25" s="27" t="s">
        <v>128</v>
      </c>
      <c r="C25" s="41">
        <f>Cavities*(1-Reject)</f>
        <v>3.94</v>
      </c>
      <c r="D25" s="7" t="s">
        <v>129</v>
      </c>
    </row>
    <row r="26" spans="2:4">
      <c r="B26" s="27" t="s">
        <v>130</v>
      </c>
      <c r="C26" s="40">
        <f>MIN(ShotG-GoodShot*PartG,RegrindMax*ShotG)</f>
        <v>20.6</v>
      </c>
      <c r="D26" s="7" t="s">
        <v>120</v>
      </c>
    </row>
    <row r="27" spans="2:4">
      <c r="B27" s="17" t="s">
        <v>131</v>
      </c>
      <c r="C27" s="42">
        <f>(ShotG-RegrindG)/GoodShot</f>
        <v>47.0558375634518</v>
      </c>
      <c r="D27" s="7" t="s">
        <v>120</v>
      </c>
    </row>
    <row r="28" spans="2:4">
      <c r="B28" s="27" t="s">
        <v>132</v>
      </c>
      <c r="C28" s="40">
        <f>IFERROR(INDEX(tblResins[Price],MATCH(Resin,tblResins[Resin],0))/IF(INDEX(tblResins[Per],MATCH(Resin,tblResins[Resin],0))="lb",0.45359237,1),"")</f>
        <v>2.6</v>
      </c>
      <c r="D28" s="7" t="str">
        <f>Currency&amp;"/kg"</f>
        <v>USD/kg</v>
      </c>
    </row>
    <row r="29" spans="2:4">
      <c r="B29" s="17" t="s">
        <v>133</v>
      </c>
      <c r="C29" s="43">
        <f>IF(PriceKg="","",VirginG*PriceKg/1000)</f>
        <v>0.122345177664975</v>
      </c>
      <c r="D29" s="7" t="str">
        <f>Currency&amp;"/part"</f>
        <v>USD/part</v>
      </c>
    </row>
    <row r="30" spans="2:4">
      <c r="B30" s="27" t="s">
        <v>134</v>
      </c>
      <c r="C30" s="44">
        <f>IF(PriceKg="","",ResinPP-PartG*PriceKg/1000)</f>
        <v>0.00274517766497463</v>
      </c>
      <c r="D30" s="7" t="str">
        <f>Currency&amp;"/part"</f>
        <v>USD/part</v>
      </c>
    </row>
    <row r="31" spans="2:4">
      <c r="B31" s="27" t="s">
        <v>135</v>
      </c>
      <c r="C31" s="45" t="str">
        <f>IF(PriceKg="","Resin not on Setup list",IF(PartWt&lt;=0,"Enter a part weight","OK"))</f>
        <v>OK</v>
      </c>
      <c r="D31" s="45"/>
    </row>
    <row r="33" spans="2:9" ht="21" customHeight="1">
      <c r="B33" s="8" t="s">
        <v>136</v>
      </c>
      <c r="C33" s="8"/>
      <c r="D33" s="8"/>
      <c r="E33" s="8"/>
      <c r="F33" s="8"/>
      <c r="G33" s="8"/>
      <c r="H33" s="8"/>
      <c r="I33" s="8"/>
    </row>
    <row r="34" spans="2:9" ht="5" customHeight="1"/>
    <row r="35" spans="2:9">
      <c r="B35" s="27" t="s">
        <v>62</v>
      </c>
      <c r="C35" s="28" t="s">
        <v>86</v>
      </c>
      <c r="D35" s="28"/>
    </row>
    <row r="36" spans="2:9">
      <c r="B36" s="27" t="s">
        <v>137</v>
      </c>
      <c r="C36" s="32">
        <v>1.8</v>
      </c>
      <c r="D36" s="7" t="s">
        <v>138</v>
      </c>
    </row>
    <row r="37" spans="2:9">
      <c r="B37" s="27" t="s">
        <v>139</v>
      </c>
      <c r="C37" s="32">
        <v>5</v>
      </c>
      <c r="D37" s="7" t="s">
        <v>138</v>
      </c>
    </row>
    <row r="38" spans="2:9">
      <c r="B38" s="27" t="s">
        <v>140</v>
      </c>
      <c r="C38" s="32">
        <v>16</v>
      </c>
      <c r="D38" s="7" t="s">
        <v>138</v>
      </c>
    </row>
    <row r="39" spans="2:9">
      <c r="B39" s="27" t="s">
        <v>141</v>
      </c>
      <c r="C39" s="32">
        <v>9</v>
      </c>
      <c r="D39" s="7" t="s">
        <v>138</v>
      </c>
    </row>
    <row r="40" spans="2:9">
      <c r="B40" s="27" t="s">
        <v>142</v>
      </c>
      <c r="C40" s="32">
        <v>6</v>
      </c>
      <c r="D40" s="7" t="s">
        <v>138</v>
      </c>
    </row>
    <row r="41" spans="2:9">
      <c r="B41" s="17" t="s">
        <v>143</v>
      </c>
      <c r="C41" s="46">
        <f>Fill+PackHold+MAX(CoolTimer,Recovery)+MoldMove</f>
        <v>28.8</v>
      </c>
      <c r="D41" s="7" t="s">
        <v>138</v>
      </c>
    </row>
    <row r="42" spans="2:9">
      <c r="B42" s="27" t="s">
        <v>144</v>
      </c>
      <c r="C42" s="40">
        <f>IFERROR(INDEX(tblPresses[Rate per hour],MATCH(Press,tblPresses[Press],0)),"")</f>
        <v>64</v>
      </c>
      <c r="D42" s="7" t="str">
        <f>Currency&amp;"/h"</f>
        <v>USD/h</v>
      </c>
    </row>
    <row r="43" spans="2:9">
      <c r="B43" s="27" t="s">
        <v>145</v>
      </c>
      <c r="C43" s="47">
        <f>IF(CycleS&gt;0,3600/CycleS*GoodShot,"")</f>
        <v>492.5</v>
      </c>
      <c r="D43" s="7" t="s">
        <v>146</v>
      </c>
    </row>
    <row r="44" spans="2:9">
      <c r="B44" s="17" t="s">
        <v>147</v>
      </c>
      <c r="C44" s="43">
        <f>IF(OR(PressRate="",CycleS=0),"",PressRate*CycleS/3600/GoodShot)</f>
        <v>0.12994923857868</v>
      </c>
      <c r="D44" s="7" t="str">
        <f>Currency&amp;"/part"</f>
        <v>USD/part</v>
      </c>
    </row>
    <row r="45" spans="2:9">
      <c r="B45" s="27" t="s">
        <v>148</v>
      </c>
      <c r="C45" s="45" t="str">
        <f>IF(PressRate="","Press not on Setup list",IF(CycleS&lt;=0,"Enter the cycle times","OK"))</f>
        <v>OK</v>
      </c>
      <c r="D45" s="45"/>
    </row>
    <row r="47" spans="2:9" ht="21" customHeight="1">
      <c r="B47" s="8" t="s">
        <v>149</v>
      </c>
      <c r="C47" s="8"/>
      <c r="D47" s="8"/>
      <c r="E47" s="8"/>
      <c r="F47" s="8"/>
      <c r="G47" s="8"/>
      <c r="H47" s="8"/>
      <c r="I47" s="8"/>
    </row>
    <row r="48" spans="2:9" ht="5" customHeight="1"/>
    <row r="49" spans="2:9" ht="14" customHeight="1">
      <c r="B49" s="34"/>
      <c r="C49" s="34"/>
      <c r="D49" s="34" t="str">
        <f>Currency&amp;"/part"</f>
        <v>USD/part</v>
      </c>
      <c r="E49" s="34" t="str">
        <f>Currency&amp;"/part"</f>
        <v>USD/part</v>
      </c>
      <c r="F49" s="34"/>
    </row>
    <row r="50" spans="2:9" ht="32" customHeight="1">
      <c r="B50" s="35" t="s">
        <v>102</v>
      </c>
      <c r="C50" s="35" t="s">
        <v>103</v>
      </c>
      <c r="D50" s="35" t="s">
        <v>104</v>
      </c>
      <c r="E50" s="35" t="s">
        <v>105</v>
      </c>
      <c r="F50" s="35" t="s">
        <v>106</v>
      </c>
    </row>
    <row r="51" spans="2:9">
      <c r="B51" s="28" t="s">
        <v>150</v>
      </c>
      <c r="C51" s="32">
        <v>6</v>
      </c>
      <c r="D51" s="31">
        <v>0.12</v>
      </c>
      <c r="E51" s="44">
        <f>IF(tblExtras[[#This Row],[Item]]="","",tblExtras[[#This Row],[Labour (s/part)]]/3600*LabourRate+tblExtras[[#This Row],[Bought-in]])</f>
        <v>0.166666666666667</v>
      </c>
      <c r="F51" s="48" t="str">
        <f>IF(tblExtras[[#This Row],[Item]]="","",IF(AND(N(tblExtras[[#This Row],[Labour (s/part)]])=0,N(tblExtras[[#This Row],[Bought-in]])=0),"Enter labour or bought-in cost","OK"))</f>
        <v>OK</v>
      </c>
    </row>
    <row r="52" spans="2:9">
      <c r="B52" s="28" t="s">
        <v>151</v>
      </c>
      <c r="C52" s="32">
        <v>4</v>
      </c>
      <c r="D52" s="31">
        <v>0.01</v>
      </c>
      <c r="E52" s="44">
        <f>IF(tblExtras[[#This Row],[Item]]="","",tblExtras[[#This Row],[Labour (s/part)]]/3600*LabourRate+tblExtras[[#This Row],[Bought-in]])</f>
        <v>0.0411111111111111</v>
      </c>
      <c r="F52" s="48" t="str">
        <f>IF(tblExtras[[#This Row],[Item]]="","",IF(AND(N(tblExtras[[#This Row],[Labour (s/part)]])=0,N(tblExtras[[#This Row],[Bought-in]])=0),"Enter labour or bought-in cost","OK"))</f>
        <v>OK</v>
      </c>
    </row>
    <row r="53" spans="2:9">
      <c r="B53" s="28" t="s">
        <v>152</v>
      </c>
      <c r="C53" s="32">
        <v>2</v>
      </c>
      <c r="D53" s="31">
        <v>0.03</v>
      </c>
      <c r="E53" s="44">
        <f>IF(tblExtras[[#This Row],[Item]]="","",tblExtras[[#This Row],[Labour (s/part)]]/3600*LabourRate+tblExtras[[#This Row],[Bought-in]])</f>
        <v>0.0455555555555556</v>
      </c>
      <c r="F53" s="48" t="str">
        <f>IF(tblExtras[[#This Row],[Item]]="","",IF(AND(N(tblExtras[[#This Row],[Labour (s/part)]])=0,N(tblExtras[[#This Row],[Bought-in]])=0),"Enter labour or bought-in cost","OK"))</f>
        <v>OK</v>
      </c>
    </row>
    <row r="55" spans="2:9">
      <c r="B55" s="33" t="s">
        <v>153</v>
      </c>
      <c r="C55" s="33"/>
      <c r="D55" s="33"/>
    </row>
    <row r="56" spans="2:9">
      <c r="B56" s="27" t="s">
        <v>154</v>
      </c>
      <c r="C56" s="44">
        <f>SUM(tblExtras[Cost per part])</f>
        <v>0.253333333333333</v>
      </c>
      <c r="D56" s="7" t="str">
        <f>Currency&amp;"/part"</f>
        <v>USD/part</v>
      </c>
    </row>
    <row r="58" spans="2:9" ht="21" customHeight="1">
      <c r="B58" s="8" t="s">
        <v>155</v>
      </c>
      <c r="C58" s="8"/>
      <c r="D58" s="8"/>
      <c r="E58" s="8"/>
      <c r="F58" s="8"/>
      <c r="G58" s="8"/>
      <c r="H58" s="8"/>
      <c r="I58" s="8"/>
    </row>
    <row r="59" spans="2:9" ht="5" customHeight="1"/>
    <row r="60" spans="2:9">
      <c r="B60" s="27" t="s">
        <v>156</v>
      </c>
      <c r="C60" s="36">
        <v>38000</v>
      </c>
      <c r="D60" s="7" t="str">
        <f>Currency</f>
        <v>USD</v>
      </c>
    </row>
    <row r="61" spans="2:9">
      <c r="B61" s="27" t="s">
        <v>157</v>
      </c>
      <c r="C61" s="28" t="s">
        <v>158</v>
      </c>
      <c r="D61" s="28"/>
    </row>
    <row r="62" spans="2:9">
      <c r="B62" s="27" t="s">
        <v>159</v>
      </c>
      <c r="C62" s="36">
        <v>300000</v>
      </c>
      <c r="D62" s="7" t="s">
        <v>160</v>
      </c>
    </row>
    <row r="63" spans="2:9">
      <c r="B63" s="27" t="s">
        <v>161</v>
      </c>
      <c r="C63" s="29">
        <v>2.5</v>
      </c>
      <c r="D63" s="7" t="s">
        <v>162</v>
      </c>
    </row>
    <row r="64" spans="2:9">
      <c r="B64" s="27" t="s">
        <v>163</v>
      </c>
      <c r="C64" s="32">
        <v>6</v>
      </c>
      <c r="D64" s="7" t="s">
        <v>93</v>
      </c>
    </row>
    <row r="65" spans="2:9">
      <c r="B65" s="27" t="s">
        <v>164</v>
      </c>
      <c r="C65" s="44">
        <f>IF(MoldBilling="Amortise",MoldCost/AmortQty,0)</f>
        <v>0.126666666666667</v>
      </c>
      <c r="D65" s="7" t="str">
        <f>Currency&amp;"/part"</f>
        <v>USD/part</v>
      </c>
    </row>
    <row r="66" spans="2:9">
      <c r="B66" s="27" t="s">
        <v>165</v>
      </c>
      <c r="C66" s="40">
        <f>IF(OR(PressRate="",PriceKg=""),"",ChangeH*PressRate+PurgeKg*PriceKg)</f>
        <v>175.6</v>
      </c>
      <c r="D66" s="7" t="str">
        <f>Currency&amp;"/run"</f>
        <v>USD/run</v>
      </c>
    </row>
    <row r="68" spans="2:9" ht="21" customHeight="1">
      <c r="B68" s="8" t="s">
        <v>166</v>
      </c>
      <c r="C68" s="8"/>
      <c r="D68" s="8"/>
      <c r="E68" s="8"/>
      <c r="F68" s="8"/>
      <c r="G68" s="8"/>
      <c r="H68" s="8"/>
      <c r="I68" s="8"/>
    </row>
    <row r="69" spans="2:9" ht="5" customHeight="1"/>
    <row r="70" spans="2:9">
      <c r="B70" s="49" t="s">
        <v>167</v>
      </c>
      <c r="C70" s="35" t="s">
        <v>168</v>
      </c>
      <c r="D70" s="50">
        <v>2000</v>
      </c>
      <c r="E70" s="50">
        <v>5000</v>
      </c>
      <c r="F70" s="50">
        <v>10000</v>
      </c>
      <c r="G70" s="50">
        <v>25000</v>
      </c>
      <c r="H70" s="50">
        <v>50000</v>
      </c>
    </row>
    <row r="71" spans="2:9">
      <c r="B71" s="27" t="s">
        <v>169</v>
      </c>
      <c r="C71" s="7" t="s">
        <v>170</v>
      </c>
      <c r="D71" s="47">
        <f>CEILING($D$70/GoodShot,1)</f>
        <v>508</v>
      </c>
      <c r="E71" s="47">
        <f>CEILING($E$70/GoodShot,1)</f>
        <v>1270</v>
      </c>
      <c r="F71" s="47">
        <f>CEILING($F$70/GoodShot,1)</f>
        <v>2539</v>
      </c>
      <c r="G71" s="47">
        <f>CEILING($G$70/GoodShot,1)</f>
        <v>6346</v>
      </c>
      <c r="H71" s="47">
        <f>CEILING($H$70/GoodShot,1)</f>
        <v>12691</v>
      </c>
    </row>
    <row r="72" spans="2:9">
      <c r="B72" s="27" t="s">
        <v>66</v>
      </c>
      <c r="C72" s="7" t="str">
        <f>Currency&amp;"/part"</f>
        <v>USD/part</v>
      </c>
      <c r="D72" s="44">
        <f>ResinPP</f>
        <v>0.122345177664975</v>
      </c>
      <c r="E72" s="44">
        <f>ResinPP</f>
        <v>0.122345177664975</v>
      </c>
      <c r="F72" s="44">
        <f>ResinPP</f>
        <v>0.122345177664975</v>
      </c>
      <c r="G72" s="44">
        <f>ResinPP</f>
        <v>0.122345177664975</v>
      </c>
      <c r="H72" s="44">
        <f>ResinPP</f>
        <v>0.122345177664975</v>
      </c>
    </row>
    <row r="73" spans="2:9">
      <c r="B73" s="27" t="s">
        <v>171</v>
      </c>
      <c r="C73" s="7" t="str">
        <f>Currency&amp;"/part"</f>
        <v>USD/part</v>
      </c>
      <c r="D73" s="44">
        <f>PressPP</f>
        <v>0.12994923857868</v>
      </c>
      <c r="E73" s="44">
        <f>PressPP</f>
        <v>0.12994923857868</v>
      </c>
      <c r="F73" s="44">
        <f>PressPP</f>
        <v>0.12994923857868</v>
      </c>
      <c r="G73" s="44">
        <f>PressPP</f>
        <v>0.12994923857868</v>
      </c>
      <c r="H73" s="44">
        <f>PressPP</f>
        <v>0.12994923857868</v>
      </c>
    </row>
    <row r="74" spans="2:9">
      <c r="B74" s="27" t="s">
        <v>172</v>
      </c>
      <c r="C74" s="7" t="str">
        <f>Currency&amp;"/part"</f>
        <v>USD/part</v>
      </c>
      <c r="D74" s="44">
        <f>ExtrasPP</f>
        <v>0.253333333333333</v>
      </c>
      <c r="E74" s="44">
        <f>ExtrasPP</f>
        <v>0.253333333333333</v>
      </c>
      <c r="F74" s="44">
        <f>ExtrasPP</f>
        <v>0.253333333333333</v>
      </c>
      <c r="G74" s="44">
        <f>ExtrasPP</f>
        <v>0.253333333333333</v>
      </c>
      <c r="H74" s="44">
        <f>ExtrasPP</f>
        <v>0.253333333333333</v>
      </c>
    </row>
    <row r="75" spans="2:9">
      <c r="B75" s="27" t="s">
        <v>173</v>
      </c>
      <c r="C75" s="7" t="str">
        <f>Currency&amp;"/part"</f>
        <v>USD/part</v>
      </c>
      <c r="D75" s="44">
        <f>ChangeCost/$D$70</f>
        <v>0.0878</v>
      </c>
      <c r="E75" s="44">
        <f>ChangeCost/$E$70</f>
        <v>0.03512</v>
      </c>
      <c r="F75" s="44">
        <f>ChangeCost/$F$70</f>
        <v>0.01756</v>
      </c>
      <c r="G75" s="44">
        <f>ChangeCost/$G$70</f>
        <v>0.007024</v>
      </c>
      <c r="H75" s="44">
        <f>ChangeCost/$H$70</f>
        <v>0.003512</v>
      </c>
    </row>
    <row r="76" spans="2:9">
      <c r="B76" s="27" t="s">
        <v>174</v>
      </c>
      <c r="C76" s="7" t="str">
        <f>Currency&amp;"/part"</f>
        <v>USD/part</v>
      </c>
      <c r="D76" s="44">
        <f>ToolPP</f>
        <v>0.126666666666667</v>
      </c>
      <c r="E76" s="44">
        <f>ToolPP</f>
        <v>0.126666666666667</v>
      </c>
      <c r="F76" s="44">
        <f>ToolPP</f>
        <v>0.126666666666667</v>
      </c>
      <c r="G76" s="44">
        <f>ToolPP</f>
        <v>0.126666666666667</v>
      </c>
      <c r="H76" s="44">
        <f>ToolPP</f>
        <v>0.126666666666667</v>
      </c>
    </row>
    <row r="77" spans="2:9">
      <c r="B77" s="27" t="s">
        <v>175</v>
      </c>
      <c r="C77" s="7" t="str">
        <f>Currency&amp;"/part"</f>
        <v>USD/part</v>
      </c>
      <c r="D77" s="44">
        <f>($D$73+$D$75)*Overhead</f>
        <v>0.021774923857868</v>
      </c>
      <c r="E77" s="44">
        <f>($E$73+$E$75)*Overhead</f>
        <v>0.016506923857868</v>
      </c>
      <c r="F77" s="44">
        <f>($F$73+$F$75)*Overhead</f>
        <v>0.014750923857868</v>
      </c>
      <c r="G77" s="44">
        <f>($G$73+$G$75)*Overhead</f>
        <v>0.013697323857868</v>
      </c>
      <c r="H77" s="44">
        <f>($H$73+$H$75)*Overhead</f>
        <v>0.013346123857868</v>
      </c>
    </row>
    <row r="78" spans="2:9">
      <c r="B78" s="17" t="s">
        <v>176</v>
      </c>
      <c r="C78" s="7" t="str">
        <f>Currency&amp;"/part"</f>
        <v>USD/part</v>
      </c>
      <c r="D78" s="51">
        <f>$D$72+$D$73+$D$74+$D$75+$D$76+$D$77</f>
        <v>0.741869340101523</v>
      </c>
      <c r="E78" s="51">
        <f>$E$72+$E$73+$E$74+$E$75+$E$76+$E$77</f>
        <v>0.683921340101523</v>
      </c>
      <c r="F78" s="51">
        <f>$F$72+$F$73+$F$74+$F$75+$F$76+$F$77</f>
        <v>0.664605340101523</v>
      </c>
      <c r="G78" s="51">
        <f>$G$72+$G$73+$G$74+$G$75+$G$76+$G$77</f>
        <v>0.653015740101523</v>
      </c>
      <c r="H78" s="51">
        <f>$H$72+$H$73+$H$74+$H$75+$H$76+$H$77</f>
        <v>0.649152540101523</v>
      </c>
    </row>
    <row r="79" spans="2:9">
      <c r="B79" s="27" t="s">
        <v>177</v>
      </c>
      <c r="C79" s="7" t="str">
        <f>Currency&amp;"/part"</f>
        <v>USD/part</v>
      </c>
      <c r="D79" s="52">
        <f>CEILING($D$78/(1-Margin),RoundStep)</f>
        <v>0.928</v>
      </c>
      <c r="E79" s="52">
        <f>CEILING($E$78/(1-Margin),RoundStep)</f>
        <v>0.855</v>
      </c>
      <c r="F79" s="52">
        <f>CEILING($F$78/(1-Margin),RoundStep)</f>
        <v>0.831</v>
      </c>
      <c r="G79" s="52">
        <f>CEILING($G$78/(1-Margin),RoundStep)</f>
        <v>0.817</v>
      </c>
      <c r="H79" s="52">
        <f>CEILING($H$78/(1-Margin),RoundStep)</f>
        <v>0.812</v>
      </c>
    </row>
    <row r="80" spans="2:9">
      <c r="B80" s="27" t="s">
        <v>178</v>
      </c>
      <c r="C80" s="7" t="str">
        <f>Currency</f>
        <v>USD</v>
      </c>
      <c r="D80" s="40">
        <f>$D$79*$D$70</f>
        <v>1856</v>
      </c>
      <c r="E80" s="40">
        <f>$E$79*$E$70</f>
        <v>4275</v>
      </c>
      <c r="F80" s="40">
        <f>$F$79*$F$70</f>
        <v>8310</v>
      </c>
      <c r="G80" s="40">
        <f>$G$79*$G$70</f>
        <v>20425</v>
      </c>
      <c r="H80" s="40">
        <f>$H$79*$H$70</f>
        <v>40600</v>
      </c>
    </row>
    <row r="81" spans="2:8">
      <c r="B81" s="27" t="s">
        <v>179</v>
      </c>
      <c r="C81" s="7" t="s">
        <v>180</v>
      </c>
      <c r="D81" s="53">
        <f>($D$79-$D$78)/$D$79</f>
        <v>0.200571831787152</v>
      </c>
      <c r="E81" s="53">
        <f>($E$79-$E$78)/$E$79</f>
        <v>0.20009199988126</v>
      </c>
      <c r="F81" s="53">
        <f>($F$79-$F$78)/$F$79</f>
        <v>0.200234247771934</v>
      </c>
      <c r="G81" s="53">
        <f>($G$79-$G$78)/$G$79</f>
        <v>0.200715128394709</v>
      </c>
      <c r="H81" s="53">
        <f>($H$79-$H$78)/$H$79</f>
        <v>0.200551058988272</v>
      </c>
    </row>
    <row r="82" spans="2:8">
      <c r="B82" s="27" t="s">
        <v>181</v>
      </c>
      <c r="C82" s="7" t="s">
        <v>162</v>
      </c>
      <c r="D82" s="54">
        <f>ChangeH+$D$71*CycleS/3600/Efficiency</f>
        <v>7.28117647058824</v>
      </c>
      <c r="E82" s="54">
        <f>ChangeH+$E$71*CycleS/3600/Efficiency</f>
        <v>14.4529411764706</v>
      </c>
      <c r="F82" s="54">
        <f>ChangeH+$F$71*CycleS/3600/Efficiency</f>
        <v>26.3964705882353</v>
      </c>
      <c r="G82" s="54">
        <f>ChangeH+$G$71*CycleS/3600/Efficiency</f>
        <v>62.2270588235294</v>
      </c>
      <c r="H82" s="54">
        <f>ChangeH+$H$71*CycleS/3600/Efficiency</f>
        <v>121.944705882353</v>
      </c>
    </row>
    <row r="83" spans="2:8">
      <c r="B83" s="27" t="s">
        <v>182</v>
      </c>
      <c r="C83" s="7" t="s">
        <v>183</v>
      </c>
      <c r="D83" s="46">
        <f>$D$82/HoursPerDay</f>
        <v>0.323607843137255</v>
      </c>
      <c r="E83" s="46">
        <f>$E$82/HoursPerDay</f>
        <v>0.642352941176471</v>
      </c>
      <c r="F83" s="46">
        <f>$F$82/HoursPerDay</f>
        <v>1.17317647058824</v>
      </c>
      <c r="G83" s="46">
        <f>$G$82/HoursPerDay</f>
        <v>2.76564705882353</v>
      </c>
      <c r="H83" s="46">
        <f>$H$82/HoursPerDay</f>
        <v>5.41976470588235</v>
      </c>
    </row>
  </sheetData>
  <mergeCells count="21">
    <mergeCell ref="A1:I1"/>
    <mergeCell ref="B2:H2"/>
    <mergeCell ref="B4:I4"/>
    <mergeCell ref="B6:I6"/>
    <mergeCell ref="C8:E8"/>
    <mergeCell ref="C9:E9"/>
    <mergeCell ref="C10:E10"/>
    <mergeCell ref="C11:E11"/>
    <mergeCell ref="C12:E12"/>
    <mergeCell ref="B14:I14"/>
    <mergeCell ref="C16:D16"/>
    <mergeCell ref="C17:D17"/>
    <mergeCell ref="C31:D31"/>
    <mergeCell ref="B33:I33"/>
    <mergeCell ref="C35:D35"/>
    <mergeCell ref="C45:D45"/>
    <mergeCell ref="B47:I47"/>
    <mergeCell ref="B55:D55"/>
    <mergeCell ref="B58:I58"/>
    <mergeCell ref="C61:D61"/>
    <mergeCell ref="B68:I68"/>
  </mergeCells>
  <conditionalFormatting sqref="C31">
    <cfRule type="expression" dxfId="3" priority="1">
      <formula>$C31="OK"</formula>
    </cfRule>
    <cfRule type="expression" dxfId="1" priority="2">
      <formula>AND($C31&lt;&gt;"",$C31&lt;&gt;"OK")</formula>
    </cfRule>
  </conditionalFormatting>
  <conditionalFormatting sqref="C45">
    <cfRule type="expression" dxfId="3" priority="3">
      <formula>$C45="OK"</formula>
    </cfRule>
    <cfRule type="expression" dxfId="1" priority="4">
      <formula>AND($C45&lt;&gt;"",$C45&lt;&gt;"OK")</formula>
    </cfRule>
  </conditionalFormatting>
  <conditionalFormatting sqref="F51:F83">
    <cfRule type="expression" dxfId="3" priority="5">
      <formula>$F51="OK"</formula>
    </cfRule>
    <cfRule type="expression" dxfId="1" priority="6">
      <formula>AND($F51&lt;&gt;"",$F51&lt;&gt;"OK")</formula>
    </cfRule>
  </conditionalFormatting>
  <dataValidations count="31">
    <dataValidation type="textLength" allowBlank="1" showInputMessage="1" showErrorMessage="1" errorTitle="Check this entry" error="Text up to 80 characters." promptTitle="Customer" prompt="Text up to 80 characters." sqref="C8">
      <formula1>0</formula1>
      <formula2>80</formula2>
    </dataValidation>
    <dataValidation type="textLength" allowBlank="1" showInputMessage="1" showErrorMessage="1" errorTitle="Check this entry" error="Text up to 40 characters." promptTitle="Part number" prompt="Text up to 40 characters." sqref="C9">
      <formula1>0</formula1>
      <formula2>40</formula2>
    </dataValidation>
    <dataValidation type="textLength" allowBlank="1" showInputMessage="1" showErrorMessage="1" errorTitle="Check this entry" error="Text up to 120 characters." promptTitle="Part description" prompt="Text up to 120 characters." sqref="C10">
      <formula1>0</formula1>
      <formula2>120</formula2>
    </dataValidation>
    <dataValidation type="date" allowBlank="1" showInputMessage="1" showErrorMessage="1" errorTitle="Check this entry" error="Enter a date between 01 Jan 2000 and 31 Dec 2100." promptTitle="Date" prompt="Enter a date between 01 Jan 2000 and 31 Dec 2100." sqref="C11">
      <formula1>36526</formula1>
      <formula2>73415</formula2>
    </dataValidation>
    <dataValidation type="textLength" allowBlank="1" showInputMessage="1" showErrorMessage="1" errorTitle="Check this entry" error="Text up to 60 characters." promptTitle="Prepared by" prompt="Text up to 60 characters." sqref="C12">
      <formula1>0</formula1>
      <formula2>60</formula2>
    </dataValidation>
    <dataValidation type="list" allowBlank="1" showInputMessage="1" showErrorMessage="1" errorTitle="Check this entry" error="Pick from the list (edit the list on Setup: Resins)." promptTitle="Resin" prompt="Pick from the list (edit the list on Setup: Resins)." sqref="C16">
      <formula1>Resins</formula1>
    </dataValidation>
    <dataValidation type="list" allowBlank="1" showInputMessage="1" showErrorMessage="1" errorTitle="Check this entry" error="Pick one of: g, oz." promptTitle="Weights in" prompt="Unit for the part and runner weights below; 1 oz = 28.349523125 g. Pick one of: g, oz." sqref="C17">
      <formula1>"g,oz"</formula1>
    </dataValidation>
    <dataValidation type="decimal" allowBlank="1" showInputMessage="1" showErrorMessage="1" errorTitle="Check this entry" error="Enter a number from 0.001 to 100,000." promptTitle="Part weight" prompt="Weight of one good part as molded. Enter a number from 0.001 to 100,000." sqref="C18">
      <formula1>0.001</formula1>
      <formula2>100000</formula2>
    </dataValidation>
    <dataValidation type="decimal" allowBlank="1" showInputMessage="1" showErrorMessage="1" errorTitle="Check this entry" error="Enter a number from 0 to 100,000." promptTitle="Sprue and runner per shot" prompt="Cold sprue and runner weight per shot; 0 for a full hot runner. Enter a number from 0 to 100,000." sqref="C19">
      <formula1>0</formula1>
      <formula2>100000</formula2>
    </dataValidation>
    <dataValidation type="whole" allowBlank="1" showInputMessage="1" showErrorMessage="1" errorTitle="Check this entry" error="Enter a whole number from 1 to 512." promptTitle="Cavities" prompt="Enter a whole number from 1 to 512." sqref="C20">
      <formula1>1</formula1>
      <formula2>512</formula2>
    </dataValidation>
    <dataValidation type="decimal" allowBlank="1" showInputMessage="1" showErrorMessage="1" errorTitle="Check this entry" error="Enter a percentage from 0% to 90% (type 85% or 0.85)." promptTitle="Reject rate" prompt="Parts rejected / parts molded, including start-up scrap, from similar jobs. Enter a percentage from 0% to 90% (type 85% or 0.85)." sqref="C21">
      <formula1>0</formula1>
      <formula2>0.9</formula2>
    </dataValidation>
    <dataValidation type="decimal" allowBlank="1" showInputMessage="1" showErrorMessage="1" errorTitle="Check this entry" error="Enter a percentage from 0% to 100% (type 85% or 0.85)." promptTitle="Regrind allowed, share of shot" prompt="The most regrind the customer's print allows in the feed, as a share of shot weight; 0% for virgin only. Enter a percentage from 0% to 100% (type 85% or 0.85)." sqref="C22">
      <formula1>0</formula1>
      <formula2>1</formula2>
    </dataValidation>
    <dataValidation type="list" allowBlank="1" showInputMessage="1" showErrorMessage="1" errorTitle="Check this entry" error="Pick from the list (edit the list on Setup: Presses)." promptTitle="Press" prompt="Pick from the list (edit the list on Setup: Presses)." sqref="C35">
      <formula1>Presses</formula1>
    </dataValidation>
    <dataValidation type="decimal" allowBlank="1" showInputMessage="1" showErrorMessage="1" errorTitle="Check this entry" error="Enter a number from 0 to 600." promptTitle="Fill time" prompt="Enter a number from 0 to 600." sqref="C36">
      <formula1>0</formula1>
      <formula2>600</formula2>
    </dataValidation>
    <dataValidation type="decimal" allowBlank="1" showInputMessage="1" showErrorMessage="1" errorTitle="Check this entry" error="Enter a number from 0 to 600." promptTitle="Pack and hold time" prompt="Enter a number from 0 to 600." sqref="C37">
      <formula1>0</formula1>
      <formula2>600</formula2>
    </dataValidation>
    <dataValidation type="decimal" allowBlank="1" showInputMessage="1" showErrorMessage="1" errorTitle="Check this entry" error="Enter a number from 0 to 3,600." promptTitle="Cooling timer" prompt="Enter a number from 0 to 3,600." sqref="C38">
      <formula1>0</formula1>
      <formula2>3600</formula2>
    </dataValidation>
    <dataValidation type="decimal" allowBlank="1" showInputMessage="1" showErrorMessage="1" errorTitle="Check this entry" error="Enter a number from 0 to 3,600." promptTitle="Screw recovery time" prompt="Runs during cooling; it sets the cycle only when it is longer than the cooling timer. Enter a number from 0 to 3,600." sqref="C39">
      <formula1>0</formula1>
      <formula2>3600</formula2>
    </dataValidation>
    <dataValidation type="decimal" allowBlank="1" showInputMessage="1" showErrorMessage="1" errorTitle="Check this entry" error="Enter a number from 0 to 600." promptTitle="Mold open, eject and close" prompt="Enter a number from 0 to 600." sqref="C40">
      <formula1>0</formula1>
      <formula2>600</formula2>
    </dataValidation>
    <dataValidation type="textLength" allowBlank="1" showInputMessage="1" showErrorMessage="1" errorTitle="Check this entry" error="Text up to 80 characters." promptTitle="Item" prompt="Text up to 80 characters." sqref="B51:B83">
      <formula1>0</formula1>
      <formula2>80</formula2>
    </dataValidation>
    <dataValidation type="decimal" allowBlank="1" showInputMessage="1" showErrorMessage="1" errorTitle="Check this entry" error="Enter a number from 0 to 36,000." promptTitle="Labour (s/part)" prompt="Hands-on seconds per part away from the press, at the labour rate on Setup. Work the press operator does inside the cycle is already in the press rate. Enter a number from 0 to 36,000." sqref="C51:C83">
      <formula1>0</formula1>
      <formula2>36000</formula2>
    </dataValidation>
    <dataValidation type="decimal" allowBlank="1" showInputMessage="1" showErrorMessage="1" errorTitle="Check this entry" error="Enter a number from 0 to 1,000,000." promptTitle="Bought-in" prompt="Inserts, labels, ink, bags, cartons: bought-in cost per part. Enter a number from 0 to 1,000,000." sqref="D51:D83">
      <formula1>0</formula1>
      <formula2>1000000.0</formula2>
    </dataValidation>
    <dataValidation type="decimal" allowBlank="1" showInputMessage="1" showErrorMessage="1" errorTitle="Check this entry" error="Enter a number of at least 0." promptTitle="Mold cost" prompt="Enter a number of at least 0." sqref="C60">
      <formula1>0</formula1>
      <formula2>1000000000.0</formula2>
    </dataValidation>
    <dataValidation type="list" allowBlank="1" showInputMessage="1" showErrorMessage="1" errorTitle="Check this entry" error="Pick one of: Amortise, Customer pays separately." promptTitle="Mold paid by" prompt="Amortise adds mold cost / amortisation quantity to every part; 'Customer pays separately' leaves it out of the piece price. Pick one of: Amortise, Customer pays separately." sqref="C61">
      <formula1>"Amortise,Customer pays separately"</formula1>
    </dataValidation>
    <dataValidation type="whole" allowBlank="1" showInputMessage="1" showErrorMessage="1" errorTitle="Check this entry" error="Enter a whole number of at least 1." promptTitle="Amortise over" prompt="Usually the programme quantity agreed with the customer, or the first years' volume. Enter a whole number of at least 1." sqref="C62">
      <formula1>1</formula1>
      <formula2>1000000000.0</formula2>
    </dataValidation>
    <dataValidation type="decimal" allowBlank="1" showInputMessage="1" showErrorMessage="1" errorTitle="Check this entry" error="Enter a number from 0 to 1,000." promptTitle="Changeover per run (mold chan..." prompt="Press hours lost per run to the mold change, heat-up and first-off approval, charged at the press rate. Enter a number from 0 to 1,000." sqref="C63">
      <formula1>0</formula1>
      <formula2>1000</formula2>
    </dataValidation>
    <dataValidation type="decimal" allowBlank="1" showInputMessage="1" showErrorMessage="1" errorTitle="Check this entry" error="Enter a number from 0 to 100,000." promptTitle="Resin purged and scrapped per..." prompt="Enter a number from 0 to 100,000." sqref="C64">
      <formula1>0</formula1>
      <formula2>100000</formula2>
    </dataValidation>
    <dataValidation type="whole" allowBlank="1" showInputMessage="1" showErrorMessage="1" errorTitle="Check this entry" error="Enter a whole number from 1 to 100,000,000." promptTitle="Quantity" prompt="Good parts per order (one run). Enter a whole number from 1 to 100,000,000." sqref="D70">
      <formula1>1</formula1>
      <formula2>100000000</formula2>
    </dataValidation>
    <dataValidation type="whole" allowBlank="1" showInputMessage="1" showErrorMessage="1" errorTitle="Check this entry" error="Enter a whole number from 1 to 100,000,000." promptTitle="Quantity" prompt="Good parts per order (one run). Enter a whole number from 1 to 100,000,000." sqref="E70">
      <formula1>1</formula1>
      <formula2>100000000</formula2>
    </dataValidation>
    <dataValidation type="whole" allowBlank="1" showInputMessage="1" showErrorMessage="1" errorTitle="Check this entry" error="Enter a whole number from 1 to 100,000,000." promptTitle="Quantity" prompt="Good parts per order (one run). Enter a whole number from 1 to 100,000,000." sqref="F70">
      <formula1>1</formula1>
      <formula2>100000000</formula2>
    </dataValidation>
    <dataValidation type="whole" allowBlank="1" showInputMessage="1" showErrorMessage="1" errorTitle="Check this entry" error="Enter a whole number from 1 to 100,000,000." promptTitle="Quantity" prompt="Good parts per order (one run). Enter a whole number from 1 to 100,000,000." sqref="G70">
      <formula1>1</formula1>
      <formula2>100000000</formula2>
    </dataValidation>
    <dataValidation type="whole" allowBlank="1" showInputMessage="1" showErrorMessage="1" errorTitle="Check this entry" error="Enter a whole number from 1 to 100,000,000." promptTitle="Quantity" prompt="Good parts per order (one run). Enter a whole number from 1 to 100,000,000." sqref="H70">
      <formula1>1</formula1>
      <formula2>100000000</formula2>
    </dataValidation>
  </dataValidations>
  <hyperlinks>
    <hyperlink ref="I2" r:id="rId1" tooltip="Free manufacturing calculators and templates"/>
  </hyperlinks>
  <pageMargins left="0.4" right="0.4" top="0.7" bottom="0.65" header="0.3" footer="0.3"/>
  <pageSetup fitToHeight="0" orientation="landscape"/>
  <headerFooter>
    <oddHeader>&amp;L&amp;8MFG Calcs - Injection Molding Part Cost&amp;R&amp;8&amp;A</oddHeader>
    <oddFooter>&amp;L&amp;8mfgcalcs.com - free manufacturing templates&amp;R&amp;8Page &amp;P of &amp;N</oddFooter>
  </headerFooter>
  <rowBreaks count="2" manualBreakCount="2">
    <brk id="32" max="16383" man="1"/>
    <brk id="57" max="16383" man="1"/>
  </rowBreaks>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BA37A"/>
    <pageSetUpPr fitToPage="1"/>
  </sheetPr>
  <dimension ref="A1:L46"/>
  <sheetViews>
    <sheetView showGridLines="0" zoomScale="90" zoomScaleNormal="90" workbookViewId="0"/>
  </sheetViews>
  <sheetFormatPr defaultRowHeight="15" x14ac:dyDescent="0.25"/>
  <cols>
    <col min="1" max="1" width="2.7109375" customWidth="1"/>
    <col min="2" max="2" width="20.7109375" customWidth="1"/>
    <col min="3" max="12" width="10.7109375" customWidth="1"/>
  </cols>
  <sheetData>
    <row r="1" spans="1:12" ht="30" customHeight="1" x14ac:dyDescent="0.25">
      <c r="A1" s="1" t="s">
        <v>0</v>
      </c>
      <c r="B1" s="1"/>
      <c r="C1" s="1"/>
      <c r="D1" s="1"/>
      <c r="E1" s="1"/>
      <c r="F1" s="1"/>
      <c r="G1" s="1"/>
      <c r="H1" s="1"/>
      <c r="I1" s="1"/>
      <c r="J1" s="1"/>
      <c r="K1" s="1"/>
      <c r="L1" s="1"/>
    </row>
    <row r="2" spans="1:12" ht="21" customHeight="1" x14ac:dyDescent="0.25">
      <c r="B2" s="2" t="s">
        <v>24</v>
      </c>
      <c r="C2" s="2"/>
      <c r="D2" s="2"/>
      <c r="E2" s="2"/>
      <c r="F2" s="2"/>
      <c r="G2" s="2"/>
      <c r="H2" s="2"/>
      <c r="I2" s="2"/>
      <c r="J2" s="2"/>
      <c r="K2" s="3" t="s">
        <v>2</v>
      </c>
      <c r="L2" s="3"/>
    </row>
    <row r="3" spans="1:12" ht="6" customHeight="1" x14ac:dyDescent="0.25"/>
    <row r="4" spans="1:12" x14ac:dyDescent="0.25">
      <c r="B4" s="27" t="s">
        <v>184</v>
      </c>
      <c r="C4" s="36">
        <v>10000</v>
      </c>
    </row>
    <row r="5" spans="1:12" x14ac:dyDescent="0.25">
      <c r="B5" s="55" t="str">
        <f>"Showing "&amp;TEXT(INDEX('Cost Builder'!$D$70:$H$70,SelIdx),"#,##0")&amp;" parts of "&amp;PartNo&amp;" in "&amp;Resin&amp;", "&amp;Cavities&amp;" cavities, "&amp;TEXT(CycleS,"0.0")&amp;" s cycle. Pick another quantity in the yellow cell."</f>
        <v>Showing 10,000 parts of BWI-4410-H in ABS general purpose, 4 cavities, 28.8 s cycle. Pick another quantity in the yellow cell.</v>
      </c>
      <c r="C5" s="55"/>
      <c r="D5" s="55"/>
      <c r="E5" s="55"/>
      <c r="F5" s="55"/>
      <c r="G5" s="55"/>
      <c r="H5" s="55"/>
      <c r="I5" s="55"/>
      <c r="J5" s="55"/>
      <c r="K5" s="55"/>
      <c r="L5" s="55"/>
    </row>
    <row r="7" spans="1:12" ht="18" customHeight="1" x14ac:dyDescent="0.25">
      <c r="B7" s="56" t="str">
        <f>"PIECE PRICE ("&amp;Currency&amp;"/PART)"</f>
        <v>PIECE PRICE (USD/PART)</v>
      </c>
      <c r="C7" s="56"/>
      <c r="D7" s="56" t="str">
        <f>"COST PER PART ("&amp;Currency&amp;")"</f>
        <v>COST PER PART (USD)</v>
      </c>
      <c r="E7" s="56"/>
      <c r="F7" s="56"/>
      <c r="G7" s="56" t="s">
        <v>185</v>
      </c>
      <c r="H7" s="56"/>
      <c r="I7" s="56"/>
      <c r="J7" s="56" t="s">
        <v>186</v>
      </c>
      <c r="K7" s="56"/>
      <c r="L7" s="56"/>
    </row>
    <row r="8" spans="1:12" ht="21" customHeight="1" x14ac:dyDescent="0.25">
      <c r="B8" s="57">
        <f>INDEX('Cost Builder'!$D$79:$H$79,SelIdx)</f>
        <v>0.831</v>
      </c>
      <c r="C8" s="57"/>
      <c r="D8" s="57">
        <f>INDEX('Cost Builder'!$D$78:$H$78,SelIdx)</f>
        <v>0.664605340101523</v>
      </c>
      <c r="E8" s="57"/>
      <c r="F8" s="57"/>
      <c r="G8" s="58">
        <f>INDEX('Cost Builder'!$D$81:$H$81,SelIdx)</f>
        <v>0.200234247771934</v>
      </c>
      <c r="H8" s="58"/>
      <c r="I8" s="58"/>
      <c r="J8" s="59">
        <f>GoodPerHour</f>
        <v>492.5</v>
      </c>
      <c r="K8" s="59"/>
      <c r="L8" s="59"/>
    </row>
    <row r="9" spans="1:12" ht="21" customHeight="1" x14ac:dyDescent="0.25">
      <c r="B9" s="57"/>
      <c r="C9" s="57"/>
      <c r="D9" s="57"/>
      <c r="E9" s="57"/>
      <c r="F9" s="57"/>
      <c r="G9" s="58"/>
      <c r="H9" s="58"/>
      <c r="I9" s="58"/>
      <c r="J9" s="59"/>
      <c r="K9" s="59"/>
      <c r="L9" s="59"/>
    </row>
    <row r="10" spans="1:12" x14ac:dyDescent="0.25">
      <c r="B10" s="60" t="s">
        <v>187</v>
      </c>
      <c r="C10" s="60"/>
      <c r="D10" s="60" t="s">
        <v>188</v>
      </c>
      <c r="E10" s="60"/>
      <c r="F10" s="60"/>
      <c r="G10" s="61">
        <f>Margin</f>
        <v>0.2</v>
      </c>
      <c r="H10" s="61"/>
      <c r="I10" s="61"/>
      <c r="J10" s="60" t="str">
        <f>"Press days for the order: "&amp;TEXT(INDEX('Cost Builder'!$D$83:$H$83,SelIdx),"0.0")</f>
        <v>Press days for the order: 1.2</v>
      </c>
      <c r="K10" s="60"/>
      <c r="L10" s="60"/>
    </row>
    <row r="11" spans="1:12" ht="18" customHeight="1" x14ac:dyDescent="0.25">
      <c r="B11" s="62"/>
      <c r="C11" s="62"/>
      <c r="D11" s="62"/>
      <c r="E11" s="62"/>
      <c r="F11" s="62"/>
      <c r="G11" s="62" t="str">
        <f>IF(NOT(ISNUMBER(KpiMargin)),"No data",IF(KpiMargin&gt;=(Margin),"On target",IF(KpiMargin&gt;=(Margin)*(1-0.02),"Near target","Below target")))</f>
        <v>On target</v>
      </c>
      <c r="H11" s="62"/>
      <c r="I11" s="62"/>
      <c r="J11" s="62"/>
      <c r="K11" s="62"/>
      <c r="L11" s="62"/>
    </row>
    <row r="30" spans="2:8" x14ac:dyDescent="0.25">
      <c r="B30" s="33" t="s">
        <v>189</v>
      </c>
      <c r="C30" s="33"/>
      <c r="D30" s="33"/>
      <c r="E30" s="33"/>
      <c r="F30" s="33"/>
      <c r="G30" s="33"/>
      <c r="H30" s="33"/>
    </row>
    <row r="31" spans="2:8" ht="20" customHeight="1" x14ac:dyDescent="0.25">
      <c r="B31" s="49" t="s">
        <v>190</v>
      </c>
      <c r="C31" s="35" t="s">
        <v>191</v>
      </c>
      <c r="D31" s="35"/>
      <c r="E31" s="35" t="s">
        <v>192</v>
      </c>
      <c r="F31" s="35"/>
      <c r="G31" s="35" t="s">
        <v>193</v>
      </c>
      <c r="H31" s="35"/>
    </row>
    <row r="32" spans="2:8" ht="14" customHeight="1" x14ac:dyDescent="0.25">
      <c r="B32" s="34"/>
      <c r="C32" s="34" t="str">
        <f>Currency&amp;"/part"</f>
        <v>USD/part</v>
      </c>
      <c r="D32" s="34"/>
      <c r="E32" s="34" t="s">
        <v>194</v>
      </c>
      <c r="F32" s="34"/>
      <c r="G32" s="34" t="str">
        <f>Currency</f>
        <v>USD</v>
      </c>
      <c r="H32" s="34"/>
    </row>
    <row r="33" spans="2:9" x14ac:dyDescent="0.25">
      <c r="B33" s="63" t="s">
        <v>66</v>
      </c>
      <c r="C33" s="44">
        <f>CHOOSE(1,INDEX('Cost Builder'!$D$72:$H$72,SelIdx),INDEX('Cost Builder'!$D$73:$H$73,SelIdx),INDEX('Cost Builder'!$D$74:$H$74,SelIdx),INDEX('Cost Builder'!$D$75:$H$75,SelIdx),INDEX('Cost Builder'!$D$76:$H$76,SelIdx),INDEX('Cost Builder'!$D$77:$H$77,SelIdx))</f>
        <v>0.122345177664975</v>
      </c>
      <c r="D33" s="44"/>
      <c r="E33" s="53">
        <f>IF((INDEX('Cost Builder'!$D$78:$H$78,SelIdx))=0,"",($C$33)/(INDEX('Cost Builder'!$D$78:$H$78,SelIdx)))</f>
        <v>0.184086961513559</v>
      </c>
      <c r="F33" s="53"/>
      <c r="G33" s="47">
        <f>$C$33*INDEX('Cost Builder'!$D$70:$H$70,SelIdx)</f>
        <v>1223.45177664975</v>
      </c>
      <c r="H33" s="47"/>
    </row>
    <row r="34" spans="2:9" x14ac:dyDescent="0.25">
      <c r="B34" s="63" t="s">
        <v>171</v>
      </c>
      <c r="C34" s="44">
        <f>CHOOSE(2,INDEX('Cost Builder'!$D$72:$H$72,SelIdx),INDEX('Cost Builder'!$D$73:$H$73,SelIdx),INDEX('Cost Builder'!$D$74:$H$74,SelIdx),INDEX('Cost Builder'!$D$75:$H$75,SelIdx),INDEX('Cost Builder'!$D$76:$H$76,SelIdx),INDEX('Cost Builder'!$D$77:$H$77,SelIdx))</f>
        <v>0.12994923857868</v>
      </c>
      <c r="D34" s="44"/>
      <c r="E34" s="53">
        <f>IF((INDEX('Cost Builder'!$D$78:$H$78,SelIdx))=0,"",($C$34)/(INDEX('Cost Builder'!$D$78:$H$78,SelIdx)))</f>
        <v>0.195528429787864</v>
      </c>
      <c r="F34" s="53"/>
      <c r="G34" s="47">
        <f>$C$34*INDEX('Cost Builder'!$D$70:$H$70,SelIdx)</f>
        <v>1299.4923857868</v>
      </c>
      <c r="H34" s="47"/>
    </row>
    <row r="35" spans="2:9" x14ac:dyDescent="0.25">
      <c r="B35" s="63" t="s">
        <v>195</v>
      </c>
      <c r="C35" s="44">
        <f>CHOOSE(3,INDEX('Cost Builder'!$D$72:$H$72,SelIdx),INDEX('Cost Builder'!$D$73:$H$73,SelIdx),INDEX('Cost Builder'!$D$74:$H$74,SelIdx),INDEX('Cost Builder'!$D$75:$H$75,SelIdx),INDEX('Cost Builder'!$D$76:$H$76,SelIdx),INDEX('Cost Builder'!$D$77:$H$77,SelIdx))</f>
        <v>0.253333333333333</v>
      </c>
      <c r="D35" s="44"/>
      <c r="E35" s="53">
        <f>IF((INDEX('Cost Builder'!$D$78:$H$78,SelIdx))=0,"",($C$35)/(INDEX('Cost Builder'!$D$78:$H$78,SelIdx)))</f>
        <v>0.381178600362487</v>
      </c>
      <c r="F35" s="53"/>
      <c r="G35" s="47">
        <f>$C$35*INDEX('Cost Builder'!$D$70:$H$70,SelIdx)</f>
        <v>2533.33333333333</v>
      </c>
      <c r="H35" s="47"/>
    </row>
    <row r="36" spans="2:9" x14ac:dyDescent="0.25">
      <c r="B36" s="63" t="s">
        <v>196</v>
      </c>
      <c r="C36" s="44">
        <f>CHOOSE(4,INDEX('Cost Builder'!$D$72:$H$72,SelIdx),INDEX('Cost Builder'!$D$73:$H$73,SelIdx),INDEX('Cost Builder'!$D$74:$H$74,SelIdx),INDEX('Cost Builder'!$D$75:$H$75,SelIdx),INDEX('Cost Builder'!$D$76:$H$76,SelIdx),INDEX('Cost Builder'!$D$77:$H$77,SelIdx))</f>
        <v>0.01756</v>
      </c>
      <c r="D36" s="44"/>
      <c r="E36" s="53">
        <f>IF((INDEX('Cost Builder'!$D$78:$H$78,SelIdx))=0,"",($C$36)/(INDEX('Cost Builder'!$D$78:$H$78,SelIdx)))</f>
        <v>0.0264216956145998</v>
      </c>
      <c r="F36" s="53"/>
      <c r="G36" s="47">
        <f>$C$36*INDEX('Cost Builder'!$D$70:$H$70,SelIdx)</f>
        <v>175.6</v>
      </c>
      <c r="H36" s="47"/>
    </row>
    <row r="37" spans="2:9" x14ac:dyDescent="0.25">
      <c r="B37" s="63" t="s">
        <v>174</v>
      </c>
      <c r="C37" s="44">
        <f>CHOOSE(5,INDEX('Cost Builder'!$D$72:$H$72,SelIdx),INDEX('Cost Builder'!$D$73:$H$73,SelIdx),INDEX('Cost Builder'!$D$74:$H$74,SelIdx),INDEX('Cost Builder'!$D$75:$H$75,SelIdx),INDEX('Cost Builder'!$D$76:$H$76,SelIdx),INDEX('Cost Builder'!$D$77:$H$77,SelIdx))</f>
        <v>0.126666666666667</v>
      </c>
      <c r="D37" s="44"/>
      <c r="E37" s="53">
        <f>IF((INDEX('Cost Builder'!$D$78:$H$78,SelIdx))=0,"",($C$37)/(INDEX('Cost Builder'!$D$78:$H$78,SelIdx)))</f>
        <v>0.190589300181244</v>
      </c>
      <c r="F37" s="53"/>
      <c r="G37" s="47">
        <f>$C$37*INDEX('Cost Builder'!$D$70:$H$70,SelIdx)</f>
        <v>1266.66666666667</v>
      </c>
      <c r="H37" s="47"/>
    </row>
    <row r="38" spans="2:9" x14ac:dyDescent="0.25">
      <c r="B38" s="63" t="s">
        <v>175</v>
      </c>
      <c r="C38" s="44">
        <f>CHOOSE(6,INDEX('Cost Builder'!$D$72:$H$72,SelIdx),INDEX('Cost Builder'!$D$73:$H$73,SelIdx),INDEX('Cost Builder'!$D$74:$H$74,SelIdx),INDEX('Cost Builder'!$D$75:$H$75,SelIdx),INDEX('Cost Builder'!$D$76:$H$76,SelIdx),INDEX('Cost Builder'!$D$77:$H$77,SelIdx))</f>
        <v>0.014750923857868</v>
      </c>
      <c r="D38" s="44"/>
      <c r="E38" s="53">
        <f>IF((INDEX('Cost Builder'!$D$78:$H$78,SelIdx))=0,"",($C$38)/(INDEX('Cost Builder'!$D$78:$H$78,SelIdx)))</f>
        <v>0.0221950125402464</v>
      </c>
      <c r="F38" s="53"/>
      <c r="G38" s="47">
        <f>$C$38*INDEX('Cost Builder'!$D$70:$H$70,SelIdx)</f>
        <v>147.50923857868</v>
      </c>
      <c r="H38" s="47"/>
    </row>
    <row r="40" spans="2:9" x14ac:dyDescent="0.25">
      <c r="B40" s="49" t="s">
        <v>197</v>
      </c>
      <c r="C40" s="49"/>
      <c r="D40" s="35" t="s">
        <v>168</v>
      </c>
      <c r="E40" s="64">
        <f>INDEX('Cost Builder'!$D$70:$H$70,1)</f>
        <v>2000</v>
      </c>
      <c r="F40" s="64">
        <f>INDEX('Cost Builder'!$D$70:$H$70,2)</f>
        <v>5000</v>
      </c>
      <c r="G40" s="64">
        <f>INDEX('Cost Builder'!$D$70:$H$70,3)</f>
        <v>10000</v>
      </c>
      <c r="H40" s="64">
        <f>INDEX('Cost Builder'!$D$70:$H$70,4)</f>
        <v>25000</v>
      </c>
      <c r="I40" s="64">
        <f>INDEX('Cost Builder'!$D$70:$H$70,5)</f>
        <v>50000</v>
      </c>
    </row>
    <row r="41" spans="2:9" x14ac:dyDescent="0.25">
      <c r="B41" s="27" t="s">
        <v>198</v>
      </c>
      <c r="C41" s="27"/>
      <c r="D41" s="7" t="s">
        <v>129</v>
      </c>
      <c r="E41" s="47">
        <f>'Cost Builder'!$D$70</f>
        <v>2000</v>
      </c>
      <c r="F41" s="47">
        <f>'Cost Builder'!$E$70</f>
        <v>5000</v>
      </c>
      <c r="G41" s="47">
        <f>'Cost Builder'!$F$70</f>
        <v>10000</v>
      </c>
      <c r="H41" s="47">
        <f>'Cost Builder'!$G$70</f>
        <v>25000</v>
      </c>
      <c r="I41" s="47">
        <f>'Cost Builder'!$H$70</f>
        <v>50000</v>
      </c>
    </row>
    <row r="42" spans="2:9" x14ac:dyDescent="0.25">
      <c r="B42" s="27" t="s">
        <v>66</v>
      </c>
      <c r="C42" s="27"/>
      <c r="D42" s="7" t="str">
        <f>Currency&amp;"/part"</f>
        <v>USD/part</v>
      </c>
      <c r="E42" s="44">
        <f>'Cost Builder'!$D$72</f>
        <v>0.122345177664975</v>
      </c>
      <c r="F42" s="44">
        <f>'Cost Builder'!$E$72</f>
        <v>0.122345177664975</v>
      </c>
      <c r="G42" s="44">
        <f>'Cost Builder'!$F$72</f>
        <v>0.122345177664975</v>
      </c>
      <c r="H42" s="44">
        <f>'Cost Builder'!$G$72</f>
        <v>0.122345177664975</v>
      </c>
      <c r="I42" s="44">
        <f>'Cost Builder'!$H$72</f>
        <v>0.122345177664975</v>
      </c>
    </row>
    <row r="43" spans="2:9" x14ac:dyDescent="0.25">
      <c r="B43" s="27" t="s">
        <v>199</v>
      </c>
      <c r="C43" s="27"/>
      <c r="D43" s="7" t="str">
        <f>Currency&amp;"/part"</f>
        <v>USD/part</v>
      </c>
      <c r="E43" s="44">
        <f>'Cost Builder'!$D$73+'Cost Builder'!$D$77</f>
        <v>0.151724162436548</v>
      </c>
      <c r="F43" s="44">
        <f>'Cost Builder'!$E$73+'Cost Builder'!$E$77</f>
        <v>0.146456162436548</v>
      </c>
      <c r="G43" s="44">
        <f>'Cost Builder'!$F$73+'Cost Builder'!$F$77</f>
        <v>0.144700162436548</v>
      </c>
      <c r="H43" s="44">
        <f>'Cost Builder'!$G$73+'Cost Builder'!$G$77</f>
        <v>0.143646562436548</v>
      </c>
      <c r="I43" s="44">
        <f>'Cost Builder'!$H$73+'Cost Builder'!$H$77</f>
        <v>0.143295362436548</v>
      </c>
    </row>
    <row r="44" spans="2:9" x14ac:dyDescent="0.25">
      <c r="B44" s="27" t="s">
        <v>195</v>
      </c>
      <c r="C44" s="27"/>
      <c r="D44" s="7" t="str">
        <f>Currency&amp;"/part"</f>
        <v>USD/part</v>
      </c>
      <c r="E44" s="44">
        <f>'Cost Builder'!$D$74</f>
        <v>0.253333333333333</v>
      </c>
      <c r="F44" s="44">
        <f>'Cost Builder'!$E$74</f>
        <v>0.253333333333333</v>
      </c>
      <c r="G44" s="44">
        <f>'Cost Builder'!$F$74</f>
        <v>0.253333333333333</v>
      </c>
      <c r="H44" s="44">
        <f>'Cost Builder'!$G$74</f>
        <v>0.253333333333333</v>
      </c>
      <c r="I44" s="44">
        <f>'Cost Builder'!$H$74</f>
        <v>0.253333333333333</v>
      </c>
    </row>
    <row r="45" spans="2:9" x14ac:dyDescent="0.25">
      <c r="B45" s="27" t="s">
        <v>196</v>
      </c>
      <c r="C45" s="27"/>
      <c r="D45" s="7" t="str">
        <f>Currency&amp;"/part"</f>
        <v>USD/part</v>
      </c>
      <c r="E45" s="44">
        <f>'Cost Builder'!$D$75</f>
        <v>0.0878</v>
      </c>
      <c r="F45" s="44">
        <f>'Cost Builder'!$E$75</f>
        <v>0.03512</v>
      </c>
      <c r="G45" s="44">
        <f>'Cost Builder'!$F$75</f>
        <v>0.01756</v>
      </c>
      <c r="H45" s="44">
        <f>'Cost Builder'!$G$75</f>
        <v>0.007024</v>
      </c>
      <c r="I45" s="44">
        <f>'Cost Builder'!$H$75</f>
        <v>0.003512</v>
      </c>
    </row>
    <row r="46" spans="2:9" x14ac:dyDescent="0.25">
      <c r="B46" s="27" t="s">
        <v>174</v>
      </c>
      <c r="C46" s="27"/>
      <c r="D46" s="7" t="str">
        <f>Currency&amp;"/part"</f>
        <v>USD/part</v>
      </c>
      <c r="E46" s="44">
        <f>'Cost Builder'!$D$76</f>
        <v>0.126666666666667</v>
      </c>
      <c r="F46" s="44">
        <f>'Cost Builder'!$E$76</f>
        <v>0.126666666666667</v>
      </c>
      <c r="G46" s="44">
        <f>'Cost Builder'!$F$76</f>
        <v>0.126666666666667</v>
      </c>
      <c r="H46" s="44">
        <f>'Cost Builder'!$G$76</f>
        <v>0.126666666666667</v>
      </c>
      <c r="I46" s="44">
        <f>'Cost Builder'!$H$76</f>
        <v>0.126666666666667</v>
      </c>
    </row>
  </sheetData>
  <sheetProtection sheet="1" formatColumns="0" formatRows="0"/>
  <mergeCells count="52">
    <mergeCell ref="A1:L1"/>
    <mergeCell ref="B2:J2"/>
    <mergeCell ref="K2:L2"/>
    <mergeCell ref="B5:L5"/>
    <mergeCell ref="B7:C7"/>
    <mergeCell ref="B8:C9"/>
    <mergeCell ref="B10:C10"/>
    <mergeCell ref="B11:C11"/>
    <mergeCell ref="D7:F7"/>
    <mergeCell ref="D8:F9"/>
    <mergeCell ref="D10:F10"/>
    <mergeCell ref="D11:F11"/>
    <mergeCell ref="G7:I7"/>
    <mergeCell ref="G8:I9"/>
    <mergeCell ref="G10:I10"/>
    <mergeCell ref="G11:I11"/>
    <mergeCell ref="J7:L7"/>
    <mergeCell ref="J8:L9"/>
    <mergeCell ref="J10:L10"/>
    <mergeCell ref="J11:L11"/>
    <mergeCell ref="B30:H30"/>
    <mergeCell ref="C31:D31"/>
    <mergeCell ref="E31:F31"/>
    <mergeCell ref="G31:H31"/>
    <mergeCell ref="C32:D32"/>
    <mergeCell ref="E32:F32"/>
    <mergeCell ref="G32:H32"/>
    <mergeCell ref="C33:D33"/>
    <mergeCell ref="C34:D34"/>
    <mergeCell ref="C35:D35"/>
    <mergeCell ref="C36:D36"/>
    <mergeCell ref="C37:D37"/>
    <mergeCell ref="C38:D38"/>
    <mergeCell ref="E33:F33"/>
    <mergeCell ref="E34:F34"/>
    <mergeCell ref="E35:F35"/>
    <mergeCell ref="E36:F36"/>
    <mergeCell ref="E37:F37"/>
    <mergeCell ref="E38:F38"/>
    <mergeCell ref="G33:H33"/>
    <mergeCell ref="G34:H34"/>
    <mergeCell ref="G35:H35"/>
    <mergeCell ref="G36:H36"/>
    <mergeCell ref="G37:H37"/>
    <mergeCell ref="G38:H38"/>
    <mergeCell ref="B40:C40"/>
    <mergeCell ref="B41:C41"/>
    <mergeCell ref="B42:C42"/>
    <mergeCell ref="B43:C43"/>
    <mergeCell ref="B44:C44"/>
    <mergeCell ref="B45:C45"/>
    <mergeCell ref="B46:C46"/>
  </mergeCells>
  <conditionalFormatting sqref="E33:E38">
    <cfRule type="dataBar" priority="21">
      <dataBar>
        <cfvo type="num" val="0"/>
        <cfvo type="max"/>
        <color rgb="FFA8BDF0"/>
      </dataBar>
      <extLst>
        <ext xmlns:x14="http://schemas.microsoft.com/office/spreadsheetml/2009/9/main" uri="{B025F937-C7B1-47D3-B67F-A62EFF666E3E}">
          <x14:id>{DA7ABA51-AAAA-BBBB-0004-000000000001}</x14:id>
        </ext>
      </extLst>
    </cfRule>
  </conditionalFormatting>
  <conditionalFormatting sqref="G11">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dataValidations count="1">
    <dataValidation type="list" allowBlank="1" showInputMessage="1" showErrorMessage="1" errorTitle="Check this entry" error="Pick from the list (edit the list on Setup: BreakList)." promptTitle="Order quantity shown" prompt="One of the order quantities on the Cost Builder. The tiles and the cost build-up show this quantity. Pick from the list (edit the list on Setup: BreakList)." sqref="C4">
      <formula1>BreakList</formula1>
    </dataValidation>
  </dataValidations>
  <hyperlinks>
    <hyperlink ref="K2" r:id="rId1" tooltip="Free manufacturing calculators and templates"/>
  </hyperlinks>
  <pageMargins left="0.4" right="0.4" top="0.7" bottom="0.65" header="0.3" footer="0.3"/>
  <pageSetup fitToHeight="0" orientation="landscape"/>
  <headerFooter>
    <oddHeader>&amp;L&amp;8MFG Calcs - Injection Molding Part Cost&amp;R&amp;8&amp;A</oddHeader>
    <oddFooter>&amp;L&amp;8mfgcalcs.com - free manufacturing templates&amp;R&amp;8Page &amp;P of &amp;N</oddFooter>
  </headerFooter>
  <rowBreaks count="1" manualBreakCount="1">
    <brk id="29" max="16383" man="1"/>
  </rowBreaks>
  <drawing r:id="rId2"/>
  <extLst>
    <ext xmlns:x14="http://schemas.microsoft.com/office/spreadsheetml/2009/9/main" uri="{78C0D931-6437-407d-A8EE-F0AAD7539E65}">
      <x14:conditionalFormattings>
        <x14:conditionalFormatting xmlns:xm="http://schemas.microsoft.com/office/excel/2006/main">
          <x14:cfRule type="dataBar" id="{DA7ABA51-AAAA-BBBB-0004-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E33:E38</xm:sqref>
        </x14:conditionalFormatting>
      </x14:conditionalFormattings>
    </ext>
  </extLst>
</worksheet>
</file>

<file path=xl/worksheets/sheet5.xml><?xml version="1.0" encoding="utf-8"?>
<worksheet xmlns="http://schemas.openxmlformats.org/spreadsheetml/2006/main" xmlns:r="http://schemas.openxmlformats.org/officeDocument/2006/relationships">
  <sheetPr>
    <tabColor rgb="FF6B7280"/>
    <pageSetUpPr fitToPage="1"/>
  </sheetPr>
  <dimension ref="A1:D58"/>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26</v>
      </c>
      <c r="C2" s="2"/>
      <c r="D2" s="3" t="s">
        <v>2</v>
      </c>
    </row>
    <row r="3" spans="1:4" ht="6" customHeight="1"/>
    <row r="4" spans="1:4" ht="21" customHeight="1">
      <c r="B4" s="8" t="s">
        <v>200</v>
      </c>
      <c r="C4" s="8"/>
      <c r="D4" s="8"/>
    </row>
    <row r="5" spans="1:4" ht="5" customHeight="1"/>
    <row r="6" spans="1:4" ht="42.6" customHeight="1">
      <c r="B6" s="10" t="s">
        <v>201</v>
      </c>
      <c r="C6" s="10"/>
      <c r="D6" s="10"/>
    </row>
    <row r="8" spans="1:4" ht="21" customHeight="1">
      <c r="B8" s="8" t="s">
        <v>202</v>
      </c>
      <c r="C8" s="8"/>
      <c r="D8" s="8"/>
    </row>
    <row r="9" spans="1:4" ht="5" customHeight="1"/>
    <row r="10" spans="1:4" ht="20" customHeight="1">
      <c r="B10" s="49" t="s">
        <v>198</v>
      </c>
      <c r="C10" s="49" t="s">
        <v>203</v>
      </c>
      <c r="D10" s="35" t="s">
        <v>204</v>
      </c>
    </row>
    <row r="11" spans="1:4" ht="30.4" customHeight="1">
      <c r="B11" s="65" t="s">
        <v>205</v>
      </c>
      <c r="C11" s="66" t="s">
        <v>206</v>
      </c>
      <c r="D11" s="67" t="s">
        <v>120</v>
      </c>
    </row>
    <row r="12" spans="1:4" ht="17.2" customHeight="1">
      <c r="B12" s="65" t="s">
        <v>128</v>
      </c>
      <c r="C12" s="66" t="s">
        <v>207</v>
      </c>
      <c r="D12" s="67" t="s">
        <v>129</v>
      </c>
    </row>
    <row r="13" spans="1:4" ht="30.4" customHeight="1">
      <c r="B13" s="65" t="s">
        <v>130</v>
      </c>
      <c r="C13" s="66" t="s">
        <v>208</v>
      </c>
      <c r="D13" s="67" t="s">
        <v>120</v>
      </c>
    </row>
    <row r="14" spans="1:4" ht="43.6" customHeight="1">
      <c r="B14" s="65" t="s">
        <v>209</v>
      </c>
      <c r="C14" s="66" t="s">
        <v>210</v>
      </c>
      <c r="D14" s="67" t="s">
        <v>211</v>
      </c>
    </row>
    <row r="15" spans="1:4" ht="30.4" customHeight="1">
      <c r="B15" s="65" t="s">
        <v>143</v>
      </c>
      <c r="C15" s="66" t="s">
        <v>212</v>
      </c>
      <c r="D15" s="67" t="s">
        <v>138</v>
      </c>
    </row>
    <row r="16" spans="1:4" ht="30.4" customHeight="1">
      <c r="B16" s="65" t="s">
        <v>147</v>
      </c>
      <c r="C16" s="66" t="s">
        <v>213</v>
      </c>
      <c r="D16" s="67" t="s">
        <v>214</v>
      </c>
    </row>
    <row r="17" spans="2:4" ht="17.2" customHeight="1">
      <c r="B17" s="65" t="s">
        <v>195</v>
      </c>
      <c r="C17" s="66" t="s">
        <v>215</v>
      </c>
      <c r="D17" s="67" t="s">
        <v>214</v>
      </c>
    </row>
    <row r="18" spans="2:4" ht="30.4" customHeight="1">
      <c r="B18" s="65" t="s">
        <v>155</v>
      </c>
      <c r="C18" s="66" t="s">
        <v>216</v>
      </c>
      <c r="D18" s="67" t="s">
        <v>217</v>
      </c>
    </row>
    <row r="19" spans="2:4" ht="30.4" customHeight="1">
      <c r="B19" s="65" t="s">
        <v>218</v>
      </c>
      <c r="C19" s="66" t="s">
        <v>219</v>
      </c>
      <c r="D19" s="67" t="s">
        <v>214</v>
      </c>
    </row>
    <row r="20" spans="2:4" ht="30.4" customHeight="1">
      <c r="B20" s="65" t="s">
        <v>177</v>
      </c>
      <c r="C20" s="66" t="s">
        <v>220</v>
      </c>
      <c r="D20" s="67" t="s">
        <v>214</v>
      </c>
    </row>
    <row r="21" spans="2:4" ht="30.4" customHeight="1">
      <c r="B21" s="65" t="s">
        <v>221</v>
      </c>
      <c r="C21" s="66" t="s">
        <v>222</v>
      </c>
      <c r="D21" s="67" t="s">
        <v>223</v>
      </c>
    </row>
    <row r="23" spans="2:4" ht="21" customHeight="1">
      <c r="B23" s="8" t="s">
        <v>224</v>
      </c>
      <c r="C23" s="8"/>
      <c r="D23" s="8"/>
    </row>
    <row r="24" spans="2:4" ht="5" customHeight="1"/>
    <row r="25" spans="2:4" ht="29.4" customHeight="1">
      <c r="B25" s="26" t="s">
        <v>55</v>
      </c>
      <c r="C25" s="10" t="s">
        <v>225</v>
      </c>
      <c r="D25" s="10"/>
    </row>
    <row r="26" spans="2:4" ht="29.4" customHeight="1">
      <c r="B26" s="26" t="s">
        <v>55</v>
      </c>
      <c r="C26" s="10" t="s">
        <v>226</v>
      </c>
      <c r="D26" s="10"/>
    </row>
    <row r="27" spans="2:4" ht="16.2" customHeight="1">
      <c r="B27" s="26" t="s">
        <v>55</v>
      </c>
      <c r="C27" s="10" t="s">
        <v>227</v>
      </c>
      <c r="D27" s="10"/>
    </row>
    <row r="28" spans="2:4" ht="16.2" customHeight="1">
      <c r="B28" s="26" t="s">
        <v>55</v>
      </c>
      <c r="C28" s="10" t="s">
        <v>228</v>
      </c>
      <c r="D28" s="10"/>
    </row>
    <row r="30" spans="2:4" ht="21" customHeight="1">
      <c r="B30" s="8" t="s">
        <v>229</v>
      </c>
      <c r="C30" s="8"/>
      <c r="D30" s="8"/>
    </row>
    <row r="31" spans="2:4" ht="5" customHeight="1"/>
    <row r="32" spans="2:4" ht="29.4" customHeight="1">
      <c r="B32" s="26" t="s">
        <v>55</v>
      </c>
      <c r="C32" s="10" t="s">
        <v>230</v>
      </c>
      <c r="D32" s="10"/>
    </row>
    <row r="33" spans="2:4" ht="29.4" customHeight="1">
      <c r="B33" s="26" t="s">
        <v>55</v>
      </c>
      <c r="C33" s="10" t="s">
        <v>231</v>
      </c>
      <c r="D33" s="10"/>
    </row>
    <row r="34" spans="2:4" ht="16.2" customHeight="1">
      <c r="B34" s="26" t="s">
        <v>55</v>
      </c>
      <c r="C34" s="10" t="s">
        <v>232</v>
      </c>
      <c r="D34" s="10"/>
    </row>
    <row r="35" spans="2:4" ht="16.2" customHeight="1">
      <c r="B35" s="26" t="s">
        <v>55</v>
      </c>
      <c r="C35" s="10" t="s">
        <v>233</v>
      </c>
      <c r="D35" s="10"/>
    </row>
    <row r="37" spans="2:4" ht="21" customHeight="1">
      <c r="B37" s="8" t="s">
        <v>234</v>
      </c>
      <c r="C37" s="8"/>
      <c r="D37" s="8"/>
    </row>
    <row r="38" spans="2:4" ht="5" customHeight="1"/>
    <row r="39" spans="2:4" ht="69" customHeight="1">
      <c r="B39" s="10" t="s">
        <v>235</v>
      </c>
      <c r="C39" s="10"/>
      <c r="D39" s="10"/>
    </row>
    <row r="40" spans="2:4">
      <c r="B40" s="24" t="s">
        <v>236</v>
      </c>
      <c r="C40" s="24"/>
      <c r="D40" s="24"/>
    </row>
    <row r="42" spans="2:4" ht="21" customHeight="1">
      <c r="B42" s="8" t="s">
        <v>42</v>
      </c>
      <c r="C42" s="8"/>
      <c r="D42" s="8"/>
    </row>
    <row r="43" spans="2:4" ht="5" customHeight="1"/>
    <row r="44" spans="2:4" ht="42.6" customHeight="1">
      <c r="B44" s="10" t="s">
        <v>237</v>
      </c>
      <c r="C44" s="10"/>
      <c r="D44" s="10"/>
    </row>
    <row r="46" spans="2:4" ht="21" customHeight="1">
      <c r="B46" s="8" t="s">
        <v>238</v>
      </c>
      <c r="C46" s="8"/>
      <c r="D46" s="8"/>
    </row>
    <row r="47" spans="2:4" ht="5" customHeight="1"/>
    <row r="48" spans="2:4" ht="29.4" customHeight="1">
      <c r="B48" s="26" t="s">
        <v>55</v>
      </c>
      <c r="C48" s="10" t="s">
        <v>239</v>
      </c>
      <c r="D48" s="10"/>
    </row>
    <row r="49" spans="2:4" ht="29.4" customHeight="1">
      <c r="B49" s="26" t="s">
        <v>55</v>
      </c>
      <c r="C49" s="10" t="s">
        <v>240</v>
      </c>
      <c r="D49" s="10"/>
    </row>
    <row r="50" spans="2:4" ht="29.4" customHeight="1">
      <c r="B50" s="26" t="s">
        <v>55</v>
      </c>
      <c r="C50" s="10" t="s">
        <v>241</v>
      </c>
      <c r="D50" s="10"/>
    </row>
    <row r="51" spans="2:4">
      <c r="B51" s="21" t="s">
        <v>242</v>
      </c>
      <c r="C51" s="21"/>
      <c r="D51" s="21"/>
    </row>
    <row r="53" spans="2:4" ht="21" customHeight="1">
      <c r="B53" s="8" t="s">
        <v>243</v>
      </c>
      <c r="C53" s="8"/>
      <c r="D53" s="8"/>
    </row>
    <row r="54" spans="2:4" ht="5" customHeight="1"/>
    <row r="55" spans="2:4">
      <c r="B55" s="49" t="s">
        <v>50</v>
      </c>
      <c r="C55" s="49" t="s">
        <v>244</v>
      </c>
      <c r="D55" s="35" t="s">
        <v>115</v>
      </c>
    </row>
    <row r="56" spans="2:4" ht="16.2" customHeight="1">
      <c r="B56" s="68" t="s">
        <v>245</v>
      </c>
      <c r="C56" s="69" t="s">
        <v>246</v>
      </c>
      <c r="D56" s="70" t="s">
        <v>247</v>
      </c>
    </row>
    <row r="58" spans="2:4">
      <c r="B58" s="21" t="s">
        <v>61</v>
      </c>
      <c r="C58" s="21"/>
      <c r="D58" s="21"/>
    </row>
  </sheetData>
  <sheetProtection sheet="1" formatColumns="0" formatRows="0"/>
  <mergeCells count="27">
    <mergeCell ref="A1:D1"/>
    <mergeCell ref="B2:C2"/>
    <mergeCell ref="B4:D4"/>
    <mergeCell ref="B6:D6"/>
    <mergeCell ref="B8:D8"/>
    <mergeCell ref="B23:D23"/>
    <mergeCell ref="C25:D25"/>
    <mergeCell ref="C26:D26"/>
    <mergeCell ref="C27:D27"/>
    <mergeCell ref="C28:D28"/>
    <mergeCell ref="B30:D30"/>
    <mergeCell ref="C32:D32"/>
    <mergeCell ref="C33:D33"/>
    <mergeCell ref="C34:D34"/>
    <mergeCell ref="C35:D35"/>
    <mergeCell ref="B37:D37"/>
    <mergeCell ref="B39:D39"/>
    <mergeCell ref="B40:D40"/>
    <mergeCell ref="B42:D42"/>
    <mergeCell ref="B44:D44"/>
    <mergeCell ref="B46:D46"/>
    <mergeCell ref="C48:D48"/>
    <mergeCell ref="C49:D49"/>
    <mergeCell ref="C50:D50"/>
    <mergeCell ref="B51:D51"/>
    <mergeCell ref="B53:D53"/>
    <mergeCell ref="B58:D58"/>
  </mergeCells>
  <hyperlinks>
    <hyperlink ref="D2" r:id="rId1" tooltip="Free manufacturing calculators and templates"/>
    <hyperlink ref="B40" r:id="rId2"/>
  </hyperlinks>
  <printOptions horizontalCentered="1"/>
  <pageMargins left="0.4" right="0.4" top="0.7" bottom="0.65" header="0.3" footer="0.3"/>
  <pageSetup fitToHeight="0" orientation="portrait"/>
  <headerFooter>
    <oddHeader>&amp;L&amp;8MFG Calcs - Injection Molding Part Cost&amp;R&amp;8&amp;A</oddHeader>
    <oddFooter>&amp;L&amp;8mfgcalcs.com - free manufacturing templates&amp;R&amp;8Page &amp;P of &amp;N</oddFooter>
  </headerFooter>
  <rowBreaks count="1" manualBreakCount="1">
    <brk id="28" max="16383" man="1"/>
  </rowBreaks>
</worksheet>
</file>

<file path=xl/worksheets/sheet6.xml><?xml version="1.0" encoding="utf-8"?>
<worksheet xmlns="http://schemas.openxmlformats.org/spreadsheetml/2006/main" xmlns:r="http://schemas.openxmlformats.org/officeDocument/2006/relationships">
  <sheetPr>
    <tabColor rgb="FF2C3440"/>
    <pageSetUpPr fitToPage="1"/>
  </sheetPr>
  <dimension ref="A1:L108"/>
  <sheetViews>
    <sheetView showGridLines="0" workbookViewId="0"/>
  </sheetViews>
  <sheetFormatPr defaultRowHeight="15"/>
  <cols>
    <col min="1" max="1" width="2.7109375" customWidth="1"/>
    <col min="2" max="19" width="12.7109375" customWidth="1"/>
  </cols>
  <sheetData>
    <row r="1" spans="1:12" ht="30" customHeight="1">
      <c r="A1" s="1" t="s">
        <v>0</v>
      </c>
      <c r="B1" s="1"/>
      <c r="C1" s="1"/>
      <c r="D1" s="1"/>
      <c r="E1" s="1"/>
      <c r="F1" s="1"/>
      <c r="G1" s="1"/>
      <c r="H1" s="1"/>
      <c r="I1" s="1"/>
      <c r="J1" s="1"/>
      <c r="K1" s="1"/>
      <c r="L1" s="1"/>
    </row>
    <row r="2" spans="1:12" ht="21" customHeight="1">
      <c r="B2" s="2" t="s">
        <v>28</v>
      </c>
      <c r="C2" s="2"/>
      <c r="D2" s="2"/>
      <c r="E2" s="2"/>
      <c r="F2" s="2"/>
      <c r="G2" s="2"/>
      <c r="H2" s="2"/>
      <c r="I2" s="2"/>
      <c r="J2" s="2"/>
      <c r="K2" s="2"/>
      <c r="L2" s="3" t="s">
        <v>2</v>
      </c>
    </row>
    <row r="3" spans="1:12" ht="6" customHeight="1"/>
    <row r="4" spans="1:12" ht="30" customHeight="1">
      <c r="B4" s="71" t="s">
        <v>248</v>
      </c>
      <c r="C4" s="71"/>
      <c r="D4" s="22" t="str">
        <f>IF(COUNTIF($K$11:$K$30,"PASS")=20,"PASS","FAIL")</f>
        <v>PASS</v>
      </c>
      <c r="E4" s="22"/>
      <c r="F4" s="23" t="str">
        <f>COUNTIF($K$11:$K$30,"PASS")&amp;" of 20 checks pass"</f>
        <v>20 of 20 checks pass</v>
      </c>
      <c r="G4" s="23"/>
      <c r="H4" s="23"/>
      <c r="I4" s="23"/>
      <c r="J4" s="23"/>
    </row>
    <row r="6" spans="1:12" ht="29.4" customHeight="1">
      <c r="B6" s="10" t="s">
        <v>249</v>
      </c>
      <c r="C6" s="10"/>
      <c r="D6" s="10"/>
      <c r="E6" s="10"/>
      <c r="F6" s="10"/>
      <c r="G6" s="10"/>
      <c r="H6" s="10"/>
      <c r="I6" s="10"/>
      <c r="J6" s="10"/>
      <c r="K6" s="10"/>
      <c r="L6" s="10"/>
    </row>
    <row r="8" spans="1:12" ht="21" customHeight="1">
      <c r="B8" s="8" t="s">
        <v>250</v>
      </c>
      <c r="C8" s="8"/>
      <c r="D8" s="8"/>
      <c r="E8" s="8"/>
      <c r="F8" s="8"/>
      <c r="G8" s="8"/>
      <c r="H8" s="8"/>
      <c r="I8" s="8"/>
      <c r="J8" s="8"/>
      <c r="K8" s="8"/>
      <c r="L8" s="8"/>
    </row>
    <row r="9" spans="1:12" ht="5" customHeight="1"/>
    <row r="10" spans="1:12" ht="30" customHeight="1">
      <c r="B10" s="35" t="s">
        <v>251</v>
      </c>
      <c r="C10" s="49" t="s">
        <v>106</v>
      </c>
      <c r="D10" s="49"/>
      <c r="E10" s="49"/>
      <c r="F10" s="49"/>
      <c r="G10" s="35" t="s">
        <v>252</v>
      </c>
      <c r="H10" s="35" t="s">
        <v>253</v>
      </c>
      <c r="I10" s="35" t="s">
        <v>254</v>
      </c>
      <c r="J10" s="35" t="s">
        <v>255</v>
      </c>
      <c r="K10" s="35" t="s">
        <v>256</v>
      </c>
    </row>
    <row r="11" spans="1:12" ht="16.2" customHeight="1">
      <c r="B11" s="64">
        <v>1</v>
      </c>
      <c r="C11" s="69" t="s">
        <v>257</v>
      </c>
      <c r="D11" s="69"/>
      <c r="E11" s="69"/>
      <c r="F11" s="69"/>
      <c r="G11" s="72">
        <v>20.6</v>
      </c>
      <c r="H11" s="41">
        <f>$E$65</f>
        <v>20.6</v>
      </c>
      <c r="I11" s="73">
        <f>IF(AND(ISNUMBER($G$11),ISNUMBER($H$11)),ABS($H$11-$G$11),"")</f>
        <v>0</v>
      </c>
      <c r="J11" s="74">
        <v>1E-09</v>
      </c>
      <c r="K11" s="75" t="str">
        <f>IF(AND(ISNUMBER($G$11),ISNUMBER($H$11)),IF(ABS($H$11-$G$11)&lt;=$J$11,"PASS","FAIL"),"FAIL")</f>
        <v>PASS</v>
      </c>
    </row>
    <row r="12" spans="1:12" ht="16.2" customHeight="1">
      <c r="B12" s="64">
        <v>2</v>
      </c>
      <c r="C12" s="69" t="s">
        <v>258</v>
      </c>
      <c r="D12" s="69"/>
      <c r="E12" s="69"/>
      <c r="F12" s="69"/>
      <c r="G12" s="72">
        <v>47.05583756345178</v>
      </c>
      <c r="H12" s="41">
        <f>$E$66</f>
        <v>47.0558375634518</v>
      </c>
      <c r="I12" s="73">
        <f>IF(AND(ISNUMBER($G$12),ISNUMBER($H$12)),ABS($H$12-$G$12),"")</f>
        <v>0</v>
      </c>
      <c r="J12" s="74">
        <v>1E-09</v>
      </c>
      <c r="K12" s="75" t="str">
        <f>IF(AND(ISNUMBER($G$12),ISNUMBER($H$12)),IF(ABS($H$12-$G$12)&lt;=$J$12,"PASS","FAIL"),"FAIL")</f>
        <v>PASS</v>
      </c>
    </row>
    <row r="13" spans="1:12" ht="16.2" customHeight="1">
      <c r="B13" s="64">
        <v>3</v>
      </c>
      <c r="C13" s="69" t="s">
        <v>133</v>
      </c>
      <c r="D13" s="69"/>
      <c r="E13" s="69"/>
      <c r="F13" s="69"/>
      <c r="G13" s="76">
        <v>0.1223451776649746</v>
      </c>
      <c r="H13" s="44">
        <f>$E$68</f>
        <v>0.122345177664975</v>
      </c>
      <c r="I13" s="73">
        <f>IF(AND(ISNUMBER($G$13),ISNUMBER($H$13)),ABS($H$13-$G$13),"")</f>
        <v>0</v>
      </c>
      <c r="J13" s="74">
        <v>1E-09</v>
      </c>
      <c r="K13" s="75" t="str">
        <f>IF(AND(ISNUMBER($G$13),ISNUMBER($H$13)),IF(ABS($H$13-$G$13)&lt;=$J$13,"PASS","FAIL"),"FAIL")</f>
        <v>PASS</v>
      </c>
    </row>
    <row r="14" spans="1:12" ht="16.2" customHeight="1">
      <c r="B14" s="64">
        <v>4</v>
      </c>
      <c r="C14" s="69" t="s">
        <v>259</v>
      </c>
      <c r="D14" s="69"/>
      <c r="E14" s="69"/>
      <c r="F14" s="69"/>
      <c r="G14" s="77">
        <v>28.8</v>
      </c>
      <c r="H14" s="40">
        <f>$E$79</f>
        <v>28.8</v>
      </c>
      <c r="I14" s="73">
        <f>IF(AND(ISNUMBER($G$14),ISNUMBER($H$14)),ABS($H$14-$G$14),"")</f>
        <v>0</v>
      </c>
      <c r="J14" s="74">
        <v>1E-09</v>
      </c>
      <c r="K14" s="75" t="str">
        <f>IF(AND(ISNUMBER($G$14),ISNUMBER($H$14)),IF(ABS($H$14-$G$14)&lt;=$J$14,"PASS","FAIL"),"FAIL")</f>
        <v>PASS</v>
      </c>
    </row>
    <row r="15" spans="1:12" ht="16.2" customHeight="1">
      <c r="B15" s="64">
        <v>5</v>
      </c>
      <c r="C15" s="69" t="s">
        <v>147</v>
      </c>
      <c r="D15" s="69"/>
      <c r="E15" s="69"/>
      <c r="F15" s="69"/>
      <c r="G15" s="76">
        <v>0.1299492385786802</v>
      </c>
      <c r="H15" s="44">
        <f>$E$82</f>
        <v>0.12994923857868</v>
      </c>
      <c r="I15" s="73">
        <f>IF(AND(ISNUMBER($G$15),ISNUMBER($H$15)),ABS($H$15-$G$15),"")</f>
        <v>0</v>
      </c>
      <c r="J15" s="74">
        <v>1E-09</v>
      </c>
      <c r="K15" s="75" t="str">
        <f>IF(AND(ISNUMBER($G$15),ISNUMBER($H$15)),IF(ABS($H$15-$G$15)&lt;=$J$15,"PASS","FAIL"),"FAIL")</f>
        <v>PASS</v>
      </c>
    </row>
    <row r="16" spans="1:12" ht="16.2" customHeight="1">
      <c r="B16" s="64">
        <v>6</v>
      </c>
      <c r="C16" s="69" t="s">
        <v>260</v>
      </c>
      <c r="D16" s="69"/>
      <c r="E16" s="69"/>
      <c r="F16" s="69"/>
      <c r="G16" s="76">
        <v>0.1666666666666667</v>
      </c>
      <c r="H16" s="44">
        <f>$E$46</f>
        <v>0.166666666666667</v>
      </c>
      <c r="I16" s="73">
        <f>IF(AND(ISNUMBER($G$16),ISNUMBER($H$16)),ABS($H$16-$G$16),"")</f>
        <v>0</v>
      </c>
      <c r="J16" s="74">
        <v>1E-09</v>
      </c>
      <c r="K16" s="75" t="str">
        <f>IF(AND(ISNUMBER($G$16),ISNUMBER($H$16)),IF(ABS($H$16-$G$16)&lt;=$J$16,"PASS","FAIL"),"FAIL")</f>
        <v>PASS</v>
      </c>
    </row>
    <row r="17" spans="2:12" ht="16.2" customHeight="1">
      <c r="B17" s="64">
        <v>7</v>
      </c>
      <c r="C17" s="69" t="s">
        <v>261</v>
      </c>
      <c r="D17" s="69"/>
      <c r="E17" s="69"/>
      <c r="F17" s="69"/>
      <c r="G17" s="68" t="s">
        <v>262</v>
      </c>
      <c r="H17" s="45" t="str">
        <f>$F$49</f>
        <v>Enter labour or bought-in cost</v>
      </c>
      <c r="I17" s="45"/>
      <c r="J17" s="70" t="s">
        <v>263</v>
      </c>
      <c r="K17" s="75" t="str">
        <f>IF($H$17&amp;""=$G$17&amp;"","PASS","FAIL")</f>
        <v>PASS</v>
      </c>
    </row>
    <row r="18" spans="2:12" ht="16.2" customHeight="1">
      <c r="B18" s="64">
        <v>8</v>
      </c>
      <c r="C18" s="69" t="s">
        <v>165</v>
      </c>
      <c r="D18" s="69"/>
      <c r="E18" s="69"/>
      <c r="F18" s="69"/>
      <c r="G18" s="77">
        <v>175.6</v>
      </c>
      <c r="H18" s="40">
        <f>$E$92</f>
        <v>175.6</v>
      </c>
      <c r="I18" s="73">
        <f>IF(AND(ISNUMBER($G$18),ISNUMBER($H$18)),ABS($H$18-$G$18),"")</f>
        <v>0</v>
      </c>
      <c r="J18" s="74">
        <v>1E-09</v>
      </c>
      <c r="K18" s="75" t="str">
        <f>IF(AND(ISNUMBER($G$18),ISNUMBER($H$18)),IF(ABS($H$18-$G$18)&lt;=$J$18,"PASS","FAIL"),"FAIL")</f>
        <v>PASS</v>
      </c>
    </row>
    <row r="19" spans="2:12" ht="16.2" customHeight="1">
      <c r="B19" s="64">
        <v>9</v>
      </c>
      <c r="C19" s="69" t="s">
        <v>264</v>
      </c>
      <c r="D19" s="69"/>
      <c r="E19" s="69"/>
      <c r="F19" s="69"/>
      <c r="G19" s="78">
        <v>508</v>
      </c>
      <c r="H19" s="47">
        <f>$F$96</f>
        <v>508</v>
      </c>
      <c r="I19" s="73">
        <f>IF(AND(ISNUMBER($G$19),ISNUMBER($H$19)),ABS($H$19-$G$19),"")</f>
        <v>0</v>
      </c>
      <c r="J19" s="74">
        <v>1E-09</v>
      </c>
      <c r="K19" s="75" t="str">
        <f>IF(AND(ISNUMBER($G$19),ISNUMBER($H$19)),IF(ABS($H$19-$G$19)&lt;=$J$19,"PASS","FAIL"),"FAIL")</f>
        <v>PASS</v>
      </c>
    </row>
    <row r="20" spans="2:12" ht="16.2" customHeight="1">
      <c r="B20" s="64">
        <v>10</v>
      </c>
      <c r="C20" s="69" t="s">
        <v>265</v>
      </c>
      <c r="D20" s="69"/>
      <c r="E20" s="69"/>
      <c r="F20" s="69"/>
      <c r="G20" s="76">
        <v>0.7418693401015228</v>
      </c>
      <c r="H20" s="44">
        <f>$F$103</f>
        <v>0.741869340101523</v>
      </c>
      <c r="I20" s="73">
        <f>IF(AND(ISNUMBER($G$20),ISNUMBER($H$20)),ABS($H$20-$G$20),"")</f>
        <v>0</v>
      </c>
      <c r="J20" s="74">
        <v>1E-09</v>
      </c>
      <c r="K20" s="75" t="str">
        <f>IF(AND(ISNUMBER($G$20),ISNUMBER($H$20)),IF(ABS($H$20-$G$20)&lt;=$J$20,"PASS","FAIL"),"FAIL")</f>
        <v>PASS</v>
      </c>
    </row>
    <row r="21" spans="2:12" ht="16.2" customHeight="1">
      <c r="B21" s="64">
        <v>11</v>
      </c>
      <c r="C21" s="69" t="s">
        <v>266</v>
      </c>
      <c r="D21" s="69"/>
      <c r="E21" s="69"/>
      <c r="F21" s="69"/>
      <c r="G21" s="76">
        <v>0.928</v>
      </c>
      <c r="H21" s="44">
        <f>$F$104</f>
        <v>0.928</v>
      </c>
      <c r="I21" s="73">
        <f>IF(AND(ISNUMBER($G$21),ISNUMBER($H$21)),ABS($H$21-$G$21),"")</f>
        <v>0</v>
      </c>
      <c r="J21" s="74">
        <v>1E-09</v>
      </c>
      <c r="K21" s="75" t="str">
        <f>IF(AND(ISNUMBER($G$21),ISNUMBER($H$21)),IF(ABS($H$21-$G$21)&lt;=$J$21,"PASS","FAIL"),"FAIL")</f>
        <v>PASS</v>
      </c>
    </row>
    <row r="22" spans="2:12" ht="16.2" customHeight="1">
      <c r="B22" s="64">
        <v>12</v>
      </c>
      <c r="C22" s="69" t="s">
        <v>267</v>
      </c>
      <c r="D22" s="69"/>
      <c r="E22" s="69"/>
      <c r="F22" s="69"/>
      <c r="G22" s="77">
        <v>7.281176470588235</v>
      </c>
      <c r="H22" s="40">
        <f>$F$107</f>
        <v>7.28117647058824</v>
      </c>
      <c r="I22" s="73">
        <f>IF(AND(ISNUMBER($G$22),ISNUMBER($H$22)),ABS($H$22-$G$22),"")</f>
        <v>0</v>
      </c>
      <c r="J22" s="74">
        <v>1E-09</v>
      </c>
      <c r="K22" s="75" t="str">
        <f>IF(AND(ISNUMBER($G$22),ISNUMBER($H$22)),IF(ABS($H$22-$G$22)&lt;=$J$22,"PASS","FAIL"),"FAIL")</f>
        <v>PASS</v>
      </c>
    </row>
    <row r="23" spans="2:12" ht="16.2" customHeight="1">
      <c r="B23" s="64">
        <v>13</v>
      </c>
      <c r="C23" s="69" t="s">
        <v>268</v>
      </c>
      <c r="D23" s="69"/>
      <c r="E23" s="69"/>
      <c r="F23" s="69"/>
      <c r="G23" s="78">
        <v>2539</v>
      </c>
      <c r="H23" s="47">
        <f>$H$96</f>
        <v>2539</v>
      </c>
      <c r="I23" s="73">
        <f>IF(AND(ISNUMBER($G$23),ISNUMBER($H$23)),ABS($H$23-$G$23),"")</f>
        <v>0</v>
      </c>
      <c r="J23" s="74">
        <v>1E-09</v>
      </c>
      <c r="K23" s="75" t="str">
        <f>IF(AND(ISNUMBER($G$23),ISNUMBER($H$23)),IF(ABS($H$23-$G$23)&lt;=$J$23,"PASS","FAIL"),"FAIL")</f>
        <v>PASS</v>
      </c>
    </row>
    <row r="24" spans="2:12" ht="16.2" customHeight="1">
      <c r="B24" s="64">
        <v>14</v>
      </c>
      <c r="C24" s="69" t="s">
        <v>269</v>
      </c>
      <c r="D24" s="69"/>
      <c r="E24" s="69"/>
      <c r="F24" s="69"/>
      <c r="G24" s="76">
        <v>0.6646053401015228</v>
      </c>
      <c r="H24" s="44">
        <f>$H$103</f>
        <v>0.664605340101523</v>
      </c>
      <c r="I24" s="73">
        <f>IF(AND(ISNUMBER($G$24),ISNUMBER($H$24)),ABS($H$24-$G$24),"")</f>
        <v>0</v>
      </c>
      <c r="J24" s="74">
        <v>1E-09</v>
      </c>
      <c r="K24" s="75" t="str">
        <f>IF(AND(ISNUMBER($G$24),ISNUMBER($H$24)),IF(ABS($H$24-$G$24)&lt;=$J$24,"PASS","FAIL"),"FAIL")</f>
        <v>PASS</v>
      </c>
    </row>
    <row r="25" spans="2:12" ht="16.2" customHeight="1">
      <c r="B25" s="64">
        <v>15</v>
      </c>
      <c r="C25" s="69" t="s">
        <v>270</v>
      </c>
      <c r="D25" s="69"/>
      <c r="E25" s="69"/>
      <c r="F25" s="69"/>
      <c r="G25" s="76">
        <v>0.8310000000000001</v>
      </c>
      <c r="H25" s="44">
        <f>$H$104</f>
        <v>0.831</v>
      </c>
      <c r="I25" s="73">
        <f>IF(AND(ISNUMBER($G$25),ISNUMBER($H$25)),ABS($H$25-$G$25),"")</f>
        <v>0</v>
      </c>
      <c r="J25" s="74">
        <v>1E-09</v>
      </c>
      <c r="K25" s="75" t="str">
        <f>IF(AND(ISNUMBER($G$25),ISNUMBER($H$25)),IF(ABS($H$25-$G$25)&lt;=$J$25,"PASS","FAIL"),"FAIL")</f>
        <v>PASS</v>
      </c>
    </row>
    <row r="26" spans="2:12" ht="16.2" customHeight="1">
      <c r="B26" s="64">
        <v>16</v>
      </c>
      <c r="C26" s="69" t="s">
        <v>271</v>
      </c>
      <c r="D26" s="69"/>
      <c r="E26" s="69"/>
      <c r="F26" s="69"/>
      <c r="G26" s="77">
        <v>26.39647058823529</v>
      </c>
      <c r="H26" s="40">
        <f>$H$107</f>
        <v>26.3964705882353</v>
      </c>
      <c r="I26" s="73">
        <f>IF(AND(ISNUMBER($G$26),ISNUMBER($H$26)),ABS($H$26-$G$26),"")</f>
        <v>0</v>
      </c>
      <c r="J26" s="74">
        <v>1E-09</v>
      </c>
      <c r="K26" s="75" t="str">
        <f>IF(AND(ISNUMBER($G$26),ISNUMBER($H$26)),IF(ABS($H$26-$G$26)&lt;=$J$26,"PASS","FAIL"),"FAIL")</f>
        <v>PASS</v>
      </c>
    </row>
    <row r="27" spans="2:12" ht="16.2" customHeight="1">
      <c r="B27" s="64">
        <v>17</v>
      </c>
      <c r="C27" s="69" t="s">
        <v>272</v>
      </c>
      <c r="D27" s="69"/>
      <c r="E27" s="69"/>
      <c r="F27" s="69"/>
      <c r="G27" s="78">
        <v>12691</v>
      </c>
      <c r="H27" s="47">
        <f>$J$96</f>
        <v>12691</v>
      </c>
      <c r="I27" s="73">
        <f>IF(AND(ISNUMBER($G$27),ISNUMBER($H$27)),ABS($H$27-$G$27),"")</f>
        <v>0</v>
      </c>
      <c r="J27" s="74">
        <v>1E-09</v>
      </c>
      <c r="K27" s="75" t="str">
        <f>IF(AND(ISNUMBER($G$27),ISNUMBER($H$27)),IF(ABS($H$27-$G$27)&lt;=$J$27,"PASS","FAIL"),"FAIL")</f>
        <v>PASS</v>
      </c>
    </row>
    <row r="28" spans="2:12" ht="16.2" customHeight="1">
      <c r="B28" s="64">
        <v>18</v>
      </c>
      <c r="C28" s="69" t="s">
        <v>273</v>
      </c>
      <c r="D28" s="69"/>
      <c r="E28" s="69"/>
      <c r="F28" s="69"/>
      <c r="G28" s="76">
        <v>0.6491525401015228</v>
      </c>
      <c r="H28" s="44">
        <f>$J$103</f>
        <v>0.649152540101523</v>
      </c>
      <c r="I28" s="73">
        <f>IF(AND(ISNUMBER($G$28),ISNUMBER($H$28)),ABS($H$28-$G$28),"")</f>
        <v>0</v>
      </c>
      <c r="J28" s="74">
        <v>1E-09</v>
      </c>
      <c r="K28" s="75" t="str">
        <f>IF(AND(ISNUMBER($G$28),ISNUMBER($H$28)),IF(ABS($H$28-$G$28)&lt;=$J$28,"PASS","FAIL"),"FAIL")</f>
        <v>PASS</v>
      </c>
    </row>
    <row r="29" spans="2:12" ht="16.2" customHeight="1">
      <c r="B29" s="64">
        <v>19</v>
      </c>
      <c r="C29" s="69" t="s">
        <v>274</v>
      </c>
      <c r="D29" s="69"/>
      <c r="E29" s="69"/>
      <c r="F29" s="69"/>
      <c r="G29" s="76">
        <v>0.8120000000000001</v>
      </c>
      <c r="H29" s="44">
        <f>$J$104</f>
        <v>0.812</v>
      </c>
      <c r="I29" s="73">
        <f>IF(AND(ISNUMBER($G$29),ISNUMBER($H$29)),ABS($H$29-$G$29),"")</f>
        <v>0</v>
      </c>
      <c r="J29" s="74">
        <v>1E-09</v>
      </c>
      <c r="K29" s="75" t="str">
        <f>IF(AND(ISNUMBER($G$29),ISNUMBER($H$29)),IF(ABS($H$29-$G$29)&lt;=$J$29,"PASS","FAIL"),"FAIL")</f>
        <v>PASS</v>
      </c>
    </row>
    <row r="30" spans="2:12" ht="16.2" customHeight="1">
      <c r="B30" s="64">
        <v>20</v>
      </c>
      <c r="C30" s="69" t="s">
        <v>275</v>
      </c>
      <c r="D30" s="69"/>
      <c r="E30" s="69"/>
      <c r="F30" s="69"/>
      <c r="G30" s="77">
        <v>121.9447058823529</v>
      </c>
      <c r="H30" s="40">
        <f>$J$107</f>
        <v>121.944705882353</v>
      </c>
      <c r="I30" s="73">
        <f>IF(AND(ISNUMBER($G$30),ISNUMBER($H$30)),ABS($H$30-$G$30),"")</f>
        <v>0</v>
      </c>
      <c r="J30" s="74">
        <v>1E-09</v>
      </c>
      <c r="K30" s="75" t="str">
        <f>IF(AND(ISNUMBER($G$30),ISNUMBER($H$30)),IF(ABS($H$30-$G$30)&lt;=$J$30,"PASS","FAIL"),"FAIL")</f>
        <v>PASS</v>
      </c>
    </row>
    <row r="32" spans="2:12" ht="21" customHeight="1">
      <c r="B32" s="8" t="s">
        <v>276</v>
      </c>
      <c r="C32" s="8"/>
      <c r="D32" s="8"/>
      <c r="E32" s="8"/>
      <c r="F32" s="8"/>
      <c r="G32" s="8"/>
      <c r="H32" s="8"/>
      <c r="I32" s="8"/>
      <c r="J32" s="8"/>
      <c r="K32" s="8"/>
      <c r="L32" s="8"/>
    </row>
    <row r="33" spans="2:12" ht="5" customHeight="1"/>
    <row r="34" spans="2:12">
      <c r="B34" s="21" t="s">
        <v>277</v>
      </c>
      <c r="C34" s="21"/>
      <c r="D34" s="21"/>
      <c r="E34" s="21"/>
      <c r="F34" s="21"/>
      <c r="G34" s="21"/>
      <c r="H34" s="21"/>
      <c r="I34" s="21"/>
      <c r="J34" s="21"/>
      <c r="K34" s="21"/>
      <c r="L34" s="21"/>
    </row>
    <row r="35" spans="2:12">
      <c r="B35" s="33" t="s">
        <v>278</v>
      </c>
      <c r="C35" s="33"/>
      <c r="D35" s="33"/>
      <c r="E35" s="33"/>
      <c r="F35" s="33"/>
    </row>
    <row r="36" spans="2:12">
      <c r="B36" s="27" t="s">
        <v>279</v>
      </c>
      <c r="C36" s="27"/>
      <c r="D36" s="27"/>
      <c r="E36" s="77">
        <v>28</v>
      </c>
      <c r="F36" s="7"/>
    </row>
    <row r="37" spans="2:12">
      <c r="B37" s="27" t="s">
        <v>175</v>
      </c>
      <c r="C37" s="27"/>
      <c r="D37" s="27"/>
      <c r="E37" s="79">
        <v>0.1</v>
      </c>
      <c r="F37" s="7"/>
    </row>
    <row r="38" spans="2:12">
      <c r="B38" s="27" t="s">
        <v>77</v>
      </c>
      <c r="C38" s="27"/>
      <c r="D38" s="27"/>
      <c r="E38" s="79">
        <v>0.2</v>
      </c>
      <c r="F38" s="7"/>
    </row>
    <row r="39" spans="2:12">
      <c r="B39" s="27" t="s">
        <v>280</v>
      </c>
      <c r="C39" s="27"/>
      <c r="D39" s="27"/>
      <c r="E39" s="76">
        <v>0.001</v>
      </c>
      <c r="F39" s="7"/>
    </row>
    <row r="40" spans="2:12">
      <c r="B40" s="27" t="s">
        <v>281</v>
      </c>
      <c r="C40" s="27"/>
      <c r="D40" s="27"/>
      <c r="E40" s="79">
        <v>0.85</v>
      </c>
      <c r="F40" s="7"/>
    </row>
    <row r="41" spans="2:12">
      <c r="B41" s="27" t="s">
        <v>80</v>
      </c>
      <c r="C41" s="27"/>
      <c r="D41" s="27"/>
      <c r="E41" s="80">
        <v>22.5</v>
      </c>
      <c r="F41" s="7"/>
    </row>
    <row r="43" spans="2:12">
      <c r="B43" s="33" t="s">
        <v>282</v>
      </c>
      <c r="C43" s="33"/>
      <c r="D43" s="33"/>
      <c r="E43" s="33"/>
      <c r="F43" s="33"/>
      <c r="G43" s="33"/>
      <c r="H43" s="33"/>
      <c r="I43" s="33"/>
      <c r="J43" s="33"/>
      <c r="K43" s="33"/>
      <c r="L43" s="33"/>
    </row>
    <row r="44" spans="2:12" ht="14" customHeight="1">
      <c r="B44" s="34"/>
      <c r="C44" s="34"/>
      <c r="D44" s="34" t="str">
        <f>Currency&amp;"/part"</f>
        <v>USD/part</v>
      </c>
      <c r="E44" s="34" t="str">
        <f>Currency&amp;"/part"</f>
        <v>USD/part</v>
      </c>
      <c r="F44" s="34"/>
    </row>
    <row r="45" spans="2:12" ht="32" customHeight="1">
      <c r="B45" s="35" t="s">
        <v>102</v>
      </c>
      <c r="C45" s="35" t="s">
        <v>103</v>
      </c>
      <c r="D45" s="35" t="s">
        <v>104</v>
      </c>
      <c r="E45" s="35" t="s">
        <v>105</v>
      </c>
      <c r="F45" s="35" t="s">
        <v>106</v>
      </c>
    </row>
    <row r="46" spans="2:12">
      <c r="B46" s="68" t="s">
        <v>150</v>
      </c>
      <c r="C46" s="80">
        <v>6</v>
      </c>
      <c r="D46" s="76">
        <v>0.12</v>
      </c>
      <c r="E46" s="44">
        <f>IF(tblVerifyExtras[[#This Row],[Item]]="","",tblVerifyExtras[[#This Row],[Labour (s/part)]]/3600*$E$36+tblVerifyExtras[[#This Row],[Bought-in]])</f>
        <v>0.166666666666667</v>
      </c>
      <c r="F46" s="48" t="str">
        <f>IF(tblVerifyExtras[[#This Row],[Item]]="","",IF(AND(N(tblVerifyExtras[[#This Row],[Labour (s/part)]])=0,N(tblVerifyExtras[[#This Row],[Bought-in]])=0),"Enter labour or bought-in cost","OK"))</f>
        <v>OK</v>
      </c>
    </row>
    <row r="47" spans="2:12">
      <c r="B47" s="68" t="s">
        <v>151</v>
      </c>
      <c r="C47" s="80">
        <v>4</v>
      </c>
      <c r="D47" s="76">
        <v>0.01</v>
      </c>
      <c r="E47" s="44">
        <f>IF(tblVerifyExtras[[#This Row],[Item]]="","",tblVerifyExtras[[#This Row],[Labour (s/part)]]/3600*$E$36+tblVerifyExtras[[#This Row],[Bought-in]])</f>
        <v>0.0411111111111111</v>
      </c>
      <c r="F47" s="48" t="str">
        <f>IF(tblVerifyExtras[[#This Row],[Item]]="","",IF(AND(N(tblVerifyExtras[[#This Row],[Labour (s/part)]])=0,N(tblVerifyExtras[[#This Row],[Bought-in]])=0),"Enter labour or bought-in cost","OK"))</f>
        <v>OK</v>
      </c>
    </row>
    <row r="48" spans="2:12">
      <c r="B48" s="68" t="s">
        <v>152</v>
      </c>
      <c r="C48" s="80">
        <v>2</v>
      </c>
      <c r="D48" s="76">
        <v>0.03</v>
      </c>
      <c r="E48" s="44">
        <f>IF(tblVerifyExtras[[#This Row],[Item]]="","",tblVerifyExtras[[#This Row],[Labour (s/part)]]/3600*$E$36+tblVerifyExtras[[#This Row],[Bought-in]])</f>
        <v>0.0455555555555556</v>
      </c>
      <c r="F48" s="48" t="str">
        <f>IF(tblVerifyExtras[[#This Row],[Item]]="","",IF(AND(N(tblVerifyExtras[[#This Row],[Labour (s/part)]])=0,N(tblVerifyExtras[[#This Row],[Bought-in]])=0),"Enter labour or bought-in cost","OK"))</f>
        <v>OK</v>
      </c>
    </row>
    <row r="49" spans="2:12">
      <c r="B49" s="68" t="s">
        <v>283</v>
      </c>
      <c r="C49" s="80">
        <v>0</v>
      </c>
      <c r="D49" s="76">
        <v>0</v>
      </c>
      <c r="E49" s="44">
        <f>IF(tblVerifyExtras[[#This Row],[Item]]="","",tblVerifyExtras[[#This Row],[Labour (s/part)]]/3600*$E$36+tblVerifyExtras[[#This Row],[Bought-in]])</f>
        <v>0</v>
      </c>
      <c r="F49" s="48" t="str">
        <f>IF(tblVerifyExtras[[#This Row],[Item]]="","",IF(AND(N(tblVerifyExtras[[#This Row],[Labour (s/part)]])=0,N(tblVerifyExtras[[#This Row],[Bought-in]])=0),"Enter labour or bought-in cost","OK"))</f>
        <v>Enter labour or bought-in cost</v>
      </c>
    </row>
    <row r="51" spans="2:12">
      <c r="B51" s="33" t="s">
        <v>284</v>
      </c>
      <c r="C51" s="33"/>
      <c r="D51" s="33"/>
      <c r="E51" s="33"/>
      <c r="F51" s="33"/>
      <c r="G51" s="33"/>
      <c r="H51" s="33"/>
      <c r="I51" s="33"/>
      <c r="J51" s="33"/>
      <c r="K51" s="33"/>
      <c r="L51" s="33"/>
    </row>
    <row r="52" spans="2:12">
      <c r="B52" s="27" t="s">
        <v>154</v>
      </c>
      <c r="C52" s="27"/>
      <c r="D52" s="27"/>
      <c r="E52" s="44">
        <f>SUM(tblVerifyExtras[Cost per part])</f>
        <v>0.253333333333333</v>
      </c>
      <c r="F52" s="7" t="str">
        <f>Currency&amp;"/part"</f>
        <v>USD/part</v>
      </c>
    </row>
    <row r="54" spans="2:12">
      <c r="B54" s="33" t="s">
        <v>285</v>
      </c>
      <c r="C54" s="33"/>
      <c r="D54" s="33"/>
      <c r="E54" s="33"/>
      <c r="F54" s="33"/>
      <c r="G54" s="33"/>
      <c r="H54" s="33"/>
      <c r="I54" s="33"/>
      <c r="J54" s="33"/>
      <c r="K54" s="33"/>
      <c r="L54" s="33"/>
    </row>
    <row r="55" spans="2:12">
      <c r="B55" s="27" t="s">
        <v>66</v>
      </c>
      <c r="C55" s="27"/>
      <c r="D55" s="27"/>
      <c r="E55" s="68" t="s">
        <v>92</v>
      </c>
      <c r="F55" s="68"/>
    </row>
    <row r="56" spans="2:12">
      <c r="B56" s="27" t="s">
        <v>119</v>
      </c>
      <c r="C56" s="27"/>
      <c r="D56" s="27"/>
      <c r="E56" s="68" t="s">
        <v>120</v>
      </c>
      <c r="F56" s="68"/>
    </row>
    <row r="57" spans="2:12">
      <c r="B57" s="27" t="s">
        <v>121</v>
      </c>
      <c r="C57" s="27"/>
      <c r="D57" s="27"/>
      <c r="E57" s="77">
        <v>46</v>
      </c>
      <c r="F57" s="7" t="str">
        <f>$E$56</f>
        <v>g</v>
      </c>
    </row>
    <row r="58" spans="2:12">
      <c r="B58" s="27" t="s">
        <v>122</v>
      </c>
      <c r="C58" s="27"/>
      <c r="D58" s="27"/>
      <c r="E58" s="77">
        <v>22</v>
      </c>
      <c r="F58" s="7" t="str">
        <f>$E$56</f>
        <v>g</v>
      </c>
    </row>
    <row r="59" spans="2:12">
      <c r="B59" s="27" t="s">
        <v>123</v>
      </c>
      <c r="C59" s="27"/>
      <c r="D59" s="27"/>
      <c r="E59" s="78">
        <v>4</v>
      </c>
      <c r="F59" s="7"/>
    </row>
    <row r="60" spans="2:12">
      <c r="B60" s="27" t="s">
        <v>124</v>
      </c>
      <c r="C60" s="27"/>
      <c r="D60" s="27"/>
      <c r="E60" s="79">
        <v>0.015</v>
      </c>
      <c r="F60" s="7"/>
    </row>
    <row r="61" spans="2:12">
      <c r="B61" s="27" t="s">
        <v>125</v>
      </c>
      <c r="C61" s="27"/>
      <c r="D61" s="27"/>
      <c r="E61" s="79">
        <v>0.1</v>
      </c>
      <c r="F61" s="7"/>
    </row>
    <row r="62" spans="2:12">
      <c r="B62" s="27" t="s">
        <v>126</v>
      </c>
      <c r="C62" s="27"/>
      <c r="D62" s="27"/>
      <c r="E62" s="40">
        <f>$E$57*IF($E$56="oz",28.349523125,1)</f>
        <v>46</v>
      </c>
      <c r="F62" s="7" t="s">
        <v>120</v>
      </c>
    </row>
    <row r="63" spans="2:12">
      <c r="B63" s="27" t="s">
        <v>127</v>
      </c>
      <c r="C63" s="27"/>
      <c r="D63" s="27"/>
      <c r="E63" s="40">
        <f>($E$57*$E$59+$E$58)*IF($E$56="oz",28.349523125,1)</f>
        <v>206</v>
      </c>
      <c r="F63" s="7" t="s">
        <v>120</v>
      </c>
    </row>
    <row r="64" spans="2:12">
      <c r="B64" s="27" t="s">
        <v>128</v>
      </c>
      <c r="C64" s="27"/>
      <c r="D64" s="27"/>
      <c r="E64" s="41">
        <f>$E$59*(1-$E$60)</f>
        <v>3.94</v>
      </c>
      <c r="F64" s="7" t="s">
        <v>129</v>
      </c>
    </row>
    <row r="65" spans="2:12">
      <c r="B65" s="27" t="s">
        <v>130</v>
      </c>
      <c r="C65" s="27"/>
      <c r="D65" s="27"/>
      <c r="E65" s="40">
        <f>MIN($E$63-$E$64*$E$62,$E$61*$E$63)</f>
        <v>20.6</v>
      </c>
      <c r="F65" s="7" t="s">
        <v>120</v>
      </c>
    </row>
    <row r="66" spans="2:12">
      <c r="B66" s="17" t="s">
        <v>131</v>
      </c>
      <c r="C66" s="17"/>
      <c r="D66" s="17"/>
      <c r="E66" s="42">
        <f>($E$63-$E$65)/$E$64</f>
        <v>47.0558375634518</v>
      </c>
      <c r="F66" s="7" t="s">
        <v>120</v>
      </c>
    </row>
    <row r="67" spans="2:12">
      <c r="B67" s="27" t="s">
        <v>132</v>
      </c>
      <c r="C67" s="27"/>
      <c r="D67" s="27"/>
      <c r="E67" s="77">
        <v>2.6</v>
      </c>
      <c r="F67" s="7" t="str">
        <f>Currency&amp;"/kg"</f>
        <v>USD/kg</v>
      </c>
    </row>
    <row r="68" spans="2:12">
      <c r="B68" s="17" t="s">
        <v>133</v>
      </c>
      <c r="C68" s="17"/>
      <c r="D68" s="17"/>
      <c r="E68" s="43">
        <f>IF($E$67="","",$E$66*$E$67/1000)</f>
        <v>0.122345177664975</v>
      </c>
      <c r="F68" s="7" t="str">
        <f>Currency&amp;"/part"</f>
        <v>USD/part</v>
      </c>
    </row>
    <row r="69" spans="2:12">
      <c r="B69" s="27" t="s">
        <v>134</v>
      </c>
      <c r="C69" s="27"/>
      <c r="D69" s="27"/>
      <c r="E69" s="44">
        <f>IF($E$67="","",$E$68-$E$62*$E$67/1000)</f>
        <v>0.00274517766497463</v>
      </c>
      <c r="F69" s="7" t="str">
        <f>Currency&amp;"/part"</f>
        <v>USD/part</v>
      </c>
    </row>
    <row r="70" spans="2:12">
      <c r="B70" s="27" t="s">
        <v>135</v>
      </c>
      <c r="C70" s="27"/>
      <c r="D70" s="27"/>
      <c r="E70" s="45" t="str">
        <f>IF($E$67="","Resin not on Setup list",IF($E$57&lt;=0,"Enter a part weight","OK"))</f>
        <v>OK</v>
      </c>
      <c r="F70" s="45"/>
    </row>
    <row r="72" spans="2:12">
      <c r="B72" s="33" t="s">
        <v>286</v>
      </c>
      <c r="C72" s="33"/>
      <c r="D72" s="33"/>
      <c r="E72" s="33"/>
      <c r="F72" s="33"/>
      <c r="G72" s="33"/>
      <c r="H72" s="33"/>
      <c r="I72" s="33"/>
      <c r="J72" s="33"/>
      <c r="K72" s="33"/>
      <c r="L72" s="33"/>
    </row>
    <row r="73" spans="2:12">
      <c r="B73" s="27" t="s">
        <v>62</v>
      </c>
      <c r="C73" s="27"/>
      <c r="D73" s="27"/>
      <c r="E73" s="68" t="s">
        <v>86</v>
      </c>
      <c r="F73" s="68"/>
    </row>
    <row r="74" spans="2:12">
      <c r="B74" s="27" t="s">
        <v>137</v>
      </c>
      <c r="C74" s="27"/>
      <c r="D74" s="27"/>
      <c r="E74" s="80">
        <v>1.8</v>
      </c>
      <c r="F74" s="7" t="s">
        <v>138</v>
      </c>
    </row>
    <row r="75" spans="2:12">
      <c r="B75" s="27" t="s">
        <v>139</v>
      </c>
      <c r="C75" s="27"/>
      <c r="D75" s="27"/>
      <c r="E75" s="80">
        <v>5</v>
      </c>
      <c r="F75" s="7" t="s">
        <v>138</v>
      </c>
    </row>
    <row r="76" spans="2:12">
      <c r="B76" s="27" t="s">
        <v>140</v>
      </c>
      <c r="C76" s="27"/>
      <c r="D76" s="27"/>
      <c r="E76" s="80">
        <v>16</v>
      </c>
      <c r="F76" s="7" t="s">
        <v>138</v>
      </c>
    </row>
    <row r="77" spans="2:12">
      <c r="B77" s="27" t="s">
        <v>141</v>
      </c>
      <c r="C77" s="27"/>
      <c r="D77" s="27"/>
      <c r="E77" s="80">
        <v>9</v>
      </c>
      <c r="F77" s="7" t="s">
        <v>138</v>
      </c>
    </row>
    <row r="78" spans="2:12">
      <c r="B78" s="27" t="s">
        <v>142</v>
      </c>
      <c r="C78" s="27"/>
      <c r="D78" s="27"/>
      <c r="E78" s="80">
        <v>6</v>
      </c>
      <c r="F78" s="7" t="s">
        <v>138</v>
      </c>
    </row>
    <row r="79" spans="2:12">
      <c r="B79" s="17" t="s">
        <v>143</v>
      </c>
      <c r="C79" s="17"/>
      <c r="D79" s="17"/>
      <c r="E79" s="46">
        <f>$E$74+$E$75+MAX($E$76,$E$77)+$E$78</f>
        <v>28.8</v>
      </c>
      <c r="F79" s="7" t="s">
        <v>138</v>
      </c>
    </row>
    <row r="80" spans="2:12">
      <c r="B80" s="27" t="s">
        <v>144</v>
      </c>
      <c r="C80" s="27"/>
      <c r="D80" s="27"/>
      <c r="E80" s="77">
        <v>64</v>
      </c>
      <c r="F80" s="7" t="str">
        <f>Currency&amp;"/h"</f>
        <v>USD/h</v>
      </c>
    </row>
    <row r="81" spans="2:12">
      <c r="B81" s="27" t="s">
        <v>145</v>
      </c>
      <c r="C81" s="27"/>
      <c r="D81" s="27"/>
      <c r="E81" s="47">
        <f>IF($E$79&gt;0,3600/$E$79*$E$64,"")</f>
        <v>492.5</v>
      </c>
      <c r="F81" s="7" t="s">
        <v>146</v>
      </c>
    </row>
    <row r="82" spans="2:12">
      <c r="B82" s="17" t="s">
        <v>147</v>
      </c>
      <c r="C82" s="17"/>
      <c r="D82" s="17"/>
      <c r="E82" s="43">
        <f>IF(OR($E$80="",$E$79=0),"",$E$80*$E$79/3600/$E$64)</f>
        <v>0.12994923857868</v>
      </c>
      <c r="F82" s="7" t="str">
        <f>Currency&amp;"/part"</f>
        <v>USD/part</v>
      </c>
    </row>
    <row r="83" spans="2:12">
      <c r="B83" s="27" t="s">
        <v>148</v>
      </c>
      <c r="C83" s="27"/>
      <c r="D83" s="27"/>
      <c r="E83" s="45" t="str">
        <f>IF($E$80="","Press not on Setup list",IF($E$79&lt;=0,"Enter the cycle times","OK"))</f>
        <v>OK</v>
      </c>
      <c r="F83" s="45"/>
    </row>
    <row r="85" spans="2:12">
      <c r="B85" s="33" t="s">
        <v>287</v>
      </c>
      <c r="C85" s="33"/>
      <c r="D85" s="33"/>
      <c r="E85" s="33"/>
      <c r="F85" s="33"/>
      <c r="G85" s="33"/>
      <c r="H85" s="33"/>
      <c r="I85" s="33"/>
      <c r="J85" s="33"/>
      <c r="K85" s="33"/>
      <c r="L85" s="33"/>
    </row>
    <row r="86" spans="2:12">
      <c r="B86" s="27" t="s">
        <v>156</v>
      </c>
      <c r="C86" s="27"/>
      <c r="D86" s="27"/>
      <c r="E86" s="78">
        <v>38000</v>
      </c>
      <c r="F86" s="7" t="str">
        <f>Currency</f>
        <v>USD</v>
      </c>
    </row>
    <row r="87" spans="2:12">
      <c r="B87" s="27" t="s">
        <v>157</v>
      </c>
      <c r="C87" s="27"/>
      <c r="D87" s="27"/>
      <c r="E87" s="68" t="s">
        <v>158</v>
      </c>
      <c r="F87" s="68"/>
    </row>
    <row r="88" spans="2:12">
      <c r="B88" s="27" t="s">
        <v>159</v>
      </c>
      <c r="C88" s="27"/>
      <c r="D88" s="27"/>
      <c r="E88" s="78">
        <v>300000</v>
      </c>
      <c r="F88" s="7" t="s">
        <v>160</v>
      </c>
    </row>
    <row r="89" spans="2:12">
      <c r="B89" s="27" t="s">
        <v>161</v>
      </c>
      <c r="C89" s="27"/>
      <c r="D89" s="27"/>
      <c r="E89" s="77">
        <v>2.5</v>
      </c>
      <c r="F89" s="7" t="s">
        <v>162</v>
      </c>
    </row>
    <row r="90" spans="2:12">
      <c r="B90" s="27" t="s">
        <v>163</v>
      </c>
      <c r="C90" s="27"/>
      <c r="D90" s="27"/>
      <c r="E90" s="80">
        <v>6</v>
      </c>
      <c r="F90" s="7" t="s">
        <v>93</v>
      </c>
    </row>
    <row r="91" spans="2:12">
      <c r="B91" s="27" t="s">
        <v>164</v>
      </c>
      <c r="C91" s="27"/>
      <c r="D91" s="27"/>
      <c r="E91" s="44">
        <f>IF($E$87="Amortise",$E$86/$E$88,0)</f>
        <v>0.126666666666667</v>
      </c>
      <c r="F91" s="7" t="str">
        <f>Currency&amp;"/part"</f>
        <v>USD/part</v>
      </c>
    </row>
    <row r="92" spans="2:12">
      <c r="B92" s="27" t="s">
        <v>165</v>
      </c>
      <c r="C92" s="27"/>
      <c r="D92" s="27"/>
      <c r="E92" s="40">
        <f>IF(OR($E$80="",$E$67=""),"",$E$89*$E$80+$E$90*$E$67)</f>
        <v>175.6</v>
      </c>
      <c r="F92" s="7" t="str">
        <f>Currency&amp;"/run"</f>
        <v>USD/run</v>
      </c>
    </row>
    <row r="94" spans="2:12">
      <c r="B94" s="33" t="s">
        <v>288</v>
      </c>
      <c r="C94" s="33"/>
      <c r="D94" s="33"/>
      <c r="E94" s="33"/>
      <c r="F94" s="33"/>
      <c r="G94" s="33"/>
      <c r="H94" s="33"/>
      <c r="I94" s="33"/>
      <c r="J94" s="33"/>
      <c r="K94" s="33"/>
      <c r="L94" s="33"/>
    </row>
    <row r="95" spans="2:12">
      <c r="B95" s="49" t="s">
        <v>167</v>
      </c>
      <c r="C95" s="49"/>
      <c r="D95" s="49"/>
      <c r="E95" s="35" t="s">
        <v>168</v>
      </c>
      <c r="F95" s="78">
        <v>2000</v>
      </c>
      <c r="G95" s="78">
        <v>5000</v>
      </c>
      <c r="H95" s="78">
        <v>10000</v>
      </c>
      <c r="I95" s="78">
        <v>25000</v>
      </c>
      <c r="J95" s="78">
        <v>50000</v>
      </c>
    </row>
    <row r="96" spans="2:12">
      <c r="B96" s="27" t="s">
        <v>169</v>
      </c>
      <c r="C96" s="27"/>
      <c r="D96" s="27"/>
      <c r="E96" s="7" t="s">
        <v>170</v>
      </c>
      <c r="F96" s="47">
        <f>CEILING($F$95/$E$64,1)</f>
        <v>508</v>
      </c>
      <c r="G96" s="47">
        <f>CEILING($G$95/$E$64,1)</f>
        <v>1270</v>
      </c>
      <c r="H96" s="47">
        <f>CEILING($H$95/$E$64,1)</f>
        <v>2539</v>
      </c>
      <c r="I96" s="47">
        <f>CEILING($I$95/$E$64,1)</f>
        <v>6346</v>
      </c>
      <c r="J96" s="47">
        <f>CEILING($J$95/$E$64,1)</f>
        <v>12691</v>
      </c>
    </row>
    <row r="97" spans="2:10">
      <c r="B97" s="27" t="s">
        <v>66</v>
      </c>
      <c r="C97" s="27"/>
      <c r="D97" s="27"/>
      <c r="E97" s="7" t="str">
        <f>Currency&amp;"/part"</f>
        <v>USD/part</v>
      </c>
      <c r="F97" s="44">
        <f>$E$68</f>
        <v>0.122345177664975</v>
      </c>
      <c r="G97" s="44">
        <f>$E$68</f>
        <v>0.122345177664975</v>
      </c>
      <c r="H97" s="44">
        <f>$E$68</f>
        <v>0.122345177664975</v>
      </c>
      <c r="I97" s="44">
        <f>$E$68</f>
        <v>0.122345177664975</v>
      </c>
      <c r="J97" s="44">
        <f>$E$68</f>
        <v>0.122345177664975</v>
      </c>
    </row>
    <row r="98" spans="2:10">
      <c r="B98" s="27" t="s">
        <v>171</v>
      </c>
      <c r="C98" s="27"/>
      <c r="D98" s="27"/>
      <c r="E98" s="7" t="str">
        <f>Currency&amp;"/part"</f>
        <v>USD/part</v>
      </c>
      <c r="F98" s="44">
        <f>$E$82</f>
        <v>0.12994923857868</v>
      </c>
      <c r="G98" s="44">
        <f>$E$82</f>
        <v>0.12994923857868</v>
      </c>
      <c r="H98" s="44">
        <f>$E$82</f>
        <v>0.12994923857868</v>
      </c>
      <c r="I98" s="44">
        <f>$E$82</f>
        <v>0.12994923857868</v>
      </c>
      <c r="J98" s="44">
        <f>$E$82</f>
        <v>0.12994923857868</v>
      </c>
    </row>
    <row r="99" spans="2:10">
      <c r="B99" s="27" t="s">
        <v>172</v>
      </c>
      <c r="C99" s="27"/>
      <c r="D99" s="27"/>
      <c r="E99" s="7" t="str">
        <f>Currency&amp;"/part"</f>
        <v>USD/part</v>
      </c>
      <c r="F99" s="44">
        <f>$E$52</f>
        <v>0.253333333333333</v>
      </c>
      <c r="G99" s="44">
        <f>$E$52</f>
        <v>0.253333333333333</v>
      </c>
      <c r="H99" s="44">
        <f>$E$52</f>
        <v>0.253333333333333</v>
      </c>
      <c r="I99" s="44">
        <f>$E$52</f>
        <v>0.253333333333333</v>
      </c>
      <c r="J99" s="44">
        <f>$E$52</f>
        <v>0.253333333333333</v>
      </c>
    </row>
    <row r="100" spans="2:10">
      <c r="B100" s="27" t="s">
        <v>173</v>
      </c>
      <c r="C100" s="27"/>
      <c r="D100" s="27"/>
      <c r="E100" s="7" t="str">
        <f>Currency&amp;"/part"</f>
        <v>USD/part</v>
      </c>
      <c r="F100" s="44">
        <f>$E$92/$F$95</f>
        <v>0.0878</v>
      </c>
      <c r="G100" s="44">
        <f>$E$92/$G$95</f>
        <v>0.03512</v>
      </c>
      <c r="H100" s="44">
        <f>$E$92/$H$95</f>
        <v>0.01756</v>
      </c>
      <c r="I100" s="44">
        <f>$E$92/$I$95</f>
        <v>0.007024</v>
      </c>
      <c r="J100" s="44">
        <f>$E$92/$J$95</f>
        <v>0.003512</v>
      </c>
    </row>
    <row r="101" spans="2:10">
      <c r="B101" s="27" t="s">
        <v>174</v>
      </c>
      <c r="C101" s="27"/>
      <c r="D101" s="27"/>
      <c r="E101" s="7" t="str">
        <f>Currency&amp;"/part"</f>
        <v>USD/part</v>
      </c>
      <c r="F101" s="44">
        <f>$E$91</f>
        <v>0.126666666666667</v>
      </c>
      <c r="G101" s="44">
        <f>$E$91</f>
        <v>0.126666666666667</v>
      </c>
      <c r="H101" s="44">
        <f>$E$91</f>
        <v>0.126666666666667</v>
      </c>
      <c r="I101" s="44">
        <f>$E$91</f>
        <v>0.126666666666667</v>
      </c>
      <c r="J101" s="44">
        <f>$E$91</f>
        <v>0.126666666666667</v>
      </c>
    </row>
    <row r="102" spans="2:10">
      <c r="B102" s="27" t="s">
        <v>175</v>
      </c>
      <c r="C102" s="27"/>
      <c r="D102" s="27"/>
      <c r="E102" s="7" t="str">
        <f>Currency&amp;"/part"</f>
        <v>USD/part</v>
      </c>
      <c r="F102" s="44">
        <f>($F$98+$F$100)*$E$37</f>
        <v>0.021774923857868</v>
      </c>
      <c r="G102" s="44">
        <f>($G$98+$G$100)*$E$37</f>
        <v>0.016506923857868</v>
      </c>
      <c r="H102" s="44">
        <f>($H$98+$H$100)*$E$37</f>
        <v>0.014750923857868</v>
      </c>
      <c r="I102" s="44">
        <f>($I$98+$I$100)*$E$37</f>
        <v>0.013697323857868</v>
      </c>
      <c r="J102" s="44">
        <f>($J$98+$J$100)*$E$37</f>
        <v>0.013346123857868</v>
      </c>
    </row>
    <row r="103" spans="2:10">
      <c r="B103" s="17" t="s">
        <v>176</v>
      </c>
      <c r="C103" s="17"/>
      <c r="D103" s="17"/>
      <c r="E103" s="7" t="str">
        <f>Currency&amp;"/part"</f>
        <v>USD/part</v>
      </c>
      <c r="F103" s="51">
        <f>$F$97+$F$98+$F$99+$F$100+$F$101+$F$102</f>
        <v>0.741869340101523</v>
      </c>
      <c r="G103" s="51">
        <f>$G$97+$G$98+$G$99+$G$100+$G$101+$G$102</f>
        <v>0.683921340101523</v>
      </c>
      <c r="H103" s="51">
        <f>$H$97+$H$98+$H$99+$H$100+$H$101+$H$102</f>
        <v>0.664605340101523</v>
      </c>
      <c r="I103" s="51">
        <f>$I$97+$I$98+$I$99+$I$100+$I$101+$I$102</f>
        <v>0.653015740101523</v>
      </c>
      <c r="J103" s="51">
        <f>$J$97+$J$98+$J$99+$J$100+$J$101+$J$102</f>
        <v>0.649152540101523</v>
      </c>
    </row>
    <row r="104" spans="2:10">
      <c r="B104" s="27" t="s">
        <v>177</v>
      </c>
      <c r="C104" s="27"/>
      <c r="D104" s="27"/>
      <c r="E104" s="7" t="str">
        <f>Currency&amp;"/part"</f>
        <v>USD/part</v>
      </c>
      <c r="F104" s="52">
        <f>CEILING($F$103/(1-$E$38),$E$39)</f>
        <v>0.928</v>
      </c>
      <c r="G104" s="52">
        <f>CEILING($G$103/(1-$E$38),$E$39)</f>
        <v>0.855</v>
      </c>
      <c r="H104" s="52">
        <f>CEILING($H$103/(1-$E$38),$E$39)</f>
        <v>0.831</v>
      </c>
      <c r="I104" s="52">
        <f>CEILING($I$103/(1-$E$38),$E$39)</f>
        <v>0.817</v>
      </c>
      <c r="J104" s="52">
        <f>CEILING($J$103/(1-$E$38),$E$39)</f>
        <v>0.812</v>
      </c>
    </row>
    <row r="105" spans="2:10">
      <c r="B105" s="27" t="s">
        <v>178</v>
      </c>
      <c r="C105" s="27"/>
      <c r="D105" s="27"/>
      <c r="E105" s="7" t="str">
        <f>Currency</f>
        <v>USD</v>
      </c>
      <c r="F105" s="40">
        <f>$F$104*$F$95</f>
        <v>1856</v>
      </c>
      <c r="G105" s="40">
        <f>$G$104*$G$95</f>
        <v>4275</v>
      </c>
      <c r="H105" s="40">
        <f>$H$104*$H$95</f>
        <v>8310</v>
      </c>
      <c r="I105" s="40">
        <f>$I$104*$I$95</f>
        <v>20425</v>
      </c>
      <c r="J105" s="40">
        <f>$J$104*$J$95</f>
        <v>40600</v>
      </c>
    </row>
    <row r="106" spans="2:10">
      <c r="B106" s="27" t="s">
        <v>179</v>
      </c>
      <c r="C106" s="27"/>
      <c r="D106" s="27"/>
      <c r="E106" s="7" t="s">
        <v>180</v>
      </c>
      <c r="F106" s="53">
        <f>($F$104-$F$103)/$F$104</f>
        <v>0.200571831787152</v>
      </c>
      <c r="G106" s="53">
        <f>($G$104-$G$103)/$G$104</f>
        <v>0.20009199988126</v>
      </c>
      <c r="H106" s="53">
        <f>($H$104-$H$103)/$H$104</f>
        <v>0.200234247771934</v>
      </c>
      <c r="I106" s="53">
        <f>($I$104-$I$103)/$I$104</f>
        <v>0.200715128394709</v>
      </c>
      <c r="J106" s="53">
        <f>($J$104-$J$103)/$J$104</f>
        <v>0.200551058988272</v>
      </c>
    </row>
    <row r="107" spans="2:10">
      <c r="B107" s="27" t="s">
        <v>181</v>
      </c>
      <c r="C107" s="27"/>
      <c r="D107" s="27"/>
      <c r="E107" s="7" t="s">
        <v>162</v>
      </c>
      <c r="F107" s="54">
        <f>$E$89+$F$96*$E$79/3600/$E$40</f>
        <v>7.28117647058824</v>
      </c>
      <c r="G107" s="54">
        <f>$E$89+$G$96*$E$79/3600/$E$40</f>
        <v>14.4529411764706</v>
      </c>
      <c r="H107" s="54">
        <f>$E$89+$H$96*$E$79/3600/$E$40</f>
        <v>26.3964705882353</v>
      </c>
      <c r="I107" s="54">
        <f>$E$89+$I$96*$E$79/3600/$E$40</f>
        <v>62.2270588235294</v>
      </c>
      <c r="J107" s="54">
        <f>$E$89+$J$96*$E$79/3600/$E$40</f>
        <v>121.944705882353</v>
      </c>
    </row>
    <row r="108" spans="2:10">
      <c r="B108" s="27" t="s">
        <v>182</v>
      </c>
      <c r="C108" s="27"/>
      <c r="D108" s="27"/>
      <c r="E108" s="7" t="s">
        <v>183</v>
      </c>
      <c r="F108" s="46">
        <f>$F$107/$E$41</f>
        <v>0.323607843137255</v>
      </c>
      <c r="G108" s="46">
        <f>$G$107/$E$41</f>
        <v>0.642352941176471</v>
      </c>
      <c r="H108" s="46">
        <f>$H$107/$E$41</f>
        <v>1.17317647058824</v>
      </c>
      <c r="I108" s="46">
        <f>$I$107/$E$41</f>
        <v>2.76564705882353</v>
      </c>
      <c r="J108" s="46">
        <f>$J$107/$E$41</f>
        <v>5.41976470588235</v>
      </c>
    </row>
  </sheetData>
  <sheetProtection sheet="1" formatColumns="0" formatRows="0"/>
  <mergeCells count="98">
    <mergeCell ref="A1:L1"/>
    <mergeCell ref="B2:K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B32:L32"/>
    <mergeCell ref="B34:L34"/>
    <mergeCell ref="B35:F35"/>
    <mergeCell ref="B36:D36"/>
    <mergeCell ref="B37:D37"/>
    <mergeCell ref="B38:D38"/>
    <mergeCell ref="B39:D39"/>
    <mergeCell ref="B40:D40"/>
    <mergeCell ref="B41:D41"/>
    <mergeCell ref="B43:L43"/>
    <mergeCell ref="B51:L51"/>
    <mergeCell ref="B52:D52"/>
    <mergeCell ref="B54:L54"/>
    <mergeCell ref="B55:D55"/>
    <mergeCell ref="E55:F55"/>
    <mergeCell ref="B56:D56"/>
    <mergeCell ref="E56:F56"/>
    <mergeCell ref="B57:D57"/>
    <mergeCell ref="B58:D58"/>
    <mergeCell ref="B59:D59"/>
    <mergeCell ref="B60:D60"/>
    <mergeCell ref="B61:D61"/>
    <mergeCell ref="B62:D62"/>
    <mergeCell ref="B63:D63"/>
    <mergeCell ref="B64:D64"/>
    <mergeCell ref="B65:D65"/>
    <mergeCell ref="B66:D66"/>
    <mergeCell ref="B67:D67"/>
    <mergeCell ref="B68:D68"/>
    <mergeCell ref="B69:D69"/>
    <mergeCell ref="B70:D70"/>
    <mergeCell ref="E70:F70"/>
    <mergeCell ref="B72:L72"/>
    <mergeCell ref="B73:D73"/>
    <mergeCell ref="E73:F73"/>
    <mergeCell ref="B74:D74"/>
    <mergeCell ref="B75:D75"/>
    <mergeCell ref="B76:D76"/>
    <mergeCell ref="B77:D77"/>
    <mergeCell ref="B78:D78"/>
    <mergeCell ref="B79:D79"/>
    <mergeCell ref="B80:D80"/>
    <mergeCell ref="B81:D81"/>
    <mergeCell ref="B82:D82"/>
    <mergeCell ref="B83:D83"/>
    <mergeCell ref="E83:F83"/>
    <mergeCell ref="B85:L85"/>
    <mergeCell ref="B86:D86"/>
    <mergeCell ref="B87:D87"/>
    <mergeCell ref="E87:F87"/>
    <mergeCell ref="B88:D88"/>
    <mergeCell ref="B89:D89"/>
    <mergeCell ref="B90:D90"/>
    <mergeCell ref="B91:D91"/>
    <mergeCell ref="B92:D92"/>
    <mergeCell ref="B94:L94"/>
    <mergeCell ref="B95:D95"/>
    <mergeCell ref="B96:D96"/>
    <mergeCell ref="B97:D97"/>
    <mergeCell ref="B98:D98"/>
    <mergeCell ref="B99:D99"/>
    <mergeCell ref="B100:D100"/>
    <mergeCell ref="B101:D101"/>
    <mergeCell ref="B102:D102"/>
    <mergeCell ref="B103:D103"/>
    <mergeCell ref="B104:D104"/>
    <mergeCell ref="B105:D105"/>
    <mergeCell ref="B106:D106"/>
    <mergeCell ref="B107:D107"/>
    <mergeCell ref="B108:D108"/>
  </mergeCells>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F46:F49">
    <cfRule type="expression" dxfId="3" priority="41">
      <formula>$F46="OK"</formula>
    </cfRule>
    <cfRule type="expression" dxfId="1" priority="42">
      <formula>AND($F46&lt;&gt;"",$F46&lt;&gt;"OK")</formula>
    </cfRule>
  </conditionalFormatting>
  <conditionalFormatting sqref="K11:K30">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L2" r:id="rId1" tooltip="Free manufacturing calculators and templates"/>
  </hyperlinks>
  <printOptions horizontalCentered="1"/>
  <pageMargins left="0.4" right="0.4" top="0.7" bottom="0.65" header="0.3" footer="0.3"/>
  <pageSetup fitToHeight="0" orientation="landscape"/>
  <headerFooter>
    <oddHeader>&amp;L&amp;8MFG Calcs - Injection Molding Part Cost&amp;R&amp;8&amp;A</oddHeader>
    <oddFooter>&amp;L&amp;8mfgcalcs.com - free manufacturing templates&amp;R&amp;8Page &amp;P of &amp;N</oddFooter>
  </headerFooter>
  <rowBreaks count="3" manualBreakCount="3">
    <brk id="27" max="16383" man="1"/>
    <brk id="53" max="16383" man="1"/>
    <brk id="84" max="16383" man="1"/>
  </rowBreaks>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64</vt:i4>
      </vt:variant>
    </vt:vector>
  </HeadingPairs>
  <TitlesOfParts>
    <vt:vector size="70" baseType="lpstr">
      <vt:lpstr>Start Here</vt:lpstr>
      <vt:lpstr>Setup</vt:lpstr>
      <vt:lpstr>Cost Builder</vt:lpstr>
      <vt:lpstr>Dashboard</vt:lpstr>
      <vt:lpstr>Method</vt:lpstr>
      <vt:lpstr>Verify</vt:lpstr>
      <vt:lpstr>AmortQty</vt:lpstr>
      <vt:lpstr>BreakList</vt:lpstr>
      <vt:lpstr>Cavities</vt:lpstr>
      <vt:lpstr>ChangeCost</vt:lpstr>
      <vt:lpstr>ChangeH</vt:lpstr>
      <vt:lpstr>CoName</vt:lpstr>
      <vt:lpstr>CoolTimer</vt:lpstr>
      <vt:lpstr>Currency</vt:lpstr>
      <vt:lpstr>Customer</vt:lpstr>
      <vt:lpstr>CycleS</vt:lpstr>
      <vt:lpstr>DashBreak</vt:lpstr>
      <vt:lpstr>Efficiency</vt:lpstr>
      <vt:lpstr>ExtrasPP</vt:lpstr>
      <vt:lpstr>Fill</vt:lpstr>
      <vt:lpstr>GoodPerHour</vt:lpstr>
      <vt:lpstr>GoodShot</vt:lpstr>
      <vt:lpstr>HoursPerDay</vt:lpstr>
      <vt:lpstr>KpiCost</vt:lpstr>
      <vt:lpstr>KpiMargin</vt:lpstr>
      <vt:lpstr>KpiPrice</vt:lpstr>
      <vt:lpstr>KpiRate</vt:lpstr>
      <vt:lpstr>LabourRate</vt:lpstr>
      <vt:lpstr>Margin</vt:lpstr>
      <vt:lpstr>MoldBilling</vt:lpstr>
      <vt:lpstr>MoldCost</vt:lpstr>
      <vt:lpstr>MoldMove</vt:lpstr>
      <vt:lpstr>Overhead</vt:lpstr>
      <vt:lpstr>PackHold</vt:lpstr>
      <vt:lpstr>PartDesc</vt:lpstr>
      <vt:lpstr>PartG</vt:lpstr>
      <vt:lpstr>PartNo</vt:lpstr>
      <vt:lpstr>PartWt</vt:lpstr>
      <vt:lpstr>PreparedBy</vt:lpstr>
      <vt:lpstr>Press</vt:lpstr>
      <vt:lpstr>PressCheck</vt:lpstr>
      <vt:lpstr>PressPP</vt:lpstr>
      <vt:lpstr>PressRate</vt:lpstr>
      <vt:lpstr>PriceKg</vt:lpstr>
      <vt:lpstr>'Cost Builder'!Print_Area</vt:lpstr>
      <vt:lpstr>Dashboard!Print_Area</vt:lpstr>
      <vt:lpstr>Method!Print_Area</vt:lpstr>
      <vt:lpstr>Setup!Print_Area</vt:lpstr>
      <vt:lpstr>'Start Here'!Print_Area</vt:lpstr>
      <vt:lpstr>Verify!Print_Area</vt:lpstr>
      <vt:lpstr>Method!Print_Titles</vt:lpstr>
      <vt:lpstr>PurgeKg</vt:lpstr>
      <vt:lpstr>QuoteDate</vt:lpstr>
      <vt:lpstr>Recovery</vt:lpstr>
      <vt:lpstr>RegrindG</vt:lpstr>
      <vt:lpstr>RegrindMax</vt:lpstr>
      <vt:lpstr>Reject</vt:lpstr>
      <vt:lpstr>Resin</vt:lpstr>
      <vt:lpstr>ResinLoss</vt:lpstr>
      <vt:lpstr>ResinPP</vt:lpstr>
      <vt:lpstr>RoundStep</vt:lpstr>
      <vt:lpstr>RunnerWt</vt:lpstr>
      <vt:lpstr>SelfCheck</vt:lpstr>
      <vt:lpstr>SelfCheckSummary</vt:lpstr>
      <vt:lpstr>SelIdx</vt:lpstr>
      <vt:lpstr>ShotCheck</vt:lpstr>
      <vt:lpstr>ShotG</vt:lpstr>
      <vt:lpstr>ToolPP</vt:lpstr>
      <vt:lpstr>VirginG</vt:lpstr>
      <vt:lpstr>WtUnit</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Injection Molding Part Cost - free Excel template from MFG Calcs</dc:title>
  <dc:subject>Cost an injection molded part from resin, cycle time, press rate, secondary work, changeover and mold amortisation, and price five order quantities.</dc:subject>
  <dc:creator>MFG Calcs</dc:creator>
  <cp:keywords>injection molding cost, molded part cost, resin cost, cycle time, mold amortization, regrind, press rate, piece price</cp:keywords>
  <dc:description>https://www.mfgcalcs.com/templates/injection-molding-cost - version 1.0.0,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injection-molding-cost</vt:lpwstr>
  </property>
  <property fmtid="{D5CDD505-2E9C-101B-9397-08002B2CF9AE}" pid="3" name="Template version">
    <vt:lpwstr>1.0.0</vt:lpwstr>
  </property>
  <property fmtid="{D5CDD505-2E9C-101B-9397-08002B2CF9AE}" pid="4" name="Template updated">
    <vt:lpwstr>2026-10-15</vt:lpwstr>
  </property>
  <property fmtid="{D5CDD505-2E9C-101B-9397-08002B2CF9AE}" pid="5" name="Template layout">
    <vt:lpwstr>form</vt:lpwstr>
  </property>
  <property fmtid="{D5CDD505-2E9C-101B-9397-08002B2CF9AE}" pid="6" name="Template URL">
    <vt:lpwstr>https://www.mfgcalcs.com/templates/injection-molding-cost</vt:lpwstr>
  </property>
  <property fmtid="{D5CDD505-2E9C-101B-9397-08002B2CF9AE}" pid="7" name="Template sheet roles">
    <vt:lpwstr>Start Here=start;Setup=setup;Cost Builder=form;Dashboard=dashboard;Method=method;Verify=verify</vt:lpwstr>
  </property>
</Properties>
</file>