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sharedStrings.xml" ContentType="application/vnd.openxmlformats-officedocument.spreadsheetml.sharedStrings+xml"/>
  <Override PartName="/docProps/custom.xml" ContentType="application/vnd.openxmlformats-officedocument.custom-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tart Here" sheetId="1" r:id="rId1"/>
    <sheet name="Setup" sheetId="2" r:id="rId2"/>
    <sheet name="Audit Programme" sheetId="3" r:id="rId3"/>
    <sheet name="Audit Checklist" sheetId="4" r:id="rId4"/>
    <sheet name="Dashboard" sheetId="5" r:id="rId5"/>
    <sheet name="Method" sheetId="6" r:id="rId6"/>
    <sheet name="Verify" sheetId="7" r:id="rId7"/>
  </sheets>
  <definedNames>
    <definedName name="Allowance">Setup!$C$15</definedName>
    <definedName name="AsOf">Setup!$C$7</definedName>
    <definedName name="AuditIDs">tblAudits[Audit no.]</definedName>
    <definedName name="Auditors">tblAuditors[Auditor]</definedName>
    <definedName name="DueSoonDays">Setup!$C$8</definedName>
    <definedName name="Grades">tblGrades[Grade]</definedName>
    <definedName name="KpiAuditsOverdue">Dashboard!$G$31</definedName>
    <definedName name="KpiClosed">Dashboard!$D$31</definedName>
    <definedName name="KpiConform">Dashboard!$J$7</definedName>
    <definedName name="KpiDone">Dashboard!$B$7</definedName>
    <definedName name="KpiHours">Dashboard!$J$31</definedName>
    <definedName name="KpiMajor">Dashboard!$B$31</definedName>
    <definedName name="KpiOpen">Dashboard!$D$7</definedName>
    <definedName name="KpiOverdue">Dashboard!$G$7</definedName>
    <definedName name="MinPerItem">Setup!$C$14</definedName>
    <definedName name="PlantName">Setup!$C$6</definedName>
    <definedName name="_xlnm.Print_Area" localSheetId="3">'Audit Checklist'!$A$1:$S$59</definedName>
    <definedName name="_xlnm.Print_Area" localSheetId="2">'Audit Programme'!$A$1:$Q$19</definedName>
    <definedName name="_xlnm.Print_Area" localSheetId="4">Dashboard!$A$1:$L$61</definedName>
    <definedName name="_xlnm.Print_Area" localSheetId="5">Method!$A$1:$D$58</definedName>
    <definedName name="_xlnm.Print_Area" localSheetId="1">Setup!$A$1:$E$56</definedName>
    <definedName name="_xlnm.Print_Area" localSheetId="0">'Start Here'!$A$1:$F$57</definedName>
    <definedName name="_xlnm.Print_Area" localSheetId="6">Verify!$A$1:$S$68</definedName>
    <definedName name="_xlnm.Print_Titles" localSheetId="3">'Audit Checklist'!$1:$5</definedName>
    <definedName name="_xlnm.Print_Titles" localSheetId="2">'Audit Programme'!$1:$5</definedName>
    <definedName name="_xlnm.Print_Titles" localSheetId="5">Method!$1:$2</definedName>
    <definedName name="Processes">tblProcesses[Process]</definedName>
    <definedName name="Sections">tblSections[Clause]</definedName>
    <definedName name="SelfCheck">Verify!$D$4</definedName>
    <definedName name="SelfCheckSummary">Verify!$F$4</definedName>
    <definedName name="TargetClosed">Setup!$C$10</definedName>
    <definedName name="TargetDone">Setup!$C$9</definedName>
  </definedNames>
  <calcPr calcId="124519" fullCalcOnLoad="1"/>
</workbook>
</file>

<file path=xl/sharedStrings.xml><?xml version="1.0" encoding="utf-8"?>
<sst xmlns="http://schemas.openxmlformats.org/spreadsheetml/2006/main" count="1070" uniqueCount="434">
  <si>
    <t>ISO 9001 Internal Audit Planner</t>
  </si>
  <si>
    <t>Read this first: what the workbook does and how to use it.</t>
  </si>
  <si>
    <t>mfgcalcs.com</t>
  </si>
  <si>
    <t>Plan the internal audit programme, record each audit's checklist and findings, and see completion, conformance by clause and overdue corrective actions.</t>
  </si>
  <si>
    <t>For: Quality managers, management representatives and internal auditors running an ISO 9001 (or IATF 16949, AS9100, ISO 13485) internal audit programme.</t>
  </si>
  <si>
    <t>Version 1.0.0  ·  updated 15 October 2026</t>
  </si>
  <si>
    <t>Quick start</t>
  </si>
  <si>
    <t>1.</t>
  </si>
  <si>
    <t>On Setup, set the status date, your targets and the time per question, then replace the example processes (with owners), auditors and finding grades.</t>
  </si>
  <si>
    <t>2.</t>
  </si>
  <si>
    <t>On Audit Programme, list the year's audits: process, lead auditor, planned date and the number of questions planned.</t>
  </si>
  <si>
    <t>3.</t>
  </si>
  <si>
    <t>During each audit, add a row per question on Audit Checklist: clause, question, evidence seen and the result; give each finding an owner.</t>
  </si>
  <si>
    <t>4.</t>
  </si>
  <si>
    <t>Mark the audit Done with its actual date, and type the closed date when each finding's action is verified.</t>
  </si>
  <si>
    <t>5.</t>
  </si>
  <si>
    <t>Move the status date forward and open the Dashboard for completion, conformance by clause and overdue actions.</t>
  </si>
  <si>
    <t>What is in this workbook</t>
  </si>
  <si>
    <t>Start Here</t>
  </si>
  <si>
    <t>Setup</t>
  </si>
  <si>
    <t>Status date, targets, time standard, and the process, auditor, finding grade and clause lists.</t>
  </si>
  <si>
    <t>Audit Programme</t>
  </si>
  <si>
    <t>One row per planned audit: process, lead auditor, dates and status. Questions, findings and hours are calculated.</t>
  </si>
  <si>
    <t>Audit Checklist</t>
  </si>
  <si>
    <t>One row per question asked: clause, question, evidence and result. Findings carry an owner, a due date and a closed date.</t>
  </si>
  <si>
    <t>Dashboard</t>
  </si>
  <si>
    <t>Programme completion, conformance by clause, findings by process and the corrective actions still open.</t>
  </si>
  <si>
    <t>Method</t>
  </si>
  <si>
    <t>How every number is calculated, with assumptions, limits and sources.</t>
  </si>
  <si>
    <t>Verify</t>
  </si>
  <si>
    <t>Self-check: the workbook's formulas recomputed on fixed inputs against an independent reference.</t>
  </si>
  <si>
    <t>Colour key</t>
  </si>
  <si>
    <t>Input</t>
  </si>
  <si>
    <t>Yellow cells are yours: type a value or pick from the list. Each one says what it accepts when you click it.</t>
  </si>
  <si>
    <t>Calculated</t>
  </si>
  <si>
    <t>Blue cells are formulas. They update as you type; overwrite one and that row stops calculating.</t>
  </si>
  <si>
    <t>Note</t>
  </si>
  <si>
    <t>Grey boxes are guidance and labelled example data.</t>
  </si>
  <si>
    <t>Status words</t>
  </si>
  <si>
    <t>On target / PASS / OK</t>
  </si>
  <si>
    <t>Near target / Check</t>
  </si>
  <si>
    <t>Below target / FAIL</t>
  </si>
  <si>
    <t>Status is always written in words; the colour only repeats it, so the workbook reads the same in black-and-white print and for colour-blind readers.</t>
  </si>
  <si>
    <t>Self-check and links</t>
  </si>
  <si>
    <t>Self-check</t>
  </si>
  <si>
    <t>The Verify sheet recomputes this workbook's formulas on fixed test inputs and compares them with an independent reference calculation. PASS means every check agreed when you opened the file.</t>
  </si>
  <si>
    <t>Run it live</t>
  </si>
  <si>
    <t>Internal Audit Planning Time Calculator on mfgcalcs.com</t>
  </si>
  <si>
    <t>Latest version</t>
  </si>
  <si>
    <t>mfgcalcs.com/templates/internal-audit-checklist</t>
  </si>
  <si>
    <t>More free templates</t>
  </si>
  <si>
    <t>mfgcalcs.com/templates</t>
  </si>
  <si>
    <t>Version</t>
  </si>
  <si>
    <t>1.0.0 (updated 15 October 2026)</t>
  </si>
  <si>
    <t>About the example data</t>
  </si>
  <si>
    <t>Every number already in this workbook is example data for Wexford Components, a fictional business invented for this template, so the dashboard and charts show something meaningful on day one. It covers ten processes and fourteen audits planned for 2026, with checklists and findings for the audits done by the status date (9 October 2026), generated from a fixed seed. To clear it: on each working sheet, select the example rows of the table, right-click and choose Delete &gt; Table Rows. The formulas stay, and every new row you type below the table picks them up.</t>
  </si>
  <si>
    <t>Good to know</t>
  </si>
  <si>
    <t>•</t>
  </si>
  <si>
    <t>Sheets Start Here, Dashboard, Method, Verify are protected without a password so formulas and layout are not overwritten by accident. To change them: Review &gt; Unprotect Sheet.</t>
  </si>
  <si>
    <t>Setup and the working sheets are not protected, so tables grow as you add rows.</t>
  </si>
  <si>
    <t>Works in Excel 2016 and later, Microsoft 365, LibreOffice 24 and Google Sheets (File &gt; Import). No macros, no external links, no add-ins.</t>
  </si>
  <si>
    <t>Money is shown in the currency you type on Setup; no exchange rates are applied.</t>
  </si>
  <si>
    <t>Free from MFG Calcs - keep this credit when you share it.</t>
  </si>
  <si>
    <t>Engineering estimates for planning and improvement work. Verify the results against your own process, data and standards before you rely on them.</t>
  </si>
  <si>
    <t>Process</t>
  </si>
  <si>
    <t>Owner</t>
  </si>
  <si>
    <t>Main clauses</t>
  </si>
  <si>
    <t>Auditor</t>
  </si>
  <si>
    <t>Notes</t>
  </si>
  <si>
    <t>Grade</t>
  </si>
  <si>
    <t>Response (days)</t>
  </si>
  <si>
    <t>Meaning</t>
  </si>
  <si>
    <t>Clause</t>
  </si>
  <si>
    <t>Site and status date</t>
  </si>
  <si>
    <t>Company or site name</t>
  </si>
  <si>
    <t>Wexford Components (example)</t>
  </si>
  <si>
    <t>Status date (as of)</t>
  </si>
  <si>
    <t>Due soon window</t>
  </si>
  <si>
    <t>days</t>
  </si>
  <si>
    <t>Programme completion target</t>
  </si>
  <si>
    <t>Findings closed target</t>
  </si>
  <si>
    <t>Audit time standard (your own estimate)</t>
  </si>
  <si>
    <t>Minutes per checklist question</t>
  </si>
  <si>
    <t>min per question</t>
  </si>
  <si>
    <t>Overhead and delay allowance</t>
  </si>
  <si>
    <t>Targets and the time standard are yours to set. Estimated audit hours = questions x minutes per question / 60 x (1 + allowance), the Internal Audit Planning Time calculator's formula (5 minutes per question = 0.2 questions per minute).</t>
  </si>
  <si>
    <t>Lists that feed the dropdowns</t>
  </si>
  <si>
    <t>Edit, add or remove rows; the programme and checklist dropdowns read these lists. Give each process its owner: the programme's Check column flags an auditor who owns the process audited. Grades set the days allowed to respond to a finding. Clause sections follow ISO 9001:2015 clause numbers (titles shortened, text not reproduced).</t>
  </si>
  <si>
    <t>Processes (the audit universe)</t>
  </si>
  <si>
    <t>Management and planning</t>
  </si>
  <si>
    <t>J. Ellis</t>
  </si>
  <si>
    <t>4, 5, 6, 9.3</t>
  </si>
  <si>
    <t>Sales and contract review</t>
  </si>
  <si>
    <t>M. Ruiz</t>
  </si>
  <si>
    <t>8.2</t>
  </si>
  <si>
    <t>Design and development</t>
  </si>
  <si>
    <t>T. Mensah</t>
  </si>
  <si>
    <t>8.3</t>
  </si>
  <si>
    <t>Purchasing and suppliers</t>
  </si>
  <si>
    <t>D. Shah</t>
  </si>
  <si>
    <t>8.4</t>
  </si>
  <si>
    <t>Production</t>
  </si>
  <si>
    <t>K. Varga</t>
  </si>
  <si>
    <t>8.1, 8.5, 8.6</t>
  </si>
  <si>
    <t>Inspection and testing</t>
  </si>
  <si>
    <t>L. Okoro</t>
  </si>
  <si>
    <t>8.6, 8.7</t>
  </si>
  <si>
    <t>Calibration</t>
  </si>
  <si>
    <t>7.1.5</t>
  </si>
  <si>
    <t>Warehouse and shipping</t>
  </si>
  <si>
    <t>S. Byrne</t>
  </si>
  <si>
    <t>8.5.4, 8.5.5</t>
  </si>
  <si>
    <t>People and training</t>
  </si>
  <si>
    <t>A. Novak</t>
  </si>
  <si>
    <t>7.1.2, 7.2, 7.3</t>
  </si>
  <si>
    <t>Improvement and CAPA</t>
  </si>
  <si>
    <t>P. Grant</t>
  </si>
  <si>
    <t>9.1, 10</t>
  </si>
  <si>
    <t>Internal auditors</t>
  </si>
  <si>
    <t>Lead auditor, quality</t>
  </si>
  <si>
    <t>Engineering</t>
  </si>
  <si>
    <t>Production planning</t>
  </si>
  <si>
    <t>Purchasing</t>
  </si>
  <si>
    <t>Finding grades and response times</t>
  </si>
  <si>
    <t>Major NC</t>
  </si>
  <si>
    <t>A requirement not met in a way that puts product or the system at risk</t>
  </si>
  <si>
    <t>Minor NC</t>
  </si>
  <si>
    <t>A single lapse against a requirement</t>
  </si>
  <si>
    <t>OFI</t>
  </si>
  <si>
    <t>Opportunity for improvement; no requirement broken</t>
  </si>
  <si>
    <t>Clause sections (ISO 9001:2015)</t>
  </si>
  <si>
    <t>4 Context</t>
  </si>
  <si>
    <t>5 Leadership</t>
  </si>
  <si>
    <t>6 Planning</t>
  </si>
  <si>
    <t>7 Support</t>
  </si>
  <si>
    <t>8 Operation</t>
  </si>
  <si>
    <t>9 Evaluation</t>
  </si>
  <si>
    <t>10 Improvement</t>
  </si>
  <si>
    <t>Audit no.</t>
  </si>
  <si>
    <t>Lead auditor</t>
  </si>
  <si>
    <t>Planned date</t>
  </si>
  <si>
    <t>Actual date</t>
  </si>
  <si>
    <t>Status</t>
  </si>
  <si>
    <t>Questions planned</t>
  </si>
  <si>
    <t>Process owner</t>
  </si>
  <si>
    <t>Questions asked</t>
  </si>
  <si>
    <t>Est. hours</t>
  </si>
  <si>
    <t>Due status</t>
  </si>
  <si>
    <t>Check</t>
  </si>
  <si>
    <t>Example data for Wexford Components (fictional). Replace it with your own: select the example rows, right-click, Delete &gt; Table Rows (do the same on Audit Checklist). Yellow = you type; blue = calculated; Check names any problem. Due status is measured to the status date on Setup.</t>
  </si>
  <si>
    <t>IA-26-01</t>
  </si>
  <si>
    <t>Done</t>
  </si>
  <si>
    <t/>
  </si>
  <si>
    <t>IA-26-02</t>
  </si>
  <si>
    <t>IA-26-03</t>
  </si>
  <si>
    <t>IA-26-04</t>
  </si>
  <si>
    <t>IA-26-05</t>
  </si>
  <si>
    <t>Moved one week at the sales manager's request</t>
  </si>
  <si>
    <t>IA-26-06</t>
  </si>
  <si>
    <t>IA-26-07</t>
  </si>
  <si>
    <t>IA-26-08</t>
  </si>
  <si>
    <t>IA-26-09</t>
  </si>
  <si>
    <t>IA-26-10</t>
  </si>
  <si>
    <t>Postponed</t>
  </si>
  <si>
    <t>Postponed: CAPA owner on leave; new date to be agreed</t>
  </si>
  <si>
    <t>IA-26-11</t>
  </si>
  <si>
    <t>Planned</t>
  </si>
  <si>
    <t>IA-26-12</t>
  </si>
  <si>
    <t>IA-26-13</t>
  </si>
  <si>
    <t>IA-26-14</t>
  </si>
  <si>
    <t>Clause ref.</t>
  </si>
  <si>
    <t>Question</t>
  </si>
  <si>
    <t>Evidence</t>
  </si>
  <si>
    <t>Result</t>
  </si>
  <si>
    <t>Action owner</t>
  </si>
  <si>
    <t>Closed</t>
  </si>
  <si>
    <t>Audit date</t>
  </si>
  <si>
    <t>Finding</t>
  </si>
  <si>
    <t>Response due</t>
  </si>
  <si>
    <t>Open</t>
  </si>
  <si>
    <t>Action status</t>
  </si>
  <si>
    <t>Closed on time</t>
  </si>
  <si>
    <t>Example data for Wexford Components (fictional; questions written for this template, keyed to ISO 9001 clause numbers). Process, Audit date and Response (days) come from the programme and the grade list.</t>
  </si>
  <si>
    <t>4.1</t>
  </si>
  <si>
    <t>Are internal and external issues reviewed and the review recorded?</t>
  </si>
  <si>
    <t>Procedure and records reviewed</t>
  </si>
  <si>
    <t>Conforms</t>
  </si>
  <si>
    <t>4.3</t>
  </si>
  <si>
    <t>Is the scope of the QMS documented, with any exclusions justified?</t>
  </si>
  <si>
    <t>Scope statement could name the second site</t>
  </si>
  <si>
    <t>5.2</t>
  </si>
  <si>
    <t>Is the quality policy available, communicated and understood by staff asked?</t>
  </si>
  <si>
    <t>Sample of five orders</t>
  </si>
  <si>
    <t>6.1</t>
  </si>
  <si>
    <t>Are risks and opportunities recorded with actions and owners?</t>
  </si>
  <si>
    <t>Register reviewed</t>
  </si>
  <si>
    <t>6.2</t>
  </si>
  <si>
    <t>Are quality objectives measurable, with plans and current results?</t>
  </si>
  <si>
    <t>Two of five objectives had no plan to achieve them</t>
  </si>
  <si>
    <t>9.3</t>
  </si>
  <si>
    <t>Did the last management review cover every required input and record decisions?</t>
  </si>
  <si>
    <t>Records sampled</t>
  </si>
  <si>
    <t>5.3</t>
  </si>
  <si>
    <t>Are responsibilities and authorities for the QMS assigned and known?</t>
  </si>
  <si>
    <t>8.4.1</t>
  </si>
  <si>
    <t>Are suppliers evaluated, selected and re-evaluated against criteria?</t>
  </si>
  <si>
    <t>8.4.2</t>
  </si>
  <si>
    <t>Are controls on purchased product defined by risk (inspection, certificates)?</t>
  </si>
  <si>
    <t>Plating supplier receipts accepted without certificates in March</t>
  </si>
  <si>
    <t>8.4.3</t>
  </si>
  <si>
    <t>Do purchase orders state requirements, specifications and approvals?</t>
  </si>
  <si>
    <t>Interviewed the process owner</t>
  </si>
  <si>
    <t>9.1.3</t>
  </si>
  <si>
    <t>Is supplier performance monitored and reviewed?</t>
  </si>
  <si>
    <t>Supplier scorecard not yet reviewed quarterly</t>
  </si>
  <si>
    <t>7.5.3</t>
  </si>
  <si>
    <t>Are supplier certificates filed and traceable to receipts?</t>
  </si>
  <si>
    <t>10.2</t>
  </si>
  <si>
    <t>Are supplier nonconformities raised and followed to closure?</t>
  </si>
  <si>
    <t>8.5.1</t>
  </si>
  <si>
    <t>Are work instructions available at the workstation and current?</t>
  </si>
  <si>
    <t>Are set-up approvals and in-process checks recorded as the control plan requires?</t>
  </si>
  <si>
    <t>Set-up approval missing on two jobs at press 4</t>
  </si>
  <si>
    <t>8.5.2</t>
  </si>
  <si>
    <t>Is product identified and traceable through the process?</t>
  </si>
  <si>
    <t>7.1.3</t>
  </si>
  <si>
    <t>Is equipment maintained to plan, with records?</t>
  </si>
  <si>
    <t>8.5.6</t>
  </si>
  <si>
    <t>Are process changes reviewed and authorised before use?</t>
  </si>
  <si>
    <t>7.1.4</t>
  </si>
  <si>
    <t>Is the work environment suitable (cleanliness, lighting, temperature where it matters)?</t>
  </si>
  <si>
    <t>Lighting at the deburr bench is poor</t>
  </si>
  <si>
    <t>8.7</t>
  </si>
  <si>
    <t>Is nonconforming product identified and segregated at the point of production?</t>
  </si>
  <si>
    <t>Observed at the workstation</t>
  </si>
  <si>
    <t>7.2</t>
  </si>
  <si>
    <t>Are operators trained and signed off for the jobs they run?</t>
  </si>
  <si>
    <t>7.1.5.1</t>
  </si>
  <si>
    <t>Does a register list every measuring instrument with interval and due date?</t>
  </si>
  <si>
    <t>7.1.5.2</t>
  </si>
  <si>
    <t>Are calibrations traceable to national standards, with certificates on file?</t>
  </si>
  <si>
    <t>Are out-of-tolerance finds assessed for their effect on product already measured?</t>
  </si>
  <si>
    <t>No impact assessment for three gauges found out of tolerance</t>
  </si>
  <si>
    <t>Are instruments identified with their status and protected from adjustment?</t>
  </si>
  <si>
    <t>Are overdue instruments recalled and kept out of use?</t>
  </si>
  <si>
    <t>Two overdue calipers found in a toolbox</t>
  </si>
  <si>
    <t>8.2.2</t>
  </si>
  <si>
    <t>Are customer requirements, including unstated ones, determined before acceptance?</t>
  </si>
  <si>
    <t>Unstated requirements checklist would help quoting</t>
  </si>
  <si>
    <t>8.2.3</t>
  </si>
  <si>
    <t>Is each order reviewed before acceptance, with differences resolved and recorded?</t>
  </si>
  <si>
    <t>8.2.4</t>
  </si>
  <si>
    <t>Are order changes communicated to the people affected?</t>
  </si>
  <si>
    <t>8.2.1</t>
  </si>
  <si>
    <t>Are customer complaints and feedback captured?</t>
  </si>
  <si>
    <t>9.1.2</t>
  </si>
  <si>
    <t>Is customer satisfaction monitored, with results reviewed?</t>
  </si>
  <si>
    <t>Are contract records retained and retrievable?</t>
  </si>
  <si>
    <t>8.6</t>
  </si>
  <si>
    <t>Is product release done against criteria by an authorised person, with records?</t>
  </si>
  <si>
    <t>Are nonconforming parts tagged, segregated and dispositioned with records?</t>
  </si>
  <si>
    <t>Are the gauges in use calibrated and within their due dates?</t>
  </si>
  <si>
    <t>Height gauge in use 9 days past its due date</t>
  </si>
  <si>
    <t>Are inspection records complete, legible and retained?</t>
  </si>
  <si>
    <t>Are inspection results analysed for trends?</t>
  </si>
  <si>
    <t>Reject trend by part not charted</t>
  </si>
  <si>
    <t>Are first-off and last-off checks done as planned?</t>
  </si>
  <si>
    <t>8.3.2</t>
  </si>
  <si>
    <t>Is there a design plan with stages, reviews and responsibilities?</t>
  </si>
  <si>
    <t>8.3.3</t>
  </si>
  <si>
    <t>Are design inputs complete, including legal and customer requirements?</t>
  </si>
  <si>
    <t>8.3.4</t>
  </si>
  <si>
    <t>Are design reviews, verification and validation recorded?</t>
  </si>
  <si>
    <t>8.3.5</t>
  </si>
  <si>
    <t>Do design outputs include acceptance criteria and special characteristics?</t>
  </si>
  <si>
    <t>8.3.6</t>
  </si>
  <si>
    <t>Are design changes reviewed, authorised and recorded?</t>
  </si>
  <si>
    <t>Rev C change approved by e-mail only</t>
  </si>
  <si>
    <t>7.5.2</t>
  </si>
  <si>
    <t>Are drawings controlled, with revision and approval visible?</t>
  </si>
  <si>
    <t>Are competence requirements defined for each role?</t>
  </si>
  <si>
    <t>Are training records complete and effectiveness checked?</t>
  </si>
  <si>
    <t>Training effectiveness not checked for new starters</t>
  </si>
  <si>
    <t>7.3</t>
  </si>
  <si>
    <t>Do staff asked know the policy, their objectives and the effect of nonconformity?</t>
  </si>
  <si>
    <t>7.1.2</t>
  </si>
  <si>
    <t>Are people resources reviewed against the plan?</t>
  </si>
  <si>
    <t>7.4</t>
  </si>
  <si>
    <t>Are internal communications planned (what, when, who)?</t>
  </si>
  <si>
    <t>8.5.4</t>
  </si>
  <si>
    <t>Is product preserved in storage (packaging, FIFO, shelf life)?</t>
  </si>
  <si>
    <t>Do shipments carry the identification and documents the customer requires?</t>
  </si>
  <si>
    <t>8.5.5</t>
  </si>
  <si>
    <t>Are delivery and post-delivery requirements met?</t>
  </si>
  <si>
    <t>Are storage areas organised and labelled?</t>
  </si>
  <si>
    <t>Is returned or suspect stock held in a marked area?</t>
  </si>
  <si>
    <t>Returned-goods area shares a rack with good stock</t>
  </si>
  <si>
    <t>AUDITS DONE TO DATE</t>
  </si>
  <si>
    <t>OPEN FINDINGS</t>
  </si>
  <si>
    <t>ACTIONS OVERDUE</t>
  </si>
  <si>
    <t>QUESTIONS CONFORMING</t>
  </si>
  <si>
    <t>NCs and OFIs not yet closed</t>
  </si>
  <si>
    <t>Of all questions audited</t>
  </si>
  <si>
    <t>OPEN MAJOR NCS</t>
  </si>
  <si>
    <t>FINDINGS CLOSED</t>
  </si>
  <si>
    <t>AUDITS OVERDUE</t>
  </si>
  <si>
    <t>AUDIT HOURS TO DO (EST.)</t>
  </si>
  <si>
    <t>Planned and postponed audits</t>
  </si>
  <si>
    <t>Conformance by clause section</t>
  </si>
  <si>
    <t>Clause section</t>
  </si>
  <si>
    <t>Questions</t>
  </si>
  <si>
    <t>Conforming</t>
  </si>
  <si>
    <t>Conformance</t>
  </si>
  <si>
    <t>By process</t>
  </si>
  <si>
    <t>Audits</t>
  </si>
  <si>
    <t>Last audited</t>
  </si>
  <si>
    <t>Overdue</t>
  </si>
  <si>
    <t>The Dashboard shows the 10 processes of the Setup list and the 7 clause sections. If you add processes, extend the 'By process' block (see Method) or they will not appear here.</t>
  </si>
  <si>
    <t>What this workbook calculates</t>
  </si>
  <si>
    <t>ISO 9001 asks for internal audits at planned intervals, in a programme that weighs the importance of each process and the results of earlier audits, by auditors who are objective and impartial. This workbook keeps the programme (one row per audit) and the checklist (one row per question asked, with its result). Findings get a due date from their grade and are closed when the action is verified; everything is measured to the status date on Setup, so the file never changes by itself.</t>
  </si>
  <si>
    <t>Calculations</t>
  </si>
  <si>
    <t>Quantity</t>
  </si>
  <si>
    <t>How it is calculated</t>
  </si>
  <si>
    <t>Units</t>
  </si>
  <si>
    <t>Questions asked, Major NC, Minor NC, OFI</t>
  </si>
  <si>
    <t>Checklist rows for the audit, and those with each result (COUNTIFS).</t>
  </si>
  <si>
    <t>count</t>
  </si>
  <si>
    <t>Questions planned x minutes per question / 60 x (1 + allowance): the Internal Audit Planning Time calculator's formula.</t>
  </si>
  <si>
    <t>h</t>
  </si>
  <si>
    <t>Due status (audit)</t>
  </si>
  <si>
    <t>Done: Complete. Cancelled: Cancelled. Otherwise Overdue after the planned date, Due soon within the window, else OK.</t>
  </si>
  <si>
    <t>-</t>
  </si>
  <si>
    <t>1 when the result is on the Grades list (Major NC, Minor NC, OFI).</t>
  </si>
  <si>
    <t>0/1</t>
  </si>
  <si>
    <t>Audit date (from the programme) + the grade's response days.</t>
  </si>
  <si>
    <t>date</t>
  </si>
  <si>
    <t>Open, action status</t>
  </si>
  <si>
    <t>Open = a finding without a closed date. Status: Complete when closed; Overdue after the response due date; Due soon within the window; otherwise OK.</t>
  </si>
  <si>
    <t>Yes when closed on or before the response due date.</t>
  </si>
  <si>
    <t>Audits done to date</t>
  </si>
  <si>
    <t>Audits done with a planned date up to the status date / audits (not cancelled) with a planned date up to the status date.</t>
  </si>
  <si>
    <t>%</t>
  </si>
  <si>
    <t>Questions conforming</t>
  </si>
  <si>
    <t>Questions with result Conforms / questions audited (all rows except Not audited); by clause section on the radar.</t>
  </si>
  <si>
    <t>Findings closed</t>
  </si>
  <si>
    <t>Findings closed / findings raised: the Nonconformance Clearance Ratio calculator's ratio.</t>
  </si>
  <si>
    <t>Audit hours to do</t>
  </si>
  <si>
    <t>Sum of the estimated hours of planned and postponed audits.</t>
  </si>
  <si>
    <t>Assumptions</t>
  </si>
  <si>
    <t>One row per question asked. A question asked twice in one audit (two samples) can be two rows.</t>
  </si>
  <si>
    <t>An OFI counts as a finding with a response time, so it is tracked to closure; set a long response time if you do not track OFIs.</t>
  </si>
  <si>
    <t>Response due dates run from the audit's actual date; findings of audits without an actual date have no due date.</t>
  </si>
  <si>
    <t>Audit hours are a planning estimate from your own time standard, not a measured time.</t>
  </si>
  <si>
    <t>Limitations</t>
  </si>
  <si>
    <t>The questions are examples written for this template; ISO 9001 text is not reproduced. Write your own from the standard, your procedures and earlier findings.</t>
  </si>
  <si>
    <t>The workbook records that an action was closed; root cause analysis and the action plan belong in your CAPA or NCR log.</t>
  </si>
  <si>
    <t>The 'By process' block has a fixed number of rows (a warning appears when the list grows).</t>
  </si>
  <si>
    <t>Conformance is a share of questions, not a measure of the system's effectiveness: a short checklist that avoids weak areas scores well.</t>
  </si>
  <si>
    <t>Agreement with the live calculator</t>
  </si>
  <si>
    <t>Estimated audit hours use the Internal Audit Planning Time calculator's formula: active hours = questions / questions per minute / 60, plus the overhead and delay allowance. With the calculator's default example (120 questions, 0.2 per minute = 5 minutes each, 10%) both give 11.0 hours. Findings closed is the Nonconformance Clearance Ratio calculator's closed / opened x 100 (230 of 250 = 92.0%). The template's reference is checked against both engines on every build.</t>
  </si>
  <si>
    <t>Open the Internal Audit Planning Time Calculator</t>
  </si>
  <si>
    <t>The Verify sheet holds fixed test inputs. Its formulas are the same formula text as the working sheets, placed against those inputs, and each result is compared with a value computed independently by the template's Python reference implementation when the file was built. If you edit a formula on a working sheet, the Verify sheet still tests the original formula text, so it will not detect your change.</t>
  </si>
  <si>
    <t>Sources and standards</t>
  </si>
  <si>
    <t>ISO 9001:2015, clause 9.2 Internal audit (requirements summarised in our own words, not reproduced).</t>
  </si>
  <si>
    <t>ISO 19011:2018, Guidelines for auditing management systems.</t>
  </si>
  <si>
    <t>MFG Calcs Internal Audit Planning Time and Nonconformance Clearance Ratio calculators.</t>
  </si>
  <si>
    <t>Standards are cited by name so you can look them up; no copyrighted standard text or tables are reproduced. Statistical constants used are public.</t>
  </si>
  <si>
    <t>Version history</t>
  </si>
  <si>
    <t>Change</t>
  </si>
  <si>
    <t>Date</t>
  </si>
  <si>
    <t>1.0.0</t>
  </si>
  <si>
    <t>First release.</t>
  </si>
  <si>
    <t>15 October 2026</t>
  </si>
  <si>
    <t>Self-check status</t>
  </si>
  <si>
    <t>This sheet recomputes the workbook's own formulas on fixed test inputs and compares each result with a value computed independently by the template's Python reference implementation when the file was built. Every row should read PASS. The test inputs are fixed and do not change when you edit Setup or the working sheets.</t>
  </si>
  <si>
    <t>Checks</t>
  </si>
  <si>
    <t>No.</t>
  </si>
  <si>
    <t>Expected (reference)</t>
  </si>
  <si>
    <t>Workbook result</t>
  </si>
  <si>
    <t>Difference</t>
  </si>
  <si>
    <t>Tolerance</t>
  </si>
  <si>
    <t>A1: estimated hours, calculator example (120 questions)</t>
  </si>
  <si>
    <t>A1: major NCs</t>
  </si>
  <si>
    <t>A3: postponed past its date</t>
  </si>
  <si>
    <t>exact</t>
  </si>
  <si>
    <t>A4: due soon</t>
  </si>
  <si>
    <t>Due soon</t>
  </si>
  <si>
    <t>A5: cancelled</t>
  </si>
  <si>
    <t>Cancelled</t>
  </si>
  <si>
    <t>A6: Check reports the auditor owns the process</t>
  </si>
  <si>
    <t>Auditor owns this process</t>
  </si>
  <si>
    <t>Row 2: response due (30 days)</t>
  </si>
  <si>
    <t>Row 2: closed on time</t>
  </si>
  <si>
    <t>Yes</t>
  </si>
  <si>
    <t>Row 3: action overdue</t>
  </si>
  <si>
    <t>Row 4: OFI not yet due</t>
  </si>
  <si>
    <t>OK</t>
  </si>
  <si>
    <t>Row 1: conforming question is not a finding</t>
  </si>
  <si>
    <t>Row 5: Check reports a close after the status date</t>
  </si>
  <si>
    <t>Closed after the status date</t>
  </si>
  <si>
    <t>Row 7: Check reports the missing owner</t>
  </si>
  <si>
    <t>Finding has no owner</t>
  </si>
  <si>
    <t>Audits done to date (Dashboard formula)</t>
  </si>
  <si>
    <t>Open findings (Dashboard formula)</t>
  </si>
  <si>
    <t>Actions overdue (Dashboard formula)</t>
  </si>
  <si>
    <t>Questions conforming (Dashboard formula)</t>
  </si>
  <si>
    <t>Findings closed (Dashboard formula)</t>
  </si>
  <si>
    <t>Audit hours to do (Dashboard formula)</t>
  </si>
  <si>
    <t>Fixed test inputs</t>
  </si>
  <si>
    <t>White cells are fixed test inputs; blue cells are the workbook's formulas evaluated on them.</t>
  </si>
  <si>
    <t>Parameters</t>
  </si>
  <si>
    <t>Status date</t>
  </si>
  <si>
    <t>Due soon window (days)</t>
  </si>
  <si>
    <t>Minutes per question (calculator example)</t>
  </si>
  <si>
    <t>Allowance (calculator example)</t>
  </si>
  <si>
    <t>Test table: Processes</t>
  </si>
  <si>
    <t>P1</t>
  </si>
  <si>
    <t>O1</t>
  </si>
  <si>
    <t>P2</t>
  </si>
  <si>
    <t>O2</t>
  </si>
  <si>
    <t>Test table: Grades</t>
  </si>
  <si>
    <t>Test table: Audits</t>
  </si>
  <si>
    <t>A1</t>
  </si>
  <si>
    <t>X</t>
  </si>
  <si>
    <t>A2</t>
  </si>
  <si>
    <t>A3</t>
  </si>
  <si>
    <t>A4</t>
  </si>
  <si>
    <t>A5</t>
  </si>
  <si>
    <t>A6</t>
  </si>
  <si>
    <t>Test table: Checklist</t>
  </si>
  <si>
    <t>x</t>
  </si>
  <si>
    <t>Q</t>
  </si>
  <si>
    <t>E</t>
  </si>
  <si>
    <t>Not audited</t>
  </si>
</sst>
</file>

<file path=xl/styles.xml><?xml version="1.0" encoding="utf-8"?>
<styleSheet xmlns="http://schemas.openxmlformats.org/spreadsheetml/2006/main">
  <numFmts count="9">
    <numFmt numFmtId="164" formatCode="d mmm yyyy"/>
    <numFmt numFmtId="165" formatCode="#,##0"/>
    <numFmt numFmtId="166" formatCode="0%"/>
    <numFmt numFmtId="167" formatCode="#,##0.0"/>
    <numFmt numFmtId="168" formatCode="0.0%"/>
    <numFmt numFmtId="169" formatCode="&quot;Target &quot;0.0%"/>
    <numFmt numFmtId="170" formatCode="&quot;Limit &quot;#,##0"/>
    <numFmt numFmtId="171" formatCode="#,##0.00"/>
    <numFmt numFmtId="172" formatCode="0.0E+00"/>
  </numFmts>
  <fonts count="24">
    <font>
      <sz val="11"/>
      <color theme="1"/>
      <name val="Calibri"/>
      <family val="2"/>
      <scheme val="minor"/>
    </font>
    <font>
      <b/>
      <sz val="15"/>
      <color rgb="FFFFFFFF"/>
      <name val="Calibri"/>
      <family val="2"/>
      <scheme val="minor"/>
    </font>
    <font>
      <i/>
      <sz val="10"/>
      <color rgb="FF4A5361"/>
      <name val="Calibri"/>
      <family val="2"/>
      <scheme val="minor"/>
    </font>
    <font>
      <u/>
      <sz val="9"/>
      <color rgb="FF3B64D8"/>
      <name val="Calibri"/>
      <family val="2"/>
      <scheme val="minor"/>
    </font>
    <font>
      <b/>
      <sz val="22"/>
      <color rgb="FF14386C"/>
      <name val="Calibri"/>
      <family val="2"/>
      <scheme val="minor"/>
    </font>
    <font>
      <sz val="11"/>
      <color rgb="FF1B2430"/>
      <name val="Calibri"/>
      <family val="2"/>
      <scheme val="minor"/>
    </font>
    <font>
      <sz val="10"/>
      <color rgb="FF4A5361"/>
      <name val="Calibri"/>
      <family val="2"/>
      <scheme val="minor"/>
    </font>
    <font>
      <sz val="9"/>
      <color rgb="FF6B7280"/>
      <name val="Calibri"/>
      <family val="2"/>
      <scheme val="minor"/>
    </font>
    <font>
      <b/>
      <sz val="12"/>
      <color rgb="FF14386C"/>
      <name val="Calibri"/>
      <family val="2"/>
      <scheme val="minor"/>
    </font>
    <font>
      <b/>
      <sz val="10"/>
      <color rgb="FF1B2430"/>
      <name val="Calibri"/>
      <family val="2"/>
      <scheme val="minor"/>
    </font>
    <font>
      <sz val="10"/>
      <color rgb="FF1B2430"/>
      <name val="Calibri"/>
      <family val="2"/>
      <scheme val="minor"/>
    </font>
    <font>
      <b/>
      <u/>
      <sz val="10"/>
      <color rgb="FF3B64D8"/>
      <name val="Calibri"/>
      <family val="2"/>
      <scheme val="minor"/>
    </font>
    <font>
      <b/>
      <sz val="10"/>
      <color rgb="FF007840"/>
      <name val="Calibri"/>
      <family val="2"/>
      <scheme val="minor"/>
    </font>
    <font>
      <b/>
      <sz val="10"/>
      <color rgb="FF8A4A06"/>
      <name val="Calibri"/>
      <family val="2"/>
      <scheme val="minor"/>
    </font>
    <font>
      <b/>
      <sz val="10"/>
      <color rgb="FFB3000C"/>
      <name val="Calibri"/>
      <family val="2"/>
      <scheme val="minor"/>
    </font>
    <font>
      <b/>
      <sz val="18"/>
      <color rgb="FF14386C"/>
      <name val="Calibri"/>
      <family val="2"/>
      <scheme val="minor"/>
    </font>
    <font>
      <u/>
      <sz val="10"/>
      <color rgb="FF3B64D8"/>
      <name val="Calibri"/>
      <family val="2"/>
      <scheme val="minor"/>
    </font>
    <font>
      <b/>
      <sz val="10"/>
      <color rgb="FF14386C"/>
      <name val="Calibri"/>
      <family val="2"/>
      <scheme val="minor"/>
    </font>
    <font>
      <b/>
      <sz val="10"/>
      <color rgb="FFFFFFFF"/>
      <name val="Calibri"/>
      <family val="2"/>
      <scheme val="minor"/>
    </font>
    <font>
      <sz val="9"/>
      <color rgb="FF8A4A06"/>
      <name val="Calibri"/>
      <family val="2"/>
      <scheme val="minor"/>
    </font>
    <font>
      <sz val="9"/>
      <color rgb="FF1B2430"/>
      <name val="Calibri"/>
      <family val="2"/>
      <scheme val="minor"/>
    </font>
    <font>
      <i/>
      <sz val="9"/>
      <color rgb="FF6B7280"/>
      <name val="Calibri"/>
      <family val="2"/>
      <scheme val="minor"/>
    </font>
    <font>
      <b/>
      <sz val="9"/>
      <color rgb="FF4A5361"/>
      <name val="Calibri"/>
      <family val="2"/>
      <scheme val="minor"/>
    </font>
    <font>
      <sz val="9"/>
      <color rgb="FF4A5361"/>
      <name val="Calibri"/>
      <family val="2"/>
      <scheme val="minor"/>
    </font>
  </fonts>
  <fills count="10">
    <fill>
      <patternFill patternType="none"/>
    </fill>
    <fill>
      <patternFill patternType="gray125"/>
    </fill>
    <fill>
      <patternFill patternType="solid">
        <fgColor rgb="FF14386C"/>
        <bgColor indexed="64"/>
      </patternFill>
    </fill>
    <fill>
      <patternFill patternType="solid">
        <fgColor rgb="FFFFF7DC"/>
        <bgColor indexed="64"/>
      </patternFill>
    </fill>
    <fill>
      <patternFill patternType="solid">
        <fgColor rgb="FFEEF3FB"/>
        <bgColor indexed="64"/>
      </patternFill>
    </fill>
    <fill>
      <patternFill patternType="solid">
        <fgColor rgb="FFF4F6F8"/>
        <bgColor indexed="64"/>
      </patternFill>
    </fill>
    <fill>
      <patternFill patternType="solid">
        <fgColor rgb="FFE2F3E9"/>
        <bgColor indexed="64"/>
      </patternFill>
    </fill>
    <fill>
      <patternFill patternType="solid">
        <fgColor rgb="FFFDF0CF"/>
        <bgColor indexed="64"/>
      </patternFill>
    </fill>
    <fill>
      <patternFill patternType="solid">
        <fgColor rgb="FFFBE4E4"/>
        <bgColor indexed="64"/>
      </patternFill>
    </fill>
    <fill>
      <patternFill patternType="solid">
        <fgColor rgb="FFFFFFFF"/>
        <bgColor indexed="64"/>
      </patternFill>
    </fill>
  </fills>
  <borders count="10">
    <border>
      <left/>
      <right/>
      <top/>
      <bottom/>
      <diagonal/>
    </border>
    <border>
      <left/>
      <right/>
      <top/>
      <bottom style="medium">
        <color rgb="FF3B64D8"/>
      </bottom>
      <diagonal/>
    </border>
    <border>
      <left style="thin">
        <color rgb="FFE3CF95"/>
      </left>
      <right style="thin">
        <color rgb="FFE3CF95"/>
      </right>
      <top style="thin">
        <color rgb="FFE3CF95"/>
      </top>
      <bottom style="thin">
        <color rgb="FFE3CF95"/>
      </bottom>
      <diagonal/>
    </border>
    <border>
      <left style="thin">
        <color rgb="FFC7D4EE"/>
      </left>
      <right style="thin">
        <color rgb="FFC7D4EE"/>
      </right>
      <top style="thin">
        <color rgb="FFC7D4EE"/>
      </top>
      <bottom style="thin">
        <color rgb="FFC7D4EE"/>
      </bottom>
      <diagonal/>
    </border>
    <border>
      <left style="thin">
        <color rgb="FFE1E5EA"/>
      </left>
      <right style="thin">
        <color rgb="FFE1E5EA"/>
      </right>
      <top style="thin">
        <color rgb="FFE1E5EA"/>
      </top>
      <bottom style="thin">
        <color rgb="FFE1E5EA"/>
      </bottom>
      <diagonal/>
    </border>
    <border>
      <left style="thin">
        <color rgb="FF0E2A52"/>
      </left>
      <right style="thin">
        <color rgb="FF0E2A52"/>
      </right>
      <top style="thin">
        <color rgb="FF0E2A52"/>
      </top>
      <bottom style="thin">
        <color rgb="FF0E2A52"/>
      </bottom>
      <diagonal/>
    </border>
    <border>
      <left style="thin">
        <color rgb="FFD6DBE3"/>
      </left>
      <right style="thin">
        <color rgb="FFD6DBE3"/>
      </right>
      <top style="medium">
        <color rgb="FF14386C"/>
      </top>
      <bottom/>
      <diagonal/>
    </border>
    <border>
      <left style="thin">
        <color rgb="FFD6DBE3"/>
      </left>
      <right style="thin">
        <color rgb="FFD6DBE3"/>
      </right>
      <top/>
      <bottom/>
      <diagonal/>
    </border>
    <border>
      <left style="thin">
        <color rgb="FFD6DBE3"/>
      </left>
      <right style="thin">
        <color rgb="FFD6DBE3"/>
      </right>
      <top/>
      <bottom style="thin">
        <color rgb="FFD6DBE3"/>
      </bottom>
      <diagonal/>
    </border>
    <border>
      <left style="thin">
        <color rgb="FFD6DBE3"/>
      </left>
      <right style="thin">
        <color rgb="FFD6DBE3"/>
      </right>
      <top style="thin">
        <color rgb="FFD6DBE3"/>
      </top>
      <bottom style="thin">
        <color rgb="FFD6DBE3"/>
      </bottom>
      <diagonal/>
    </border>
  </borders>
  <cellStyleXfs count="1">
    <xf numFmtId="0" fontId="0" fillId="0" borderId="0"/>
  </cellStyleXfs>
  <cellXfs count="74">
    <xf numFmtId="0" fontId="0" fillId="0" borderId="0" xfId="0"/>
    <xf numFmtId="0" fontId="1" fillId="2" borderId="0" xfId="0" applyFont="1" applyFill="1" applyAlignment="1">
      <alignment horizontal="left" vertical="center" indent="1"/>
    </xf>
    <xf numFmtId="0" fontId="2" fillId="0" borderId="0" xfId="0" applyFont="1" applyAlignment="1">
      <alignment vertical="top" wrapText="1"/>
    </xf>
    <xf numFmtId="0" fontId="3" fillId="0" borderId="0" xfId="0" applyFont="1" applyAlignment="1">
      <alignment horizontal="right" vertical="top"/>
    </xf>
    <xf numFmtId="0" fontId="4" fillId="0" borderId="0" xfId="0" applyFont="1" applyAlignment="1"/>
    <xf numFmtId="0" fontId="5" fillId="0" borderId="0" xfId="0" applyFont="1" applyAlignment="1">
      <alignment vertical="top" wrapText="1"/>
    </xf>
    <xf numFmtId="0" fontId="6" fillId="0" borderId="0" xfId="0" applyFont="1" applyAlignment="1">
      <alignment vertical="top" wrapText="1"/>
    </xf>
    <xf numFmtId="0" fontId="7" fillId="0" borderId="0" xfId="0" applyFont="1" applyAlignment="1">
      <alignment vertical="center"/>
    </xf>
    <xf numFmtId="0" fontId="8" fillId="0" borderId="1" xfId="0" applyFont="1" applyBorder="1" applyAlignment="1">
      <alignment vertical="center"/>
    </xf>
    <xf numFmtId="0" fontId="9" fillId="0" borderId="0" xfId="0" applyFont="1" applyAlignment="1">
      <alignment horizontal="right" vertical="top"/>
    </xf>
    <xf numFmtId="0" fontId="10" fillId="0" borderId="0" xfId="0" applyFont="1" applyAlignment="1">
      <alignment vertical="top" wrapText="1"/>
    </xf>
    <xf numFmtId="0" fontId="10" fillId="0" borderId="0" xfId="0" applyFont="1" applyAlignment="1">
      <alignment vertical="center"/>
    </xf>
    <xf numFmtId="0" fontId="11" fillId="0" borderId="0" xfId="0" applyFont="1" applyAlignment="1">
      <alignment vertical="top"/>
    </xf>
    <xf numFmtId="0" fontId="9" fillId="3" borderId="2" xfId="0" applyFont="1" applyFill="1" applyBorder="1" applyAlignment="1">
      <alignment horizontal="center" vertical="center"/>
    </xf>
    <xf numFmtId="0" fontId="10" fillId="0" borderId="0" xfId="0" applyFont="1" applyAlignment="1">
      <alignment vertical="top" indent="1" wrapText="1"/>
    </xf>
    <xf numFmtId="0" fontId="9" fillId="4" borderId="3" xfId="0" applyFont="1" applyFill="1" applyBorder="1" applyAlignment="1">
      <alignment horizontal="center" vertical="center"/>
    </xf>
    <xf numFmtId="0" fontId="9" fillId="5" borderId="4" xfId="0" applyFont="1" applyFill="1" applyBorder="1" applyAlignment="1">
      <alignment horizontal="center" vertical="center"/>
    </xf>
    <xf numFmtId="0" fontId="9" fillId="0" borderId="0" xfId="0" applyFont="1" applyAlignment="1">
      <alignment vertical="center"/>
    </xf>
    <xf numFmtId="0" fontId="12" fillId="6" borderId="0" xfId="0" applyFont="1" applyFill="1" applyAlignment="1">
      <alignment horizontal="center" vertical="center"/>
    </xf>
    <xf numFmtId="0" fontId="13" fillId="7" borderId="0" xfId="0" applyFont="1" applyFill="1" applyAlignment="1">
      <alignment horizontal="center" vertical="center"/>
    </xf>
    <xf numFmtId="0" fontId="14" fillId="8" borderId="0" xfId="0" applyFont="1" applyFill="1" applyAlignment="1">
      <alignment horizontal="center" vertical="center"/>
    </xf>
    <xf numFmtId="0" fontId="7" fillId="0" borderId="0" xfId="0" applyFont="1" applyAlignment="1">
      <alignment vertical="top" wrapText="1"/>
    </xf>
    <xf numFmtId="0" fontId="15" fillId="4" borderId="3" xfId="0" applyFont="1" applyFill="1" applyBorder="1" applyAlignment="1">
      <alignment horizontal="center" vertical="center"/>
    </xf>
    <xf numFmtId="0" fontId="2" fillId="0" borderId="0" xfId="0" applyFont="1" applyAlignment="1">
      <alignment vertical="center"/>
    </xf>
    <xf numFmtId="0" fontId="16" fillId="0" borderId="0" xfId="0" applyFont="1" applyAlignment="1">
      <alignment vertical="center"/>
    </xf>
    <xf numFmtId="0" fontId="6" fillId="5" borderId="4" xfId="0" applyFont="1" applyFill="1" applyBorder="1" applyAlignment="1">
      <alignment vertical="top" wrapText="1"/>
    </xf>
    <xf numFmtId="0" fontId="10" fillId="0" borderId="0" xfId="0" applyFont="1" applyAlignment="1">
      <alignment horizontal="right" vertical="top"/>
    </xf>
    <xf numFmtId="0" fontId="6" fillId="0" borderId="0" xfId="0" applyFont="1" applyAlignment="1">
      <alignment vertical="center"/>
    </xf>
    <xf numFmtId="0" fontId="10" fillId="3" borderId="2" xfId="0" applyFont="1" applyFill="1" applyBorder="1" applyAlignment="1" applyProtection="1">
      <alignment vertical="center"/>
      <protection locked="0"/>
    </xf>
    <xf numFmtId="164" fontId="10" fillId="3" borderId="2" xfId="0" applyNumberFormat="1" applyFont="1" applyFill="1" applyBorder="1" applyAlignment="1" applyProtection="1">
      <alignment vertical="center"/>
      <protection locked="0"/>
    </xf>
    <xf numFmtId="165" fontId="10" fillId="3" borderId="2" xfId="0" applyNumberFormat="1" applyFont="1" applyFill="1" applyBorder="1" applyAlignment="1" applyProtection="1">
      <alignment vertical="center"/>
      <protection locked="0"/>
    </xf>
    <xf numFmtId="166" fontId="10" fillId="3" borderId="2" xfId="0" applyNumberFormat="1" applyFont="1" applyFill="1" applyBorder="1" applyAlignment="1" applyProtection="1">
      <alignment vertical="center"/>
      <protection locked="0"/>
    </xf>
    <xf numFmtId="167" fontId="10" fillId="3" borderId="2" xfId="0" applyNumberFormat="1" applyFont="1" applyFill="1" applyBorder="1" applyAlignment="1" applyProtection="1">
      <alignment vertical="center"/>
      <protection locked="0"/>
    </xf>
    <xf numFmtId="0" fontId="17" fillId="0" borderId="0" xfId="0" applyFont="1" applyAlignment="1">
      <alignment vertical="center"/>
    </xf>
    <xf numFmtId="0" fontId="18" fillId="2" borderId="5" xfId="0" applyFont="1" applyFill="1" applyBorder="1" applyAlignment="1">
      <alignment horizontal="center" vertical="center" wrapText="1"/>
    </xf>
    <xf numFmtId="0" fontId="19" fillId="7" borderId="2" xfId="0" applyFont="1" applyFill="1" applyBorder="1" applyAlignment="1">
      <alignment vertical="center" wrapText="1"/>
    </xf>
    <xf numFmtId="0" fontId="10" fillId="4" borderId="3" xfId="0" applyFont="1" applyFill="1" applyBorder="1" applyAlignment="1">
      <alignment vertical="center"/>
    </xf>
    <xf numFmtId="165" fontId="10" fillId="4" borderId="3" xfId="0" applyNumberFormat="1" applyFont="1" applyFill="1" applyBorder="1" applyAlignment="1">
      <alignment vertical="center"/>
    </xf>
    <xf numFmtId="167" fontId="10" fillId="4" borderId="3" xfId="0" applyNumberFormat="1" applyFont="1" applyFill="1" applyBorder="1" applyAlignment="1">
      <alignment vertical="center"/>
    </xf>
    <xf numFmtId="0" fontId="10" fillId="4" borderId="3" xfId="0" applyFont="1" applyFill="1" applyBorder="1" applyAlignment="1">
      <alignment horizontal="center" vertical="center"/>
    </xf>
    <xf numFmtId="0" fontId="20" fillId="4" borderId="3" xfId="0" applyFont="1" applyFill="1" applyBorder="1" applyAlignment="1">
      <alignment vertical="center"/>
    </xf>
    <xf numFmtId="0" fontId="10" fillId="3" borderId="2" xfId="0" applyFont="1" applyFill="1" applyBorder="1" applyAlignment="1" applyProtection="1">
      <alignment vertical="top" wrapText="1"/>
      <protection locked="0"/>
    </xf>
    <xf numFmtId="164" fontId="10" fillId="4" borderId="3" xfId="0" applyNumberFormat="1" applyFont="1" applyFill="1" applyBorder="1" applyAlignment="1">
      <alignment vertical="center"/>
    </xf>
    <xf numFmtId="0" fontId="21" fillId="0" borderId="0" xfId="0" applyFont="1" applyAlignment="1">
      <alignment vertical="center"/>
    </xf>
    <xf numFmtId="0" fontId="22" fillId="9" borderId="6" xfId="0" applyFont="1" applyFill="1" applyBorder="1" applyAlignment="1">
      <alignment vertical="center" wrapText="1"/>
    </xf>
    <xf numFmtId="168" fontId="4" fillId="9" borderId="7" xfId="0" applyNumberFormat="1" applyFont="1" applyFill="1" applyBorder="1" applyAlignment="1">
      <alignment horizontal="left" vertical="center"/>
    </xf>
    <xf numFmtId="165" fontId="4" fillId="9" borderId="7" xfId="0" applyNumberFormat="1" applyFont="1" applyFill="1" applyBorder="1" applyAlignment="1">
      <alignment horizontal="left" vertical="center"/>
    </xf>
    <xf numFmtId="169" fontId="23" fillId="9" borderId="7" xfId="0" applyNumberFormat="1" applyFont="1" applyFill="1" applyBorder="1" applyAlignment="1">
      <alignment horizontal="left" vertical="center"/>
    </xf>
    <xf numFmtId="0" fontId="23" fillId="9" borderId="7" xfId="0" applyFont="1" applyFill="1" applyBorder="1" applyAlignment="1">
      <alignment vertical="center"/>
    </xf>
    <xf numFmtId="170" fontId="23" fillId="9" borderId="7" xfId="0" applyNumberFormat="1" applyFont="1" applyFill="1" applyBorder="1" applyAlignment="1">
      <alignment horizontal="left" vertical="center"/>
    </xf>
    <xf numFmtId="0" fontId="22" fillId="9" borderId="8" xfId="0" applyFont="1" applyFill="1" applyBorder="1" applyAlignment="1">
      <alignment vertical="center"/>
    </xf>
    <xf numFmtId="167" fontId="4" fillId="9" borderId="7" xfId="0" applyNumberFormat="1" applyFont="1" applyFill="1" applyBorder="1" applyAlignment="1">
      <alignment horizontal="left" vertical="center"/>
    </xf>
    <xf numFmtId="0" fontId="18" fillId="2" borderId="5" xfId="0" applyFont="1" applyFill="1" applyBorder="1" applyAlignment="1">
      <alignment horizontal="left" vertical="center" wrapText="1"/>
    </xf>
    <xf numFmtId="0" fontId="9" fillId="0" borderId="9" xfId="0" applyFont="1" applyBorder="1" applyAlignment="1">
      <alignment vertical="center"/>
    </xf>
    <xf numFmtId="166" fontId="10" fillId="4" borderId="3" xfId="0" applyNumberFormat="1" applyFont="1" applyFill="1" applyBorder="1" applyAlignment="1">
      <alignment vertical="center"/>
    </xf>
    <xf numFmtId="0" fontId="13" fillId="0" borderId="0" xfId="0" applyFont="1" applyAlignment="1">
      <alignment vertical="center"/>
    </xf>
    <xf numFmtId="0" fontId="9" fillId="0" borderId="9" xfId="0" applyFont="1" applyBorder="1" applyAlignment="1">
      <alignment vertical="top" wrapText="1"/>
    </xf>
    <xf numFmtId="0" fontId="10" fillId="0" borderId="9" xfId="0" applyFont="1" applyBorder="1" applyAlignment="1">
      <alignment vertical="top" wrapText="1"/>
    </xf>
    <xf numFmtId="0" fontId="10" fillId="0" borderId="9" xfId="0" applyFont="1" applyBorder="1" applyAlignment="1">
      <alignment horizontal="center" vertical="top"/>
    </xf>
    <xf numFmtId="0" fontId="10" fillId="0" borderId="9" xfId="0" applyFont="1" applyBorder="1" applyAlignment="1">
      <alignment vertical="center"/>
    </xf>
    <xf numFmtId="0" fontId="10" fillId="0" borderId="9" xfId="0" applyFont="1" applyBorder="1" applyAlignment="1">
      <alignment vertical="center" wrapText="1"/>
    </xf>
    <xf numFmtId="0" fontId="10" fillId="0" borderId="9" xfId="0" applyFont="1" applyBorder="1" applyAlignment="1">
      <alignment horizontal="center" vertical="center"/>
    </xf>
    <xf numFmtId="0" fontId="8" fillId="0" borderId="0" xfId="0" applyFont="1" applyAlignment="1">
      <alignment vertical="center"/>
    </xf>
    <xf numFmtId="165" fontId="9" fillId="0" borderId="9" xfId="0" applyNumberFormat="1" applyFont="1" applyBorder="1" applyAlignment="1">
      <alignment horizontal="center" vertical="center"/>
    </xf>
    <xf numFmtId="171" fontId="10" fillId="0" borderId="9" xfId="0" applyNumberFormat="1" applyFont="1" applyBorder="1" applyAlignment="1">
      <alignment vertical="center"/>
    </xf>
    <xf numFmtId="171" fontId="10" fillId="4" borderId="3" xfId="0" applyNumberFormat="1" applyFont="1" applyFill="1" applyBorder="1" applyAlignment="1">
      <alignment vertical="center"/>
    </xf>
    <xf numFmtId="172" fontId="10" fillId="4" borderId="3" xfId="0" applyNumberFormat="1" applyFont="1" applyFill="1" applyBorder="1" applyAlignment="1">
      <alignment vertical="center"/>
    </xf>
    <xf numFmtId="172" fontId="10" fillId="0" borderId="9" xfId="0" applyNumberFormat="1" applyFont="1" applyBorder="1" applyAlignment="1">
      <alignment vertical="center"/>
    </xf>
    <xf numFmtId="165" fontId="10" fillId="0" borderId="9" xfId="0" applyNumberFormat="1" applyFont="1" applyBorder="1" applyAlignment="1">
      <alignment vertical="center"/>
    </xf>
    <xf numFmtId="164" fontId="10" fillId="0" borderId="9" xfId="0" applyNumberFormat="1" applyFont="1" applyBorder="1" applyAlignment="1">
      <alignment vertical="center"/>
    </xf>
    <xf numFmtId="168" fontId="10" fillId="0" borderId="9" xfId="0" applyNumberFormat="1" applyFont="1" applyBorder="1" applyAlignment="1">
      <alignment vertical="center"/>
    </xf>
    <xf numFmtId="168" fontId="10" fillId="4" borderId="3" xfId="0" applyNumberFormat="1" applyFont="1" applyFill="1" applyBorder="1" applyAlignment="1">
      <alignment vertical="center"/>
    </xf>
    <xf numFmtId="167" fontId="10" fillId="0" borderId="9" xfId="0" applyNumberFormat="1" applyFont="1" applyBorder="1" applyAlignment="1">
      <alignment vertical="center"/>
    </xf>
    <xf numFmtId="166" fontId="10" fillId="0" borderId="9" xfId="0" applyNumberFormat="1" applyFont="1" applyBorder="1" applyAlignment="1">
      <alignment vertical="center"/>
    </xf>
  </cellXfs>
  <cellStyles count="1">
    <cellStyle name="Normal" xfId="0" builtinId="0"/>
  </cellStyles>
  <dxfs count="4">
    <dxf>
      <font>
        <color rgb="FF007840"/>
      </font>
      <fill>
        <patternFill>
          <bgColor rgb="FFE2F3E9"/>
        </patternFill>
      </fill>
    </dxf>
    <dxf>
      <font>
        <color rgb="FF8A4A06"/>
      </font>
      <fill>
        <patternFill>
          <bgColor rgb="FFFDF0CF"/>
        </patternFill>
      </fill>
    </dxf>
    <dxf>
      <font>
        <color rgb="FFB3000C"/>
      </font>
      <fill>
        <patternFill>
          <bgColor rgb="FFFBE4E4"/>
        </patternFill>
      </fill>
    </dxf>
    <dxf>
      <font>
        <b/>
        <color rgb="FF007840"/>
      </font>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theme" Target="theme/theme1.xml"/><Relationship Id="rId9" Type="http://schemas.openxmlformats.org/officeDocument/2006/relationships/styles" Target="styles.xml"/><Relationship Id="rId10"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Conformance by clause section</a:t>
            </a:r>
          </a:p>
        </c:rich>
      </c:tx>
      <c:layout/>
    </c:title>
    <c:plotArea>
      <c:layout/>
      <c:radarChart>
        <c:radarStyle val="marker"/>
        <c:ser>
          <c:idx val="0"/>
          <c:order val="0"/>
          <c:tx>
            <c:v>Questions conforming</c:v>
          </c:tx>
          <c:spPr>
            <a:ln w="28575">
              <a:solidFill>
                <a:srgbClr val="3B64D8"/>
              </a:solidFill>
            </a:ln>
          </c:spPr>
          <c:marker>
            <c:symbol val="circle"/>
            <c:size val="5"/>
            <c:spPr>
              <a:solidFill>
                <a:srgbClr val="3B64D8"/>
              </a:solidFill>
              <a:ln>
                <a:solidFill>
                  <a:srgbClr val="3B64D8"/>
                </a:solidFill>
              </a:ln>
            </c:spPr>
          </c:marker>
          <c:cat>
            <c:strRef>
              <c:f>Dashboard!$B$38:$B$44</c:f>
              <c:strCache>
                <c:ptCount val="7"/>
                <c:pt idx="0">
                  <c:v>4 Context</c:v>
                </c:pt>
                <c:pt idx="1">
                  <c:v>5 Leadership</c:v>
                </c:pt>
                <c:pt idx="2">
                  <c:v>6 Planning</c:v>
                </c:pt>
                <c:pt idx="3">
                  <c:v>7 Support</c:v>
                </c:pt>
                <c:pt idx="4">
                  <c:v>8 Operation</c:v>
                </c:pt>
                <c:pt idx="5">
                  <c:v>9 Evaluation</c:v>
                </c:pt>
                <c:pt idx="6">
                  <c:v>10 Improvement</c:v>
                </c:pt>
              </c:strCache>
            </c:strRef>
          </c:cat>
          <c:val>
            <c:numRef>
              <c:f>Dashboard!$H$38:$H$44</c:f>
              <c:numCache>
                <c:formatCode>General</c:formatCode>
                <c:ptCount val="7"/>
                <c:pt idx="0">
                  <c:v>0.5</c:v>
                </c:pt>
                <c:pt idx="1">
                  <c:v>1</c:v>
                </c:pt>
                <c:pt idx="2">
                  <c:v>0.5</c:v>
                </c:pt>
                <c:pt idx="3">
                  <c:v>0.736842105263158</c:v>
                </c:pt>
                <c:pt idx="4">
                  <c:v>0.791666666666667</c:v>
                </c:pt>
                <c:pt idx="5">
                  <c:v>0.5</c:v>
                </c:pt>
                <c:pt idx="6">
                  <c:v>1</c:v>
                </c:pt>
              </c:numCache>
            </c:numRef>
          </c:val>
        </c:ser>
        <c:axId val="50010001"/>
        <c:axId val="50010002"/>
      </c:radarChart>
      <c:catAx>
        <c:axId val="50010001"/>
        <c:scaling>
          <c:orientation val="minMax"/>
        </c:scaling>
        <c:axPos val="b"/>
        <c:majorGridlines/>
        <c:tickLblPos val="nextTo"/>
        <c:txPr>
          <a:bodyPr/>
          <a:lstStyle/>
          <a:p>
            <a:pPr>
              <a:defRPr sz="900" baseline="0">
                <a:solidFill>
                  <a:srgbClr val="4A5361"/>
                </a:solidFill>
                <a:latin typeface="Calibri"/>
              </a:defRPr>
            </a:pPr>
            <a:endParaRPr lang="en-US"/>
          </a:p>
        </c:txPr>
        <c:crossAx val="50010002"/>
        <c:crosses val="autoZero"/>
        <c:auto val="1"/>
        <c:lblAlgn val="ctr"/>
        <c:lblOffset val="100"/>
      </c:catAx>
      <c:valAx>
        <c:axId val="50010002"/>
        <c:scaling>
          <c:orientation val="minMax"/>
          <c:max val="1"/>
          <c:min val="0"/>
        </c:scaling>
        <c:axPos val="l"/>
        <c:majorGridlines>
          <c:spPr>
            <a:ln w="9525">
              <a:solidFill>
                <a:srgbClr val="E6E9EE"/>
              </a:solidFill>
            </a:ln>
          </c:spPr>
        </c:majorGridlines>
        <c:numFmt formatCode="0%" sourceLinked="0"/>
        <c:tickLblPos val="nextTo"/>
        <c:txPr>
          <a:bodyPr/>
          <a:lstStyle/>
          <a:p>
            <a:pPr>
              <a:defRPr sz="900" baseline="0">
                <a:solidFill>
                  <a:srgbClr val="4A5361"/>
                </a:solidFill>
                <a:latin typeface="Calibri"/>
              </a:defRPr>
            </a:pPr>
            <a:endParaRPr lang="en-US"/>
          </a:p>
        </c:txPr>
        <c:crossAx val="50010001"/>
        <c:crosses val="autoZero"/>
        <c:crossBetween val="between"/>
      </c:valAx>
    </c:plotArea>
    <c:plotVisOnly val="1"/>
  </c:chart>
  <c:spPr>
    <a:ln>
      <a:noFill/>
    </a:ln>
  </c:sp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lang val="en-US"/>
  <c:chart>
    <c:title>
      <c:tx>
        <c:rich>
          <a:bodyPr/>
          <a:lstStyle/>
          <a:p>
            <a:pPr>
              <a:defRPr sz="1100" b="1" baseline="0">
                <a:solidFill>
                  <a:srgbClr val="14386C"/>
                </a:solidFill>
                <a:latin typeface="Calibri"/>
              </a:defRPr>
            </a:pPr>
            <a:r>
              <a:rPr lang="en-US" sz="1100" b="1" baseline="0">
                <a:solidFill>
                  <a:srgbClr val="14386C"/>
                </a:solidFill>
                <a:latin typeface="Calibri"/>
              </a:rPr>
              <a:t>Findings by process</a:t>
            </a:r>
          </a:p>
        </c:rich>
      </c:tx>
      <c:layout/>
    </c:title>
    <c:plotArea>
      <c:layout/>
      <c:barChart>
        <c:barDir val="bar"/>
        <c:grouping val="stacked"/>
        <c:ser>
          <c:idx val="0"/>
          <c:order val="0"/>
          <c:tx>
            <c:v>Major NC</c:v>
          </c:tx>
          <c:spPr>
            <a:solidFill>
              <a:srgbClr val="B3000C"/>
            </a:solidFill>
            <a:ln w="9525">
              <a:solidFill>
                <a:srgbClr val="FFFFFF"/>
              </a:solidFill>
            </a:ln>
          </c:spPr>
          <c:cat>
            <c:strRef>
              <c:f>Dashboard!$B$48:$B$57</c:f>
              <c:strCache>
                <c:ptCount val="10"/>
                <c:pt idx="0">
                  <c:v>Management and planning</c:v>
                </c:pt>
                <c:pt idx="1">
                  <c:v>Sales and contract review</c:v>
                </c:pt>
                <c:pt idx="2">
                  <c:v>Design and development</c:v>
                </c:pt>
                <c:pt idx="3">
                  <c:v>Purchasing and suppliers</c:v>
                </c:pt>
                <c:pt idx="4">
                  <c:v>Production</c:v>
                </c:pt>
                <c:pt idx="5">
                  <c:v>Inspection and testing</c:v>
                </c:pt>
                <c:pt idx="6">
                  <c:v>Calibration</c:v>
                </c:pt>
                <c:pt idx="7">
                  <c:v>Warehouse and shipping</c:v>
                </c:pt>
                <c:pt idx="8">
                  <c:v>People and training</c:v>
                </c:pt>
                <c:pt idx="9">
                  <c:v>Improvement and CAPA</c:v>
                </c:pt>
              </c:strCache>
            </c:strRef>
          </c:cat>
          <c:val>
            <c:numRef>
              <c:f>Dashboard!$F$48:$F$57</c:f>
              <c:numCache>
                <c:formatCode>General</c:formatCode>
                <c:ptCount val="10"/>
                <c:pt idx="0">
                  <c:v>0</c:v>
                </c:pt>
                <c:pt idx="1">
                  <c:v>0</c:v>
                </c:pt>
                <c:pt idx="2">
                  <c:v>0</c:v>
                </c:pt>
                <c:pt idx="3">
                  <c:v>0</c:v>
                </c:pt>
                <c:pt idx="4">
                  <c:v>0</c:v>
                </c:pt>
                <c:pt idx="5">
                  <c:v>0</c:v>
                </c:pt>
                <c:pt idx="6">
                  <c:v>1</c:v>
                </c:pt>
                <c:pt idx="7">
                  <c:v>0</c:v>
                </c:pt>
                <c:pt idx="8">
                  <c:v>0</c:v>
                </c:pt>
                <c:pt idx="9">
                  <c:v>0</c:v>
                </c:pt>
              </c:numCache>
            </c:numRef>
          </c:val>
        </c:ser>
        <c:ser>
          <c:idx val="1"/>
          <c:order val="1"/>
          <c:tx>
            <c:v>Minor NC</c:v>
          </c:tx>
          <c:spPr>
            <a:solidFill>
              <a:srgbClr val="E8702A"/>
            </a:solidFill>
            <a:ln w="9525">
              <a:solidFill>
                <a:srgbClr val="FFFFFF"/>
              </a:solidFill>
            </a:ln>
          </c:spPr>
          <c:cat>
            <c:strRef>
              <c:f>Dashboard!$B$48:$B$57</c:f>
              <c:strCache>
                <c:ptCount val="10"/>
                <c:pt idx="0">
                  <c:v>Management and planning</c:v>
                </c:pt>
                <c:pt idx="1">
                  <c:v>Sales and contract review</c:v>
                </c:pt>
                <c:pt idx="2">
                  <c:v>Design and development</c:v>
                </c:pt>
                <c:pt idx="3">
                  <c:v>Purchasing and suppliers</c:v>
                </c:pt>
                <c:pt idx="4">
                  <c:v>Production</c:v>
                </c:pt>
                <c:pt idx="5">
                  <c:v>Inspection and testing</c:v>
                </c:pt>
                <c:pt idx="6">
                  <c:v>Calibration</c:v>
                </c:pt>
                <c:pt idx="7">
                  <c:v>Warehouse and shipping</c:v>
                </c:pt>
                <c:pt idx="8">
                  <c:v>People and training</c:v>
                </c:pt>
                <c:pt idx="9">
                  <c:v>Improvement and CAPA</c:v>
                </c:pt>
              </c:strCache>
            </c:strRef>
          </c:cat>
          <c:val>
            <c:numRef>
              <c:f>Dashboard!$G$48:$G$57</c:f>
              <c:numCache>
                <c:formatCode>General</c:formatCode>
                <c:ptCount val="10"/>
                <c:pt idx="0">
                  <c:v>1</c:v>
                </c:pt>
                <c:pt idx="1">
                  <c:v>0</c:v>
                </c:pt>
                <c:pt idx="2">
                  <c:v>1</c:v>
                </c:pt>
                <c:pt idx="3">
                  <c:v>1</c:v>
                </c:pt>
                <c:pt idx="4">
                  <c:v>1</c:v>
                </c:pt>
                <c:pt idx="5">
                  <c:v>1</c:v>
                </c:pt>
                <c:pt idx="6">
                  <c:v>1</c:v>
                </c:pt>
                <c:pt idx="7">
                  <c:v>0</c:v>
                </c:pt>
                <c:pt idx="8">
                  <c:v>1</c:v>
                </c:pt>
                <c:pt idx="9">
                  <c:v>0</c:v>
                </c:pt>
              </c:numCache>
            </c:numRef>
          </c:val>
        </c:ser>
        <c:ser>
          <c:idx val="2"/>
          <c:order val="2"/>
          <c:tx>
            <c:v>OFI</c:v>
          </c:tx>
          <c:spPr>
            <a:solidFill>
              <a:srgbClr val="3B64D8"/>
            </a:solidFill>
            <a:ln w="9525">
              <a:solidFill>
                <a:srgbClr val="FFFFFF"/>
              </a:solidFill>
            </a:ln>
          </c:spPr>
          <c:cat>
            <c:strRef>
              <c:f>Dashboard!$B$48:$B$57</c:f>
              <c:strCache>
                <c:ptCount val="10"/>
                <c:pt idx="0">
                  <c:v>Management and planning</c:v>
                </c:pt>
                <c:pt idx="1">
                  <c:v>Sales and contract review</c:v>
                </c:pt>
                <c:pt idx="2">
                  <c:v>Design and development</c:v>
                </c:pt>
                <c:pt idx="3">
                  <c:v>Purchasing and suppliers</c:v>
                </c:pt>
                <c:pt idx="4">
                  <c:v>Production</c:v>
                </c:pt>
                <c:pt idx="5">
                  <c:v>Inspection and testing</c:v>
                </c:pt>
                <c:pt idx="6">
                  <c:v>Calibration</c:v>
                </c:pt>
                <c:pt idx="7">
                  <c:v>Warehouse and shipping</c:v>
                </c:pt>
                <c:pt idx="8">
                  <c:v>People and training</c:v>
                </c:pt>
                <c:pt idx="9">
                  <c:v>Improvement and CAPA</c:v>
                </c:pt>
              </c:strCache>
            </c:strRef>
          </c:cat>
          <c:val>
            <c:numRef>
              <c:f>Dashboard!$H$48:$H$57</c:f>
              <c:numCache>
                <c:formatCode>General</c:formatCode>
                <c:ptCount val="10"/>
                <c:pt idx="0">
                  <c:v>1</c:v>
                </c:pt>
                <c:pt idx="1">
                  <c:v>1</c:v>
                </c:pt>
                <c:pt idx="2">
                  <c:v>0</c:v>
                </c:pt>
                <c:pt idx="3">
                  <c:v>1</c:v>
                </c:pt>
                <c:pt idx="4">
                  <c:v>1</c:v>
                </c:pt>
                <c:pt idx="5">
                  <c:v>1</c:v>
                </c:pt>
                <c:pt idx="6">
                  <c:v>0</c:v>
                </c:pt>
                <c:pt idx="7">
                  <c:v>1</c:v>
                </c:pt>
                <c:pt idx="8">
                  <c:v>0</c:v>
                </c:pt>
                <c:pt idx="9">
                  <c:v>0</c:v>
                </c:pt>
              </c:numCache>
            </c:numRef>
          </c:val>
        </c:ser>
        <c:gapWidth val="60"/>
        <c:overlap val="100"/>
        <c:axId val="50020001"/>
        <c:axId val="50020002"/>
      </c:barChart>
      <c:catAx>
        <c:axId val="50020001"/>
        <c:scaling>
          <c:orientation val="maxMin"/>
        </c:scaling>
        <c:axPos val="l"/>
        <c:majorTickMark val="none"/>
        <c:minorTickMark val="none"/>
        <c:tickLblPos val="nextTo"/>
        <c:spPr>
          <a:ln w="9525">
            <a:solidFill>
              <a:srgbClr val="D6DBE3"/>
            </a:solidFill>
          </a:ln>
        </c:spPr>
        <c:txPr>
          <a:bodyPr/>
          <a:lstStyle/>
          <a:p>
            <a:pPr>
              <a:defRPr sz="900" baseline="0">
                <a:solidFill>
                  <a:srgbClr val="4A5361"/>
                </a:solidFill>
                <a:latin typeface="Calibri"/>
              </a:defRPr>
            </a:pPr>
            <a:endParaRPr lang="en-US"/>
          </a:p>
        </c:txPr>
        <c:crossAx val="50020002"/>
        <c:crosses val="autoZero"/>
        <c:lblAlgn val="ctr"/>
        <c:lblOffset val="100"/>
      </c:catAx>
      <c:valAx>
        <c:axId val="50020002"/>
        <c:scaling>
          <c:orientation val="minMax"/>
          <c:min val="0"/>
        </c:scaling>
        <c:axPos val="t"/>
        <c:majorGridlines>
          <c:spPr>
            <a:ln w="9525">
              <a:solidFill>
                <a:srgbClr val="E6E9EE"/>
              </a:solidFill>
            </a:ln>
          </c:spPr>
        </c:majorGridlines>
        <c:numFmt formatCode="0" sourceLinked="0"/>
        <c:majorTickMark val="none"/>
        <c:minorTickMark val="none"/>
        <c:tickLblPos val="nextTo"/>
        <c:spPr>
          <a:ln>
            <a:noFill/>
          </a:ln>
        </c:spPr>
        <c:txPr>
          <a:bodyPr/>
          <a:lstStyle/>
          <a:p>
            <a:pPr>
              <a:defRPr sz="900" baseline="0">
                <a:solidFill>
                  <a:srgbClr val="4A5361"/>
                </a:solidFill>
                <a:latin typeface="Calibri"/>
              </a:defRPr>
            </a:pPr>
            <a:endParaRPr lang="en-US"/>
          </a:p>
        </c:txPr>
        <c:crossAx val="50020001"/>
        <c:crosses val="max"/>
        <c:crossBetween val="between"/>
      </c:valAx>
      <c:spPr>
        <a:solidFill>
          <a:srgbClr val="FFFFFF"/>
        </a:solidFill>
        <a:ln>
          <a:noFill/>
        </a:ln>
      </c:spPr>
    </c:plotArea>
    <c:legend>
      <c:legendPos val="b"/>
      <c:layout/>
      <c:txPr>
        <a:bodyPr/>
        <a:lstStyle/>
        <a:p>
          <a:pPr>
            <a:defRPr sz="900" baseline="0">
              <a:solidFill>
                <a:srgbClr val="4A5361"/>
              </a:solidFill>
              <a:latin typeface="Calibri"/>
            </a:defRPr>
          </a:pPr>
          <a:endParaRPr lang="en-US"/>
        </a:p>
      </c:txPr>
    </c:legend>
    <c:plotVisOnly val="1"/>
  </c:chart>
  <c:spPr>
    <a:solidFill>
      <a:srgbClr val="FFFFFF"/>
    </a:solidFill>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 Id="rId2"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editAs="absolute">
    <xdr:from>
      <xdr:col>1</xdr:col>
      <xdr:colOff>19050</xdr:colOff>
      <xdr:row>3</xdr:row>
      <xdr:rowOff>57150</xdr:rowOff>
    </xdr:from>
    <xdr:to>
      <xdr:col>2</xdr:col>
      <xdr:colOff>1543050</xdr:colOff>
      <xdr:row>6</xdr:row>
      <xdr:rowOff>73025</xdr:rowOff>
    </xdr:to>
    <xdr:pic>
      <xdr:nvPicPr>
        <xdr:cNvPr id="2" name="Picture 1" descr="MFG Calcs"/>
        <xdr:cNvPicPr>
          <a:picLocks noChangeAspect="1"/>
        </xdr:cNvPicPr>
      </xdr:nvPicPr>
      <xdr:blipFill>
        <a:blip xmlns:r="http://schemas.openxmlformats.org/officeDocument/2006/relationships" r:embed="rId1"/>
        <a:stretch>
          <a:fillRect/>
        </a:stretch>
      </xdr:blipFill>
      <xdr:spPr>
        <a:xfrm>
          <a:off x="200025" y="781050"/>
          <a:ext cx="1905000" cy="8350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11</xdr:row>
      <xdr:rowOff>38100</xdr:rowOff>
    </xdr:from>
    <xdr:to>
      <xdr:col>5</xdr:col>
      <xdr:colOff>647700</xdr:colOff>
      <xdr:row>27</xdr:row>
      <xdr:rowOff>152400</xdr:rowOff>
    </xdr:to>
    <xdr:graphicFrame macro="">
      <xdr:nvGraphicFramePr>
        <xdr:cNvPr id="2" name="Chart 1" descr="Radar chart of the share of audit questions that conformed, for each ISO 9001 clause section from 4 Context to 10 Improvement."/>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38100</xdr:colOff>
      <xdr:row>11</xdr:row>
      <xdr:rowOff>38100</xdr:rowOff>
    </xdr:from>
    <xdr:to>
      <xdr:col>11</xdr:col>
      <xdr:colOff>647700</xdr:colOff>
      <xdr:row>27</xdr:row>
      <xdr:rowOff>152400</xdr:rowOff>
    </xdr:to>
    <xdr:graphicFrame macro="">
      <xdr:nvGraphicFramePr>
        <xdr:cNvPr id="3" name="Chart 2" descr="Stacked bar chart of major nonconformities, minor nonconformities and opportunities for improvement raised in each proces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ables/table1.xml><?xml version="1.0" encoding="utf-8"?>
<table xmlns="http://schemas.openxmlformats.org/spreadsheetml/2006/main" id="1" name="tblProcesses" displayName="tblProcesses" ref="B23:D33" totalsRowShown="0">
  <autoFilter ref="B23:D33"/>
  <tableColumns count="3">
    <tableColumn id="1" name="Process"/>
    <tableColumn id="2" name="Owner"/>
    <tableColumn id="3" name="Main clauses"/>
  </tableColumns>
  <tableStyleInfo name="TableStyleLight1" showFirstColumn="0" showLastColumn="0" showRowStripes="0" showColumnStripes="0"/>
</table>
</file>

<file path=xl/tables/table2.xml><?xml version="1.0" encoding="utf-8"?>
<table xmlns="http://schemas.openxmlformats.org/spreadsheetml/2006/main" id="2" name="tblAuditors" displayName="tblAuditors" ref="B36:C40" totalsRowShown="0">
  <autoFilter ref="B36:C40"/>
  <tableColumns count="2">
    <tableColumn id="1" name="Auditor"/>
    <tableColumn id="2" name="Notes"/>
  </tableColumns>
  <tableStyleInfo name="TableStyleLight1" showFirstColumn="0" showLastColumn="0" showRowStripes="0" showColumnStripes="0"/>
</table>
</file>

<file path=xl/tables/table3.xml><?xml version="1.0" encoding="utf-8"?>
<table xmlns="http://schemas.openxmlformats.org/spreadsheetml/2006/main" id="3" name="tblGrades" displayName="tblGrades" ref="B43:D46" totalsRowShown="0">
  <autoFilter ref="B43:D46"/>
  <tableColumns count="3">
    <tableColumn id="1" name="Grade"/>
    <tableColumn id="2" name="Response (days)"/>
    <tableColumn id="3" name="Meaning"/>
  </tableColumns>
  <tableStyleInfo name="TableStyleLight1" showFirstColumn="0" showLastColumn="0" showRowStripes="0" showColumnStripes="0"/>
</table>
</file>

<file path=xl/tables/table4.xml><?xml version="1.0" encoding="utf-8"?>
<table xmlns="http://schemas.openxmlformats.org/spreadsheetml/2006/main" id="4" name="tblSections" displayName="tblSections" ref="B49:B56" totalsRowShown="0">
  <autoFilter ref="B49:B56"/>
  <tableColumns count="1">
    <tableColumn id="1" name="Clause"/>
  </tableColumns>
  <tableStyleInfo name="TableStyleLight1" showFirstColumn="0" showLastColumn="0" showRowStripes="0" showColumnStripes="0"/>
</table>
</file>

<file path=xl/tables/table5.xml><?xml version="1.0" encoding="utf-8"?>
<table xmlns="http://schemas.openxmlformats.org/spreadsheetml/2006/main" id="5" name="tblAudits" displayName="tblAudits" ref="B5:Q19" totalsRowShown="0">
  <autoFilter ref="B5:Q19"/>
  <tableColumns count="16">
    <tableColumn id="1" name="Audit no."/>
    <tableColumn id="2" name="Process"/>
    <tableColumn id="3" name="Lead auditor"/>
    <tableColumn id="4" name="Planned date"/>
    <tableColumn id="5" name="Actual date"/>
    <tableColumn id="6" name="Status"/>
    <tableColumn id="7" name="Questions planned"/>
    <tableColumn id="8" name="Process owner">
      <calculatedColumnFormula>IF(tblAudits[[#This Row],[Audit no.]]="","",IFERROR(INDEX(tblProcesses[Owner],MATCH(tblAudits[[#This Row],[Process]],tblProcesses[Process],0)),""))</calculatedColumnFormula>
    </tableColumn>
    <tableColumn id="9" name="Questions asked">
      <calculatedColumnFormula>IF(tblAudits[[#This Row],[Audit no.]]="","",COUNTIFS(tblChecklist[Audit no.],tblAudits[[#This Row],[Audit no.]]))</calculatedColumnFormula>
    </tableColumn>
    <tableColumn id="10" name="Major NC">
      <calculatedColumnFormula>IF(tblAudits[[#This Row],[Audit no.]]="","",COUNTIFS(tblChecklist[Audit no.],tblAudits[[#This Row],[Audit no.]],tblChecklist[Result],"Major NC"))</calculatedColumnFormula>
    </tableColumn>
    <tableColumn id="11" name="Minor NC">
      <calculatedColumnFormula>IF(tblAudits[[#This Row],[Audit no.]]="","",COUNTIFS(tblChecklist[Audit no.],tblAudits[[#This Row],[Audit no.]],tblChecklist[Result],"Minor NC"))</calculatedColumnFormula>
    </tableColumn>
    <tableColumn id="12" name="OFI">
      <calculatedColumnFormula>IF(tblAudits[[#This Row],[Audit no.]]="","",COUNTIFS(tblChecklist[Audit no.],tblAudits[[#This Row],[Audit no.]],tblChecklist[Result],"OFI"))</calculatedColumnFormula>
    </tableColumn>
    <tableColumn id="13" name="Est. hours">
      <calculatedColumnFormula>IF(tblAudits[[#This Row],[Audit no.]]="","",tblAudits[[#This Row],[Questions planned]]*MinPerItem/60*(1+Allowance))</calculatedColumnFormula>
    </tableColumn>
    <tableColumn id="14" name="Due status">
      <calculatedColumnFormula>IF(tblAudits[[#This Row],[Audit no.]]="","",IF(tblAudits[[#This Row],[Status]]="Done","Complete",IF(tblAudits[[#This Row],[Status]]="Cancelled","Cancelled",IF(AsOf&gt;tblAudits[[#This Row],[Planned date]],"Overdue",IF(tblAudits[[#This Row],[Planned date]]-AsOf&lt;=DueSoonDays,"Due soon","OK")))))</calculatedColumnFormula>
    </tableColumn>
    <tableColumn id="15" name="Check">
      <calculatedColumnFormula>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calculatedColumnFormula>
    </tableColumn>
    <tableColumn id="16" name="Notes"/>
  </tableColumns>
  <tableStyleInfo name="TableStyleLight1" showFirstColumn="0" showLastColumn="0" showRowStripes="0" showColumnStripes="0"/>
</table>
</file>

<file path=xl/tables/table6.xml><?xml version="1.0" encoding="utf-8"?>
<table xmlns="http://schemas.openxmlformats.org/spreadsheetml/2006/main" id="6" name="tblChecklist" displayName="tblChecklist" ref="B5:S59" totalsRowShown="0">
  <autoFilter ref="B5:S59"/>
  <tableColumns count="18">
    <tableColumn id="1" name="Audit no."/>
    <tableColumn id="2" name="Clause"/>
    <tableColumn id="3" name="Clause ref."/>
    <tableColumn id="4" name="Question"/>
    <tableColumn id="5" name="Evidence"/>
    <tableColumn id="6" name="Result"/>
    <tableColumn id="7" name="Action owner"/>
    <tableColumn id="8" name="Closed"/>
    <tableColumn id="9" name="Process">
      <calculatedColumnFormula>IF(tblChecklist[[#This Row],[Audit no.]]="","",IFERROR(INDEX(tblAudits[Process],MATCH(tblChecklist[[#This Row],[Audit no.]],tblAudits[Audit no.],0)),""))</calculatedColumnFormula>
    </tableColumn>
    <tableColumn id="10" name="Audit date">
      <calculatedColumnFormula>IF(tblChecklist[[#This Row],[Audit no.]]="","",IFERROR(INDEX(tblAudits[Actual date],MATCH(tblChecklist[[#This Row],[Audit no.]],tblAudits[Audit no.],0)),""))</calculatedColumnFormula>
    </tableColumn>
    <tableColumn id="11" name="Response (days)">
      <calculatedColumnFormula>IF(tblChecklist[[#This Row],[Audit no.]]="","",IFERROR(INDEX(tblGrades[Response (days)],MATCH(tblChecklist[[#This Row],[Result]],tblGrades[Grade],0)),""))</calculatedColumnFormula>
    </tableColumn>
    <tableColumn id="12" name="Finding">
      <calculatedColumnFormula>IF(tblChecklist[[#This Row],[Audit no.]]="","",IF(tblChecklist[[#This Row],[Response (days)]]="",0,1))</calculatedColumnFormula>
    </tableColumn>
    <tableColumn id="13" name="Response due">
      <calculatedColumnFormula>IF(tblChecklist[[#This Row],[Audit no.]]="","",IF(OR(tblChecklist[[#This Row],[Finding]]=0,NOT(ISNUMBER(tblChecklist[[#This Row],[Audit date]]))),"",tblChecklist[[#This Row],[Audit date]]+tblChecklist[[#This Row],[Response (days)]]))</calculatedColumnFormula>
    </tableColumn>
    <tableColumn id="14" name="Open">
      <calculatedColumnFormula>IF(tblChecklist[[#This Row],[Audit no.]]="","",IF(AND(tblChecklist[[#This Row],[Finding]]=1,NOT(ISNUMBER(tblChecklist[[#This Row],[Closed]]))),1,0))</calculatedColumnFormula>
    </tableColumn>
    <tableColumn id="15" name="Action status">
      <calculatedColumnFormula>IF(tblChecklist[[#This Row],[Audit no.]]="","",IF(tblChecklist[[#This Row],[Finding]]=0,"",IF(ISNUMBER(tblChecklist[[#This Row],[Closed]]),"Complete",IF(tblChecklist[[#This Row],[Response due]]="","",IF(AsOf&gt;tblChecklist[[#This Row],[Response due]],"Overdue",IF(tblChecklist[[#This Row],[Response due]]-AsOf&lt;=DueSoonDays,"Due soon","OK"))))))</calculatedColumnFormula>
    </tableColumn>
    <tableColumn id="16" name="Closed on time">
      <calculatedColumnFormula>IF(tblChecklist[[#This Row],[Audit no.]]="","",IF(OR(tblChecklist[[#This Row],[Finding]]=0,NOT(ISNUMBER(tblChecklist[[#This Row],[Closed]])),tblChecklist[[#This Row],[Response due]]=""),"",IF(tblChecklist[[#This Row],[Closed]]&lt;=tblChecklist[[#This Row],[Response due]],"Yes","No")))</calculatedColumnFormula>
    </tableColumn>
    <tableColumn id="17" name="Check">
      <calculatedColumnFormula>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calculatedColumnFormula>
    </tableColumn>
    <tableColumn id="18" name="Notes"/>
  </tableColumns>
  <tableStyleInfo name="TableStyleLight1" showFirstColumn="0" showLastColumn="0" showRowStripes="0" showColumnStripes="0"/>
</table>
</file>

<file path=xl/tables/table7.xml><?xml version="1.0" encoding="utf-8"?>
<table xmlns="http://schemas.openxmlformats.org/spreadsheetml/2006/main" id="7" name="tblVerifyProcesses" displayName="tblVerifyProcesses" ref="B41:D43" totalsRowShown="0">
  <tableColumns count="3">
    <tableColumn id="1" name="Process"/>
    <tableColumn id="2" name="Owner"/>
    <tableColumn id="3" name="Main clauses"/>
  </tableColumns>
  <tableStyleInfo name="TableStyleLight1" showFirstColumn="0" showLastColumn="0" showRowStripes="0" showColumnStripes="0"/>
</table>
</file>

<file path=xl/tables/table8.xml><?xml version="1.0" encoding="utf-8"?>
<table xmlns="http://schemas.openxmlformats.org/spreadsheetml/2006/main" id="8" name="tblVerifyGrades" displayName="tblVerifyGrades" ref="B46:D49" totalsRowShown="0">
  <tableColumns count="3">
    <tableColumn id="1" name="Grade"/>
    <tableColumn id="2" name="Response (days)"/>
    <tableColumn id="3" name="Meaning"/>
  </tableColumns>
  <tableStyleInfo name="TableStyleLight1" showFirstColumn="0" showLastColumn="0" showRowStripes="0" showColumnStripes="0"/>
</table>
</file>

<file path=xl/tables/table9.xml><?xml version="1.0" encoding="utf-8"?>
<table xmlns="http://schemas.openxmlformats.org/spreadsheetml/2006/main" id="9" name="tblVerifyAudits" displayName="tblVerifyAudits" ref="B52:Q58" totalsRowShown="0">
  <tableColumns count="16">
    <tableColumn id="1" name="Audit no."/>
    <tableColumn id="2" name="Process"/>
    <tableColumn id="3" name="Lead auditor"/>
    <tableColumn id="4" name="Planned date"/>
    <tableColumn id="5" name="Actual date"/>
    <tableColumn id="6" name="Status"/>
    <tableColumn id="7" name="Questions planned"/>
    <tableColumn id="8" name="Process owner"/>
    <tableColumn id="9" name="Questions asked">
      <calculatedColumnFormula>IF(tblVerifyAudits[[#This Row],[Audit no.]]="","",COUNTIFS(tblVerifyChecklist[Audit no.],tblVerifyAudits[[#This Row],[Audit no.]]))</calculatedColumnFormula>
    </tableColumn>
    <tableColumn id="10" name="Major NC">
      <calculatedColumnFormula>IF(tblVerifyAudits[[#This Row],[Audit no.]]="","",COUNTIFS(tblVerifyChecklist[Audit no.],tblVerifyAudits[[#This Row],[Audit no.]],tblVerifyChecklist[Result],"Major NC"))</calculatedColumnFormula>
    </tableColumn>
    <tableColumn id="11" name="Minor NC">
      <calculatedColumnFormula>IF(tblVerifyAudits[[#This Row],[Audit no.]]="","",COUNTIFS(tblVerifyChecklist[Audit no.],tblVerifyAudits[[#This Row],[Audit no.]],tblVerifyChecklist[Result],"Minor NC"))</calculatedColumnFormula>
    </tableColumn>
    <tableColumn id="12" name="OFI">
      <calculatedColumnFormula>IF(tblVerifyAudits[[#This Row],[Audit no.]]="","",COUNTIFS(tblVerifyChecklist[Audit no.],tblVerifyAudits[[#This Row],[Audit no.]],tblVerifyChecklist[Result],"OFI"))</calculatedColumnFormula>
    </tableColumn>
    <tableColumn id="13" name="Est. hours">
      <calculatedColumnFormula>IF(tblVerifyAudits[[#This Row],[Audit no.]]="","",tblVerifyAudits[[#This Row],[Questions planned]]*$E$37/60*(1+$E$38))</calculatedColumnFormula>
    </tableColumn>
    <tableColumn id="14" name="Due status">
      <calculatedColumnFormula>IF(tblVerifyAudits[[#This Row],[Audit no.]]="","",IF(tblVerifyAudits[[#This Row],[Status]]="Done","Complete",IF(tblVerifyAudits[[#This Row],[Status]]="Cancelled","Cancelled",IF($E$35&gt;tblVerifyAudits[[#This Row],[Planned date]],"Overdue",IF(tblVerifyAudits[[#This Row],[Planned date]]-$E$35&lt;=$E$36,"Due soon","OK")))))</calculatedColumnFormula>
    </tableColumn>
    <tableColumn id="15" name="Check">
      <calculatedColumnFormula>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calculatedColumnFormula>
    </tableColumn>
    <tableColumn id="16" name="Notes"/>
  </tableColumns>
  <tableStyleInfo name="TableStyleLight1" showFirstColumn="0" showLastColumn="0" showRowStripes="0" showColumnStripes="0"/>
</table>
</file>

<file path=xl/tables/table10.xml><?xml version="1.0" encoding="utf-8"?>
<table xmlns="http://schemas.openxmlformats.org/spreadsheetml/2006/main" id="10" name="tblVerifyChecklist" displayName="tblVerifyChecklist" ref="B61:S68" totalsRowShown="0">
  <tableColumns count="18">
    <tableColumn id="1" name="Audit no."/>
    <tableColumn id="2" name="Clause"/>
    <tableColumn id="3" name="Clause ref."/>
    <tableColumn id="4" name="Question"/>
    <tableColumn id="5" name="Evidence"/>
    <tableColumn id="6" name="Result"/>
    <tableColumn id="7" name="Action owner"/>
    <tableColumn id="8" name="Closed"/>
    <tableColumn id="9" name="Process"/>
    <tableColumn id="10" name="Audit date"/>
    <tableColumn id="11" name="Response (days)"/>
    <tableColumn id="12" name="Finding">
      <calculatedColumnFormula>IF(tblVerifyChecklist[[#This Row],[Audit no.]]="","",IF(tblVerifyChecklist[[#This Row],[Response (days)]]="",0,1))</calculatedColumnFormula>
    </tableColumn>
    <tableColumn id="13" name="Response due">
      <calculatedColumnFormula>IF(tblVerifyChecklist[[#This Row],[Audit no.]]="","",IF(OR(tblVerifyChecklist[[#This Row],[Finding]]=0,NOT(ISNUMBER(tblVerifyChecklist[[#This Row],[Audit date]]))),"",tblVerifyChecklist[[#This Row],[Audit date]]+tblVerifyChecklist[[#This Row],[Response (days)]]))</calculatedColumnFormula>
    </tableColumn>
    <tableColumn id="14" name="Open">
      <calculatedColumnFormula>IF(tblVerifyChecklist[[#This Row],[Audit no.]]="","",IF(AND(tblVerifyChecklist[[#This Row],[Finding]]=1,NOT(ISNUMBER(tblVerifyChecklist[[#This Row],[Closed]]))),1,0))</calculatedColumnFormula>
    </tableColumn>
    <tableColumn id="15" name="Action status">
      <calculatedColumnFormula>IF(tblVerifyChecklist[[#This Row],[Audit no.]]="","",IF(tblVerifyChecklist[[#This Row],[Finding]]=0,"",IF(ISNUMBER(tblVerifyChecklist[[#This Row],[Closed]]),"Complete",IF(tblVerifyChecklist[[#This Row],[Response due]]="","",IF($E$35&gt;tblVerifyChecklist[[#This Row],[Response due]],"Overdue",IF(tblVerifyChecklist[[#This Row],[Response due]]-$E$35&lt;=$E$36,"Due soon","OK"))))))</calculatedColumnFormula>
    </tableColumn>
    <tableColumn id="16" name="Closed on time">
      <calculatedColumnFormula>IF(tblVerifyChecklist[[#This Row],[Audit no.]]="","",IF(OR(tblVerifyChecklist[[#This Row],[Finding]]=0,NOT(ISNUMBER(tblVerifyChecklist[[#This Row],[Closed]])),tblVerifyChecklist[[#This Row],[Response due]]=""),"",IF(tblVerifyChecklist[[#This Row],[Closed]]&lt;=tblVerifyChecklist[[#This Row],[Response due]],"Yes","No")))</calculatedColumnFormula>
    </tableColumn>
    <tableColumn id="17" name="Check">
      <calculatedColumnFormula>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calculatedColumnFormula>
    </tableColumn>
    <tableColumn id="18" name="Notes"/>
  </tableColumns>
  <tableStyleInfo name="TableStyleLight1"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hyperlink" Target="https://www.mfgcalcs.com/calculators/qms-capa-quality-system-management/internal-audit-schedule-load?utm_source=mfgcalcs-template&amp;utm_medium=xlsx&amp;utm_campaign=internal-audit-checklist" TargetMode="External"/><Relationship Id="rId3" Type="http://schemas.openxmlformats.org/officeDocument/2006/relationships/hyperlink" Target="https://www.mfgcalcs.com/templates/internal-audit-checklist?utm_source=mfgcalcs-template&amp;utm_medium=xlsx&amp;utm_campaign=internal-audit-checklist" TargetMode="External"/><Relationship Id="rId4" Type="http://schemas.openxmlformats.org/officeDocument/2006/relationships/hyperlink" Target="https://www.mfgcalcs.com/templates?utm_source=mfgcalcs-template&amp;utm_medium=xlsx&amp;utm_campaign=internal-audit-checklist" TargetMode="External"/><Relationship Id="rId5"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table" Target="../tables/table1.xml"/><Relationship Id="rId3" Type="http://schemas.openxmlformats.org/officeDocument/2006/relationships/table" Target="../tables/table2.xml"/><Relationship Id="rId4" Type="http://schemas.openxmlformats.org/officeDocument/2006/relationships/table" Target="../tables/table3.xml"/><Relationship Id="rId5" Type="http://schemas.openxmlformats.org/officeDocument/2006/relationships/table" Target="../tables/table4.xml"/></Relationships>
</file>

<file path=xl/worksheets/_rels/sheet3.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table" Target="../tables/table5.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table" Target="../tables/table6.xml"/></Relationships>
</file>

<file path=xl/worksheets/_rels/sheet5.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drawing" Target="../drawings/drawing2.xml"/></Relationships>
</file>

<file path=xl/worksheets/_rels/sheet6.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hyperlink" Target="https://www.mfgcalcs.com/calculators/qms-capa-quality-system-management/internal-audit-schedule-load?utm_source=mfgcalcs-template&amp;utm_medium=xlsx&amp;utm_campaign=internal-audit-checklist"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https://www.mfgcalcs.com/?utm_source=mfgcalcs-template&amp;utm_medium=xlsx&amp;utm_campaign=internal-audit-checklist" TargetMode="External"/><Relationship Id="rId2" Type="http://schemas.openxmlformats.org/officeDocument/2006/relationships/table" Target="../tables/table7.xml"/><Relationship Id="rId3" Type="http://schemas.openxmlformats.org/officeDocument/2006/relationships/table" Target="../tables/table8.xml"/><Relationship Id="rId4" Type="http://schemas.openxmlformats.org/officeDocument/2006/relationships/table" Target="../tables/table9.xml"/><Relationship Id="rId5"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sheetPr>
    <tabColor rgb="FF14386C"/>
    <pageSetUpPr fitToPage="1"/>
  </sheetPr>
  <dimension ref="A1:F57"/>
  <sheetViews>
    <sheetView showGridLines="0" tabSelected="1" workbookViewId="0"/>
  </sheetViews>
  <sheetFormatPr defaultRowHeight="15"/>
  <cols>
    <col min="1" max="1" width="2.7109375" customWidth="1"/>
    <col min="2" max="2" width="5.7109375" customWidth="1"/>
    <col min="3" max="3" width="24.7109375" customWidth="1"/>
    <col min="4" max="6" width="22.7109375" customWidth="1"/>
  </cols>
  <sheetData>
    <row r="1" spans="1:6" ht="30" customHeight="1">
      <c r="A1" s="1" t="s">
        <v>0</v>
      </c>
      <c r="B1" s="1"/>
      <c r="C1" s="1"/>
      <c r="D1" s="1"/>
      <c r="E1" s="1"/>
      <c r="F1" s="1"/>
    </row>
    <row r="2" spans="1:6" ht="21" customHeight="1">
      <c r="B2" s="2" t="s">
        <v>1</v>
      </c>
      <c r="C2" s="2"/>
      <c r="D2" s="2"/>
      <c r="E2" s="2"/>
      <c r="F2" s="3" t="s">
        <v>2</v>
      </c>
    </row>
    <row r="3" spans="1:6" ht="6" customHeight="1"/>
    <row r="4" spans="1:6" ht="32" customHeight="1">
      <c r="D4" s="4" t="s">
        <v>0</v>
      </c>
      <c r="E4" s="4"/>
      <c r="F4" s="4"/>
    </row>
    <row r="5" spans="1:6" ht="17" customHeight="1">
      <c r="D5" s="5" t="s">
        <v>3</v>
      </c>
      <c r="E5" s="5"/>
      <c r="F5" s="5"/>
    </row>
    <row r="6" spans="1:6" ht="17" customHeight="1">
      <c r="D6" s="5"/>
      <c r="E6" s="5"/>
      <c r="F6" s="5"/>
    </row>
    <row r="7" spans="1:6" ht="28.4" customHeight="1">
      <c r="D7" s="6" t="s">
        <v>4</v>
      </c>
      <c r="E7" s="6"/>
      <c r="F7" s="6"/>
    </row>
    <row r="8" spans="1:6">
      <c r="D8" s="7" t="s">
        <v>5</v>
      </c>
      <c r="E8" s="7"/>
      <c r="F8" s="7"/>
    </row>
    <row r="10" spans="1:6" ht="21" customHeight="1">
      <c r="B10" s="8" t="s">
        <v>6</v>
      </c>
      <c r="C10" s="8"/>
      <c r="D10" s="8"/>
      <c r="E10" s="8"/>
      <c r="F10" s="8"/>
    </row>
    <row r="11" spans="1:6" ht="5" customHeight="1"/>
    <row r="12" spans="1:6" ht="29.4" customHeight="1">
      <c r="B12" s="9" t="s">
        <v>7</v>
      </c>
      <c r="C12" s="10" t="s">
        <v>8</v>
      </c>
      <c r="D12" s="10"/>
      <c r="E12" s="10"/>
      <c r="F12" s="10"/>
    </row>
    <row r="13" spans="1:6" ht="16.2" customHeight="1">
      <c r="B13" s="9" t="s">
        <v>9</v>
      </c>
      <c r="C13" s="10" t="s">
        <v>10</v>
      </c>
      <c r="D13" s="10"/>
      <c r="E13" s="10"/>
      <c r="F13" s="10"/>
    </row>
    <row r="14" spans="1:6" ht="29.4" customHeight="1">
      <c r="B14" s="9" t="s">
        <v>11</v>
      </c>
      <c r="C14" s="10" t="s">
        <v>12</v>
      </c>
      <c r="D14" s="10"/>
      <c r="E14" s="10"/>
      <c r="F14" s="10"/>
    </row>
    <row r="15" spans="1:6" ht="16.2" customHeight="1">
      <c r="B15" s="9" t="s">
        <v>13</v>
      </c>
      <c r="C15" s="10" t="s">
        <v>14</v>
      </c>
      <c r="D15" s="10"/>
      <c r="E15" s="10"/>
      <c r="F15" s="10"/>
    </row>
    <row r="16" spans="1:6" ht="16.2" customHeight="1">
      <c r="B16" s="9" t="s">
        <v>15</v>
      </c>
      <c r="C16" s="10" t="s">
        <v>16</v>
      </c>
      <c r="D16" s="10"/>
      <c r="E16" s="10"/>
      <c r="F16" s="10"/>
    </row>
    <row r="18" spans="2:6" ht="21" customHeight="1">
      <c r="B18" s="8" t="s">
        <v>17</v>
      </c>
      <c r="C18" s="8"/>
      <c r="D18" s="8"/>
      <c r="E18" s="8"/>
      <c r="F18" s="8"/>
    </row>
    <row r="19" spans="2:6" ht="5" customHeight="1"/>
    <row r="20" spans="2:6" ht="16.2" customHeight="1">
      <c r="B20" s="11"/>
      <c r="C20" s="12" t="s">
        <v>18</v>
      </c>
      <c r="D20" s="10" t="s">
        <v>1</v>
      </c>
      <c r="E20" s="10"/>
      <c r="F20" s="10"/>
    </row>
    <row r="21" spans="2:6" ht="29.4" customHeight="1">
      <c r="B21" s="11"/>
      <c r="C21" s="12" t="s">
        <v>19</v>
      </c>
      <c r="D21" s="10" t="s">
        <v>20</v>
      </c>
      <c r="E21" s="10"/>
      <c r="F21" s="10"/>
    </row>
    <row r="22" spans="2:6" ht="29.4" customHeight="1">
      <c r="B22" s="11"/>
      <c r="C22" s="12" t="s">
        <v>21</v>
      </c>
      <c r="D22" s="10" t="s">
        <v>22</v>
      </c>
      <c r="E22" s="10"/>
      <c r="F22" s="10"/>
    </row>
    <row r="23" spans="2:6" ht="29.4" customHeight="1">
      <c r="B23" s="11"/>
      <c r="C23" s="12" t="s">
        <v>23</v>
      </c>
      <c r="D23" s="10" t="s">
        <v>24</v>
      </c>
      <c r="E23" s="10"/>
      <c r="F23" s="10"/>
    </row>
    <row r="24" spans="2:6" ht="29.4" customHeight="1">
      <c r="B24" s="11"/>
      <c r="C24" s="12" t="s">
        <v>25</v>
      </c>
      <c r="D24" s="10" t="s">
        <v>26</v>
      </c>
      <c r="E24" s="10"/>
      <c r="F24" s="10"/>
    </row>
    <row r="25" spans="2:6" ht="16.2" customHeight="1">
      <c r="B25" s="11"/>
      <c r="C25" s="12" t="s">
        <v>27</v>
      </c>
      <c r="D25" s="10" t="s">
        <v>28</v>
      </c>
      <c r="E25" s="10"/>
      <c r="F25" s="10"/>
    </row>
    <row r="26" spans="2:6" ht="29.4" customHeight="1">
      <c r="B26" s="11"/>
      <c r="C26" s="12" t="s">
        <v>29</v>
      </c>
      <c r="D26" s="10" t="s">
        <v>30</v>
      </c>
      <c r="E26" s="10"/>
      <c r="F26" s="10"/>
    </row>
    <row r="28" spans="2:6" ht="21" customHeight="1">
      <c r="B28" s="8" t="s">
        <v>31</v>
      </c>
      <c r="C28" s="8"/>
      <c r="D28" s="8"/>
      <c r="E28" s="8"/>
      <c r="F28" s="8"/>
    </row>
    <row r="29" spans="2:6" ht="5" customHeight="1"/>
    <row r="30" spans="2:6" ht="29.4" customHeight="1">
      <c r="C30" s="13" t="s">
        <v>32</v>
      </c>
      <c r="D30" s="14" t="s">
        <v>33</v>
      </c>
      <c r="E30" s="14"/>
      <c r="F30" s="14"/>
    </row>
    <row r="31" spans="2:6" ht="29.4" customHeight="1">
      <c r="C31" s="15" t="s">
        <v>34</v>
      </c>
      <c r="D31" s="14" t="s">
        <v>35</v>
      </c>
      <c r="E31" s="14"/>
      <c r="F31" s="14"/>
    </row>
    <row r="32" spans="2:6" ht="16.2" customHeight="1">
      <c r="C32" s="16" t="s">
        <v>36</v>
      </c>
      <c r="D32" s="14" t="s">
        <v>37</v>
      </c>
      <c r="E32" s="14"/>
      <c r="F32" s="14"/>
    </row>
    <row r="33" spans="2:6" ht="18" customHeight="1">
      <c r="C33" s="17" t="s">
        <v>38</v>
      </c>
      <c r="D33" s="18" t="s">
        <v>39</v>
      </c>
      <c r="E33" s="19" t="s">
        <v>40</v>
      </c>
      <c r="F33" s="20" t="s">
        <v>41</v>
      </c>
    </row>
    <row r="34" spans="2:6" ht="26.76" customHeight="1">
      <c r="C34" s="21" t="s">
        <v>42</v>
      </c>
      <c r="D34" s="21"/>
      <c r="E34" s="21"/>
      <c r="F34" s="21"/>
    </row>
    <row r="36" spans="2:6" ht="21" customHeight="1">
      <c r="B36" s="8" t="s">
        <v>43</v>
      </c>
      <c r="C36" s="8"/>
      <c r="D36" s="8"/>
      <c r="E36" s="8"/>
      <c r="F36" s="8"/>
    </row>
    <row r="37" spans="2:6" ht="5" customHeight="1"/>
    <row r="38" spans="2:6" ht="26" customHeight="1">
      <c r="C38" s="17" t="s">
        <v>44</v>
      </c>
      <c r="D38" s="22" t="str">
        <f>SelfCheck</f>
        <v>PASS</v>
      </c>
      <c r="E38" s="23" t="str">
        <f>SelfCheckSummary</f>
        <v>19 of 19 checks pass</v>
      </c>
      <c r="F38" s="23"/>
    </row>
    <row r="39" spans="2:6" ht="26.76" customHeight="1">
      <c r="C39" s="21" t="s">
        <v>45</v>
      </c>
      <c r="D39" s="21"/>
      <c r="E39" s="21"/>
      <c r="F39" s="21"/>
    </row>
    <row r="40" spans="2:6">
      <c r="C40" s="17" t="s">
        <v>46</v>
      </c>
      <c r="D40" s="24" t="s">
        <v>47</v>
      </c>
      <c r="E40" s="24"/>
      <c r="F40" s="24"/>
    </row>
    <row r="41" spans="2:6">
      <c r="C41" s="17" t="s">
        <v>48</v>
      </c>
      <c r="D41" s="24" t="s">
        <v>49</v>
      </c>
      <c r="E41" s="24"/>
      <c r="F41" s="24"/>
    </row>
    <row r="42" spans="2:6">
      <c r="C42" s="17" t="s">
        <v>50</v>
      </c>
      <c r="D42" s="24" t="s">
        <v>51</v>
      </c>
      <c r="E42" s="24"/>
      <c r="F42" s="24"/>
    </row>
    <row r="43" spans="2:6">
      <c r="C43" s="17" t="s">
        <v>52</v>
      </c>
      <c r="D43" s="11" t="s">
        <v>53</v>
      </c>
      <c r="E43" s="11"/>
      <c r="F43" s="11"/>
    </row>
    <row r="45" spans="2:6" ht="21" customHeight="1">
      <c r="B45" s="8" t="s">
        <v>54</v>
      </c>
      <c r="C45" s="8"/>
      <c r="D45" s="8"/>
      <c r="E45" s="8"/>
      <c r="F45" s="8"/>
    </row>
    <row r="46" spans="2:6" ht="5" customHeight="1"/>
    <row r="47" spans="2:6" ht="75" customHeight="1">
      <c r="B47" s="25" t="s">
        <v>55</v>
      </c>
      <c r="C47" s="25"/>
      <c r="D47" s="25"/>
      <c r="E47" s="25"/>
      <c r="F47" s="25"/>
    </row>
    <row r="49" spans="2:6" ht="21" customHeight="1">
      <c r="B49" s="8" t="s">
        <v>56</v>
      </c>
      <c r="C49" s="8"/>
      <c r="D49" s="8"/>
      <c r="E49" s="8"/>
      <c r="F49" s="8"/>
    </row>
    <row r="50" spans="2:6" ht="5" customHeight="1"/>
    <row r="51" spans="2:6" ht="29.4" customHeight="1">
      <c r="B51" s="26" t="s">
        <v>57</v>
      </c>
      <c r="C51" s="10" t="s">
        <v>58</v>
      </c>
      <c r="D51" s="10"/>
      <c r="E51" s="10"/>
      <c r="F51" s="10"/>
    </row>
    <row r="52" spans="2:6" ht="16.2" customHeight="1">
      <c r="B52" s="26" t="s">
        <v>57</v>
      </c>
      <c r="C52" s="10" t="s">
        <v>59</v>
      </c>
      <c r="D52" s="10"/>
      <c r="E52" s="10"/>
      <c r="F52" s="10"/>
    </row>
    <row r="53" spans="2:6" ht="29.4" customHeight="1">
      <c r="B53" s="26" t="s">
        <v>57</v>
      </c>
      <c r="C53" s="10" t="s">
        <v>60</v>
      </c>
      <c r="D53" s="10"/>
      <c r="E53" s="10"/>
      <c r="F53" s="10"/>
    </row>
    <row r="54" spans="2:6" ht="16.2" customHeight="1">
      <c r="B54" s="26" t="s">
        <v>57</v>
      </c>
      <c r="C54" s="10" t="s">
        <v>61</v>
      </c>
      <c r="D54" s="10"/>
      <c r="E54" s="10"/>
      <c r="F54" s="10"/>
    </row>
    <row r="56" spans="2:6" ht="16.2" customHeight="1">
      <c r="B56" s="17" t="s">
        <v>62</v>
      </c>
      <c r="C56" s="17"/>
      <c r="D56" s="17"/>
      <c r="E56" s="17"/>
      <c r="F56" s="17"/>
    </row>
    <row r="57" spans="2:6" ht="26.76" customHeight="1">
      <c r="B57" s="21" t="s">
        <v>63</v>
      </c>
      <c r="C57" s="21"/>
      <c r="D57" s="21"/>
      <c r="E57" s="21"/>
      <c r="F57" s="21"/>
    </row>
  </sheetData>
  <sheetProtection sheet="1" formatColumns="0" formatRows="0"/>
  <mergeCells count="41">
    <mergeCell ref="A1:F1"/>
    <mergeCell ref="B2:E2"/>
    <mergeCell ref="D4:F4"/>
    <mergeCell ref="D5:F6"/>
    <mergeCell ref="D7:F7"/>
    <mergeCell ref="D8:F8"/>
    <mergeCell ref="B10:F10"/>
    <mergeCell ref="C12:F12"/>
    <mergeCell ref="C13:F13"/>
    <mergeCell ref="C14:F14"/>
    <mergeCell ref="C15:F15"/>
    <mergeCell ref="C16:F16"/>
    <mergeCell ref="B18:F18"/>
    <mergeCell ref="D20:F20"/>
    <mergeCell ref="D21:F21"/>
    <mergeCell ref="D22:F22"/>
    <mergeCell ref="D23:F23"/>
    <mergeCell ref="D24:F24"/>
    <mergeCell ref="D25:F25"/>
    <mergeCell ref="D26:F26"/>
    <mergeCell ref="B28:F28"/>
    <mergeCell ref="D30:F30"/>
    <mergeCell ref="D31:F31"/>
    <mergeCell ref="D32:F32"/>
    <mergeCell ref="C34:F34"/>
    <mergeCell ref="B36:F36"/>
    <mergeCell ref="E38:F38"/>
    <mergeCell ref="C39:F39"/>
    <mergeCell ref="D40:F40"/>
    <mergeCell ref="D41:F41"/>
    <mergeCell ref="D42:F42"/>
    <mergeCell ref="D43:F43"/>
    <mergeCell ref="B45:F45"/>
    <mergeCell ref="B47:F47"/>
    <mergeCell ref="B49:F49"/>
    <mergeCell ref="C51:F51"/>
    <mergeCell ref="C52:F52"/>
    <mergeCell ref="C53:F53"/>
    <mergeCell ref="C54:F54"/>
    <mergeCell ref="B56:F56"/>
    <mergeCell ref="B57:F57"/>
  </mergeCells>
  <conditionalFormatting sqref="D38">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hyperlinks>
    <hyperlink ref="F2" r:id="rId1" tooltip="Free manufacturing calculators and templates"/>
    <hyperlink ref="C20" location="'Start Here'!A1" tooltip="Go to Start Here" display="Start Here"/>
    <hyperlink ref="C21" location="Setup!A1" tooltip="Go to Setup" display="Setup"/>
    <hyperlink ref="C22" location="'Audit Programme'!A1" tooltip="Go to Audit Programme" display="Audit Programme"/>
    <hyperlink ref="C23" location="'Audit Checklist'!A1" tooltip="Go to Audit Checklist" display="Audit Checklist"/>
    <hyperlink ref="C24" location="Dashboard!A1" tooltip="Go to Dashboard" display="Dashboard"/>
    <hyperlink ref="C25" location="Method!A1" tooltip="Go to Method" display="Method"/>
    <hyperlink ref="C26" location="Verify!A1" tooltip="Go to Verify" display="Verify"/>
    <hyperlink ref="D40" r:id="rId2"/>
    <hyperlink ref="D41" r:id="rId3"/>
    <hyperlink ref="D42" r:id="rId4"/>
  </hyperlinks>
  <printOptions horizontalCentered="1"/>
  <pageMargins left="0.4" right="0.4" top="0.7" bottom="0.65" header="0.3" footer="0.3"/>
  <pageSetup fitToHeight="0" orientation="portrait"/>
  <headerFooter>
    <oddHeader>&amp;L&amp;8MFG Calcs - ISO 9001 Internal Audit Planner&amp;R&amp;8&amp;A</oddHeader>
    <oddFooter>&amp;L&amp;8mfgcalcs.com - free manufacturing templates&amp;R&amp;8Page &amp;P of &amp;N</oddFooter>
  </headerFooter>
  <rowBreaks count="1" manualBreakCount="1">
    <brk id="27" max="16383" man="1"/>
  </rowBreaks>
  <drawing r:id="rId5"/>
</worksheet>
</file>

<file path=xl/worksheets/sheet2.xml><?xml version="1.0" encoding="utf-8"?>
<worksheet xmlns="http://schemas.openxmlformats.org/spreadsheetml/2006/main" xmlns:r="http://schemas.openxmlformats.org/officeDocument/2006/relationships">
  <sheetPr>
    <tabColor rgb="FFDE9C31"/>
    <pageSetUpPr fitToPage="1"/>
  </sheetPr>
  <dimension ref="A1:E56"/>
  <sheetViews>
    <sheetView showGridLines="0" workbookViewId="0"/>
  </sheetViews>
  <sheetFormatPr defaultRowHeight="15"/>
  <cols>
    <col min="1" max="1" width="2.7109375" customWidth="1"/>
    <col min="2" max="2" width="34.7109375" customWidth="1"/>
    <col min="3" max="3" width="22.7109375" customWidth="1"/>
    <col min="4" max="4" width="52.7109375" customWidth="1"/>
  </cols>
  <sheetData>
    <row r="1" spans="1:5" ht="30" customHeight="1">
      <c r="A1" s="1" t="s">
        <v>0</v>
      </c>
      <c r="B1" s="1"/>
      <c r="C1" s="1"/>
      <c r="D1" s="1"/>
      <c r="E1" s="1"/>
    </row>
    <row r="2" spans="1:5" ht="32.4" customHeight="1">
      <c r="B2" s="2" t="s">
        <v>20</v>
      </c>
      <c r="C2" s="2"/>
      <c r="D2" s="3" t="s">
        <v>2</v>
      </c>
      <c r="E2" s="3"/>
    </row>
    <row r="3" spans="1:5" ht="6" customHeight="1"/>
    <row r="4" spans="1:5" ht="21" customHeight="1">
      <c r="B4" s="8" t="s">
        <v>73</v>
      </c>
      <c r="C4" s="8"/>
      <c r="D4" s="8"/>
    </row>
    <row r="5" spans="1:5" ht="5" customHeight="1"/>
    <row r="6" spans="1:5">
      <c r="B6" s="27" t="s">
        <v>74</v>
      </c>
      <c r="C6" s="28" t="s">
        <v>75</v>
      </c>
      <c r="D6" s="28"/>
    </row>
    <row r="7" spans="1:5">
      <c r="B7" s="27" t="s">
        <v>76</v>
      </c>
      <c r="C7" s="29">
        <v>46304</v>
      </c>
      <c r="D7" s="7"/>
    </row>
    <row r="8" spans="1:5">
      <c r="B8" s="27" t="s">
        <v>77</v>
      </c>
      <c r="C8" s="30">
        <v>14</v>
      </c>
      <c r="D8" s="7" t="s">
        <v>78</v>
      </c>
    </row>
    <row r="9" spans="1:5">
      <c r="B9" s="27" t="s">
        <v>79</v>
      </c>
      <c r="C9" s="31">
        <v>0.9</v>
      </c>
      <c r="D9" s="7"/>
    </row>
    <row r="10" spans="1:5">
      <c r="B10" s="27" t="s">
        <v>80</v>
      </c>
      <c r="C10" s="31">
        <v>0.8</v>
      </c>
      <c r="D10" s="7"/>
    </row>
    <row r="12" spans="1:5" ht="21" customHeight="1">
      <c r="B12" s="8" t="s">
        <v>81</v>
      </c>
      <c r="C12" s="8"/>
      <c r="D12" s="8"/>
    </row>
    <row r="13" spans="1:5" ht="5" customHeight="1"/>
    <row r="14" spans="1:5">
      <c r="B14" s="27" t="s">
        <v>82</v>
      </c>
      <c r="C14" s="32">
        <v>5</v>
      </c>
      <c r="D14" s="7" t="s">
        <v>83</v>
      </c>
    </row>
    <row r="15" spans="1:5">
      <c r="B15" s="27" t="s">
        <v>84</v>
      </c>
      <c r="C15" s="31">
        <v>0.1</v>
      </c>
      <c r="D15" s="7"/>
    </row>
    <row r="17" spans="2:4" ht="35.4" customHeight="1">
      <c r="B17" s="25" t="s">
        <v>85</v>
      </c>
      <c r="C17" s="25"/>
      <c r="D17" s="25"/>
    </row>
    <row r="19" spans="2:4" ht="21" customHeight="1">
      <c r="B19" s="8" t="s">
        <v>86</v>
      </c>
      <c r="C19" s="8"/>
      <c r="D19" s="8"/>
    </row>
    <row r="20" spans="2:4" ht="5" customHeight="1"/>
    <row r="21" spans="2:4" ht="38.64" customHeight="1">
      <c r="B21" s="21" t="s">
        <v>87</v>
      </c>
      <c r="C21" s="21"/>
      <c r="D21" s="21"/>
    </row>
    <row r="22" spans="2:4">
      <c r="B22" s="33" t="s">
        <v>88</v>
      </c>
      <c r="C22" s="33"/>
      <c r="D22" s="33"/>
    </row>
    <row r="23" spans="2:4" ht="20" customHeight="1">
      <c r="B23" s="34" t="s">
        <v>64</v>
      </c>
      <c r="C23" s="34" t="s">
        <v>65</v>
      </c>
      <c r="D23" s="34" t="s">
        <v>66</v>
      </c>
    </row>
    <row r="24" spans="2:4">
      <c r="B24" s="28" t="s">
        <v>89</v>
      </c>
      <c r="C24" s="28" t="s">
        <v>90</v>
      </c>
      <c r="D24" s="28" t="s">
        <v>91</v>
      </c>
    </row>
    <row r="25" spans="2:4">
      <c r="B25" s="28" t="s">
        <v>92</v>
      </c>
      <c r="C25" s="28" t="s">
        <v>93</v>
      </c>
      <c r="D25" s="28" t="s">
        <v>94</v>
      </c>
    </row>
    <row r="26" spans="2:4">
      <c r="B26" s="28" t="s">
        <v>95</v>
      </c>
      <c r="C26" s="28" t="s">
        <v>96</v>
      </c>
      <c r="D26" s="28" t="s">
        <v>97</v>
      </c>
    </row>
    <row r="27" spans="2:4">
      <c r="B27" s="28" t="s">
        <v>98</v>
      </c>
      <c r="C27" s="28" t="s">
        <v>99</v>
      </c>
      <c r="D27" s="28" t="s">
        <v>100</v>
      </c>
    </row>
    <row r="28" spans="2:4">
      <c r="B28" s="28" t="s">
        <v>101</v>
      </c>
      <c r="C28" s="28" t="s">
        <v>102</v>
      </c>
      <c r="D28" s="28" t="s">
        <v>103</v>
      </c>
    </row>
    <row r="29" spans="2:4">
      <c r="B29" s="28" t="s">
        <v>104</v>
      </c>
      <c r="C29" s="28" t="s">
        <v>105</v>
      </c>
      <c r="D29" s="28" t="s">
        <v>106</v>
      </c>
    </row>
    <row r="30" spans="2:4">
      <c r="B30" s="28" t="s">
        <v>107</v>
      </c>
      <c r="C30" s="28" t="s">
        <v>105</v>
      </c>
      <c r="D30" s="28" t="s">
        <v>108</v>
      </c>
    </row>
    <row r="31" spans="2:4">
      <c r="B31" s="28" t="s">
        <v>109</v>
      </c>
      <c r="C31" s="28" t="s">
        <v>110</v>
      </c>
      <c r="D31" s="28" t="s">
        <v>111</v>
      </c>
    </row>
    <row r="32" spans="2:4">
      <c r="B32" s="28" t="s">
        <v>112</v>
      </c>
      <c r="C32" s="28" t="s">
        <v>113</v>
      </c>
      <c r="D32" s="28" t="s">
        <v>114</v>
      </c>
    </row>
    <row r="33" spans="2:4">
      <c r="B33" s="28" t="s">
        <v>115</v>
      </c>
      <c r="C33" s="28" t="s">
        <v>116</v>
      </c>
      <c r="D33" s="28" t="s">
        <v>117</v>
      </c>
    </row>
    <row r="35" spans="2:4">
      <c r="B35" s="33" t="s">
        <v>118</v>
      </c>
      <c r="C35" s="33"/>
    </row>
    <row r="36" spans="2:4" ht="20" customHeight="1">
      <c r="B36" s="34" t="s">
        <v>67</v>
      </c>
      <c r="C36" s="34" t="s">
        <v>68</v>
      </c>
    </row>
    <row r="37" spans="2:4">
      <c r="B37" s="28" t="s">
        <v>116</v>
      </c>
      <c r="C37" s="28" t="s">
        <v>119</v>
      </c>
    </row>
    <row r="38" spans="2:4">
      <c r="B38" s="28" t="s">
        <v>96</v>
      </c>
      <c r="C38" s="28" t="s">
        <v>120</v>
      </c>
    </row>
    <row r="39" spans="2:4">
      <c r="B39" s="28" t="s">
        <v>102</v>
      </c>
      <c r="C39" s="28" t="s">
        <v>121</v>
      </c>
    </row>
    <row r="40" spans="2:4">
      <c r="B40" s="28" t="s">
        <v>99</v>
      </c>
      <c r="C40" s="28" t="s">
        <v>122</v>
      </c>
    </row>
    <row r="42" spans="2:4">
      <c r="B42" s="33" t="s">
        <v>123</v>
      </c>
      <c r="C42" s="33"/>
      <c r="D42" s="33"/>
    </row>
    <row r="43" spans="2:4" ht="32" customHeight="1">
      <c r="B43" s="34" t="s">
        <v>69</v>
      </c>
      <c r="C43" s="34" t="s">
        <v>70</v>
      </c>
      <c r="D43" s="34" t="s">
        <v>71</v>
      </c>
    </row>
    <row r="44" spans="2:4">
      <c r="B44" s="28" t="s">
        <v>124</v>
      </c>
      <c r="C44" s="30">
        <v>30</v>
      </c>
      <c r="D44" s="28" t="s">
        <v>125</v>
      </c>
    </row>
    <row r="45" spans="2:4">
      <c r="B45" s="28" t="s">
        <v>126</v>
      </c>
      <c r="C45" s="30">
        <v>60</v>
      </c>
      <c r="D45" s="28" t="s">
        <v>127</v>
      </c>
    </row>
    <row r="46" spans="2:4">
      <c r="B46" s="28" t="s">
        <v>128</v>
      </c>
      <c r="C46" s="30">
        <v>90</v>
      </c>
      <c r="D46" s="28" t="s">
        <v>129</v>
      </c>
    </row>
    <row r="48" spans="2:4">
      <c r="B48" s="33" t="s">
        <v>130</v>
      </c>
    </row>
    <row r="49" spans="2:2" ht="20" customHeight="1">
      <c r="B49" s="34" t="s">
        <v>72</v>
      </c>
    </row>
    <row r="50" spans="2:2">
      <c r="B50" s="28" t="s">
        <v>131</v>
      </c>
    </row>
    <row r="51" spans="2:2">
      <c r="B51" s="28" t="s">
        <v>132</v>
      </c>
    </row>
    <row r="52" spans="2:2">
      <c r="B52" s="28" t="s">
        <v>133</v>
      </c>
    </row>
    <row r="53" spans="2:2">
      <c r="B53" s="28" t="s">
        <v>134</v>
      </c>
    </row>
    <row r="54" spans="2:2">
      <c r="B54" s="28" t="s">
        <v>135</v>
      </c>
    </row>
    <row r="55" spans="2:2">
      <c r="B55" s="28" t="s">
        <v>136</v>
      </c>
    </row>
    <row r="56" spans="2:2">
      <c r="B56" s="28" t="s">
        <v>137</v>
      </c>
    </row>
  </sheetData>
  <mergeCells count="12">
    <mergeCell ref="A1:E1"/>
    <mergeCell ref="B2:C2"/>
    <mergeCell ref="D2:E2"/>
    <mergeCell ref="B4:D4"/>
    <mergeCell ref="C6:D6"/>
    <mergeCell ref="B12:D12"/>
    <mergeCell ref="B17:D17"/>
    <mergeCell ref="B19:D19"/>
    <mergeCell ref="B21:D21"/>
    <mergeCell ref="B22:D22"/>
    <mergeCell ref="B35:C35"/>
    <mergeCell ref="B42:D42"/>
  </mergeCells>
  <dataValidations count="16">
    <dataValidation type="textLength" allowBlank="1" showInputMessage="1" showErrorMessage="1" errorTitle="Check this entry" error="Text up to 80 characters." promptTitle="Company or site name" prompt="Shown on the Dashboard header. Text up to 80 characters." sqref="C6">
      <formula1>0</formula1>
      <formula2>80</formula2>
    </dataValidation>
    <dataValidation type="date" allowBlank="1" showInputMessage="1" showErrorMessage="1" errorTitle="Check this entry" error="Enter a date between 01 Jan 2000 and 31 Dec 2100." promptTitle="Status date (as of)" prompt="The date the programme was last brought up to date. Overdue audits and actions are measured to this date. Enter a date between 01 Jan 2000 and 31 Dec 2100." sqref="C7">
      <formula1>36526</formula1>
      <formula2>73415</formula2>
    </dataValidation>
    <dataValidation type="whole" allowBlank="1" showInputMessage="1" showErrorMessage="1" errorTitle="Check this entry" error="Enter a whole number from 0 to 365." promptTitle="Due soon window" prompt="Audits and actions due within this many days of the status date read Due soon. Enter a whole number from 0 to 365." sqref="C8">
      <formula1>0</formula1>
      <formula2>365</formula2>
    </dataValidation>
    <dataValidation type="decimal" allowBlank="1" showInputMessage="1" showErrorMessage="1" errorTitle="Check this entry" error="Enter a percentage from 0% to 100% (type 85% or 0.85)." promptTitle="Programme completion target" prompt="Share of audits planned up to the status date that are done. Your own target. Enter a percentage from 0% to 100% (type 85% or 0.85)." sqref="C9">
      <formula1>0</formula1>
      <formula2>1</formula2>
    </dataValidation>
    <dataValidation type="decimal" allowBlank="1" showInputMessage="1" showErrorMessage="1" errorTitle="Check this entry" error="Enter a percentage from 0% to 100% (type 85% or 0.85)." promptTitle="Findings closed target" prompt="Share of findings raised that are closed. Your own target; no industry figure is assumed. Enter a percentage from 0% to 100% (type 85% or 0.85)." sqref="C10">
      <formula1>0</formula1>
      <formula2>1</formula2>
    </dataValidation>
    <dataValidation type="decimal" allowBlank="1" showInputMessage="1" showErrorMessage="1" errorTitle="Check this entry" error="Enter a number from 0.01 to 1,000." promptTitle="Minutes per checklist question" prompt="Average auditor time per question: reading records, interviewing, noting evidence. Example value. Enter a number from 0.01 to 1,000." sqref="C14">
      <formula1>0.01</formula1>
      <formula2>1000</formula2>
    </dataValidation>
    <dataValidation type="decimal" allowBlank="1" showInputMessage="1" showErrorMessage="1" errorTitle="Check this entry" error="Enter a percentage from 0% to 100% (type 85% or 0.85)." promptTitle="Overhead and delay allowance" prompt="Opening and closing meetings, travel between areas, report writing, as a share of question time. Enter a percentage from 0% to 100% (type 85% or 0.85)." sqref="C15">
      <formula1>0</formula1>
      <formula2>1</formula2>
    </dataValidation>
    <dataValidation type="textLength" allowBlank="1" showInputMessage="1" showErrorMessage="1" errorTitle="Check this entry" error="Text up to 60 characters." promptTitle="Process" prompt="Text up to 60 characters." sqref="B24:B133">
      <formula1>0</formula1>
      <formula2>60</formula2>
    </dataValidation>
    <dataValidation type="textLength" allowBlank="1" showInputMessage="1" showErrorMessage="1" errorTitle="Check this entry" error="Text up to 40 characters." promptTitle="Owner" prompt="Text up to 40 characters." sqref="C24:C133">
      <formula1>0</formula1>
      <formula2>40</formula2>
    </dataValidation>
    <dataValidation type="textLength" allowBlank="1" showInputMessage="1" showErrorMessage="1" errorTitle="Check this entry" error="Text up to 60 characters." promptTitle="Main clauses" prompt="Text up to 60 characters." sqref="D24:D133">
      <formula1>0</formula1>
      <formula2>60</formula2>
    </dataValidation>
    <dataValidation type="textLength" allowBlank="1" showInputMessage="1" showErrorMessage="1" errorTitle="Check this entry" error="Text up to 40 characters." promptTitle="Auditor" prompt="Text up to 40 characters." sqref="B37:B140">
      <formula1>0</formula1>
      <formula2>40</formula2>
    </dataValidation>
    <dataValidation type="textLength" allowBlank="1" showInputMessage="1" showErrorMessage="1" errorTitle="Check this entry" error="Text up to 120 characters." promptTitle="Notes" prompt="Text up to 120 characters." sqref="C37:C140">
      <formula1>0</formula1>
      <formula2>120</formula2>
    </dataValidation>
    <dataValidation type="textLength" allowBlank="1" showInputMessage="1" showErrorMessage="1" errorTitle="Check this entry" error="Text up to 20 characters." promptTitle="Grade" prompt="Text up to 20 characters." sqref="B44:B146">
      <formula1>0</formula1>
      <formula2>20</formula2>
    </dataValidation>
    <dataValidation type="whole" allowBlank="1" showInputMessage="1" showErrorMessage="1" errorTitle="Check this entry" error="Enter a whole number from 0 to 3,650." promptTitle="Response (days)" prompt="Days from the audit date to the due date for the action. Enter a whole number from 0 to 3,650." sqref="C44:C146">
      <formula1>0</formula1>
      <formula2>3650</formula2>
    </dataValidation>
    <dataValidation type="textLength" allowBlank="1" showInputMessage="1" showErrorMessage="1" errorTitle="Check this entry" error="Text up to 160 characters." promptTitle="Meaning" prompt="Text up to 160 characters." sqref="D44:D146">
      <formula1>0</formula1>
      <formula2>160</formula2>
    </dataValidation>
    <dataValidation type="textLength" allowBlank="1" showInputMessage="1" showErrorMessage="1" errorTitle="Check this entry" error="Text up to 30 characters." promptTitle="Clause" prompt="Text up to 30 characters." sqref="B50:B156">
      <formula1>0</formula1>
      <formula2>30</formula2>
    </dataValidation>
  </dataValidations>
  <hyperlinks>
    <hyperlink ref="D2" r:id="rId1" tooltip="Free manufacturing calculators and templates"/>
  </hyperlinks>
  <pageMargins left="0.4" right="0.4" top="0.7" bottom="0.65" header="0.3" footer="0.3"/>
  <pageSetup fitToHeight="0" orientation="landscape"/>
  <headerFooter>
    <oddHeader>&amp;L&amp;8MFG Calcs - ISO 9001 Internal Audit Planner&amp;R&amp;8&amp;A</oddHeader>
    <oddFooter>&amp;L&amp;8mfgcalcs.com - free manufacturing templates&amp;R&amp;8Page &amp;P of &amp;N</oddFooter>
  </headerFooter>
  <rowBreaks count="2" manualBreakCount="2">
    <brk id="21" max="16383" man="1"/>
    <brk id="47" max="16383" man="1"/>
  </rowBreaks>
  <tableParts count="4">
    <tablePart r:id="rId2"/>
    <tablePart r:id="rId3"/>
    <tablePart r:id="rId4"/>
    <tablePart r:id="rId5"/>
  </tableParts>
</worksheet>
</file>

<file path=xl/worksheets/sheet3.xml><?xml version="1.0" encoding="utf-8"?>
<worksheet xmlns="http://schemas.openxmlformats.org/spreadsheetml/2006/main" xmlns:r="http://schemas.openxmlformats.org/officeDocument/2006/relationships">
  <sheetPr>
    <tabColor rgb="FF3B64D8"/>
    <pageSetUpPr fitToPage="1"/>
  </sheetPr>
  <dimension ref="A1:Q1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0.7109375" customWidth="1"/>
    <col min="3" max="3" width="24.7109375" customWidth="1"/>
    <col min="4" max="4" width="11.7109375" customWidth="1"/>
    <col min="5" max="6" width="12.28515625" customWidth="1"/>
    <col min="7" max="7" width="11.28515625" customWidth="1"/>
    <col min="8" max="8" width="9.7109375" customWidth="1"/>
    <col min="9" max="9" width="10.7109375" customWidth="1"/>
    <col min="10" max="10" width="9.7109375" customWidth="1"/>
    <col min="11" max="12" width="7.7109375" customWidth="1"/>
    <col min="13" max="13" width="6.7109375" customWidth="1"/>
    <col min="14" max="14" width="8.28515625" customWidth="1"/>
    <col min="15" max="15" width="11.28515625" customWidth="1"/>
    <col min="16" max="16" width="25.7109375" customWidth="1"/>
    <col min="17" max="17" width="36.7109375" customWidth="1"/>
  </cols>
  <sheetData>
    <row r="1" spans="1:17" ht="30" customHeight="1">
      <c r="A1" s="1" t="s">
        <v>0</v>
      </c>
      <c r="B1" s="1"/>
      <c r="C1" s="1"/>
      <c r="D1" s="1"/>
      <c r="E1" s="1"/>
      <c r="F1" s="1"/>
      <c r="G1" s="1"/>
      <c r="H1" s="1"/>
      <c r="I1" s="1"/>
      <c r="J1" s="1"/>
      <c r="K1" s="1"/>
      <c r="L1" s="1"/>
      <c r="M1" s="1"/>
      <c r="N1" s="1"/>
      <c r="O1" s="1"/>
      <c r="P1" s="1"/>
      <c r="Q1" s="1"/>
    </row>
    <row r="2" spans="1:17" ht="21" customHeight="1">
      <c r="B2" s="2" t="s">
        <v>22</v>
      </c>
      <c r="C2" s="2"/>
      <c r="D2" s="2"/>
      <c r="E2" s="2"/>
      <c r="F2" s="2"/>
      <c r="G2" s="2"/>
      <c r="H2" s="2"/>
      <c r="I2" s="2"/>
      <c r="J2" s="2"/>
      <c r="K2" s="2"/>
      <c r="L2" s="2"/>
      <c r="M2" s="2"/>
      <c r="N2" s="2"/>
      <c r="O2" s="2"/>
      <c r="P2" s="2"/>
      <c r="Q2" s="3" t="s">
        <v>2</v>
      </c>
    </row>
    <row r="3" spans="1:17" ht="6" customHeight="1"/>
    <row r="4" spans="1:17" ht="29.76" customHeight="1">
      <c r="B4" s="35" t="s">
        <v>149</v>
      </c>
      <c r="C4" s="35"/>
      <c r="D4" s="35"/>
      <c r="E4" s="35"/>
      <c r="F4" s="35"/>
      <c r="G4" s="35"/>
      <c r="H4" s="35"/>
      <c r="I4" s="35"/>
      <c r="J4" s="35"/>
      <c r="K4" s="35"/>
      <c r="L4" s="35"/>
      <c r="M4" s="35"/>
      <c r="N4" s="35"/>
      <c r="O4" s="35"/>
      <c r="P4" s="35"/>
      <c r="Q4" s="35"/>
    </row>
    <row r="5" spans="1:17" ht="32" customHeight="1">
      <c r="B5" s="34" t="s">
        <v>138</v>
      </c>
      <c r="C5" s="34" t="s">
        <v>64</v>
      </c>
      <c r="D5" s="34" t="s">
        <v>139</v>
      </c>
      <c r="E5" s="34" t="s">
        <v>140</v>
      </c>
      <c r="F5" s="34" t="s">
        <v>141</v>
      </c>
      <c r="G5" s="34" t="s">
        <v>142</v>
      </c>
      <c r="H5" s="34" t="s">
        <v>143</v>
      </c>
      <c r="I5" s="34" t="s">
        <v>144</v>
      </c>
      <c r="J5" s="34" t="s">
        <v>145</v>
      </c>
      <c r="K5" s="34" t="s">
        <v>124</v>
      </c>
      <c r="L5" s="34" t="s">
        <v>126</v>
      </c>
      <c r="M5" s="34" t="s">
        <v>128</v>
      </c>
      <c r="N5" s="34" t="s">
        <v>146</v>
      </c>
      <c r="O5" s="34" t="s">
        <v>147</v>
      </c>
      <c r="P5" s="34" t="s">
        <v>148</v>
      </c>
      <c r="Q5" s="34" t="s">
        <v>68</v>
      </c>
    </row>
    <row r="6" spans="1:17">
      <c r="B6" s="28" t="s">
        <v>150</v>
      </c>
      <c r="C6" s="28" t="s">
        <v>89</v>
      </c>
      <c r="D6" s="28" t="s">
        <v>96</v>
      </c>
      <c r="E6" s="29">
        <v>46042</v>
      </c>
      <c r="F6" s="29">
        <v>46042</v>
      </c>
      <c r="G6" s="28" t="s">
        <v>151</v>
      </c>
      <c r="H6" s="30">
        <v>7</v>
      </c>
      <c r="I6" s="36" t="str">
        <f>IF(tblAudits[[#This Row],[Audit no.]]="","",IFERROR(INDEX(tblProcesses[Owner],MATCH(tblAudits[[#This Row],[Process]],tblProcesses[Process],0)),""))</f>
        <v>J. Ellis</v>
      </c>
      <c r="J6" s="37">
        <f>IF(tblAudits[[#This Row],[Audit no.]]="","",COUNTIFS(tblChecklist[Audit no.],tblAudits[[#This Row],[Audit no.]]))</f>
        <v>7</v>
      </c>
      <c r="K6" s="37">
        <f>IF(tblAudits[[#This Row],[Audit no.]]="","",COUNTIFS(tblChecklist[Audit no.],tblAudits[[#This Row],[Audit no.]],tblChecklist[Result],"Major NC"))</f>
        <v>0</v>
      </c>
      <c r="L6" s="37">
        <f>IF(tblAudits[[#This Row],[Audit no.]]="","",COUNTIFS(tblChecklist[Audit no.],tblAudits[[#This Row],[Audit no.]],tblChecklist[Result],"Minor NC"))</f>
        <v>1</v>
      </c>
      <c r="M6" s="37">
        <f>IF(tblAudits[[#This Row],[Audit no.]]="","",COUNTIFS(tblChecklist[Audit no.],tblAudits[[#This Row],[Audit no.]],tblChecklist[Result],"OFI"))</f>
        <v>1</v>
      </c>
      <c r="N6" s="38">
        <f>IF(tblAudits[[#This Row],[Audit no.]]="","",tblAudits[[#This Row],[Questions planned]]*MinPerItem/60*(1+Allowance))</f>
        <v>0.641666666666667</v>
      </c>
      <c r="O6" s="39" t="str">
        <f>IF(tblAudits[[#This Row],[Audit no.]]="","",IF(tblAudits[[#This Row],[Status]]="Done","Complete",IF(tblAudits[[#This Row],[Status]]="Cancelled","Cancelled",IF(AsOf&gt;tblAudits[[#This Row],[Planned date]],"Overdue",IF(tblAudits[[#This Row],[Planned date]]-AsOf&lt;=DueSoonDays,"Due soon","OK")))))</f>
        <v>Complete</v>
      </c>
      <c r="P6"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6" s="41" t="s">
        <v>152</v>
      </c>
    </row>
    <row r="7" spans="1:17">
      <c r="B7" s="28" t="s">
        <v>153</v>
      </c>
      <c r="C7" s="28" t="s">
        <v>98</v>
      </c>
      <c r="D7" s="28" t="s">
        <v>116</v>
      </c>
      <c r="E7" s="29">
        <v>46070</v>
      </c>
      <c r="F7" s="29">
        <v>46071</v>
      </c>
      <c r="G7" s="28" t="s">
        <v>151</v>
      </c>
      <c r="H7" s="30">
        <v>6</v>
      </c>
      <c r="I7" s="36" t="str">
        <f>IF(tblAudits[[#This Row],[Audit no.]]="","",IFERROR(INDEX(tblProcesses[Owner],MATCH(tblAudits[[#This Row],[Process]],tblProcesses[Process],0)),""))</f>
        <v>D. Shah</v>
      </c>
      <c r="J7" s="37">
        <f>IF(tblAudits[[#This Row],[Audit no.]]="","",COUNTIFS(tblChecklist[Audit no.],tblAudits[[#This Row],[Audit no.]]))</f>
        <v>6</v>
      </c>
      <c r="K7" s="37">
        <f>IF(tblAudits[[#This Row],[Audit no.]]="","",COUNTIFS(tblChecklist[Audit no.],tblAudits[[#This Row],[Audit no.]],tblChecklist[Result],"Major NC"))</f>
        <v>0</v>
      </c>
      <c r="L7" s="37">
        <f>IF(tblAudits[[#This Row],[Audit no.]]="","",COUNTIFS(tblChecklist[Audit no.],tblAudits[[#This Row],[Audit no.]],tblChecklist[Result],"Minor NC"))</f>
        <v>1</v>
      </c>
      <c r="M7" s="37">
        <f>IF(tblAudits[[#This Row],[Audit no.]]="","",COUNTIFS(tblChecklist[Audit no.],tblAudits[[#This Row],[Audit no.]],tblChecklist[Result],"OFI"))</f>
        <v>1</v>
      </c>
      <c r="N7" s="38">
        <f>IF(tblAudits[[#This Row],[Audit no.]]="","",tblAudits[[#This Row],[Questions planned]]*MinPerItem/60*(1+Allowance))</f>
        <v>0.55</v>
      </c>
      <c r="O7" s="39" t="str">
        <f>IF(tblAudits[[#This Row],[Audit no.]]="","",IF(tblAudits[[#This Row],[Status]]="Done","Complete",IF(tblAudits[[#This Row],[Status]]="Cancelled","Cancelled",IF(AsOf&gt;tblAudits[[#This Row],[Planned date]],"Overdue",IF(tblAudits[[#This Row],[Planned date]]-AsOf&lt;=DueSoonDays,"Due soon","OK")))))</f>
        <v>Complete</v>
      </c>
      <c r="P7"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7" s="41" t="s">
        <v>152</v>
      </c>
    </row>
    <row r="8" spans="1:17">
      <c r="B8" s="28" t="s">
        <v>154</v>
      </c>
      <c r="C8" s="28" t="s">
        <v>101</v>
      </c>
      <c r="D8" s="28" t="s">
        <v>99</v>
      </c>
      <c r="E8" s="29">
        <v>46091</v>
      </c>
      <c r="F8" s="29">
        <v>46091</v>
      </c>
      <c r="G8" s="28" t="s">
        <v>151</v>
      </c>
      <c r="H8" s="30">
        <v>8</v>
      </c>
      <c r="I8" s="36" t="str">
        <f>IF(tblAudits[[#This Row],[Audit no.]]="","",IFERROR(INDEX(tblProcesses[Owner],MATCH(tblAudits[[#This Row],[Process]],tblProcesses[Process],0)),""))</f>
        <v>K. Varga</v>
      </c>
      <c r="J8" s="37">
        <f>IF(tblAudits[[#This Row],[Audit no.]]="","",COUNTIFS(tblChecklist[Audit no.],tblAudits[[#This Row],[Audit no.]]))</f>
        <v>8</v>
      </c>
      <c r="K8" s="37">
        <f>IF(tblAudits[[#This Row],[Audit no.]]="","",COUNTIFS(tblChecklist[Audit no.],tblAudits[[#This Row],[Audit no.]],tblChecklist[Result],"Major NC"))</f>
        <v>0</v>
      </c>
      <c r="L8" s="37">
        <f>IF(tblAudits[[#This Row],[Audit no.]]="","",COUNTIFS(tblChecklist[Audit no.],tblAudits[[#This Row],[Audit no.]],tblChecklist[Result],"Minor NC"))</f>
        <v>1</v>
      </c>
      <c r="M8" s="37">
        <f>IF(tblAudits[[#This Row],[Audit no.]]="","",COUNTIFS(tblChecklist[Audit no.],tblAudits[[#This Row],[Audit no.]],tblChecklist[Result],"OFI"))</f>
        <v>1</v>
      </c>
      <c r="N8" s="38">
        <f>IF(tblAudits[[#This Row],[Audit no.]]="","",tblAudits[[#This Row],[Questions planned]]*MinPerItem/60*(1+Allowance))</f>
        <v>0.733333333333333</v>
      </c>
      <c r="O8" s="39" t="str">
        <f>IF(tblAudits[[#This Row],[Audit no.]]="","",IF(tblAudits[[#This Row],[Status]]="Done","Complete",IF(tblAudits[[#This Row],[Status]]="Cancelled","Cancelled",IF(AsOf&gt;tblAudits[[#This Row],[Planned date]],"Overdue",IF(tblAudits[[#This Row],[Planned date]]-AsOf&lt;=DueSoonDays,"Due soon","OK")))))</f>
        <v>Complete</v>
      </c>
      <c r="P8"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8" s="41" t="s">
        <v>152</v>
      </c>
    </row>
    <row r="9" spans="1:17">
      <c r="B9" s="28" t="s">
        <v>155</v>
      </c>
      <c r="C9" s="28" t="s">
        <v>107</v>
      </c>
      <c r="D9" s="28" t="s">
        <v>102</v>
      </c>
      <c r="E9" s="29">
        <v>46126</v>
      </c>
      <c r="F9" s="29">
        <v>46126</v>
      </c>
      <c r="G9" s="28" t="s">
        <v>151</v>
      </c>
      <c r="H9" s="30">
        <v>5</v>
      </c>
      <c r="I9" s="36" t="str">
        <f>IF(tblAudits[[#This Row],[Audit no.]]="","",IFERROR(INDEX(tblProcesses[Owner],MATCH(tblAudits[[#This Row],[Process]],tblProcesses[Process],0)),""))</f>
        <v>L. Okoro</v>
      </c>
      <c r="J9" s="37">
        <f>IF(tblAudits[[#This Row],[Audit no.]]="","",COUNTIFS(tblChecklist[Audit no.],tblAudits[[#This Row],[Audit no.]]))</f>
        <v>5</v>
      </c>
      <c r="K9" s="37">
        <f>IF(tblAudits[[#This Row],[Audit no.]]="","",COUNTIFS(tblChecklist[Audit no.],tblAudits[[#This Row],[Audit no.]],tblChecklist[Result],"Major NC"))</f>
        <v>1</v>
      </c>
      <c r="L9" s="37">
        <f>IF(tblAudits[[#This Row],[Audit no.]]="","",COUNTIFS(tblChecklist[Audit no.],tblAudits[[#This Row],[Audit no.]],tblChecklist[Result],"Minor NC"))</f>
        <v>1</v>
      </c>
      <c r="M9" s="37">
        <f>IF(tblAudits[[#This Row],[Audit no.]]="","",COUNTIFS(tblChecklist[Audit no.],tblAudits[[#This Row],[Audit no.]],tblChecklist[Result],"OFI"))</f>
        <v>0</v>
      </c>
      <c r="N9" s="38">
        <f>IF(tblAudits[[#This Row],[Audit no.]]="","",tblAudits[[#This Row],[Questions planned]]*MinPerItem/60*(1+Allowance))</f>
        <v>0.458333333333333</v>
      </c>
      <c r="O9" s="39" t="str">
        <f>IF(tblAudits[[#This Row],[Audit no.]]="","",IF(tblAudits[[#This Row],[Status]]="Done","Complete",IF(tblAudits[[#This Row],[Status]]="Cancelled","Cancelled",IF(AsOf&gt;tblAudits[[#This Row],[Planned date]],"Overdue",IF(tblAudits[[#This Row],[Planned date]]-AsOf&lt;=DueSoonDays,"Due soon","OK")))))</f>
        <v>Complete</v>
      </c>
      <c r="P9"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9" s="41" t="s">
        <v>152</v>
      </c>
    </row>
    <row r="10" spans="1:17">
      <c r="B10" s="28" t="s">
        <v>156</v>
      </c>
      <c r="C10" s="28" t="s">
        <v>92</v>
      </c>
      <c r="D10" s="28" t="s">
        <v>99</v>
      </c>
      <c r="E10" s="29">
        <v>46154</v>
      </c>
      <c r="F10" s="29">
        <v>46161</v>
      </c>
      <c r="G10" s="28" t="s">
        <v>151</v>
      </c>
      <c r="H10" s="30">
        <v>6</v>
      </c>
      <c r="I10" s="36" t="str">
        <f>IF(tblAudits[[#This Row],[Audit no.]]="","",IFERROR(INDEX(tblProcesses[Owner],MATCH(tblAudits[[#This Row],[Process]],tblProcesses[Process],0)),""))</f>
        <v>M. Ruiz</v>
      </c>
      <c r="J10" s="37">
        <f>IF(tblAudits[[#This Row],[Audit no.]]="","",COUNTIFS(tblChecklist[Audit no.],tblAudits[[#This Row],[Audit no.]]))</f>
        <v>6</v>
      </c>
      <c r="K10" s="37">
        <f>IF(tblAudits[[#This Row],[Audit no.]]="","",COUNTIFS(tblChecklist[Audit no.],tblAudits[[#This Row],[Audit no.]],tblChecklist[Result],"Major NC"))</f>
        <v>0</v>
      </c>
      <c r="L10" s="37">
        <f>IF(tblAudits[[#This Row],[Audit no.]]="","",COUNTIFS(tblChecklist[Audit no.],tblAudits[[#This Row],[Audit no.]],tblChecklist[Result],"Minor NC"))</f>
        <v>0</v>
      </c>
      <c r="M10" s="37">
        <f>IF(tblAudits[[#This Row],[Audit no.]]="","",COUNTIFS(tblChecklist[Audit no.],tblAudits[[#This Row],[Audit no.]],tblChecklist[Result],"OFI"))</f>
        <v>1</v>
      </c>
      <c r="N10" s="38">
        <f>IF(tblAudits[[#This Row],[Audit no.]]="","",tblAudits[[#This Row],[Questions planned]]*MinPerItem/60*(1+Allowance))</f>
        <v>0.55</v>
      </c>
      <c r="O10" s="39" t="str">
        <f>IF(tblAudits[[#This Row],[Audit no.]]="","",IF(tblAudits[[#This Row],[Status]]="Done","Complete",IF(tblAudits[[#This Row],[Status]]="Cancelled","Cancelled",IF(AsOf&gt;tblAudits[[#This Row],[Planned date]],"Overdue",IF(tblAudits[[#This Row],[Planned date]]-AsOf&lt;=DueSoonDays,"Due soon","OK")))))</f>
        <v>Complete</v>
      </c>
      <c r="P10"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0" s="41" t="s">
        <v>157</v>
      </c>
    </row>
    <row r="11" spans="1:17">
      <c r="B11" s="28" t="s">
        <v>158</v>
      </c>
      <c r="C11" s="28" t="s">
        <v>104</v>
      </c>
      <c r="D11" s="28" t="s">
        <v>96</v>
      </c>
      <c r="E11" s="29">
        <v>46182</v>
      </c>
      <c r="F11" s="29">
        <v>46182</v>
      </c>
      <c r="G11" s="28" t="s">
        <v>151</v>
      </c>
      <c r="H11" s="30">
        <v>6</v>
      </c>
      <c r="I11" s="36" t="str">
        <f>IF(tblAudits[[#This Row],[Audit no.]]="","",IFERROR(INDEX(tblProcesses[Owner],MATCH(tblAudits[[#This Row],[Process]],tblProcesses[Process],0)),""))</f>
        <v>L. Okoro</v>
      </c>
      <c r="J11" s="37">
        <f>IF(tblAudits[[#This Row],[Audit no.]]="","",COUNTIFS(tblChecklist[Audit no.],tblAudits[[#This Row],[Audit no.]]))</f>
        <v>6</v>
      </c>
      <c r="K11" s="37">
        <f>IF(tblAudits[[#This Row],[Audit no.]]="","",COUNTIFS(tblChecklist[Audit no.],tblAudits[[#This Row],[Audit no.]],tblChecklist[Result],"Major NC"))</f>
        <v>0</v>
      </c>
      <c r="L11" s="37">
        <f>IF(tblAudits[[#This Row],[Audit no.]]="","",COUNTIFS(tblChecklist[Audit no.],tblAudits[[#This Row],[Audit no.]],tblChecklist[Result],"Minor NC"))</f>
        <v>1</v>
      </c>
      <c r="M11" s="37">
        <f>IF(tblAudits[[#This Row],[Audit no.]]="","",COUNTIFS(tblChecklist[Audit no.],tblAudits[[#This Row],[Audit no.]],tblChecklist[Result],"OFI"))</f>
        <v>1</v>
      </c>
      <c r="N11" s="38">
        <f>IF(tblAudits[[#This Row],[Audit no.]]="","",tblAudits[[#This Row],[Questions planned]]*MinPerItem/60*(1+Allowance))</f>
        <v>0.55</v>
      </c>
      <c r="O11" s="39" t="str">
        <f>IF(tblAudits[[#This Row],[Audit no.]]="","",IF(tblAudits[[#This Row],[Status]]="Done","Complete",IF(tblAudits[[#This Row],[Status]]="Cancelled","Cancelled",IF(AsOf&gt;tblAudits[[#This Row],[Planned date]],"Overdue",IF(tblAudits[[#This Row],[Planned date]]-AsOf&lt;=DueSoonDays,"Due soon","OK")))))</f>
        <v>Complete</v>
      </c>
      <c r="P11"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1" s="41" t="s">
        <v>152</v>
      </c>
    </row>
    <row r="12" spans="1:17">
      <c r="B12" s="28" t="s">
        <v>159</v>
      </c>
      <c r="C12" s="28" t="s">
        <v>95</v>
      </c>
      <c r="D12" s="28" t="s">
        <v>116</v>
      </c>
      <c r="E12" s="29">
        <v>46210</v>
      </c>
      <c r="F12" s="29">
        <v>46211</v>
      </c>
      <c r="G12" s="28" t="s">
        <v>151</v>
      </c>
      <c r="H12" s="30">
        <v>6</v>
      </c>
      <c r="I12" s="36" t="str">
        <f>IF(tblAudits[[#This Row],[Audit no.]]="","",IFERROR(INDEX(tblProcesses[Owner],MATCH(tblAudits[[#This Row],[Process]],tblProcesses[Process],0)),""))</f>
        <v>T. Mensah</v>
      </c>
      <c r="J12" s="37">
        <f>IF(tblAudits[[#This Row],[Audit no.]]="","",COUNTIFS(tblChecklist[Audit no.],tblAudits[[#This Row],[Audit no.]]))</f>
        <v>6</v>
      </c>
      <c r="K12" s="37">
        <f>IF(tblAudits[[#This Row],[Audit no.]]="","",COUNTIFS(tblChecklist[Audit no.],tblAudits[[#This Row],[Audit no.]],tblChecklist[Result],"Major NC"))</f>
        <v>0</v>
      </c>
      <c r="L12" s="37">
        <f>IF(tblAudits[[#This Row],[Audit no.]]="","",COUNTIFS(tblChecklist[Audit no.],tblAudits[[#This Row],[Audit no.]],tblChecklist[Result],"Minor NC"))</f>
        <v>1</v>
      </c>
      <c r="M12" s="37">
        <f>IF(tblAudits[[#This Row],[Audit no.]]="","",COUNTIFS(tblChecklist[Audit no.],tblAudits[[#This Row],[Audit no.]],tblChecklist[Result],"OFI"))</f>
        <v>0</v>
      </c>
      <c r="N12" s="38">
        <f>IF(tblAudits[[#This Row],[Audit no.]]="","",tblAudits[[#This Row],[Questions planned]]*MinPerItem/60*(1+Allowance))</f>
        <v>0.55</v>
      </c>
      <c r="O12" s="39" t="str">
        <f>IF(tblAudits[[#This Row],[Audit no.]]="","",IF(tblAudits[[#This Row],[Status]]="Done","Complete",IF(tblAudits[[#This Row],[Status]]="Cancelled","Cancelled",IF(AsOf&gt;tblAudits[[#This Row],[Planned date]],"Overdue",IF(tblAudits[[#This Row],[Planned date]]-AsOf&lt;=DueSoonDays,"Due soon","OK")))))</f>
        <v>Complete</v>
      </c>
      <c r="P12"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2" s="41" t="s">
        <v>152</v>
      </c>
    </row>
    <row r="13" spans="1:17">
      <c r="B13" s="28" t="s">
        <v>160</v>
      </c>
      <c r="C13" s="28" t="s">
        <v>112</v>
      </c>
      <c r="D13" s="28" t="s">
        <v>102</v>
      </c>
      <c r="E13" s="29">
        <v>46245</v>
      </c>
      <c r="F13" s="29">
        <v>46245</v>
      </c>
      <c r="G13" s="28" t="s">
        <v>151</v>
      </c>
      <c r="H13" s="30">
        <v>5</v>
      </c>
      <c r="I13" s="36" t="str">
        <f>IF(tblAudits[[#This Row],[Audit no.]]="","",IFERROR(INDEX(tblProcesses[Owner],MATCH(tblAudits[[#This Row],[Process]],tblProcesses[Process],0)),""))</f>
        <v>A. Novak</v>
      </c>
      <c r="J13" s="37">
        <f>IF(tblAudits[[#This Row],[Audit no.]]="","",COUNTIFS(tblChecklist[Audit no.],tblAudits[[#This Row],[Audit no.]]))</f>
        <v>5</v>
      </c>
      <c r="K13" s="37">
        <f>IF(tblAudits[[#This Row],[Audit no.]]="","",COUNTIFS(tblChecklist[Audit no.],tblAudits[[#This Row],[Audit no.]],tblChecklist[Result],"Major NC"))</f>
        <v>0</v>
      </c>
      <c r="L13" s="37">
        <f>IF(tblAudits[[#This Row],[Audit no.]]="","",COUNTIFS(tblChecklist[Audit no.],tblAudits[[#This Row],[Audit no.]],tblChecklist[Result],"Minor NC"))</f>
        <v>1</v>
      </c>
      <c r="M13" s="37">
        <f>IF(tblAudits[[#This Row],[Audit no.]]="","",COUNTIFS(tblChecklist[Audit no.],tblAudits[[#This Row],[Audit no.]],tblChecklist[Result],"OFI"))</f>
        <v>0</v>
      </c>
      <c r="N13" s="38">
        <f>IF(tblAudits[[#This Row],[Audit no.]]="","",tblAudits[[#This Row],[Questions planned]]*MinPerItem/60*(1+Allowance))</f>
        <v>0.458333333333333</v>
      </c>
      <c r="O13" s="39" t="str">
        <f>IF(tblAudits[[#This Row],[Audit no.]]="","",IF(tblAudits[[#This Row],[Status]]="Done","Complete",IF(tblAudits[[#This Row],[Status]]="Cancelled","Cancelled",IF(AsOf&gt;tblAudits[[#This Row],[Planned date]],"Overdue",IF(tblAudits[[#This Row],[Planned date]]-AsOf&lt;=DueSoonDays,"Due soon","OK")))))</f>
        <v>Complete</v>
      </c>
      <c r="P13"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3" s="41" t="s">
        <v>152</v>
      </c>
    </row>
    <row r="14" spans="1:17">
      <c r="B14" s="28" t="s">
        <v>161</v>
      </c>
      <c r="C14" s="28" t="s">
        <v>109</v>
      </c>
      <c r="D14" s="28" t="s">
        <v>96</v>
      </c>
      <c r="E14" s="29">
        <v>46273</v>
      </c>
      <c r="F14" s="29">
        <v>46274</v>
      </c>
      <c r="G14" s="28" t="s">
        <v>151</v>
      </c>
      <c r="H14" s="30">
        <v>5</v>
      </c>
      <c r="I14" s="36" t="str">
        <f>IF(tblAudits[[#This Row],[Audit no.]]="","",IFERROR(INDEX(tblProcesses[Owner],MATCH(tblAudits[[#This Row],[Process]],tblProcesses[Process],0)),""))</f>
        <v>S. Byrne</v>
      </c>
      <c r="J14" s="37">
        <f>IF(tblAudits[[#This Row],[Audit no.]]="","",COUNTIFS(tblChecklist[Audit no.],tblAudits[[#This Row],[Audit no.]]))</f>
        <v>5</v>
      </c>
      <c r="K14" s="37">
        <f>IF(tblAudits[[#This Row],[Audit no.]]="","",COUNTIFS(tblChecklist[Audit no.],tblAudits[[#This Row],[Audit no.]],tblChecklist[Result],"Major NC"))</f>
        <v>0</v>
      </c>
      <c r="L14" s="37">
        <f>IF(tblAudits[[#This Row],[Audit no.]]="","",COUNTIFS(tblChecklist[Audit no.],tblAudits[[#This Row],[Audit no.]],tblChecklist[Result],"Minor NC"))</f>
        <v>0</v>
      </c>
      <c r="M14" s="37">
        <f>IF(tblAudits[[#This Row],[Audit no.]]="","",COUNTIFS(tblChecklist[Audit no.],tblAudits[[#This Row],[Audit no.]],tblChecklist[Result],"OFI"))</f>
        <v>1</v>
      </c>
      <c r="N14" s="38">
        <f>IF(tblAudits[[#This Row],[Audit no.]]="","",tblAudits[[#This Row],[Questions planned]]*MinPerItem/60*(1+Allowance))</f>
        <v>0.458333333333333</v>
      </c>
      <c r="O14" s="39" t="str">
        <f>IF(tblAudits[[#This Row],[Audit no.]]="","",IF(tblAudits[[#This Row],[Status]]="Done","Complete",IF(tblAudits[[#This Row],[Status]]="Cancelled","Cancelled",IF(AsOf&gt;tblAudits[[#This Row],[Planned date]],"Overdue",IF(tblAudits[[#This Row],[Planned date]]-AsOf&lt;=DueSoonDays,"Due soon","OK")))))</f>
        <v>Complete</v>
      </c>
      <c r="P14"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4" s="41" t="s">
        <v>152</v>
      </c>
    </row>
    <row r="15" spans="1:17">
      <c r="B15" s="28" t="s">
        <v>162</v>
      </c>
      <c r="C15" s="28" t="s">
        <v>115</v>
      </c>
      <c r="D15" s="28" t="s">
        <v>99</v>
      </c>
      <c r="E15" s="29">
        <v>46287</v>
      </c>
      <c r="F15" s="29"/>
      <c r="G15" s="28" t="s">
        <v>163</v>
      </c>
      <c r="H15" s="30">
        <v>6</v>
      </c>
      <c r="I15" s="36" t="str">
        <f>IF(tblAudits[[#This Row],[Audit no.]]="","",IFERROR(INDEX(tblProcesses[Owner],MATCH(tblAudits[[#This Row],[Process]],tblProcesses[Process],0)),""))</f>
        <v>P. Grant</v>
      </c>
      <c r="J15" s="37">
        <f>IF(tblAudits[[#This Row],[Audit no.]]="","",COUNTIFS(tblChecklist[Audit no.],tblAudits[[#This Row],[Audit no.]]))</f>
        <v>0</v>
      </c>
      <c r="K15" s="37">
        <f>IF(tblAudits[[#This Row],[Audit no.]]="","",COUNTIFS(tblChecklist[Audit no.],tblAudits[[#This Row],[Audit no.]],tblChecklist[Result],"Major NC"))</f>
        <v>0</v>
      </c>
      <c r="L15" s="37">
        <f>IF(tblAudits[[#This Row],[Audit no.]]="","",COUNTIFS(tblChecklist[Audit no.],tblAudits[[#This Row],[Audit no.]],tblChecklist[Result],"Minor NC"))</f>
        <v>0</v>
      </c>
      <c r="M15" s="37">
        <f>IF(tblAudits[[#This Row],[Audit no.]]="","",COUNTIFS(tblChecklist[Audit no.],tblAudits[[#This Row],[Audit no.]],tblChecklist[Result],"OFI"))</f>
        <v>0</v>
      </c>
      <c r="N15" s="38">
        <f>IF(tblAudits[[#This Row],[Audit no.]]="","",tblAudits[[#This Row],[Questions planned]]*MinPerItem/60*(1+Allowance))</f>
        <v>0.55</v>
      </c>
      <c r="O15" s="39" t="str">
        <f>IF(tblAudits[[#This Row],[Audit no.]]="","",IF(tblAudits[[#This Row],[Status]]="Done","Complete",IF(tblAudits[[#This Row],[Status]]="Cancelled","Cancelled",IF(AsOf&gt;tblAudits[[#This Row],[Planned date]],"Overdue",IF(tblAudits[[#This Row],[Planned date]]-AsOf&lt;=DueSoonDays,"Due soon","OK")))))</f>
        <v>Overdue</v>
      </c>
      <c r="P15"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5" s="41" t="s">
        <v>164</v>
      </c>
    </row>
    <row r="16" spans="1:17">
      <c r="B16" s="28" t="s">
        <v>165</v>
      </c>
      <c r="C16" s="28" t="s">
        <v>101</v>
      </c>
      <c r="D16" s="28" t="s">
        <v>116</v>
      </c>
      <c r="E16" s="29">
        <v>46315</v>
      </c>
      <c r="F16" s="29"/>
      <c r="G16" s="28" t="s">
        <v>166</v>
      </c>
      <c r="H16" s="30">
        <v>8</v>
      </c>
      <c r="I16" s="36" t="str">
        <f>IF(tblAudits[[#This Row],[Audit no.]]="","",IFERROR(INDEX(tblProcesses[Owner],MATCH(tblAudits[[#This Row],[Process]],tblProcesses[Process],0)),""))</f>
        <v>K. Varga</v>
      </c>
      <c r="J16" s="37">
        <f>IF(tblAudits[[#This Row],[Audit no.]]="","",COUNTIFS(tblChecklist[Audit no.],tblAudits[[#This Row],[Audit no.]]))</f>
        <v>0</v>
      </c>
      <c r="K16" s="37">
        <f>IF(tblAudits[[#This Row],[Audit no.]]="","",COUNTIFS(tblChecklist[Audit no.],tblAudits[[#This Row],[Audit no.]],tblChecklist[Result],"Major NC"))</f>
        <v>0</v>
      </c>
      <c r="L16" s="37">
        <f>IF(tblAudits[[#This Row],[Audit no.]]="","",COUNTIFS(tblChecklist[Audit no.],tblAudits[[#This Row],[Audit no.]],tblChecklist[Result],"Minor NC"))</f>
        <v>0</v>
      </c>
      <c r="M16" s="37">
        <f>IF(tblAudits[[#This Row],[Audit no.]]="","",COUNTIFS(tblChecklist[Audit no.],tblAudits[[#This Row],[Audit no.]],tblChecklist[Result],"OFI"))</f>
        <v>0</v>
      </c>
      <c r="N16" s="38">
        <f>IF(tblAudits[[#This Row],[Audit no.]]="","",tblAudits[[#This Row],[Questions planned]]*MinPerItem/60*(1+Allowance))</f>
        <v>0.733333333333333</v>
      </c>
      <c r="O16" s="39" t="str">
        <f>IF(tblAudits[[#This Row],[Audit no.]]="","",IF(tblAudits[[#This Row],[Status]]="Done","Complete",IF(tblAudits[[#This Row],[Status]]="Cancelled","Cancelled",IF(AsOf&gt;tblAudits[[#This Row],[Planned date]],"Overdue",IF(tblAudits[[#This Row],[Planned date]]-AsOf&lt;=DueSoonDays,"Due soon","OK")))))</f>
        <v>Due soon</v>
      </c>
      <c r="P16"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6" s="41" t="s">
        <v>152</v>
      </c>
    </row>
    <row r="17" spans="2:17">
      <c r="B17" s="28" t="s">
        <v>167</v>
      </c>
      <c r="C17" s="28" t="s">
        <v>107</v>
      </c>
      <c r="D17" s="28" t="s">
        <v>99</v>
      </c>
      <c r="E17" s="29">
        <v>46336</v>
      </c>
      <c r="F17" s="29"/>
      <c r="G17" s="28" t="s">
        <v>166</v>
      </c>
      <c r="H17" s="30">
        <v>5</v>
      </c>
      <c r="I17" s="36" t="str">
        <f>IF(tblAudits[[#This Row],[Audit no.]]="","",IFERROR(INDEX(tblProcesses[Owner],MATCH(tblAudits[[#This Row],[Process]],tblProcesses[Process],0)),""))</f>
        <v>L. Okoro</v>
      </c>
      <c r="J17" s="37">
        <f>IF(tblAudits[[#This Row],[Audit no.]]="","",COUNTIFS(tblChecklist[Audit no.],tblAudits[[#This Row],[Audit no.]]))</f>
        <v>0</v>
      </c>
      <c r="K17" s="37">
        <f>IF(tblAudits[[#This Row],[Audit no.]]="","",COUNTIFS(tblChecklist[Audit no.],tblAudits[[#This Row],[Audit no.]],tblChecklist[Result],"Major NC"))</f>
        <v>0</v>
      </c>
      <c r="L17" s="37">
        <f>IF(tblAudits[[#This Row],[Audit no.]]="","",COUNTIFS(tblChecklist[Audit no.],tblAudits[[#This Row],[Audit no.]],tblChecklist[Result],"Minor NC"))</f>
        <v>0</v>
      </c>
      <c r="M17" s="37">
        <f>IF(tblAudits[[#This Row],[Audit no.]]="","",COUNTIFS(tblChecklist[Audit no.],tblAudits[[#This Row],[Audit no.]],tblChecklist[Result],"OFI"))</f>
        <v>0</v>
      </c>
      <c r="N17" s="38">
        <f>IF(tblAudits[[#This Row],[Audit no.]]="","",tblAudits[[#This Row],[Questions planned]]*MinPerItem/60*(1+Allowance))</f>
        <v>0.458333333333333</v>
      </c>
      <c r="O17" s="39" t="str">
        <f>IF(tblAudits[[#This Row],[Audit no.]]="","",IF(tblAudits[[#This Row],[Status]]="Done","Complete",IF(tblAudits[[#This Row],[Status]]="Cancelled","Cancelled",IF(AsOf&gt;tblAudits[[#This Row],[Planned date]],"Overdue",IF(tblAudits[[#This Row],[Planned date]]-AsOf&lt;=DueSoonDays,"Due soon","OK")))))</f>
        <v>OK</v>
      </c>
      <c r="P17"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7" s="41" t="s">
        <v>152</v>
      </c>
    </row>
    <row r="18" spans="2:17">
      <c r="B18" s="28" t="s">
        <v>168</v>
      </c>
      <c r="C18" s="28" t="s">
        <v>104</v>
      </c>
      <c r="D18" s="28" t="s">
        <v>102</v>
      </c>
      <c r="E18" s="29">
        <v>46350</v>
      </c>
      <c r="F18" s="29"/>
      <c r="G18" s="28" t="s">
        <v>166</v>
      </c>
      <c r="H18" s="30">
        <v>6</v>
      </c>
      <c r="I18" s="36" t="str">
        <f>IF(tblAudits[[#This Row],[Audit no.]]="","",IFERROR(INDEX(tblProcesses[Owner],MATCH(tblAudits[[#This Row],[Process]],tblProcesses[Process],0)),""))</f>
        <v>L. Okoro</v>
      </c>
      <c r="J18" s="37">
        <f>IF(tblAudits[[#This Row],[Audit no.]]="","",COUNTIFS(tblChecklist[Audit no.],tblAudits[[#This Row],[Audit no.]]))</f>
        <v>0</v>
      </c>
      <c r="K18" s="37">
        <f>IF(tblAudits[[#This Row],[Audit no.]]="","",COUNTIFS(tblChecklist[Audit no.],tblAudits[[#This Row],[Audit no.]],tblChecklist[Result],"Major NC"))</f>
        <v>0</v>
      </c>
      <c r="L18" s="37">
        <f>IF(tblAudits[[#This Row],[Audit no.]]="","",COUNTIFS(tblChecklist[Audit no.],tblAudits[[#This Row],[Audit no.]],tblChecklist[Result],"Minor NC"))</f>
        <v>0</v>
      </c>
      <c r="M18" s="37">
        <f>IF(tblAudits[[#This Row],[Audit no.]]="","",COUNTIFS(tblChecklist[Audit no.],tblAudits[[#This Row],[Audit no.]],tblChecklist[Result],"OFI"))</f>
        <v>0</v>
      </c>
      <c r="N18" s="38">
        <f>IF(tblAudits[[#This Row],[Audit no.]]="","",tblAudits[[#This Row],[Questions planned]]*MinPerItem/60*(1+Allowance))</f>
        <v>0.55</v>
      </c>
      <c r="O18" s="39" t="str">
        <f>IF(tblAudits[[#This Row],[Audit no.]]="","",IF(tblAudits[[#This Row],[Status]]="Done","Complete",IF(tblAudits[[#This Row],[Status]]="Cancelled","Cancelled",IF(AsOf&gt;tblAudits[[#This Row],[Planned date]],"Overdue",IF(tblAudits[[#This Row],[Planned date]]-AsOf&lt;=DueSoonDays,"Due soon","OK")))))</f>
        <v>OK</v>
      </c>
      <c r="P18"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8" s="41" t="s">
        <v>152</v>
      </c>
    </row>
    <row r="19" spans="2:17">
      <c r="B19" s="28" t="s">
        <v>169</v>
      </c>
      <c r="C19" s="28" t="s">
        <v>89</v>
      </c>
      <c r="D19" s="28" t="s">
        <v>96</v>
      </c>
      <c r="E19" s="29">
        <v>46364</v>
      </c>
      <c r="F19" s="29"/>
      <c r="G19" s="28" t="s">
        <v>166</v>
      </c>
      <c r="H19" s="30">
        <v>7</v>
      </c>
      <c r="I19" s="36" t="str">
        <f>IF(tblAudits[[#This Row],[Audit no.]]="","",IFERROR(INDEX(tblProcesses[Owner],MATCH(tblAudits[[#This Row],[Process]],tblProcesses[Process],0)),""))</f>
        <v>J. Ellis</v>
      </c>
      <c r="J19" s="37">
        <f>IF(tblAudits[[#This Row],[Audit no.]]="","",COUNTIFS(tblChecklist[Audit no.],tblAudits[[#This Row],[Audit no.]]))</f>
        <v>0</v>
      </c>
      <c r="K19" s="37">
        <f>IF(tblAudits[[#This Row],[Audit no.]]="","",COUNTIFS(tblChecklist[Audit no.],tblAudits[[#This Row],[Audit no.]],tblChecklist[Result],"Major NC"))</f>
        <v>0</v>
      </c>
      <c r="L19" s="37">
        <f>IF(tblAudits[[#This Row],[Audit no.]]="","",COUNTIFS(tblChecklist[Audit no.],tblAudits[[#This Row],[Audit no.]],tblChecklist[Result],"Minor NC"))</f>
        <v>0</v>
      </c>
      <c r="M19" s="37">
        <f>IF(tblAudits[[#This Row],[Audit no.]]="","",COUNTIFS(tblChecklist[Audit no.],tblAudits[[#This Row],[Audit no.]],tblChecklist[Result],"OFI"))</f>
        <v>0</v>
      </c>
      <c r="N19" s="38">
        <f>IF(tblAudits[[#This Row],[Audit no.]]="","",tblAudits[[#This Row],[Questions planned]]*MinPerItem/60*(1+Allowance))</f>
        <v>0.641666666666667</v>
      </c>
      <c r="O19" s="39" t="str">
        <f>IF(tblAudits[[#This Row],[Audit no.]]="","",IF(tblAudits[[#This Row],[Status]]="Done","Complete",IF(tblAudits[[#This Row],[Status]]="Cancelled","Cancelled",IF(AsOf&gt;tblAudits[[#This Row],[Planned date]],"Overdue",IF(tblAudits[[#This Row],[Planned date]]-AsOf&lt;=DueSoonDays,"Due soon","OK")))))</f>
        <v>OK</v>
      </c>
      <c r="P19" s="40" t="str">
        <f>IF(tblAudits[[#This Row],[Audit no.]]="","",IF(tblAudits[[#This Row],[Planned date]]="","Missing planned date",IF(tblAudits[[#This Row],[Status]]="","Missing status",IF(COUNTIF(tblAudits[Audit no.],tblAudits[[#This Row],[Audit no.]])&gt;1,"Duplicate audit no.",IF(tblAudits[[#This Row],[Process owner]]="","Process not on Setup list",IF(tblAudits[[#This Row],[Lead auditor]]=tblAudits[[#This Row],[Process owner]],"Auditor owns this process",IF(AND(tblAudits[[#This Row],[Status]]="Done",NOT(ISNUMBER(tblAudits[[#This Row],[Actual date]]))),"Actual date missing",IF(AND(tblAudits[[#This Row],[Status]]&lt;&gt;"Done",ISNUMBER(tblAudits[[#This Row],[Actual date]])),"Actual date on an audit not done",IF(AND(ISNUMBER(tblAudits[[#This Row],[Actual date]]),tblAudits[[#This Row],[Actual date]]&gt;AsOf),"Audit after the status date",IF(AND(tblAudits[[#This Row],[Status]]="Done",tblAudits[[#This Row],[Questions asked]]=0),"Done with no checklist rows","OK"))))))))))</f>
        <v>OK</v>
      </c>
      <c r="Q19" s="41" t="s">
        <v>152</v>
      </c>
    </row>
  </sheetData>
  <mergeCells count="3">
    <mergeCell ref="A1:Q1"/>
    <mergeCell ref="B2:P2"/>
    <mergeCell ref="B4:Q4"/>
  </mergeCells>
  <conditionalFormatting sqref="O6:O51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P6:P519">
    <cfRule type="expression" dxfId="3" priority="21">
      <formula>$P6="OK"</formula>
    </cfRule>
    <cfRule type="expression" dxfId="1" priority="22">
      <formula>AND($P6&lt;&gt;"",$P6&lt;&gt;"OK")</formula>
    </cfRule>
  </conditionalFormatting>
  <dataValidations count="8">
    <dataValidation type="textLength" allowBlank="1" showInputMessage="1" showErrorMessage="1" errorTitle="Check this entry" error="Text up to 30 characters." promptTitle="Audit no." prompt="Your audit number. Each number once. Text up to 30 characters." sqref="B6:B519">
      <formula1>0</formula1>
      <formula2>30</formula2>
    </dataValidation>
    <dataValidation type="list" allowBlank="1" showInputMessage="1" showErrorMessage="1" errorTitle="Check this entry" error="Pick from the list (edit the list on Setup: Processes)." promptTitle="Process" prompt="Pick from the list (edit the list on Setup: Processes)." sqref="C6:C519">
      <formula1>Processes</formula1>
    </dataValidation>
    <dataValidation type="list" allowBlank="1" showInputMessage="1" showErrorMessage="1" errorTitle="Check this entry" error="Pick from the list (edit the list on Setup: Auditors)." promptTitle="Lead auditor" prompt="Pick from the list (edit the list on Setup: Auditors)." sqref="D6:D519">
      <formula1>Auditors</formula1>
    </dataValidation>
    <dataValidation type="date" allowBlank="1" showInputMessage="1" showErrorMessage="1" errorTitle="Check this entry" error="Enter a date between 01 Jan 2000 and 31 Dec 2100." promptTitle="Planned date" prompt="Enter a date between 01 Jan 2000 and 31 Dec 2100." sqref="E6:E519">
      <formula1>36526</formula1>
      <formula2>73415</formula2>
    </dataValidation>
    <dataValidation type="date" allowBlank="1" showInputMessage="1" showErrorMessage="1" errorTitle="Check this entry" error="Enter a date between 01 Jan 2000 and 31 Dec 2100." promptTitle="Actual date" prompt="Date of the audit; blank until it happens. Enter a date between 01 Jan 2000 and 31 Dec 2100." sqref="F6:F519">
      <formula1>36526</formula1>
      <formula2>73415</formula2>
    </dataValidation>
    <dataValidation type="list" allowBlank="1" showInputMessage="1" showErrorMessage="1" errorTitle="Check this entry" error="Pick one of: Planned, Done, Postponed, Cancelled." promptTitle="Status" prompt="Planned, Done, Postponed (still to do) or Cancelled. Pick one of: Planned, Done, Postponed, Cancelled." sqref="G6:G519">
      <formula1>"Planned,Done,Postponed,Cancelled"</formula1>
    </dataValidation>
    <dataValidation type="whole" allowBlank="1" showInputMessage="1" showErrorMessage="1" errorTitle="Check this entry" error="Enter a whole number from 0 to 1,000." promptTitle="Questions planned" prompt="Checklist questions you plan to ask: drives the estimated hours. Enter a whole number from 0 to 1,000." sqref="H6:H519">
      <formula1>0</formula1>
      <formula2>1000</formula2>
    </dataValidation>
    <dataValidation type="textLength" allowBlank="1" showInputMessage="1" showErrorMessage="1" errorTitle="Check this entry" error="Text up to 255 characters." promptTitle="Notes" prompt="Text up to 255 characters." sqref="Q6:Q519">
      <formula1>0</formula1>
      <formula2>255</formula2>
    </dataValidation>
  </dataValidations>
  <hyperlinks>
    <hyperlink ref="Q2" r:id="rId1" tooltip="Free manufacturing calculators and templates"/>
  </hyperlinks>
  <pageMargins left="0.4" right="0.4" top="0.7" bottom="0.65" header="0.3" footer="0.3"/>
  <pageSetup fitToHeight="0" orientation="landscape"/>
  <headerFooter>
    <oddHeader>&amp;L&amp;8MFG Calcs - ISO 9001 Internal Audit Planner&amp;R&amp;8&amp;A</oddHeader>
    <oddFooter>&amp;L&amp;8mfgcalcs.com - free manufacturing templates&amp;R&amp;8Page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sheetPr>
    <tabColor rgb="FF3B64D8"/>
    <pageSetUpPr fitToPage="1"/>
  </sheetPr>
  <dimension ref="A1:S59"/>
  <sheetViews>
    <sheetView workbookViewId="0">
      <pane xSplit="3" ySplit="5" topLeftCell="D6" activePane="bottomRight" state="frozen"/>
      <selection pane="topRight" activeCell="D1" sqref="D1"/>
      <selection pane="bottomLeft" activeCell="A6" sqref="A6"/>
      <selection pane="bottomRight"/>
    </sheetView>
  </sheetViews>
  <sheetFormatPr defaultRowHeight="15"/>
  <cols>
    <col min="1" max="1" width="2.7109375" customWidth="1"/>
    <col min="2" max="2" width="10.7109375" customWidth="1"/>
    <col min="3" max="3" width="12.7109375" customWidth="1"/>
    <col min="4" max="4" width="8.7109375" customWidth="1"/>
    <col min="5" max="5" width="46.7109375" customWidth="1"/>
    <col min="6" max="6" width="34.7109375" customWidth="1"/>
    <col min="7" max="7" width="11.7109375" customWidth="1"/>
    <col min="8" max="8" width="10.7109375" customWidth="1"/>
    <col min="9" max="9" width="12.28515625" customWidth="1"/>
    <col min="10" max="10" width="22.7109375" customWidth="1"/>
    <col min="11" max="11" width="12.28515625" customWidth="1"/>
    <col min="12" max="12" width="9.28515625" customWidth="1"/>
    <col min="13" max="13" width="7.7109375" customWidth="1"/>
    <col min="14" max="14" width="12.28515625" customWidth="1"/>
    <col min="15" max="15" width="6.7109375" customWidth="1"/>
    <col min="16" max="16" width="11.28515625" customWidth="1"/>
    <col min="17" max="17" width="8.7109375" customWidth="1"/>
    <col min="18" max="19" width="26.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24</v>
      </c>
      <c r="C2" s="2"/>
      <c r="D2" s="2"/>
      <c r="E2" s="2"/>
      <c r="F2" s="2"/>
      <c r="G2" s="2"/>
      <c r="H2" s="2"/>
      <c r="I2" s="2"/>
      <c r="J2" s="2"/>
      <c r="K2" s="2"/>
      <c r="L2" s="2"/>
      <c r="M2" s="2"/>
      <c r="N2" s="2"/>
      <c r="O2" s="2"/>
      <c r="P2" s="2"/>
      <c r="Q2" s="2"/>
      <c r="R2" s="2"/>
      <c r="S2" s="3" t="s">
        <v>2</v>
      </c>
    </row>
    <row r="3" spans="1:19" ht="6" customHeight="1"/>
    <row r="4" spans="1:19" ht="18" customHeight="1">
      <c r="B4" s="35" t="s">
        <v>182</v>
      </c>
      <c r="C4" s="35"/>
      <c r="D4" s="35"/>
      <c r="E4" s="35"/>
      <c r="F4" s="35"/>
      <c r="G4" s="35"/>
      <c r="H4" s="35"/>
      <c r="I4" s="35"/>
      <c r="J4" s="35"/>
      <c r="K4" s="35"/>
      <c r="L4" s="35"/>
      <c r="M4" s="35"/>
      <c r="N4" s="35"/>
      <c r="O4" s="35"/>
      <c r="P4" s="35"/>
      <c r="Q4" s="35"/>
      <c r="R4" s="35"/>
      <c r="S4" s="35"/>
    </row>
    <row r="5" spans="1:19" ht="32" customHeight="1">
      <c r="B5" s="34" t="s">
        <v>138</v>
      </c>
      <c r="C5" s="34" t="s">
        <v>72</v>
      </c>
      <c r="D5" s="34" t="s">
        <v>170</v>
      </c>
      <c r="E5" s="34" t="s">
        <v>171</v>
      </c>
      <c r="F5" s="34" t="s">
        <v>172</v>
      </c>
      <c r="G5" s="34" t="s">
        <v>173</v>
      </c>
      <c r="H5" s="34" t="s">
        <v>174</v>
      </c>
      <c r="I5" s="34" t="s">
        <v>175</v>
      </c>
      <c r="J5" s="34" t="s">
        <v>64</v>
      </c>
      <c r="K5" s="34" t="s">
        <v>176</v>
      </c>
      <c r="L5" s="34" t="s">
        <v>70</v>
      </c>
      <c r="M5" s="34" t="s">
        <v>177</v>
      </c>
      <c r="N5" s="34" t="s">
        <v>178</v>
      </c>
      <c r="O5" s="34" t="s">
        <v>179</v>
      </c>
      <c r="P5" s="34" t="s">
        <v>180</v>
      </c>
      <c r="Q5" s="34" t="s">
        <v>181</v>
      </c>
      <c r="R5" s="34" t="s">
        <v>148</v>
      </c>
      <c r="S5" s="34" t="s">
        <v>68</v>
      </c>
    </row>
    <row r="6" spans="1:19">
      <c r="B6" s="28" t="s">
        <v>150</v>
      </c>
      <c r="C6" s="28" t="s">
        <v>131</v>
      </c>
      <c r="D6" s="28" t="s">
        <v>183</v>
      </c>
      <c r="E6" s="41" t="s">
        <v>184</v>
      </c>
      <c r="F6" s="41" t="s">
        <v>185</v>
      </c>
      <c r="G6" s="28" t="s">
        <v>186</v>
      </c>
      <c r="H6" s="28"/>
      <c r="I6" s="29"/>
      <c r="J6" s="36" t="str">
        <f>IF(tblChecklist[[#This Row],[Audit no.]]="","",IFERROR(INDEX(tblAudits[Process],MATCH(tblChecklist[[#This Row],[Audit no.]],tblAudits[Audit no.],0)),""))</f>
        <v>Management and planning</v>
      </c>
      <c r="K6" s="42">
        <f>IF(tblChecklist[[#This Row],[Audit no.]]="","",IFERROR(INDEX(tblAudits[Actual date],MATCH(tblChecklist[[#This Row],[Audit no.]],tblAudits[Audit no.],0)),""))</f>
        <v>46042</v>
      </c>
      <c r="L6" s="37">
        <f>IF(tblChecklist[[#This Row],[Audit no.]]="","",IFERROR(INDEX(tblGrades[Response (days)],MATCH(tblChecklist[[#This Row],[Result]],tblGrades[Grade],0)),""))</f>
        <v/>
      </c>
      <c r="M6" s="37">
        <f>IF(tblChecklist[[#This Row],[Audit no.]]="","",IF(tblChecklist[[#This Row],[Response (days)]]="",0,1))</f>
        <v>0</v>
      </c>
      <c r="N6" s="42">
        <f>IF(tblChecklist[[#This Row],[Audit no.]]="","",IF(OR(tblChecklist[[#This Row],[Finding]]=0,NOT(ISNUMBER(tblChecklist[[#This Row],[Audit date]]))),"",tblChecklist[[#This Row],[Audit date]]+tblChecklist[[#This Row],[Response (days)]]))</f>
        <v/>
      </c>
      <c r="O6" s="37">
        <f>IF(tblChecklist[[#This Row],[Audit no.]]="","",IF(AND(tblChecklist[[#This Row],[Finding]]=1,NOT(ISNUMBER(tblChecklist[[#This Row],[Closed]]))),1,0))</f>
        <v>0</v>
      </c>
      <c r="P6" s="39">
        <f>IF(tblChecklist[[#This Row],[Audit no.]]="","",IF(tblChecklist[[#This Row],[Finding]]=0,"",IF(ISNUMBER(tblChecklist[[#This Row],[Closed]]),"Complete",IF(tblChecklist[[#This Row],[Response due]]="","",IF(AsOf&gt;tblChecklist[[#This Row],[Response due]],"Overdue",IF(tblChecklist[[#This Row],[Response due]]-AsOf&lt;=DueSoonDays,"Due soon","OK"))))))</f>
        <v/>
      </c>
      <c r="Q6" s="39">
        <f>IF(tblChecklist[[#This Row],[Audit no.]]="","",IF(OR(tblChecklist[[#This Row],[Finding]]=0,NOT(ISNUMBER(tblChecklist[[#This Row],[Closed]])),tblChecklist[[#This Row],[Response due]]=""),"",IF(tblChecklist[[#This Row],[Closed]]&lt;=tblChecklist[[#This Row],[Response due]],"Yes","No")))</f>
        <v/>
      </c>
      <c r="R6"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6" s="28" t="s">
        <v>152</v>
      </c>
    </row>
    <row r="7" spans="1:19">
      <c r="B7" s="28" t="s">
        <v>150</v>
      </c>
      <c r="C7" s="28" t="s">
        <v>131</v>
      </c>
      <c r="D7" s="28" t="s">
        <v>187</v>
      </c>
      <c r="E7" s="41" t="s">
        <v>188</v>
      </c>
      <c r="F7" s="41" t="s">
        <v>189</v>
      </c>
      <c r="G7" s="28" t="s">
        <v>128</v>
      </c>
      <c r="H7" s="28" t="s">
        <v>90</v>
      </c>
      <c r="I7" s="29">
        <v>46112</v>
      </c>
      <c r="J7" s="36" t="str">
        <f>IF(tblChecklist[[#This Row],[Audit no.]]="","",IFERROR(INDEX(tblAudits[Process],MATCH(tblChecklist[[#This Row],[Audit no.]],tblAudits[Audit no.],0)),""))</f>
        <v>Management and planning</v>
      </c>
      <c r="K7" s="42">
        <f>IF(tblChecklist[[#This Row],[Audit no.]]="","",IFERROR(INDEX(tblAudits[Actual date],MATCH(tblChecklist[[#This Row],[Audit no.]],tblAudits[Audit no.],0)),""))</f>
        <v>46042</v>
      </c>
      <c r="L7" s="37">
        <f>IF(tblChecklist[[#This Row],[Audit no.]]="","",IFERROR(INDEX(tblGrades[Response (days)],MATCH(tblChecklist[[#This Row],[Result]],tblGrades[Grade],0)),""))</f>
        <v>90</v>
      </c>
      <c r="M7" s="37">
        <f>IF(tblChecklist[[#This Row],[Audit no.]]="","",IF(tblChecklist[[#This Row],[Response (days)]]="",0,1))</f>
        <v>1</v>
      </c>
      <c r="N7" s="42">
        <f>IF(tblChecklist[[#This Row],[Audit no.]]="","",IF(OR(tblChecklist[[#This Row],[Finding]]=0,NOT(ISNUMBER(tblChecklist[[#This Row],[Audit date]]))),"",tblChecklist[[#This Row],[Audit date]]+tblChecklist[[#This Row],[Response (days)]]))</f>
        <v>46132</v>
      </c>
      <c r="O7" s="37">
        <f>IF(tblChecklist[[#This Row],[Audit no.]]="","",IF(AND(tblChecklist[[#This Row],[Finding]]=1,NOT(ISNUMBER(tblChecklist[[#This Row],[Closed]]))),1,0))</f>
        <v>0</v>
      </c>
      <c r="P7" s="39" t="str">
        <f>IF(tblChecklist[[#This Row],[Audit no.]]="","",IF(tblChecklist[[#This Row],[Finding]]=0,"",IF(ISNUMBER(tblChecklist[[#This Row],[Closed]]),"Complete",IF(tblChecklist[[#This Row],[Response due]]="","",IF(AsOf&gt;tblChecklist[[#This Row],[Response due]],"Overdue",IF(tblChecklist[[#This Row],[Response due]]-AsOf&lt;=DueSoonDays,"Due soon","OK"))))))</f>
        <v>Complete</v>
      </c>
      <c r="Q7" s="39" t="str">
        <f>IF(tblChecklist[[#This Row],[Audit no.]]="","",IF(OR(tblChecklist[[#This Row],[Finding]]=0,NOT(ISNUMBER(tblChecklist[[#This Row],[Closed]])),tblChecklist[[#This Row],[Response due]]=""),"",IF(tblChecklist[[#This Row],[Closed]]&lt;=tblChecklist[[#This Row],[Response due]],"Yes","No")))</f>
        <v>Yes</v>
      </c>
      <c r="R7"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7" s="28" t="s">
        <v>152</v>
      </c>
    </row>
    <row r="8" spans="1:19">
      <c r="B8" s="28" t="s">
        <v>150</v>
      </c>
      <c r="C8" s="28" t="s">
        <v>132</v>
      </c>
      <c r="D8" s="28" t="s">
        <v>190</v>
      </c>
      <c r="E8" s="41" t="s">
        <v>191</v>
      </c>
      <c r="F8" s="41" t="s">
        <v>192</v>
      </c>
      <c r="G8" s="28" t="s">
        <v>186</v>
      </c>
      <c r="H8" s="28"/>
      <c r="I8" s="29"/>
      <c r="J8" s="36" t="str">
        <f>IF(tblChecklist[[#This Row],[Audit no.]]="","",IFERROR(INDEX(tblAudits[Process],MATCH(tblChecklist[[#This Row],[Audit no.]],tblAudits[Audit no.],0)),""))</f>
        <v>Management and planning</v>
      </c>
      <c r="K8" s="42">
        <f>IF(tblChecklist[[#This Row],[Audit no.]]="","",IFERROR(INDEX(tblAudits[Actual date],MATCH(tblChecklist[[#This Row],[Audit no.]],tblAudits[Audit no.],0)),""))</f>
        <v>46042</v>
      </c>
      <c r="L8" s="37">
        <f>IF(tblChecklist[[#This Row],[Audit no.]]="","",IFERROR(INDEX(tblGrades[Response (days)],MATCH(tblChecklist[[#This Row],[Result]],tblGrades[Grade],0)),""))</f>
        <v/>
      </c>
      <c r="M8" s="37">
        <f>IF(tblChecklist[[#This Row],[Audit no.]]="","",IF(tblChecklist[[#This Row],[Response (days)]]="",0,1))</f>
        <v>0</v>
      </c>
      <c r="N8" s="42">
        <f>IF(tblChecklist[[#This Row],[Audit no.]]="","",IF(OR(tblChecklist[[#This Row],[Finding]]=0,NOT(ISNUMBER(tblChecklist[[#This Row],[Audit date]]))),"",tblChecklist[[#This Row],[Audit date]]+tblChecklist[[#This Row],[Response (days)]]))</f>
        <v/>
      </c>
      <c r="O8" s="37">
        <f>IF(tblChecklist[[#This Row],[Audit no.]]="","",IF(AND(tblChecklist[[#This Row],[Finding]]=1,NOT(ISNUMBER(tblChecklist[[#This Row],[Closed]]))),1,0))</f>
        <v>0</v>
      </c>
      <c r="P8" s="39">
        <f>IF(tblChecklist[[#This Row],[Audit no.]]="","",IF(tblChecklist[[#This Row],[Finding]]=0,"",IF(ISNUMBER(tblChecklist[[#This Row],[Closed]]),"Complete",IF(tblChecklist[[#This Row],[Response due]]="","",IF(AsOf&gt;tblChecklist[[#This Row],[Response due]],"Overdue",IF(tblChecklist[[#This Row],[Response due]]-AsOf&lt;=DueSoonDays,"Due soon","OK"))))))</f>
        <v/>
      </c>
      <c r="Q8" s="39">
        <f>IF(tblChecklist[[#This Row],[Audit no.]]="","",IF(OR(tblChecklist[[#This Row],[Finding]]=0,NOT(ISNUMBER(tblChecklist[[#This Row],[Closed]])),tblChecklist[[#This Row],[Response due]]=""),"",IF(tblChecklist[[#This Row],[Closed]]&lt;=tblChecklist[[#This Row],[Response due]],"Yes","No")))</f>
        <v/>
      </c>
      <c r="R8"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8" s="28" t="s">
        <v>152</v>
      </c>
    </row>
    <row r="9" spans="1:19">
      <c r="B9" s="28" t="s">
        <v>150</v>
      </c>
      <c r="C9" s="28" t="s">
        <v>133</v>
      </c>
      <c r="D9" s="28" t="s">
        <v>193</v>
      </c>
      <c r="E9" s="41" t="s">
        <v>194</v>
      </c>
      <c r="F9" s="41" t="s">
        <v>195</v>
      </c>
      <c r="G9" s="28" t="s">
        <v>186</v>
      </c>
      <c r="H9" s="28"/>
      <c r="I9" s="29"/>
      <c r="J9" s="36" t="str">
        <f>IF(tblChecklist[[#This Row],[Audit no.]]="","",IFERROR(INDEX(tblAudits[Process],MATCH(tblChecklist[[#This Row],[Audit no.]],tblAudits[Audit no.],0)),""))</f>
        <v>Management and planning</v>
      </c>
      <c r="K9" s="42">
        <f>IF(tblChecklist[[#This Row],[Audit no.]]="","",IFERROR(INDEX(tblAudits[Actual date],MATCH(tblChecklist[[#This Row],[Audit no.]],tblAudits[Audit no.],0)),""))</f>
        <v>46042</v>
      </c>
      <c r="L9" s="37">
        <f>IF(tblChecklist[[#This Row],[Audit no.]]="","",IFERROR(INDEX(tblGrades[Response (days)],MATCH(tblChecklist[[#This Row],[Result]],tblGrades[Grade],0)),""))</f>
        <v/>
      </c>
      <c r="M9" s="37">
        <f>IF(tblChecklist[[#This Row],[Audit no.]]="","",IF(tblChecklist[[#This Row],[Response (days)]]="",0,1))</f>
        <v>0</v>
      </c>
      <c r="N9" s="42">
        <f>IF(tblChecklist[[#This Row],[Audit no.]]="","",IF(OR(tblChecklist[[#This Row],[Finding]]=0,NOT(ISNUMBER(tblChecklist[[#This Row],[Audit date]]))),"",tblChecklist[[#This Row],[Audit date]]+tblChecklist[[#This Row],[Response (days)]]))</f>
        <v/>
      </c>
      <c r="O9" s="37">
        <f>IF(tblChecklist[[#This Row],[Audit no.]]="","",IF(AND(tblChecklist[[#This Row],[Finding]]=1,NOT(ISNUMBER(tblChecklist[[#This Row],[Closed]]))),1,0))</f>
        <v>0</v>
      </c>
      <c r="P9" s="39">
        <f>IF(tblChecklist[[#This Row],[Audit no.]]="","",IF(tblChecklist[[#This Row],[Finding]]=0,"",IF(ISNUMBER(tblChecklist[[#This Row],[Closed]]),"Complete",IF(tblChecklist[[#This Row],[Response due]]="","",IF(AsOf&gt;tblChecklist[[#This Row],[Response due]],"Overdue",IF(tblChecklist[[#This Row],[Response due]]-AsOf&lt;=DueSoonDays,"Due soon","OK"))))))</f>
        <v/>
      </c>
      <c r="Q9" s="39">
        <f>IF(tblChecklist[[#This Row],[Audit no.]]="","",IF(OR(tblChecklist[[#This Row],[Finding]]=0,NOT(ISNUMBER(tblChecklist[[#This Row],[Closed]])),tblChecklist[[#This Row],[Response due]]=""),"",IF(tblChecklist[[#This Row],[Closed]]&lt;=tblChecklist[[#This Row],[Response due]],"Yes","No")))</f>
        <v/>
      </c>
      <c r="R9"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9" s="28" t="s">
        <v>152</v>
      </c>
    </row>
    <row r="10" spans="1:19">
      <c r="B10" s="28" t="s">
        <v>150</v>
      </c>
      <c r="C10" s="28" t="s">
        <v>133</v>
      </c>
      <c r="D10" s="28" t="s">
        <v>196</v>
      </c>
      <c r="E10" s="41" t="s">
        <v>197</v>
      </c>
      <c r="F10" s="41" t="s">
        <v>198</v>
      </c>
      <c r="G10" s="28" t="s">
        <v>126</v>
      </c>
      <c r="H10" s="28" t="s">
        <v>90</v>
      </c>
      <c r="I10" s="29">
        <v>46083</v>
      </c>
      <c r="J10" s="36" t="str">
        <f>IF(tblChecklist[[#This Row],[Audit no.]]="","",IFERROR(INDEX(tblAudits[Process],MATCH(tblChecklist[[#This Row],[Audit no.]],tblAudits[Audit no.],0)),""))</f>
        <v>Management and planning</v>
      </c>
      <c r="K10" s="42">
        <f>IF(tblChecklist[[#This Row],[Audit no.]]="","",IFERROR(INDEX(tblAudits[Actual date],MATCH(tblChecklist[[#This Row],[Audit no.]],tblAudits[Audit no.],0)),""))</f>
        <v>46042</v>
      </c>
      <c r="L10" s="37">
        <f>IF(tblChecklist[[#This Row],[Audit no.]]="","",IFERROR(INDEX(tblGrades[Response (days)],MATCH(tblChecklist[[#This Row],[Result]],tblGrades[Grade],0)),""))</f>
        <v>60</v>
      </c>
      <c r="M10" s="37">
        <f>IF(tblChecklist[[#This Row],[Audit no.]]="","",IF(tblChecklist[[#This Row],[Response (days)]]="",0,1))</f>
        <v>1</v>
      </c>
      <c r="N10" s="42">
        <f>IF(tblChecklist[[#This Row],[Audit no.]]="","",IF(OR(tblChecklist[[#This Row],[Finding]]=0,NOT(ISNUMBER(tblChecklist[[#This Row],[Audit date]]))),"",tblChecklist[[#This Row],[Audit date]]+tblChecklist[[#This Row],[Response (days)]]))</f>
        <v>46102</v>
      </c>
      <c r="O10" s="37">
        <f>IF(tblChecklist[[#This Row],[Audit no.]]="","",IF(AND(tblChecklist[[#This Row],[Finding]]=1,NOT(ISNUMBER(tblChecklist[[#This Row],[Closed]]))),1,0))</f>
        <v>0</v>
      </c>
      <c r="P10" s="39" t="str">
        <f>IF(tblChecklist[[#This Row],[Audit no.]]="","",IF(tblChecklist[[#This Row],[Finding]]=0,"",IF(ISNUMBER(tblChecklist[[#This Row],[Closed]]),"Complete",IF(tblChecklist[[#This Row],[Response due]]="","",IF(AsOf&gt;tblChecklist[[#This Row],[Response due]],"Overdue",IF(tblChecklist[[#This Row],[Response due]]-AsOf&lt;=DueSoonDays,"Due soon","OK"))))))</f>
        <v>Complete</v>
      </c>
      <c r="Q10" s="39" t="str">
        <f>IF(tblChecklist[[#This Row],[Audit no.]]="","",IF(OR(tblChecklist[[#This Row],[Finding]]=0,NOT(ISNUMBER(tblChecklist[[#This Row],[Closed]])),tblChecklist[[#This Row],[Response due]]=""),"",IF(tblChecklist[[#This Row],[Closed]]&lt;=tblChecklist[[#This Row],[Response due]],"Yes","No")))</f>
        <v>Yes</v>
      </c>
      <c r="R10"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0" s="28" t="s">
        <v>152</v>
      </c>
    </row>
    <row r="11" spans="1:19">
      <c r="B11" s="28" t="s">
        <v>150</v>
      </c>
      <c r="C11" s="28" t="s">
        <v>136</v>
      </c>
      <c r="D11" s="28" t="s">
        <v>199</v>
      </c>
      <c r="E11" s="41" t="s">
        <v>200</v>
      </c>
      <c r="F11" s="41" t="s">
        <v>201</v>
      </c>
      <c r="G11" s="28" t="s">
        <v>186</v>
      </c>
      <c r="H11" s="28"/>
      <c r="I11" s="29"/>
      <c r="J11" s="36" t="str">
        <f>IF(tblChecklist[[#This Row],[Audit no.]]="","",IFERROR(INDEX(tblAudits[Process],MATCH(tblChecklist[[#This Row],[Audit no.]],tblAudits[Audit no.],0)),""))</f>
        <v>Management and planning</v>
      </c>
      <c r="K11" s="42">
        <f>IF(tblChecklist[[#This Row],[Audit no.]]="","",IFERROR(INDEX(tblAudits[Actual date],MATCH(tblChecklist[[#This Row],[Audit no.]],tblAudits[Audit no.],0)),""))</f>
        <v>46042</v>
      </c>
      <c r="L11" s="37">
        <f>IF(tblChecklist[[#This Row],[Audit no.]]="","",IFERROR(INDEX(tblGrades[Response (days)],MATCH(tblChecklist[[#This Row],[Result]],tblGrades[Grade],0)),""))</f>
        <v/>
      </c>
      <c r="M11" s="37">
        <f>IF(tblChecklist[[#This Row],[Audit no.]]="","",IF(tblChecklist[[#This Row],[Response (days)]]="",0,1))</f>
        <v>0</v>
      </c>
      <c r="N11" s="42">
        <f>IF(tblChecklist[[#This Row],[Audit no.]]="","",IF(OR(tblChecklist[[#This Row],[Finding]]=0,NOT(ISNUMBER(tblChecklist[[#This Row],[Audit date]]))),"",tblChecklist[[#This Row],[Audit date]]+tblChecklist[[#This Row],[Response (days)]]))</f>
        <v/>
      </c>
      <c r="O11" s="37">
        <f>IF(tblChecklist[[#This Row],[Audit no.]]="","",IF(AND(tblChecklist[[#This Row],[Finding]]=1,NOT(ISNUMBER(tblChecklist[[#This Row],[Closed]]))),1,0))</f>
        <v>0</v>
      </c>
      <c r="P11" s="39">
        <f>IF(tblChecklist[[#This Row],[Audit no.]]="","",IF(tblChecklist[[#This Row],[Finding]]=0,"",IF(ISNUMBER(tblChecklist[[#This Row],[Closed]]),"Complete",IF(tblChecklist[[#This Row],[Response due]]="","",IF(AsOf&gt;tblChecklist[[#This Row],[Response due]],"Overdue",IF(tblChecklist[[#This Row],[Response due]]-AsOf&lt;=DueSoonDays,"Due soon","OK"))))))</f>
        <v/>
      </c>
      <c r="Q11" s="39">
        <f>IF(tblChecklist[[#This Row],[Audit no.]]="","",IF(OR(tblChecklist[[#This Row],[Finding]]=0,NOT(ISNUMBER(tblChecklist[[#This Row],[Closed]])),tblChecklist[[#This Row],[Response due]]=""),"",IF(tblChecklist[[#This Row],[Closed]]&lt;=tblChecklist[[#This Row],[Response due]],"Yes","No")))</f>
        <v/>
      </c>
      <c r="R11"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1" s="28" t="s">
        <v>152</v>
      </c>
    </row>
    <row r="12" spans="1:19">
      <c r="B12" s="28" t="s">
        <v>150</v>
      </c>
      <c r="C12" s="28" t="s">
        <v>132</v>
      </c>
      <c r="D12" s="28" t="s">
        <v>202</v>
      </c>
      <c r="E12" s="41" t="s">
        <v>203</v>
      </c>
      <c r="F12" s="41" t="s">
        <v>195</v>
      </c>
      <c r="G12" s="28" t="s">
        <v>186</v>
      </c>
      <c r="H12" s="28"/>
      <c r="I12" s="29"/>
      <c r="J12" s="36" t="str">
        <f>IF(tblChecklist[[#This Row],[Audit no.]]="","",IFERROR(INDEX(tblAudits[Process],MATCH(tblChecklist[[#This Row],[Audit no.]],tblAudits[Audit no.],0)),""))</f>
        <v>Management and planning</v>
      </c>
      <c r="K12" s="42">
        <f>IF(tblChecklist[[#This Row],[Audit no.]]="","",IFERROR(INDEX(tblAudits[Actual date],MATCH(tblChecklist[[#This Row],[Audit no.]],tblAudits[Audit no.],0)),""))</f>
        <v>46042</v>
      </c>
      <c r="L12" s="37">
        <f>IF(tblChecklist[[#This Row],[Audit no.]]="","",IFERROR(INDEX(tblGrades[Response (days)],MATCH(tblChecklist[[#This Row],[Result]],tblGrades[Grade],0)),""))</f>
        <v/>
      </c>
      <c r="M12" s="37">
        <f>IF(tblChecklist[[#This Row],[Audit no.]]="","",IF(tblChecklist[[#This Row],[Response (days)]]="",0,1))</f>
        <v>0</v>
      </c>
      <c r="N12" s="42">
        <f>IF(tblChecklist[[#This Row],[Audit no.]]="","",IF(OR(tblChecklist[[#This Row],[Finding]]=0,NOT(ISNUMBER(tblChecklist[[#This Row],[Audit date]]))),"",tblChecklist[[#This Row],[Audit date]]+tblChecklist[[#This Row],[Response (days)]]))</f>
        <v/>
      </c>
      <c r="O12" s="37">
        <f>IF(tblChecklist[[#This Row],[Audit no.]]="","",IF(AND(tblChecklist[[#This Row],[Finding]]=1,NOT(ISNUMBER(tblChecklist[[#This Row],[Closed]]))),1,0))</f>
        <v>0</v>
      </c>
      <c r="P12" s="39">
        <f>IF(tblChecklist[[#This Row],[Audit no.]]="","",IF(tblChecklist[[#This Row],[Finding]]=0,"",IF(ISNUMBER(tblChecklist[[#This Row],[Closed]]),"Complete",IF(tblChecklist[[#This Row],[Response due]]="","",IF(AsOf&gt;tblChecklist[[#This Row],[Response due]],"Overdue",IF(tblChecklist[[#This Row],[Response due]]-AsOf&lt;=DueSoonDays,"Due soon","OK"))))))</f>
        <v/>
      </c>
      <c r="Q12" s="39">
        <f>IF(tblChecklist[[#This Row],[Audit no.]]="","",IF(OR(tblChecklist[[#This Row],[Finding]]=0,NOT(ISNUMBER(tblChecklist[[#This Row],[Closed]])),tblChecklist[[#This Row],[Response due]]=""),"",IF(tblChecklist[[#This Row],[Closed]]&lt;=tblChecklist[[#This Row],[Response due]],"Yes","No")))</f>
        <v/>
      </c>
      <c r="R12"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2" s="28" t="s">
        <v>152</v>
      </c>
    </row>
    <row r="13" spans="1:19">
      <c r="B13" s="28" t="s">
        <v>153</v>
      </c>
      <c r="C13" s="28" t="s">
        <v>135</v>
      </c>
      <c r="D13" s="28" t="s">
        <v>204</v>
      </c>
      <c r="E13" s="41" t="s">
        <v>205</v>
      </c>
      <c r="F13" s="41" t="s">
        <v>192</v>
      </c>
      <c r="G13" s="28" t="s">
        <v>186</v>
      </c>
      <c r="H13" s="28"/>
      <c r="I13" s="29"/>
      <c r="J13" s="36" t="str">
        <f>IF(tblChecklist[[#This Row],[Audit no.]]="","",IFERROR(INDEX(tblAudits[Process],MATCH(tblChecklist[[#This Row],[Audit no.]],tblAudits[Audit no.],0)),""))</f>
        <v>Purchasing and suppliers</v>
      </c>
      <c r="K13" s="42">
        <f>IF(tblChecklist[[#This Row],[Audit no.]]="","",IFERROR(INDEX(tblAudits[Actual date],MATCH(tblChecklist[[#This Row],[Audit no.]],tblAudits[Audit no.],0)),""))</f>
        <v>46071</v>
      </c>
      <c r="L13" s="37">
        <f>IF(tblChecklist[[#This Row],[Audit no.]]="","",IFERROR(INDEX(tblGrades[Response (days)],MATCH(tblChecklist[[#This Row],[Result]],tblGrades[Grade],0)),""))</f>
        <v/>
      </c>
      <c r="M13" s="37">
        <f>IF(tblChecklist[[#This Row],[Audit no.]]="","",IF(tblChecklist[[#This Row],[Response (days)]]="",0,1))</f>
        <v>0</v>
      </c>
      <c r="N13" s="42">
        <f>IF(tblChecklist[[#This Row],[Audit no.]]="","",IF(OR(tblChecklist[[#This Row],[Finding]]=0,NOT(ISNUMBER(tblChecklist[[#This Row],[Audit date]]))),"",tblChecklist[[#This Row],[Audit date]]+tblChecklist[[#This Row],[Response (days)]]))</f>
        <v/>
      </c>
      <c r="O13" s="37">
        <f>IF(tblChecklist[[#This Row],[Audit no.]]="","",IF(AND(tblChecklist[[#This Row],[Finding]]=1,NOT(ISNUMBER(tblChecklist[[#This Row],[Closed]]))),1,0))</f>
        <v>0</v>
      </c>
      <c r="P13" s="39">
        <f>IF(tblChecklist[[#This Row],[Audit no.]]="","",IF(tblChecklist[[#This Row],[Finding]]=0,"",IF(ISNUMBER(tblChecklist[[#This Row],[Closed]]),"Complete",IF(tblChecklist[[#This Row],[Response due]]="","",IF(AsOf&gt;tblChecklist[[#This Row],[Response due]],"Overdue",IF(tblChecklist[[#This Row],[Response due]]-AsOf&lt;=DueSoonDays,"Due soon","OK"))))))</f>
        <v/>
      </c>
      <c r="Q13" s="39">
        <f>IF(tblChecklist[[#This Row],[Audit no.]]="","",IF(OR(tblChecklist[[#This Row],[Finding]]=0,NOT(ISNUMBER(tblChecklist[[#This Row],[Closed]])),tblChecklist[[#This Row],[Response due]]=""),"",IF(tblChecklist[[#This Row],[Closed]]&lt;=tblChecklist[[#This Row],[Response due]],"Yes","No")))</f>
        <v/>
      </c>
      <c r="R13"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3" s="28" t="s">
        <v>152</v>
      </c>
    </row>
    <row r="14" spans="1:19">
      <c r="B14" s="28" t="s">
        <v>153</v>
      </c>
      <c r="C14" s="28" t="s">
        <v>135</v>
      </c>
      <c r="D14" s="28" t="s">
        <v>206</v>
      </c>
      <c r="E14" s="41" t="s">
        <v>207</v>
      </c>
      <c r="F14" s="41" t="s">
        <v>208</v>
      </c>
      <c r="G14" s="28" t="s">
        <v>126</v>
      </c>
      <c r="H14" s="28" t="s">
        <v>99</v>
      </c>
      <c r="I14" s="29">
        <v>46123</v>
      </c>
      <c r="J14" s="36" t="str">
        <f>IF(tblChecklist[[#This Row],[Audit no.]]="","",IFERROR(INDEX(tblAudits[Process],MATCH(tblChecklist[[#This Row],[Audit no.]],tblAudits[Audit no.],0)),""))</f>
        <v>Purchasing and suppliers</v>
      </c>
      <c r="K14" s="42">
        <f>IF(tblChecklist[[#This Row],[Audit no.]]="","",IFERROR(INDEX(tblAudits[Actual date],MATCH(tblChecklist[[#This Row],[Audit no.]],tblAudits[Audit no.],0)),""))</f>
        <v>46071</v>
      </c>
      <c r="L14" s="37">
        <f>IF(tblChecklist[[#This Row],[Audit no.]]="","",IFERROR(INDEX(tblGrades[Response (days)],MATCH(tblChecklist[[#This Row],[Result]],tblGrades[Grade],0)),""))</f>
        <v>60</v>
      </c>
      <c r="M14" s="37">
        <f>IF(tblChecklist[[#This Row],[Audit no.]]="","",IF(tblChecklist[[#This Row],[Response (days)]]="",0,1))</f>
        <v>1</v>
      </c>
      <c r="N14" s="42">
        <f>IF(tblChecklist[[#This Row],[Audit no.]]="","",IF(OR(tblChecklist[[#This Row],[Finding]]=0,NOT(ISNUMBER(tblChecklist[[#This Row],[Audit date]]))),"",tblChecklist[[#This Row],[Audit date]]+tblChecklist[[#This Row],[Response (days)]]))</f>
        <v>46131</v>
      </c>
      <c r="O14" s="37">
        <f>IF(tblChecklist[[#This Row],[Audit no.]]="","",IF(AND(tblChecklist[[#This Row],[Finding]]=1,NOT(ISNUMBER(tblChecklist[[#This Row],[Closed]]))),1,0))</f>
        <v>0</v>
      </c>
      <c r="P14" s="39" t="str">
        <f>IF(tblChecklist[[#This Row],[Audit no.]]="","",IF(tblChecklist[[#This Row],[Finding]]=0,"",IF(ISNUMBER(tblChecklist[[#This Row],[Closed]]),"Complete",IF(tblChecklist[[#This Row],[Response due]]="","",IF(AsOf&gt;tblChecklist[[#This Row],[Response due]],"Overdue",IF(tblChecklist[[#This Row],[Response due]]-AsOf&lt;=DueSoonDays,"Due soon","OK"))))))</f>
        <v>Complete</v>
      </c>
      <c r="Q14" s="39" t="str">
        <f>IF(tblChecklist[[#This Row],[Audit no.]]="","",IF(OR(tblChecklist[[#This Row],[Finding]]=0,NOT(ISNUMBER(tblChecklist[[#This Row],[Closed]])),tblChecklist[[#This Row],[Response due]]=""),"",IF(tblChecklist[[#This Row],[Closed]]&lt;=tblChecklist[[#This Row],[Response due]],"Yes","No")))</f>
        <v>Yes</v>
      </c>
      <c r="R14"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4" s="28" t="s">
        <v>152</v>
      </c>
    </row>
    <row r="15" spans="1:19">
      <c r="B15" s="28" t="s">
        <v>153</v>
      </c>
      <c r="C15" s="28" t="s">
        <v>135</v>
      </c>
      <c r="D15" s="28" t="s">
        <v>209</v>
      </c>
      <c r="E15" s="41" t="s">
        <v>210</v>
      </c>
      <c r="F15" s="41" t="s">
        <v>211</v>
      </c>
      <c r="G15" s="28" t="s">
        <v>186</v>
      </c>
      <c r="H15" s="28"/>
      <c r="I15" s="29"/>
      <c r="J15" s="36" t="str">
        <f>IF(tblChecklist[[#This Row],[Audit no.]]="","",IFERROR(INDEX(tblAudits[Process],MATCH(tblChecklist[[#This Row],[Audit no.]],tblAudits[Audit no.],0)),""))</f>
        <v>Purchasing and suppliers</v>
      </c>
      <c r="K15" s="42">
        <f>IF(tblChecklist[[#This Row],[Audit no.]]="","",IFERROR(INDEX(tblAudits[Actual date],MATCH(tblChecklist[[#This Row],[Audit no.]],tblAudits[Audit no.],0)),""))</f>
        <v>46071</v>
      </c>
      <c r="L15" s="37">
        <f>IF(tblChecklist[[#This Row],[Audit no.]]="","",IFERROR(INDEX(tblGrades[Response (days)],MATCH(tblChecklist[[#This Row],[Result]],tblGrades[Grade],0)),""))</f>
        <v/>
      </c>
      <c r="M15" s="37">
        <f>IF(tblChecklist[[#This Row],[Audit no.]]="","",IF(tblChecklist[[#This Row],[Response (days)]]="",0,1))</f>
        <v>0</v>
      </c>
      <c r="N15" s="42">
        <f>IF(tblChecklist[[#This Row],[Audit no.]]="","",IF(OR(tblChecklist[[#This Row],[Finding]]=0,NOT(ISNUMBER(tblChecklist[[#This Row],[Audit date]]))),"",tblChecklist[[#This Row],[Audit date]]+tblChecklist[[#This Row],[Response (days)]]))</f>
        <v/>
      </c>
      <c r="O15" s="37">
        <f>IF(tblChecklist[[#This Row],[Audit no.]]="","",IF(AND(tblChecklist[[#This Row],[Finding]]=1,NOT(ISNUMBER(tblChecklist[[#This Row],[Closed]]))),1,0))</f>
        <v>0</v>
      </c>
      <c r="P15" s="39">
        <f>IF(tblChecklist[[#This Row],[Audit no.]]="","",IF(tblChecklist[[#This Row],[Finding]]=0,"",IF(ISNUMBER(tblChecklist[[#This Row],[Closed]]),"Complete",IF(tblChecklist[[#This Row],[Response due]]="","",IF(AsOf&gt;tblChecklist[[#This Row],[Response due]],"Overdue",IF(tblChecklist[[#This Row],[Response due]]-AsOf&lt;=DueSoonDays,"Due soon","OK"))))))</f>
        <v/>
      </c>
      <c r="Q15" s="39">
        <f>IF(tblChecklist[[#This Row],[Audit no.]]="","",IF(OR(tblChecklist[[#This Row],[Finding]]=0,NOT(ISNUMBER(tblChecklist[[#This Row],[Closed]])),tblChecklist[[#This Row],[Response due]]=""),"",IF(tblChecklist[[#This Row],[Closed]]&lt;=tblChecklist[[#This Row],[Response due]],"Yes","No")))</f>
        <v/>
      </c>
      <c r="R15"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5" s="28" t="s">
        <v>152</v>
      </c>
    </row>
    <row r="16" spans="1:19">
      <c r="B16" s="28" t="s">
        <v>153</v>
      </c>
      <c r="C16" s="28" t="s">
        <v>136</v>
      </c>
      <c r="D16" s="28" t="s">
        <v>212</v>
      </c>
      <c r="E16" s="41" t="s">
        <v>213</v>
      </c>
      <c r="F16" s="41" t="s">
        <v>214</v>
      </c>
      <c r="G16" s="28" t="s">
        <v>128</v>
      </c>
      <c r="H16" s="28" t="s">
        <v>99</v>
      </c>
      <c r="I16" s="29"/>
      <c r="J16" s="36" t="str">
        <f>IF(tblChecklist[[#This Row],[Audit no.]]="","",IFERROR(INDEX(tblAudits[Process],MATCH(tblChecklist[[#This Row],[Audit no.]],tblAudits[Audit no.],0)),""))</f>
        <v>Purchasing and suppliers</v>
      </c>
      <c r="K16" s="42">
        <f>IF(tblChecklist[[#This Row],[Audit no.]]="","",IFERROR(INDEX(tblAudits[Actual date],MATCH(tblChecklist[[#This Row],[Audit no.]],tblAudits[Audit no.],0)),""))</f>
        <v>46071</v>
      </c>
      <c r="L16" s="37">
        <f>IF(tblChecklist[[#This Row],[Audit no.]]="","",IFERROR(INDEX(tblGrades[Response (days)],MATCH(tblChecklist[[#This Row],[Result]],tblGrades[Grade],0)),""))</f>
        <v>90</v>
      </c>
      <c r="M16" s="37">
        <f>IF(tblChecklist[[#This Row],[Audit no.]]="","",IF(tblChecklist[[#This Row],[Response (days)]]="",0,1))</f>
        <v>1</v>
      </c>
      <c r="N16" s="42">
        <f>IF(tblChecklist[[#This Row],[Audit no.]]="","",IF(OR(tblChecklist[[#This Row],[Finding]]=0,NOT(ISNUMBER(tblChecklist[[#This Row],[Audit date]]))),"",tblChecklist[[#This Row],[Audit date]]+tblChecklist[[#This Row],[Response (days)]]))</f>
        <v>46161</v>
      </c>
      <c r="O16" s="37">
        <f>IF(tblChecklist[[#This Row],[Audit no.]]="","",IF(AND(tblChecklist[[#This Row],[Finding]]=1,NOT(ISNUMBER(tblChecklist[[#This Row],[Closed]]))),1,0))</f>
        <v>1</v>
      </c>
      <c r="P16" s="39" t="str">
        <f>IF(tblChecklist[[#This Row],[Audit no.]]="","",IF(tblChecklist[[#This Row],[Finding]]=0,"",IF(ISNUMBER(tblChecklist[[#This Row],[Closed]]),"Complete",IF(tblChecklist[[#This Row],[Response due]]="","",IF(AsOf&gt;tblChecklist[[#This Row],[Response due]],"Overdue",IF(tblChecklist[[#This Row],[Response due]]-AsOf&lt;=DueSoonDays,"Due soon","OK"))))))</f>
        <v>Overdue</v>
      </c>
      <c r="Q16" s="39">
        <f>IF(tblChecklist[[#This Row],[Audit no.]]="","",IF(OR(tblChecklist[[#This Row],[Finding]]=0,NOT(ISNUMBER(tblChecklist[[#This Row],[Closed]])),tblChecklist[[#This Row],[Response due]]=""),"",IF(tblChecklist[[#This Row],[Closed]]&lt;=tblChecklist[[#This Row],[Response due]],"Yes","No")))</f>
        <v/>
      </c>
      <c r="R16"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6" s="28" t="s">
        <v>152</v>
      </c>
    </row>
    <row r="17" spans="2:19">
      <c r="B17" s="28" t="s">
        <v>153</v>
      </c>
      <c r="C17" s="28" t="s">
        <v>134</v>
      </c>
      <c r="D17" s="28" t="s">
        <v>215</v>
      </c>
      <c r="E17" s="41" t="s">
        <v>216</v>
      </c>
      <c r="F17" s="41" t="s">
        <v>211</v>
      </c>
      <c r="G17" s="28" t="s">
        <v>186</v>
      </c>
      <c r="H17" s="28"/>
      <c r="I17" s="29"/>
      <c r="J17" s="36" t="str">
        <f>IF(tblChecklist[[#This Row],[Audit no.]]="","",IFERROR(INDEX(tblAudits[Process],MATCH(tblChecklist[[#This Row],[Audit no.]],tblAudits[Audit no.],0)),""))</f>
        <v>Purchasing and suppliers</v>
      </c>
      <c r="K17" s="42">
        <f>IF(tblChecklist[[#This Row],[Audit no.]]="","",IFERROR(INDEX(tblAudits[Actual date],MATCH(tblChecklist[[#This Row],[Audit no.]],tblAudits[Audit no.],0)),""))</f>
        <v>46071</v>
      </c>
      <c r="L17" s="37">
        <f>IF(tblChecklist[[#This Row],[Audit no.]]="","",IFERROR(INDEX(tblGrades[Response (days)],MATCH(tblChecklist[[#This Row],[Result]],tblGrades[Grade],0)),""))</f>
        <v/>
      </c>
      <c r="M17" s="37">
        <f>IF(tblChecklist[[#This Row],[Audit no.]]="","",IF(tblChecklist[[#This Row],[Response (days)]]="",0,1))</f>
        <v>0</v>
      </c>
      <c r="N17" s="42">
        <f>IF(tblChecklist[[#This Row],[Audit no.]]="","",IF(OR(tblChecklist[[#This Row],[Finding]]=0,NOT(ISNUMBER(tblChecklist[[#This Row],[Audit date]]))),"",tblChecklist[[#This Row],[Audit date]]+tblChecklist[[#This Row],[Response (days)]]))</f>
        <v/>
      </c>
      <c r="O17" s="37">
        <f>IF(tblChecklist[[#This Row],[Audit no.]]="","",IF(AND(tblChecklist[[#This Row],[Finding]]=1,NOT(ISNUMBER(tblChecklist[[#This Row],[Closed]]))),1,0))</f>
        <v>0</v>
      </c>
      <c r="P17" s="39">
        <f>IF(tblChecklist[[#This Row],[Audit no.]]="","",IF(tblChecklist[[#This Row],[Finding]]=0,"",IF(ISNUMBER(tblChecklist[[#This Row],[Closed]]),"Complete",IF(tblChecklist[[#This Row],[Response due]]="","",IF(AsOf&gt;tblChecklist[[#This Row],[Response due]],"Overdue",IF(tblChecklist[[#This Row],[Response due]]-AsOf&lt;=DueSoonDays,"Due soon","OK"))))))</f>
        <v/>
      </c>
      <c r="Q17" s="39">
        <f>IF(tblChecklist[[#This Row],[Audit no.]]="","",IF(OR(tblChecklist[[#This Row],[Finding]]=0,NOT(ISNUMBER(tblChecklist[[#This Row],[Closed]])),tblChecklist[[#This Row],[Response due]]=""),"",IF(tblChecklist[[#This Row],[Closed]]&lt;=tblChecklist[[#This Row],[Response due]],"Yes","No")))</f>
        <v/>
      </c>
      <c r="R17"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7" s="28" t="s">
        <v>152</v>
      </c>
    </row>
    <row r="18" spans="2:19">
      <c r="B18" s="28" t="s">
        <v>153</v>
      </c>
      <c r="C18" s="28" t="s">
        <v>137</v>
      </c>
      <c r="D18" s="28" t="s">
        <v>217</v>
      </c>
      <c r="E18" s="41" t="s">
        <v>218</v>
      </c>
      <c r="F18" s="41" t="s">
        <v>185</v>
      </c>
      <c r="G18" s="28" t="s">
        <v>186</v>
      </c>
      <c r="H18" s="28"/>
      <c r="I18" s="29"/>
      <c r="J18" s="36" t="str">
        <f>IF(tblChecklist[[#This Row],[Audit no.]]="","",IFERROR(INDEX(tblAudits[Process],MATCH(tblChecklist[[#This Row],[Audit no.]],tblAudits[Audit no.],0)),""))</f>
        <v>Purchasing and suppliers</v>
      </c>
      <c r="K18" s="42">
        <f>IF(tblChecklist[[#This Row],[Audit no.]]="","",IFERROR(INDEX(tblAudits[Actual date],MATCH(tblChecklist[[#This Row],[Audit no.]],tblAudits[Audit no.],0)),""))</f>
        <v>46071</v>
      </c>
      <c r="L18" s="37">
        <f>IF(tblChecklist[[#This Row],[Audit no.]]="","",IFERROR(INDEX(tblGrades[Response (days)],MATCH(tblChecklist[[#This Row],[Result]],tblGrades[Grade],0)),""))</f>
        <v/>
      </c>
      <c r="M18" s="37">
        <f>IF(tblChecklist[[#This Row],[Audit no.]]="","",IF(tblChecklist[[#This Row],[Response (days)]]="",0,1))</f>
        <v>0</v>
      </c>
      <c r="N18" s="42">
        <f>IF(tblChecklist[[#This Row],[Audit no.]]="","",IF(OR(tblChecklist[[#This Row],[Finding]]=0,NOT(ISNUMBER(tblChecklist[[#This Row],[Audit date]]))),"",tblChecklist[[#This Row],[Audit date]]+tblChecklist[[#This Row],[Response (days)]]))</f>
        <v/>
      </c>
      <c r="O18" s="37">
        <f>IF(tblChecklist[[#This Row],[Audit no.]]="","",IF(AND(tblChecklist[[#This Row],[Finding]]=1,NOT(ISNUMBER(tblChecklist[[#This Row],[Closed]]))),1,0))</f>
        <v>0</v>
      </c>
      <c r="P18" s="39">
        <f>IF(tblChecklist[[#This Row],[Audit no.]]="","",IF(tblChecklist[[#This Row],[Finding]]=0,"",IF(ISNUMBER(tblChecklist[[#This Row],[Closed]]),"Complete",IF(tblChecklist[[#This Row],[Response due]]="","",IF(AsOf&gt;tblChecklist[[#This Row],[Response due]],"Overdue",IF(tblChecklist[[#This Row],[Response due]]-AsOf&lt;=DueSoonDays,"Due soon","OK"))))))</f>
        <v/>
      </c>
      <c r="Q18" s="39">
        <f>IF(tblChecklist[[#This Row],[Audit no.]]="","",IF(OR(tblChecklist[[#This Row],[Finding]]=0,NOT(ISNUMBER(tblChecklist[[#This Row],[Closed]])),tblChecklist[[#This Row],[Response due]]=""),"",IF(tblChecklist[[#This Row],[Closed]]&lt;=tblChecklist[[#This Row],[Response due]],"Yes","No")))</f>
        <v/>
      </c>
      <c r="R18"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8" s="28" t="s">
        <v>152</v>
      </c>
    </row>
    <row r="19" spans="2:19">
      <c r="B19" s="28" t="s">
        <v>154</v>
      </c>
      <c r="C19" s="28" t="s">
        <v>135</v>
      </c>
      <c r="D19" s="28" t="s">
        <v>219</v>
      </c>
      <c r="E19" s="41" t="s">
        <v>220</v>
      </c>
      <c r="F19" s="41" t="s">
        <v>185</v>
      </c>
      <c r="G19" s="28" t="s">
        <v>186</v>
      </c>
      <c r="H19" s="28"/>
      <c r="I19" s="29"/>
      <c r="J19" s="36" t="str">
        <f>IF(tblChecklist[[#This Row],[Audit no.]]="","",IFERROR(INDEX(tblAudits[Process],MATCH(tblChecklist[[#This Row],[Audit no.]],tblAudits[Audit no.],0)),""))</f>
        <v>Production</v>
      </c>
      <c r="K19" s="42">
        <f>IF(tblChecklist[[#This Row],[Audit no.]]="","",IFERROR(INDEX(tblAudits[Actual date],MATCH(tblChecklist[[#This Row],[Audit no.]],tblAudits[Audit no.],0)),""))</f>
        <v>46091</v>
      </c>
      <c r="L19" s="37">
        <f>IF(tblChecklist[[#This Row],[Audit no.]]="","",IFERROR(INDEX(tblGrades[Response (days)],MATCH(tblChecklist[[#This Row],[Result]],tblGrades[Grade],0)),""))</f>
        <v/>
      </c>
      <c r="M19" s="37">
        <f>IF(tblChecklist[[#This Row],[Audit no.]]="","",IF(tblChecklist[[#This Row],[Response (days)]]="",0,1))</f>
        <v>0</v>
      </c>
      <c r="N19" s="42">
        <f>IF(tblChecklist[[#This Row],[Audit no.]]="","",IF(OR(tblChecklist[[#This Row],[Finding]]=0,NOT(ISNUMBER(tblChecklist[[#This Row],[Audit date]]))),"",tblChecklist[[#This Row],[Audit date]]+tblChecklist[[#This Row],[Response (days)]]))</f>
        <v/>
      </c>
      <c r="O19" s="37">
        <f>IF(tblChecklist[[#This Row],[Audit no.]]="","",IF(AND(tblChecklist[[#This Row],[Finding]]=1,NOT(ISNUMBER(tblChecklist[[#This Row],[Closed]]))),1,0))</f>
        <v>0</v>
      </c>
      <c r="P19" s="39">
        <f>IF(tblChecklist[[#This Row],[Audit no.]]="","",IF(tblChecklist[[#This Row],[Finding]]=0,"",IF(ISNUMBER(tblChecklist[[#This Row],[Closed]]),"Complete",IF(tblChecklist[[#This Row],[Response due]]="","",IF(AsOf&gt;tblChecklist[[#This Row],[Response due]],"Overdue",IF(tblChecklist[[#This Row],[Response due]]-AsOf&lt;=DueSoonDays,"Due soon","OK"))))))</f>
        <v/>
      </c>
      <c r="Q19" s="39">
        <f>IF(tblChecklist[[#This Row],[Audit no.]]="","",IF(OR(tblChecklist[[#This Row],[Finding]]=0,NOT(ISNUMBER(tblChecklist[[#This Row],[Closed]])),tblChecklist[[#This Row],[Response due]]=""),"",IF(tblChecklist[[#This Row],[Closed]]&lt;=tblChecklist[[#This Row],[Response due]],"Yes","No")))</f>
        <v/>
      </c>
      <c r="R19"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19" s="28" t="s">
        <v>152</v>
      </c>
    </row>
    <row r="20" spans="2:19">
      <c r="B20" s="28" t="s">
        <v>154</v>
      </c>
      <c r="C20" s="28" t="s">
        <v>135</v>
      </c>
      <c r="D20" s="28" t="s">
        <v>219</v>
      </c>
      <c r="E20" s="41" t="s">
        <v>221</v>
      </c>
      <c r="F20" s="41" t="s">
        <v>222</v>
      </c>
      <c r="G20" s="28" t="s">
        <v>126</v>
      </c>
      <c r="H20" s="28" t="s">
        <v>102</v>
      </c>
      <c r="I20" s="29">
        <v>46124</v>
      </c>
      <c r="J20" s="36" t="str">
        <f>IF(tblChecklist[[#This Row],[Audit no.]]="","",IFERROR(INDEX(tblAudits[Process],MATCH(tblChecklist[[#This Row],[Audit no.]],tblAudits[Audit no.],0)),""))</f>
        <v>Production</v>
      </c>
      <c r="K20" s="42">
        <f>IF(tblChecklist[[#This Row],[Audit no.]]="","",IFERROR(INDEX(tblAudits[Actual date],MATCH(tblChecklist[[#This Row],[Audit no.]],tblAudits[Audit no.],0)),""))</f>
        <v>46091</v>
      </c>
      <c r="L20" s="37">
        <f>IF(tblChecklist[[#This Row],[Audit no.]]="","",IFERROR(INDEX(tblGrades[Response (days)],MATCH(tblChecklist[[#This Row],[Result]],tblGrades[Grade],0)),""))</f>
        <v>60</v>
      </c>
      <c r="M20" s="37">
        <f>IF(tblChecklist[[#This Row],[Audit no.]]="","",IF(tblChecklist[[#This Row],[Response (days)]]="",0,1))</f>
        <v>1</v>
      </c>
      <c r="N20" s="42">
        <f>IF(tblChecklist[[#This Row],[Audit no.]]="","",IF(OR(tblChecklist[[#This Row],[Finding]]=0,NOT(ISNUMBER(tblChecklist[[#This Row],[Audit date]]))),"",tblChecklist[[#This Row],[Audit date]]+tblChecklist[[#This Row],[Response (days)]]))</f>
        <v>46151</v>
      </c>
      <c r="O20" s="37">
        <f>IF(tblChecklist[[#This Row],[Audit no.]]="","",IF(AND(tblChecklist[[#This Row],[Finding]]=1,NOT(ISNUMBER(tblChecklist[[#This Row],[Closed]]))),1,0))</f>
        <v>0</v>
      </c>
      <c r="P20" s="39" t="str">
        <f>IF(tblChecklist[[#This Row],[Audit no.]]="","",IF(tblChecklist[[#This Row],[Finding]]=0,"",IF(ISNUMBER(tblChecklist[[#This Row],[Closed]]),"Complete",IF(tblChecklist[[#This Row],[Response due]]="","",IF(AsOf&gt;tblChecklist[[#This Row],[Response due]],"Overdue",IF(tblChecklist[[#This Row],[Response due]]-AsOf&lt;=DueSoonDays,"Due soon","OK"))))))</f>
        <v>Complete</v>
      </c>
      <c r="Q20" s="39" t="str">
        <f>IF(tblChecklist[[#This Row],[Audit no.]]="","",IF(OR(tblChecklist[[#This Row],[Finding]]=0,NOT(ISNUMBER(tblChecklist[[#This Row],[Closed]])),tblChecklist[[#This Row],[Response due]]=""),"",IF(tblChecklist[[#This Row],[Closed]]&lt;=tblChecklist[[#This Row],[Response due]],"Yes","No")))</f>
        <v>Yes</v>
      </c>
      <c r="R20"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0" s="28" t="s">
        <v>152</v>
      </c>
    </row>
    <row r="21" spans="2:19">
      <c r="B21" s="28" t="s">
        <v>154</v>
      </c>
      <c r="C21" s="28" t="s">
        <v>135</v>
      </c>
      <c r="D21" s="28" t="s">
        <v>223</v>
      </c>
      <c r="E21" s="41" t="s">
        <v>224</v>
      </c>
      <c r="F21" s="41" t="s">
        <v>211</v>
      </c>
      <c r="G21" s="28" t="s">
        <v>186</v>
      </c>
      <c r="H21" s="28"/>
      <c r="I21" s="29"/>
      <c r="J21" s="36" t="str">
        <f>IF(tblChecklist[[#This Row],[Audit no.]]="","",IFERROR(INDEX(tblAudits[Process],MATCH(tblChecklist[[#This Row],[Audit no.]],tblAudits[Audit no.],0)),""))</f>
        <v>Production</v>
      </c>
      <c r="K21" s="42">
        <f>IF(tblChecklist[[#This Row],[Audit no.]]="","",IFERROR(INDEX(tblAudits[Actual date],MATCH(tblChecklist[[#This Row],[Audit no.]],tblAudits[Audit no.],0)),""))</f>
        <v>46091</v>
      </c>
      <c r="L21" s="37">
        <f>IF(tblChecklist[[#This Row],[Audit no.]]="","",IFERROR(INDEX(tblGrades[Response (days)],MATCH(tblChecklist[[#This Row],[Result]],tblGrades[Grade],0)),""))</f>
        <v/>
      </c>
      <c r="M21" s="37">
        <f>IF(tblChecklist[[#This Row],[Audit no.]]="","",IF(tblChecklist[[#This Row],[Response (days)]]="",0,1))</f>
        <v>0</v>
      </c>
      <c r="N21" s="42">
        <f>IF(tblChecklist[[#This Row],[Audit no.]]="","",IF(OR(tblChecklist[[#This Row],[Finding]]=0,NOT(ISNUMBER(tblChecklist[[#This Row],[Audit date]]))),"",tblChecklist[[#This Row],[Audit date]]+tblChecklist[[#This Row],[Response (days)]]))</f>
        <v/>
      </c>
      <c r="O21" s="37">
        <f>IF(tblChecklist[[#This Row],[Audit no.]]="","",IF(AND(tblChecklist[[#This Row],[Finding]]=1,NOT(ISNUMBER(tblChecklist[[#This Row],[Closed]]))),1,0))</f>
        <v>0</v>
      </c>
      <c r="P21" s="39">
        <f>IF(tblChecklist[[#This Row],[Audit no.]]="","",IF(tblChecklist[[#This Row],[Finding]]=0,"",IF(ISNUMBER(tblChecklist[[#This Row],[Closed]]),"Complete",IF(tblChecklist[[#This Row],[Response due]]="","",IF(AsOf&gt;tblChecklist[[#This Row],[Response due]],"Overdue",IF(tblChecklist[[#This Row],[Response due]]-AsOf&lt;=DueSoonDays,"Due soon","OK"))))))</f>
        <v/>
      </c>
      <c r="Q21" s="39">
        <f>IF(tblChecklist[[#This Row],[Audit no.]]="","",IF(OR(tblChecklist[[#This Row],[Finding]]=0,NOT(ISNUMBER(tblChecklist[[#This Row],[Closed]])),tblChecklist[[#This Row],[Response due]]=""),"",IF(tblChecklist[[#This Row],[Closed]]&lt;=tblChecklist[[#This Row],[Response due]],"Yes","No")))</f>
        <v/>
      </c>
      <c r="R21"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1" s="28" t="s">
        <v>152</v>
      </c>
    </row>
    <row r="22" spans="2:19">
      <c r="B22" s="28" t="s">
        <v>154</v>
      </c>
      <c r="C22" s="28" t="s">
        <v>134</v>
      </c>
      <c r="D22" s="28" t="s">
        <v>225</v>
      </c>
      <c r="E22" s="41" t="s">
        <v>226</v>
      </c>
      <c r="F22" s="41" t="s">
        <v>195</v>
      </c>
      <c r="G22" s="28" t="s">
        <v>186</v>
      </c>
      <c r="H22" s="28"/>
      <c r="I22" s="29"/>
      <c r="J22" s="36" t="str">
        <f>IF(tblChecklist[[#This Row],[Audit no.]]="","",IFERROR(INDEX(tblAudits[Process],MATCH(tblChecklist[[#This Row],[Audit no.]],tblAudits[Audit no.],0)),""))</f>
        <v>Production</v>
      </c>
      <c r="K22" s="42">
        <f>IF(tblChecklist[[#This Row],[Audit no.]]="","",IFERROR(INDEX(tblAudits[Actual date],MATCH(tblChecklist[[#This Row],[Audit no.]],tblAudits[Audit no.],0)),""))</f>
        <v>46091</v>
      </c>
      <c r="L22" s="37">
        <f>IF(tblChecklist[[#This Row],[Audit no.]]="","",IFERROR(INDEX(tblGrades[Response (days)],MATCH(tblChecklist[[#This Row],[Result]],tblGrades[Grade],0)),""))</f>
        <v/>
      </c>
      <c r="M22" s="37">
        <f>IF(tblChecklist[[#This Row],[Audit no.]]="","",IF(tblChecklist[[#This Row],[Response (days)]]="",0,1))</f>
        <v>0</v>
      </c>
      <c r="N22" s="42">
        <f>IF(tblChecklist[[#This Row],[Audit no.]]="","",IF(OR(tblChecklist[[#This Row],[Finding]]=0,NOT(ISNUMBER(tblChecklist[[#This Row],[Audit date]]))),"",tblChecklist[[#This Row],[Audit date]]+tblChecklist[[#This Row],[Response (days)]]))</f>
        <v/>
      </c>
      <c r="O22" s="37">
        <f>IF(tblChecklist[[#This Row],[Audit no.]]="","",IF(AND(tblChecklist[[#This Row],[Finding]]=1,NOT(ISNUMBER(tblChecklist[[#This Row],[Closed]]))),1,0))</f>
        <v>0</v>
      </c>
      <c r="P22" s="39">
        <f>IF(tblChecklist[[#This Row],[Audit no.]]="","",IF(tblChecklist[[#This Row],[Finding]]=0,"",IF(ISNUMBER(tblChecklist[[#This Row],[Closed]]),"Complete",IF(tblChecklist[[#This Row],[Response due]]="","",IF(AsOf&gt;tblChecklist[[#This Row],[Response due]],"Overdue",IF(tblChecklist[[#This Row],[Response due]]-AsOf&lt;=DueSoonDays,"Due soon","OK"))))))</f>
        <v/>
      </c>
      <c r="Q22" s="39">
        <f>IF(tblChecklist[[#This Row],[Audit no.]]="","",IF(OR(tblChecklist[[#This Row],[Finding]]=0,NOT(ISNUMBER(tblChecklist[[#This Row],[Closed]])),tblChecklist[[#This Row],[Response due]]=""),"",IF(tblChecklist[[#This Row],[Closed]]&lt;=tblChecklist[[#This Row],[Response due]],"Yes","No")))</f>
        <v/>
      </c>
      <c r="R22"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2" s="28" t="s">
        <v>152</v>
      </c>
    </row>
    <row r="23" spans="2:19">
      <c r="B23" s="28" t="s">
        <v>154</v>
      </c>
      <c r="C23" s="28" t="s">
        <v>135</v>
      </c>
      <c r="D23" s="28" t="s">
        <v>227</v>
      </c>
      <c r="E23" s="41" t="s">
        <v>228</v>
      </c>
      <c r="F23" s="41" t="s">
        <v>195</v>
      </c>
      <c r="G23" s="28" t="s">
        <v>186</v>
      </c>
      <c r="H23" s="28"/>
      <c r="I23" s="29"/>
      <c r="J23" s="36" t="str">
        <f>IF(tblChecklist[[#This Row],[Audit no.]]="","",IFERROR(INDEX(tblAudits[Process],MATCH(tblChecklist[[#This Row],[Audit no.]],tblAudits[Audit no.],0)),""))</f>
        <v>Production</v>
      </c>
      <c r="K23" s="42">
        <f>IF(tblChecklist[[#This Row],[Audit no.]]="","",IFERROR(INDEX(tblAudits[Actual date],MATCH(tblChecklist[[#This Row],[Audit no.]],tblAudits[Audit no.],0)),""))</f>
        <v>46091</v>
      </c>
      <c r="L23" s="37">
        <f>IF(tblChecklist[[#This Row],[Audit no.]]="","",IFERROR(INDEX(tblGrades[Response (days)],MATCH(tblChecklist[[#This Row],[Result]],tblGrades[Grade],0)),""))</f>
        <v/>
      </c>
      <c r="M23" s="37">
        <f>IF(tblChecklist[[#This Row],[Audit no.]]="","",IF(tblChecklist[[#This Row],[Response (days)]]="",0,1))</f>
        <v>0</v>
      </c>
      <c r="N23" s="42">
        <f>IF(tblChecklist[[#This Row],[Audit no.]]="","",IF(OR(tblChecklist[[#This Row],[Finding]]=0,NOT(ISNUMBER(tblChecklist[[#This Row],[Audit date]]))),"",tblChecklist[[#This Row],[Audit date]]+tblChecklist[[#This Row],[Response (days)]]))</f>
        <v/>
      </c>
      <c r="O23" s="37">
        <f>IF(tblChecklist[[#This Row],[Audit no.]]="","",IF(AND(tblChecklist[[#This Row],[Finding]]=1,NOT(ISNUMBER(tblChecklist[[#This Row],[Closed]]))),1,0))</f>
        <v>0</v>
      </c>
      <c r="P23" s="39">
        <f>IF(tblChecklist[[#This Row],[Audit no.]]="","",IF(tblChecklist[[#This Row],[Finding]]=0,"",IF(ISNUMBER(tblChecklist[[#This Row],[Closed]]),"Complete",IF(tblChecklist[[#This Row],[Response due]]="","",IF(AsOf&gt;tblChecklist[[#This Row],[Response due]],"Overdue",IF(tblChecklist[[#This Row],[Response due]]-AsOf&lt;=DueSoonDays,"Due soon","OK"))))))</f>
        <v/>
      </c>
      <c r="Q23" s="39">
        <f>IF(tblChecklist[[#This Row],[Audit no.]]="","",IF(OR(tblChecklist[[#This Row],[Finding]]=0,NOT(ISNUMBER(tblChecklist[[#This Row],[Closed]])),tblChecklist[[#This Row],[Response due]]=""),"",IF(tblChecklist[[#This Row],[Closed]]&lt;=tblChecklist[[#This Row],[Response due]],"Yes","No")))</f>
        <v/>
      </c>
      <c r="R23"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3" s="28" t="s">
        <v>152</v>
      </c>
    </row>
    <row r="24" spans="2:19">
      <c r="B24" s="28" t="s">
        <v>154</v>
      </c>
      <c r="C24" s="28" t="s">
        <v>134</v>
      </c>
      <c r="D24" s="28" t="s">
        <v>229</v>
      </c>
      <c r="E24" s="41" t="s">
        <v>230</v>
      </c>
      <c r="F24" s="41" t="s">
        <v>231</v>
      </c>
      <c r="G24" s="28" t="s">
        <v>128</v>
      </c>
      <c r="H24" s="28" t="s">
        <v>102</v>
      </c>
      <c r="I24" s="29">
        <v>46176</v>
      </c>
      <c r="J24" s="36" t="str">
        <f>IF(tblChecklist[[#This Row],[Audit no.]]="","",IFERROR(INDEX(tblAudits[Process],MATCH(tblChecklist[[#This Row],[Audit no.]],tblAudits[Audit no.],0)),""))</f>
        <v>Production</v>
      </c>
      <c r="K24" s="42">
        <f>IF(tblChecklist[[#This Row],[Audit no.]]="","",IFERROR(INDEX(tblAudits[Actual date],MATCH(tblChecklist[[#This Row],[Audit no.]],tblAudits[Audit no.],0)),""))</f>
        <v>46091</v>
      </c>
      <c r="L24" s="37">
        <f>IF(tblChecklist[[#This Row],[Audit no.]]="","",IFERROR(INDEX(tblGrades[Response (days)],MATCH(tblChecklist[[#This Row],[Result]],tblGrades[Grade],0)),""))</f>
        <v>90</v>
      </c>
      <c r="M24" s="37">
        <f>IF(tblChecklist[[#This Row],[Audit no.]]="","",IF(tblChecklist[[#This Row],[Response (days)]]="",0,1))</f>
        <v>1</v>
      </c>
      <c r="N24" s="42">
        <f>IF(tblChecklist[[#This Row],[Audit no.]]="","",IF(OR(tblChecklist[[#This Row],[Finding]]=0,NOT(ISNUMBER(tblChecklist[[#This Row],[Audit date]]))),"",tblChecklist[[#This Row],[Audit date]]+tblChecklist[[#This Row],[Response (days)]]))</f>
        <v>46181</v>
      </c>
      <c r="O24" s="37">
        <f>IF(tblChecklist[[#This Row],[Audit no.]]="","",IF(AND(tblChecklist[[#This Row],[Finding]]=1,NOT(ISNUMBER(tblChecklist[[#This Row],[Closed]]))),1,0))</f>
        <v>0</v>
      </c>
      <c r="P24" s="39" t="str">
        <f>IF(tblChecklist[[#This Row],[Audit no.]]="","",IF(tblChecklist[[#This Row],[Finding]]=0,"",IF(ISNUMBER(tblChecklist[[#This Row],[Closed]]),"Complete",IF(tblChecklist[[#This Row],[Response due]]="","",IF(AsOf&gt;tblChecklist[[#This Row],[Response due]],"Overdue",IF(tblChecklist[[#This Row],[Response due]]-AsOf&lt;=DueSoonDays,"Due soon","OK"))))))</f>
        <v>Complete</v>
      </c>
      <c r="Q24" s="39" t="str">
        <f>IF(tblChecklist[[#This Row],[Audit no.]]="","",IF(OR(tblChecklist[[#This Row],[Finding]]=0,NOT(ISNUMBER(tblChecklist[[#This Row],[Closed]])),tblChecklist[[#This Row],[Response due]]=""),"",IF(tblChecklist[[#This Row],[Closed]]&lt;=tblChecklist[[#This Row],[Response due]],"Yes","No")))</f>
        <v>Yes</v>
      </c>
      <c r="R24"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4" s="28" t="s">
        <v>152</v>
      </c>
    </row>
    <row r="25" spans="2:19">
      <c r="B25" s="28" t="s">
        <v>154</v>
      </c>
      <c r="C25" s="28" t="s">
        <v>135</v>
      </c>
      <c r="D25" s="28" t="s">
        <v>232</v>
      </c>
      <c r="E25" s="41" t="s">
        <v>233</v>
      </c>
      <c r="F25" s="41" t="s">
        <v>234</v>
      </c>
      <c r="G25" s="28" t="s">
        <v>186</v>
      </c>
      <c r="H25" s="28"/>
      <c r="I25" s="29"/>
      <c r="J25" s="36" t="str">
        <f>IF(tblChecklist[[#This Row],[Audit no.]]="","",IFERROR(INDEX(tblAudits[Process],MATCH(tblChecklist[[#This Row],[Audit no.]],tblAudits[Audit no.],0)),""))</f>
        <v>Production</v>
      </c>
      <c r="K25" s="42">
        <f>IF(tblChecklist[[#This Row],[Audit no.]]="","",IFERROR(INDEX(tblAudits[Actual date],MATCH(tblChecklist[[#This Row],[Audit no.]],tblAudits[Audit no.],0)),""))</f>
        <v>46091</v>
      </c>
      <c r="L25" s="37">
        <f>IF(tblChecklist[[#This Row],[Audit no.]]="","",IFERROR(INDEX(tblGrades[Response (days)],MATCH(tblChecklist[[#This Row],[Result]],tblGrades[Grade],0)),""))</f>
        <v/>
      </c>
      <c r="M25" s="37">
        <f>IF(tblChecklist[[#This Row],[Audit no.]]="","",IF(tblChecklist[[#This Row],[Response (days)]]="",0,1))</f>
        <v>0</v>
      </c>
      <c r="N25" s="42">
        <f>IF(tblChecklist[[#This Row],[Audit no.]]="","",IF(OR(tblChecklist[[#This Row],[Finding]]=0,NOT(ISNUMBER(tblChecklist[[#This Row],[Audit date]]))),"",tblChecklist[[#This Row],[Audit date]]+tblChecklist[[#This Row],[Response (days)]]))</f>
        <v/>
      </c>
      <c r="O25" s="37">
        <f>IF(tblChecklist[[#This Row],[Audit no.]]="","",IF(AND(tblChecklist[[#This Row],[Finding]]=1,NOT(ISNUMBER(tblChecklist[[#This Row],[Closed]]))),1,0))</f>
        <v>0</v>
      </c>
      <c r="P25" s="39">
        <f>IF(tblChecklist[[#This Row],[Audit no.]]="","",IF(tblChecklist[[#This Row],[Finding]]=0,"",IF(ISNUMBER(tblChecklist[[#This Row],[Closed]]),"Complete",IF(tblChecklist[[#This Row],[Response due]]="","",IF(AsOf&gt;tblChecklist[[#This Row],[Response due]],"Overdue",IF(tblChecklist[[#This Row],[Response due]]-AsOf&lt;=DueSoonDays,"Due soon","OK"))))))</f>
        <v/>
      </c>
      <c r="Q25" s="39">
        <f>IF(tblChecklist[[#This Row],[Audit no.]]="","",IF(OR(tblChecklist[[#This Row],[Finding]]=0,NOT(ISNUMBER(tblChecklist[[#This Row],[Closed]])),tblChecklist[[#This Row],[Response due]]=""),"",IF(tblChecklist[[#This Row],[Closed]]&lt;=tblChecklist[[#This Row],[Response due]],"Yes","No")))</f>
        <v/>
      </c>
      <c r="R25"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5" s="28" t="s">
        <v>152</v>
      </c>
    </row>
    <row r="26" spans="2:19">
      <c r="B26" s="28" t="s">
        <v>154</v>
      </c>
      <c r="C26" s="28" t="s">
        <v>134</v>
      </c>
      <c r="D26" s="28" t="s">
        <v>235</v>
      </c>
      <c r="E26" s="41" t="s">
        <v>236</v>
      </c>
      <c r="F26" s="41" t="s">
        <v>234</v>
      </c>
      <c r="G26" s="28" t="s">
        <v>186</v>
      </c>
      <c r="H26" s="28"/>
      <c r="I26" s="29"/>
      <c r="J26" s="36" t="str">
        <f>IF(tblChecklist[[#This Row],[Audit no.]]="","",IFERROR(INDEX(tblAudits[Process],MATCH(tblChecklist[[#This Row],[Audit no.]],tblAudits[Audit no.],0)),""))</f>
        <v>Production</v>
      </c>
      <c r="K26" s="42">
        <f>IF(tblChecklist[[#This Row],[Audit no.]]="","",IFERROR(INDEX(tblAudits[Actual date],MATCH(tblChecklist[[#This Row],[Audit no.]],tblAudits[Audit no.],0)),""))</f>
        <v>46091</v>
      </c>
      <c r="L26" s="37">
        <f>IF(tblChecklist[[#This Row],[Audit no.]]="","",IFERROR(INDEX(tblGrades[Response (days)],MATCH(tblChecklist[[#This Row],[Result]],tblGrades[Grade],0)),""))</f>
        <v/>
      </c>
      <c r="M26" s="37">
        <f>IF(tblChecklist[[#This Row],[Audit no.]]="","",IF(tblChecklist[[#This Row],[Response (days)]]="",0,1))</f>
        <v>0</v>
      </c>
      <c r="N26" s="42">
        <f>IF(tblChecklist[[#This Row],[Audit no.]]="","",IF(OR(tblChecklist[[#This Row],[Finding]]=0,NOT(ISNUMBER(tblChecklist[[#This Row],[Audit date]]))),"",tblChecklist[[#This Row],[Audit date]]+tblChecklist[[#This Row],[Response (days)]]))</f>
        <v/>
      </c>
      <c r="O26" s="37">
        <f>IF(tblChecklist[[#This Row],[Audit no.]]="","",IF(AND(tblChecklist[[#This Row],[Finding]]=1,NOT(ISNUMBER(tblChecklist[[#This Row],[Closed]]))),1,0))</f>
        <v>0</v>
      </c>
      <c r="P26" s="39">
        <f>IF(tblChecklist[[#This Row],[Audit no.]]="","",IF(tblChecklist[[#This Row],[Finding]]=0,"",IF(ISNUMBER(tblChecklist[[#This Row],[Closed]]),"Complete",IF(tblChecklist[[#This Row],[Response due]]="","",IF(AsOf&gt;tblChecklist[[#This Row],[Response due]],"Overdue",IF(tblChecklist[[#This Row],[Response due]]-AsOf&lt;=DueSoonDays,"Due soon","OK"))))))</f>
        <v/>
      </c>
      <c r="Q26" s="39">
        <f>IF(tblChecklist[[#This Row],[Audit no.]]="","",IF(OR(tblChecklist[[#This Row],[Finding]]=0,NOT(ISNUMBER(tblChecklist[[#This Row],[Closed]])),tblChecklist[[#This Row],[Response due]]=""),"",IF(tblChecklist[[#This Row],[Closed]]&lt;=tblChecklist[[#This Row],[Response due]],"Yes","No")))</f>
        <v/>
      </c>
      <c r="R26"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6" s="28" t="s">
        <v>152</v>
      </c>
    </row>
    <row r="27" spans="2:19">
      <c r="B27" s="28" t="s">
        <v>155</v>
      </c>
      <c r="C27" s="28" t="s">
        <v>134</v>
      </c>
      <c r="D27" s="28" t="s">
        <v>237</v>
      </c>
      <c r="E27" s="41" t="s">
        <v>238</v>
      </c>
      <c r="F27" s="41" t="s">
        <v>195</v>
      </c>
      <c r="G27" s="28" t="s">
        <v>186</v>
      </c>
      <c r="H27" s="28"/>
      <c r="I27" s="29"/>
      <c r="J27" s="36" t="str">
        <f>IF(tblChecklist[[#This Row],[Audit no.]]="","",IFERROR(INDEX(tblAudits[Process],MATCH(tblChecklist[[#This Row],[Audit no.]],tblAudits[Audit no.],0)),""))</f>
        <v>Calibration</v>
      </c>
      <c r="K27" s="42">
        <f>IF(tblChecklist[[#This Row],[Audit no.]]="","",IFERROR(INDEX(tblAudits[Actual date],MATCH(tblChecklist[[#This Row],[Audit no.]],tblAudits[Audit no.],0)),""))</f>
        <v>46126</v>
      </c>
      <c r="L27" s="37">
        <f>IF(tblChecklist[[#This Row],[Audit no.]]="","",IFERROR(INDEX(tblGrades[Response (days)],MATCH(tblChecklist[[#This Row],[Result]],tblGrades[Grade],0)),""))</f>
        <v/>
      </c>
      <c r="M27" s="37">
        <f>IF(tblChecklist[[#This Row],[Audit no.]]="","",IF(tblChecklist[[#This Row],[Response (days)]]="",0,1))</f>
        <v>0</v>
      </c>
      <c r="N27" s="42">
        <f>IF(tblChecklist[[#This Row],[Audit no.]]="","",IF(OR(tblChecklist[[#This Row],[Finding]]=0,NOT(ISNUMBER(tblChecklist[[#This Row],[Audit date]]))),"",tblChecklist[[#This Row],[Audit date]]+tblChecklist[[#This Row],[Response (days)]]))</f>
        <v/>
      </c>
      <c r="O27" s="37">
        <f>IF(tblChecklist[[#This Row],[Audit no.]]="","",IF(AND(tblChecklist[[#This Row],[Finding]]=1,NOT(ISNUMBER(tblChecklist[[#This Row],[Closed]]))),1,0))</f>
        <v>0</v>
      </c>
      <c r="P27" s="39">
        <f>IF(tblChecklist[[#This Row],[Audit no.]]="","",IF(tblChecklist[[#This Row],[Finding]]=0,"",IF(ISNUMBER(tblChecklist[[#This Row],[Closed]]),"Complete",IF(tblChecklist[[#This Row],[Response due]]="","",IF(AsOf&gt;tblChecklist[[#This Row],[Response due]],"Overdue",IF(tblChecklist[[#This Row],[Response due]]-AsOf&lt;=DueSoonDays,"Due soon","OK"))))))</f>
        <v/>
      </c>
      <c r="Q27" s="39">
        <f>IF(tblChecklist[[#This Row],[Audit no.]]="","",IF(OR(tblChecklist[[#This Row],[Finding]]=0,NOT(ISNUMBER(tblChecklist[[#This Row],[Closed]])),tblChecklist[[#This Row],[Response due]]=""),"",IF(tblChecklist[[#This Row],[Closed]]&lt;=tblChecklist[[#This Row],[Response due]],"Yes","No")))</f>
        <v/>
      </c>
      <c r="R27"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7" s="28" t="s">
        <v>152</v>
      </c>
    </row>
    <row r="28" spans="2:19">
      <c r="B28" s="28" t="s">
        <v>155</v>
      </c>
      <c r="C28" s="28" t="s">
        <v>134</v>
      </c>
      <c r="D28" s="28" t="s">
        <v>239</v>
      </c>
      <c r="E28" s="41" t="s">
        <v>240</v>
      </c>
      <c r="F28" s="41" t="s">
        <v>211</v>
      </c>
      <c r="G28" s="28" t="s">
        <v>186</v>
      </c>
      <c r="H28" s="28"/>
      <c r="I28" s="29"/>
      <c r="J28" s="36" t="str">
        <f>IF(tblChecklist[[#This Row],[Audit no.]]="","",IFERROR(INDEX(tblAudits[Process],MATCH(tblChecklist[[#This Row],[Audit no.]],tblAudits[Audit no.],0)),""))</f>
        <v>Calibration</v>
      </c>
      <c r="K28" s="42">
        <f>IF(tblChecklist[[#This Row],[Audit no.]]="","",IFERROR(INDEX(tblAudits[Actual date],MATCH(tblChecklist[[#This Row],[Audit no.]],tblAudits[Audit no.],0)),""))</f>
        <v>46126</v>
      </c>
      <c r="L28" s="37">
        <f>IF(tblChecklist[[#This Row],[Audit no.]]="","",IFERROR(INDEX(tblGrades[Response (days)],MATCH(tblChecklist[[#This Row],[Result]],tblGrades[Grade],0)),""))</f>
        <v/>
      </c>
      <c r="M28" s="37">
        <f>IF(tblChecklist[[#This Row],[Audit no.]]="","",IF(tblChecklist[[#This Row],[Response (days)]]="",0,1))</f>
        <v>0</v>
      </c>
      <c r="N28" s="42">
        <f>IF(tblChecklist[[#This Row],[Audit no.]]="","",IF(OR(tblChecklist[[#This Row],[Finding]]=0,NOT(ISNUMBER(tblChecklist[[#This Row],[Audit date]]))),"",tblChecklist[[#This Row],[Audit date]]+tblChecklist[[#This Row],[Response (days)]]))</f>
        <v/>
      </c>
      <c r="O28" s="37">
        <f>IF(tblChecklist[[#This Row],[Audit no.]]="","",IF(AND(tblChecklist[[#This Row],[Finding]]=1,NOT(ISNUMBER(tblChecklist[[#This Row],[Closed]]))),1,0))</f>
        <v>0</v>
      </c>
      <c r="P28" s="39">
        <f>IF(tblChecklist[[#This Row],[Audit no.]]="","",IF(tblChecklist[[#This Row],[Finding]]=0,"",IF(ISNUMBER(tblChecklist[[#This Row],[Closed]]),"Complete",IF(tblChecklist[[#This Row],[Response due]]="","",IF(AsOf&gt;tblChecklist[[#This Row],[Response due]],"Overdue",IF(tblChecklist[[#This Row],[Response due]]-AsOf&lt;=DueSoonDays,"Due soon","OK"))))))</f>
        <v/>
      </c>
      <c r="Q28" s="39">
        <f>IF(tblChecklist[[#This Row],[Audit no.]]="","",IF(OR(tblChecklist[[#This Row],[Finding]]=0,NOT(ISNUMBER(tblChecklist[[#This Row],[Closed]])),tblChecklist[[#This Row],[Response due]]=""),"",IF(tblChecklist[[#This Row],[Closed]]&lt;=tblChecklist[[#This Row],[Response due]],"Yes","No")))</f>
        <v/>
      </c>
      <c r="R28"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8" s="28" t="s">
        <v>152</v>
      </c>
    </row>
    <row r="29" spans="2:19">
      <c r="B29" s="28" t="s">
        <v>155</v>
      </c>
      <c r="C29" s="28" t="s">
        <v>134</v>
      </c>
      <c r="D29" s="28" t="s">
        <v>239</v>
      </c>
      <c r="E29" s="41" t="s">
        <v>241</v>
      </c>
      <c r="F29" s="41" t="s">
        <v>242</v>
      </c>
      <c r="G29" s="28" t="s">
        <v>124</v>
      </c>
      <c r="H29" s="28" t="s">
        <v>105</v>
      </c>
      <c r="I29" s="29">
        <v>46154</v>
      </c>
      <c r="J29" s="36" t="str">
        <f>IF(tblChecklist[[#This Row],[Audit no.]]="","",IFERROR(INDEX(tblAudits[Process],MATCH(tblChecklist[[#This Row],[Audit no.]],tblAudits[Audit no.],0)),""))</f>
        <v>Calibration</v>
      </c>
      <c r="K29" s="42">
        <f>IF(tblChecklist[[#This Row],[Audit no.]]="","",IFERROR(INDEX(tblAudits[Actual date],MATCH(tblChecklist[[#This Row],[Audit no.]],tblAudits[Audit no.],0)),""))</f>
        <v>46126</v>
      </c>
      <c r="L29" s="37">
        <f>IF(tblChecklist[[#This Row],[Audit no.]]="","",IFERROR(INDEX(tblGrades[Response (days)],MATCH(tblChecklist[[#This Row],[Result]],tblGrades[Grade],0)),""))</f>
        <v>30</v>
      </c>
      <c r="M29" s="37">
        <f>IF(tblChecklist[[#This Row],[Audit no.]]="","",IF(tblChecklist[[#This Row],[Response (days)]]="",0,1))</f>
        <v>1</v>
      </c>
      <c r="N29" s="42">
        <f>IF(tblChecklist[[#This Row],[Audit no.]]="","",IF(OR(tblChecklist[[#This Row],[Finding]]=0,NOT(ISNUMBER(tblChecklist[[#This Row],[Audit date]]))),"",tblChecklist[[#This Row],[Audit date]]+tblChecklist[[#This Row],[Response (days)]]))</f>
        <v>46156</v>
      </c>
      <c r="O29" s="37">
        <f>IF(tblChecklist[[#This Row],[Audit no.]]="","",IF(AND(tblChecklist[[#This Row],[Finding]]=1,NOT(ISNUMBER(tblChecklist[[#This Row],[Closed]]))),1,0))</f>
        <v>0</v>
      </c>
      <c r="P29" s="39" t="str">
        <f>IF(tblChecklist[[#This Row],[Audit no.]]="","",IF(tblChecklist[[#This Row],[Finding]]=0,"",IF(ISNUMBER(tblChecklist[[#This Row],[Closed]]),"Complete",IF(tblChecklist[[#This Row],[Response due]]="","",IF(AsOf&gt;tblChecklist[[#This Row],[Response due]],"Overdue",IF(tblChecklist[[#This Row],[Response due]]-AsOf&lt;=DueSoonDays,"Due soon","OK"))))))</f>
        <v>Complete</v>
      </c>
      <c r="Q29" s="39" t="str">
        <f>IF(tblChecklist[[#This Row],[Audit no.]]="","",IF(OR(tblChecklist[[#This Row],[Finding]]=0,NOT(ISNUMBER(tblChecklist[[#This Row],[Closed]])),tblChecklist[[#This Row],[Response due]]=""),"",IF(tblChecklist[[#This Row],[Closed]]&lt;=tblChecklist[[#This Row],[Response due]],"Yes","No")))</f>
        <v>Yes</v>
      </c>
      <c r="R29"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29" s="28" t="s">
        <v>152</v>
      </c>
    </row>
    <row r="30" spans="2:19">
      <c r="B30" s="28" t="s">
        <v>155</v>
      </c>
      <c r="C30" s="28" t="s">
        <v>134</v>
      </c>
      <c r="D30" s="28" t="s">
        <v>239</v>
      </c>
      <c r="E30" s="41" t="s">
        <v>243</v>
      </c>
      <c r="F30" s="41" t="s">
        <v>195</v>
      </c>
      <c r="G30" s="28" t="s">
        <v>186</v>
      </c>
      <c r="H30" s="28"/>
      <c r="I30" s="29"/>
      <c r="J30" s="36" t="str">
        <f>IF(tblChecklist[[#This Row],[Audit no.]]="","",IFERROR(INDEX(tblAudits[Process],MATCH(tblChecklist[[#This Row],[Audit no.]],tblAudits[Audit no.],0)),""))</f>
        <v>Calibration</v>
      </c>
      <c r="K30" s="42">
        <f>IF(tblChecklist[[#This Row],[Audit no.]]="","",IFERROR(INDEX(tblAudits[Actual date],MATCH(tblChecklist[[#This Row],[Audit no.]],tblAudits[Audit no.],0)),""))</f>
        <v>46126</v>
      </c>
      <c r="L30" s="37">
        <f>IF(tblChecklist[[#This Row],[Audit no.]]="","",IFERROR(INDEX(tblGrades[Response (days)],MATCH(tblChecklist[[#This Row],[Result]],tblGrades[Grade],0)),""))</f>
        <v/>
      </c>
      <c r="M30" s="37">
        <f>IF(tblChecklist[[#This Row],[Audit no.]]="","",IF(tblChecklist[[#This Row],[Response (days)]]="",0,1))</f>
        <v>0</v>
      </c>
      <c r="N30" s="42">
        <f>IF(tblChecklist[[#This Row],[Audit no.]]="","",IF(OR(tblChecklist[[#This Row],[Finding]]=0,NOT(ISNUMBER(tblChecklist[[#This Row],[Audit date]]))),"",tblChecklist[[#This Row],[Audit date]]+tblChecklist[[#This Row],[Response (days)]]))</f>
        <v/>
      </c>
      <c r="O30" s="37">
        <f>IF(tblChecklist[[#This Row],[Audit no.]]="","",IF(AND(tblChecklist[[#This Row],[Finding]]=1,NOT(ISNUMBER(tblChecklist[[#This Row],[Closed]]))),1,0))</f>
        <v>0</v>
      </c>
      <c r="P30" s="39">
        <f>IF(tblChecklist[[#This Row],[Audit no.]]="","",IF(tblChecklist[[#This Row],[Finding]]=0,"",IF(ISNUMBER(tblChecklist[[#This Row],[Closed]]),"Complete",IF(tblChecklist[[#This Row],[Response due]]="","",IF(AsOf&gt;tblChecklist[[#This Row],[Response due]],"Overdue",IF(tblChecklist[[#This Row],[Response due]]-AsOf&lt;=DueSoonDays,"Due soon","OK"))))))</f>
        <v/>
      </c>
      <c r="Q30" s="39">
        <f>IF(tblChecklist[[#This Row],[Audit no.]]="","",IF(OR(tblChecklist[[#This Row],[Finding]]=0,NOT(ISNUMBER(tblChecklist[[#This Row],[Closed]])),tblChecklist[[#This Row],[Response due]]=""),"",IF(tblChecklist[[#This Row],[Closed]]&lt;=tblChecklist[[#This Row],[Response due]],"Yes","No")))</f>
        <v/>
      </c>
      <c r="R30"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0" s="28" t="s">
        <v>152</v>
      </c>
    </row>
    <row r="31" spans="2:19">
      <c r="B31" s="28" t="s">
        <v>155</v>
      </c>
      <c r="C31" s="28" t="s">
        <v>134</v>
      </c>
      <c r="D31" s="28" t="s">
        <v>237</v>
      </c>
      <c r="E31" s="41" t="s">
        <v>244</v>
      </c>
      <c r="F31" s="41" t="s">
        <v>245</v>
      </c>
      <c r="G31" s="28" t="s">
        <v>126</v>
      </c>
      <c r="H31" s="28" t="s">
        <v>105</v>
      </c>
      <c r="I31" s="29">
        <v>46171</v>
      </c>
      <c r="J31" s="36" t="str">
        <f>IF(tblChecklist[[#This Row],[Audit no.]]="","",IFERROR(INDEX(tblAudits[Process],MATCH(tblChecklist[[#This Row],[Audit no.]],tblAudits[Audit no.],0)),""))</f>
        <v>Calibration</v>
      </c>
      <c r="K31" s="42">
        <f>IF(tblChecklist[[#This Row],[Audit no.]]="","",IFERROR(INDEX(tblAudits[Actual date],MATCH(tblChecklist[[#This Row],[Audit no.]],tblAudits[Audit no.],0)),""))</f>
        <v>46126</v>
      </c>
      <c r="L31" s="37">
        <f>IF(tblChecklist[[#This Row],[Audit no.]]="","",IFERROR(INDEX(tblGrades[Response (days)],MATCH(tblChecklist[[#This Row],[Result]],tblGrades[Grade],0)),""))</f>
        <v>60</v>
      </c>
      <c r="M31" s="37">
        <f>IF(tblChecklist[[#This Row],[Audit no.]]="","",IF(tblChecklist[[#This Row],[Response (days)]]="",0,1))</f>
        <v>1</v>
      </c>
      <c r="N31" s="42">
        <f>IF(tblChecklist[[#This Row],[Audit no.]]="","",IF(OR(tblChecklist[[#This Row],[Finding]]=0,NOT(ISNUMBER(tblChecklist[[#This Row],[Audit date]]))),"",tblChecklist[[#This Row],[Audit date]]+tblChecklist[[#This Row],[Response (days)]]))</f>
        <v>46186</v>
      </c>
      <c r="O31" s="37">
        <f>IF(tblChecklist[[#This Row],[Audit no.]]="","",IF(AND(tblChecklist[[#This Row],[Finding]]=1,NOT(ISNUMBER(tblChecklist[[#This Row],[Closed]]))),1,0))</f>
        <v>0</v>
      </c>
      <c r="P31" s="39" t="str">
        <f>IF(tblChecklist[[#This Row],[Audit no.]]="","",IF(tblChecklist[[#This Row],[Finding]]=0,"",IF(ISNUMBER(tblChecklist[[#This Row],[Closed]]),"Complete",IF(tblChecklist[[#This Row],[Response due]]="","",IF(AsOf&gt;tblChecklist[[#This Row],[Response due]],"Overdue",IF(tblChecklist[[#This Row],[Response due]]-AsOf&lt;=DueSoonDays,"Due soon","OK"))))))</f>
        <v>Complete</v>
      </c>
      <c r="Q31" s="39" t="str">
        <f>IF(tblChecklist[[#This Row],[Audit no.]]="","",IF(OR(tblChecklist[[#This Row],[Finding]]=0,NOT(ISNUMBER(tblChecklist[[#This Row],[Closed]])),tblChecklist[[#This Row],[Response due]]=""),"",IF(tblChecklist[[#This Row],[Closed]]&lt;=tblChecklist[[#This Row],[Response due]],"Yes","No")))</f>
        <v>Yes</v>
      </c>
      <c r="R31"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1" s="28" t="s">
        <v>152</v>
      </c>
    </row>
    <row r="32" spans="2:19">
      <c r="B32" s="28" t="s">
        <v>156</v>
      </c>
      <c r="C32" s="28" t="s">
        <v>135</v>
      </c>
      <c r="D32" s="28" t="s">
        <v>246</v>
      </c>
      <c r="E32" s="41" t="s">
        <v>247</v>
      </c>
      <c r="F32" s="41" t="s">
        <v>248</v>
      </c>
      <c r="G32" s="28" t="s">
        <v>128</v>
      </c>
      <c r="H32" s="28" t="s">
        <v>93</v>
      </c>
      <c r="I32" s="29"/>
      <c r="J32" s="36" t="str">
        <f>IF(tblChecklist[[#This Row],[Audit no.]]="","",IFERROR(INDEX(tblAudits[Process],MATCH(tblChecklist[[#This Row],[Audit no.]],tblAudits[Audit no.],0)),""))</f>
        <v>Sales and contract review</v>
      </c>
      <c r="K32" s="42">
        <f>IF(tblChecklist[[#This Row],[Audit no.]]="","",IFERROR(INDEX(tblAudits[Actual date],MATCH(tblChecklist[[#This Row],[Audit no.]],tblAudits[Audit no.],0)),""))</f>
        <v>46161</v>
      </c>
      <c r="L32" s="37">
        <f>IF(tblChecklist[[#This Row],[Audit no.]]="","",IFERROR(INDEX(tblGrades[Response (days)],MATCH(tblChecklist[[#This Row],[Result]],tblGrades[Grade],0)),""))</f>
        <v>90</v>
      </c>
      <c r="M32" s="37">
        <f>IF(tblChecklist[[#This Row],[Audit no.]]="","",IF(tblChecklist[[#This Row],[Response (days)]]="",0,1))</f>
        <v>1</v>
      </c>
      <c r="N32" s="42">
        <f>IF(tblChecklist[[#This Row],[Audit no.]]="","",IF(OR(tblChecklist[[#This Row],[Finding]]=0,NOT(ISNUMBER(tblChecklist[[#This Row],[Audit date]]))),"",tblChecklist[[#This Row],[Audit date]]+tblChecklist[[#This Row],[Response (days)]]))</f>
        <v>46251</v>
      </c>
      <c r="O32" s="37">
        <f>IF(tblChecklist[[#This Row],[Audit no.]]="","",IF(AND(tblChecklist[[#This Row],[Finding]]=1,NOT(ISNUMBER(tblChecklist[[#This Row],[Closed]]))),1,0))</f>
        <v>1</v>
      </c>
      <c r="P32" s="39" t="str">
        <f>IF(tblChecklist[[#This Row],[Audit no.]]="","",IF(tblChecklist[[#This Row],[Finding]]=0,"",IF(ISNUMBER(tblChecklist[[#This Row],[Closed]]),"Complete",IF(tblChecklist[[#This Row],[Response due]]="","",IF(AsOf&gt;tblChecklist[[#This Row],[Response due]],"Overdue",IF(tblChecklist[[#This Row],[Response due]]-AsOf&lt;=DueSoonDays,"Due soon","OK"))))))</f>
        <v>Overdue</v>
      </c>
      <c r="Q32" s="39">
        <f>IF(tblChecklist[[#This Row],[Audit no.]]="","",IF(OR(tblChecklist[[#This Row],[Finding]]=0,NOT(ISNUMBER(tblChecklist[[#This Row],[Closed]])),tblChecklist[[#This Row],[Response due]]=""),"",IF(tblChecklist[[#This Row],[Closed]]&lt;=tblChecklist[[#This Row],[Response due]],"Yes","No")))</f>
        <v/>
      </c>
      <c r="R32"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2" s="28" t="s">
        <v>152</v>
      </c>
    </row>
    <row r="33" spans="2:19">
      <c r="B33" s="28" t="s">
        <v>156</v>
      </c>
      <c r="C33" s="28" t="s">
        <v>135</v>
      </c>
      <c r="D33" s="28" t="s">
        <v>249</v>
      </c>
      <c r="E33" s="41" t="s">
        <v>250</v>
      </c>
      <c r="F33" s="41" t="s">
        <v>211</v>
      </c>
      <c r="G33" s="28" t="s">
        <v>186</v>
      </c>
      <c r="H33" s="28"/>
      <c r="I33" s="29"/>
      <c r="J33" s="36" t="str">
        <f>IF(tblChecklist[[#This Row],[Audit no.]]="","",IFERROR(INDEX(tblAudits[Process],MATCH(tblChecklist[[#This Row],[Audit no.]],tblAudits[Audit no.],0)),""))</f>
        <v>Sales and contract review</v>
      </c>
      <c r="K33" s="42">
        <f>IF(tblChecklist[[#This Row],[Audit no.]]="","",IFERROR(INDEX(tblAudits[Actual date],MATCH(tblChecklist[[#This Row],[Audit no.]],tblAudits[Audit no.],0)),""))</f>
        <v>46161</v>
      </c>
      <c r="L33" s="37">
        <f>IF(tblChecklist[[#This Row],[Audit no.]]="","",IFERROR(INDEX(tblGrades[Response (days)],MATCH(tblChecklist[[#This Row],[Result]],tblGrades[Grade],0)),""))</f>
        <v/>
      </c>
      <c r="M33" s="37">
        <f>IF(tblChecklist[[#This Row],[Audit no.]]="","",IF(tblChecklist[[#This Row],[Response (days)]]="",0,1))</f>
        <v>0</v>
      </c>
      <c r="N33" s="42">
        <f>IF(tblChecklist[[#This Row],[Audit no.]]="","",IF(OR(tblChecklist[[#This Row],[Finding]]=0,NOT(ISNUMBER(tblChecklist[[#This Row],[Audit date]]))),"",tblChecklist[[#This Row],[Audit date]]+tblChecklist[[#This Row],[Response (days)]]))</f>
        <v/>
      </c>
      <c r="O33" s="37">
        <f>IF(tblChecklist[[#This Row],[Audit no.]]="","",IF(AND(tblChecklist[[#This Row],[Finding]]=1,NOT(ISNUMBER(tblChecklist[[#This Row],[Closed]]))),1,0))</f>
        <v>0</v>
      </c>
      <c r="P33" s="39">
        <f>IF(tblChecklist[[#This Row],[Audit no.]]="","",IF(tblChecklist[[#This Row],[Finding]]=0,"",IF(ISNUMBER(tblChecklist[[#This Row],[Closed]]),"Complete",IF(tblChecklist[[#This Row],[Response due]]="","",IF(AsOf&gt;tblChecklist[[#This Row],[Response due]],"Overdue",IF(tblChecklist[[#This Row],[Response due]]-AsOf&lt;=DueSoonDays,"Due soon","OK"))))))</f>
        <v/>
      </c>
      <c r="Q33" s="39">
        <f>IF(tblChecklist[[#This Row],[Audit no.]]="","",IF(OR(tblChecklist[[#This Row],[Finding]]=0,NOT(ISNUMBER(tblChecklist[[#This Row],[Closed]])),tblChecklist[[#This Row],[Response due]]=""),"",IF(tblChecklist[[#This Row],[Closed]]&lt;=tblChecklist[[#This Row],[Response due]],"Yes","No")))</f>
        <v/>
      </c>
      <c r="R33"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3" s="28" t="s">
        <v>152</v>
      </c>
    </row>
    <row r="34" spans="2:19">
      <c r="B34" s="28" t="s">
        <v>156</v>
      </c>
      <c r="C34" s="28" t="s">
        <v>135</v>
      </c>
      <c r="D34" s="28" t="s">
        <v>251</v>
      </c>
      <c r="E34" s="41" t="s">
        <v>252</v>
      </c>
      <c r="F34" s="41" t="s">
        <v>195</v>
      </c>
      <c r="G34" s="28" t="s">
        <v>186</v>
      </c>
      <c r="H34" s="28"/>
      <c r="I34" s="29"/>
      <c r="J34" s="36" t="str">
        <f>IF(tblChecklist[[#This Row],[Audit no.]]="","",IFERROR(INDEX(tblAudits[Process],MATCH(tblChecklist[[#This Row],[Audit no.]],tblAudits[Audit no.],0)),""))</f>
        <v>Sales and contract review</v>
      </c>
      <c r="K34" s="42">
        <f>IF(tblChecklist[[#This Row],[Audit no.]]="","",IFERROR(INDEX(tblAudits[Actual date],MATCH(tblChecklist[[#This Row],[Audit no.]],tblAudits[Audit no.],0)),""))</f>
        <v>46161</v>
      </c>
      <c r="L34" s="37">
        <f>IF(tblChecklist[[#This Row],[Audit no.]]="","",IFERROR(INDEX(tblGrades[Response (days)],MATCH(tblChecklist[[#This Row],[Result]],tblGrades[Grade],0)),""))</f>
        <v/>
      </c>
      <c r="M34" s="37">
        <f>IF(tblChecklist[[#This Row],[Audit no.]]="","",IF(tblChecklist[[#This Row],[Response (days)]]="",0,1))</f>
        <v>0</v>
      </c>
      <c r="N34" s="42">
        <f>IF(tblChecklist[[#This Row],[Audit no.]]="","",IF(OR(tblChecklist[[#This Row],[Finding]]=0,NOT(ISNUMBER(tblChecklist[[#This Row],[Audit date]]))),"",tblChecklist[[#This Row],[Audit date]]+tblChecklist[[#This Row],[Response (days)]]))</f>
        <v/>
      </c>
      <c r="O34" s="37">
        <f>IF(tblChecklist[[#This Row],[Audit no.]]="","",IF(AND(tblChecklist[[#This Row],[Finding]]=1,NOT(ISNUMBER(tblChecklist[[#This Row],[Closed]]))),1,0))</f>
        <v>0</v>
      </c>
      <c r="P34" s="39">
        <f>IF(tblChecklist[[#This Row],[Audit no.]]="","",IF(tblChecklist[[#This Row],[Finding]]=0,"",IF(ISNUMBER(tblChecklist[[#This Row],[Closed]]),"Complete",IF(tblChecklist[[#This Row],[Response due]]="","",IF(AsOf&gt;tblChecklist[[#This Row],[Response due]],"Overdue",IF(tblChecklist[[#This Row],[Response due]]-AsOf&lt;=DueSoonDays,"Due soon","OK"))))))</f>
        <v/>
      </c>
      <c r="Q34" s="39">
        <f>IF(tblChecklist[[#This Row],[Audit no.]]="","",IF(OR(tblChecklist[[#This Row],[Finding]]=0,NOT(ISNUMBER(tblChecklist[[#This Row],[Closed]])),tblChecklist[[#This Row],[Response due]]=""),"",IF(tblChecklist[[#This Row],[Closed]]&lt;=tblChecklist[[#This Row],[Response due]],"Yes","No")))</f>
        <v/>
      </c>
      <c r="R34"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4" s="28" t="s">
        <v>152</v>
      </c>
    </row>
    <row r="35" spans="2:19">
      <c r="B35" s="28" t="s">
        <v>156</v>
      </c>
      <c r="C35" s="28" t="s">
        <v>135</v>
      </c>
      <c r="D35" s="28" t="s">
        <v>253</v>
      </c>
      <c r="E35" s="41" t="s">
        <v>254</v>
      </c>
      <c r="F35" s="41" t="s">
        <v>211</v>
      </c>
      <c r="G35" s="28" t="s">
        <v>186</v>
      </c>
      <c r="H35" s="28"/>
      <c r="I35" s="29"/>
      <c r="J35" s="36" t="str">
        <f>IF(tblChecklist[[#This Row],[Audit no.]]="","",IFERROR(INDEX(tblAudits[Process],MATCH(tblChecklist[[#This Row],[Audit no.]],tblAudits[Audit no.],0)),""))</f>
        <v>Sales and contract review</v>
      </c>
      <c r="K35" s="42">
        <f>IF(tblChecklist[[#This Row],[Audit no.]]="","",IFERROR(INDEX(tblAudits[Actual date],MATCH(tblChecklist[[#This Row],[Audit no.]],tblAudits[Audit no.],0)),""))</f>
        <v>46161</v>
      </c>
      <c r="L35" s="37">
        <f>IF(tblChecklist[[#This Row],[Audit no.]]="","",IFERROR(INDEX(tblGrades[Response (days)],MATCH(tblChecklist[[#This Row],[Result]],tblGrades[Grade],0)),""))</f>
        <v/>
      </c>
      <c r="M35" s="37">
        <f>IF(tblChecklist[[#This Row],[Audit no.]]="","",IF(tblChecklist[[#This Row],[Response (days)]]="",0,1))</f>
        <v>0</v>
      </c>
      <c r="N35" s="42">
        <f>IF(tblChecklist[[#This Row],[Audit no.]]="","",IF(OR(tblChecklist[[#This Row],[Finding]]=0,NOT(ISNUMBER(tblChecklist[[#This Row],[Audit date]]))),"",tblChecklist[[#This Row],[Audit date]]+tblChecklist[[#This Row],[Response (days)]]))</f>
        <v/>
      </c>
      <c r="O35" s="37">
        <f>IF(tblChecklist[[#This Row],[Audit no.]]="","",IF(AND(tblChecklist[[#This Row],[Finding]]=1,NOT(ISNUMBER(tblChecklist[[#This Row],[Closed]]))),1,0))</f>
        <v>0</v>
      </c>
      <c r="P35" s="39">
        <f>IF(tblChecklist[[#This Row],[Audit no.]]="","",IF(tblChecklist[[#This Row],[Finding]]=0,"",IF(ISNUMBER(tblChecklist[[#This Row],[Closed]]),"Complete",IF(tblChecklist[[#This Row],[Response due]]="","",IF(AsOf&gt;tblChecklist[[#This Row],[Response due]],"Overdue",IF(tblChecklist[[#This Row],[Response due]]-AsOf&lt;=DueSoonDays,"Due soon","OK"))))))</f>
        <v/>
      </c>
      <c r="Q35" s="39">
        <f>IF(tblChecklist[[#This Row],[Audit no.]]="","",IF(OR(tblChecklist[[#This Row],[Finding]]=0,NOT(ISNUMBER(tblChecklist[[#This Row],[Closed]])),tblChecklist[[#This Row],[Response due]]=""),"",IF(tblChecklist[[#This Row],[Closed]]&lt;=tblChecklist[[#This Row],[Response due]],"Yes","No")))</f>
        <v/>
      </c>
      <c r="R35"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5" s="28" t="s">
        <v>152</v>
      </c>
    </row>
    <row r="36" spans="2:19">
      <c r="B36" s="28" t="s">
        <v>156</v>
      </c>
      <c r="C36" s="28" t="s">
        <v>136</v>
      </c>
      <c r="D36" s="28" t="s">
        <v>255</v>
      </c>
      <c r="E36" s="41" t="s">
        <v>256</v>
      </c>
      <c r="F36" s="41" t="s">
        <v>192</v>
      </c>
      <c r="G36" s="28" t="s">
        <v>186</v>
      </c>
      <c r="H36" s="28"/>
      <c r="I36" s="29"/>
      <c r="J36" s="36" t="str">
        <f>IF(tblChecklist[[#This Row],[Audit no.]]="","",IFERROR(INDEX(tblAudits[Process],MATCH(tblChecklist[[#This Row],[Audit no.]],tblAudits[Audit no.],0)),""))</f>
        <v>Sales and contract review</v>
      </c>
      <c r="K36" s="42">
        <f>IF(tblChecklist[[#This Row],[Audit no.]]="","",IFERROR(INDEX(tblAudits[Actual date],MATCH(tblChecklist[[#This Row],[Audit no.]],tblAudits[Audit no.],0)),""))</f>
        <v>46161</v>
      </c>
      <c r="L36" s="37">
        <f>IF(tblChecklist[[#This Row],[Audit no.]]="","",IFERROR(INDEX(tblGrades[Response (days)],MATCH(tblChecklist[[#This Row],[Result]],tblGrades[Grade],0)),""))</f>
        <v/>
      </c>
      <c r="M36" s="37">
        <f>IF(tblChecklist[[#This Row],[Audit no.]]="","",IF(tblChecklist[[#This Row],[Response (days)]]="",0,1))</f>
        <v>0</v>
      </c>
      <c r="N36" s="42">
        <f>IF(tblChecklist[[#This Row],[Audit no.]]="","",IF(OR(tblChecklist[[#This Row],[Finding]]=0,NOT(ISNUMBER(tblChecklist[[#This Row],[Audit date]]))),"",tblChecklist[[#This Row],[Audit date]]+tblChecklist[[#This Row],[Response (days)]]))</f>
        <v/>
      </c>
      <c r="O36" s="37">
        <f>IF(tblChecklist[[#This Row],[Audit no.]]="","",IF(AND(tblChecklist[[#This Row],[Finding]]=1,NOT(ISNUMBER(tblChecklist[[#This Row],[Closed]]))),1,0))</f>
        <v>0</v>
      </c>
      <c r="P36" s="39">
        <f>IF(tblChecklist[[#This Row],[Audit no.]]="","",IF(tblChecklist[[#This Row],[Finding]]=0,"",IF(ISNUMBER(tblChecklist[[#This Row],[Closed]]),"Complete",IF(tblChecklist[[#This Row],[Response due]]="","",IF(AsOf&gt;tblChecklist[[#This Row],[Response due]],"Overdue",IF(tblChecklist[[#This Row],[Response due]]-AsOf&lt;=DueSoonDays,"Due soon","OK"))))))</f>
        <v/>
      </c>
      <c r="Q36" s="39">
        <f>IF(tblChecklist[[#This Row],[Audit no.]]="","",IF(OR(tblChecklist[[#This Row],[Finding]]=0,NOT(ISNUMBER(tblChecklist[[#This Row],[Closed]])),tblChecklist[[#This Row],[Response due]]=""),"",IF(tblChecklist[[#This Row],[Closed]]&lt;=tblChecklist[[#This Row],[Response due]],"Yes","No")))</f>
        <v/>
      </c>
      <c r="R36"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6" s="28" t="s">
        <v>152</v>
      </c>
    </row>
    <row r="37" spans="2:19">
      <c r="B37" s="28" t="s">
        <v>156</v>
      </c>
      <c r="C37" s="28" t="s">
        <v>134</v>
      </c>
      <c r="D37" s="28" t="s">
        <v>215</v>
      </c>
      <c r="E37" s="41" t="s">
        <v>257</v>
      </c>
      <c r="F37" s="41" t="s">
        <v>234</v>
      </c>
      <c r="G37" s="28" t="s">
        <v>186</v>
      </c>
      <c r="H37" s="28"/>
      <c r="I37" s="29"/>
      <c r="J37" s="36" t="str">
        <f>IF(tblChecklist[[#This Row],[Audit no.]]="","",IFERROR(INDEX(tblAudits[Process],MATCH(tblChecklist[[#This Row],[Audit no.]],tblAudits[Audit no.],0)),""))</f>
        <v>Sales and contract review</v>
      </c>
      <c r="K37" s="42">
        <f>IF(tblChecklist[[#This Row],[Audit no.]]="","",IFERROR(INDEX(tblAudits[Actual date],MATCH(tblChecklist[[#This Row],[Audit no.]],tblAudits[Audit no.],0)),""))</f>
        <v>46161</v>
      </c>
      <c r="L37" s="37">
        <f>IF(tblChecklist[[#This Row],[Audit no.]]="","",IFERROR(INDEX(tblGrades[Response (days)],MATCH(tblChecklist[[#This Row],[Result]],tblGrades[Grade],0)),""))</f>
        <v/>
      </c>
      <c r="M37" s="37">
        <f>IF(tblChecklist[[#This Row],[Audit no.]]="","",IF(tblChecklist[[#This Row],[Response (days)]]="",0,1))</f>
        <v>0</v>
      </c>
      <c r="N37" s="42">
        <f>IF(tblChecklist[[#This Row],[Audit no.]]="","",IF(OR(tblChecklist[[#This Row],[Finding]]=0,NOT(ISNUMBER(tblChecklist[[#This Row],[Audit date]]))),"",tblChecklist[[#This Row],[Audit date]]+tblChecklist[[#This Row],[Response (days)]]))</f>
        <v/>
      </c>
      <c r="O37" s="37">
        <f>IF(tblChecklist[[#This Row],[Audit no.]]="","",IF(AND(tblChecklist[[#This Row],[Finding]]=1,NOT(ISNUMBER(tblChecklist[[#This Row],[Closed]]))),1,0))</f>
        <v>0</v>
      </c>
      <c r="P37" s="39">
        <f>IF(tblChecklist[[#This Row],[Audit no.]]="","",IF(tblChecklist[[#This Row],[Finding]]=0,"",IF(ISNUMBER(tblChecklist[[#This Row],[Closed]]),"Complete",IF(tblChecklist[[#This Row],[Response due]]="","",IF(AsOf&gt;tblChecklist[[#This Row],[Response due]],"Overdue",IF(tblChecklist[[#This Row],[Response due]]-AsOf&lt;=DueSoonDays,"Due soon","OK"))))))</f>
        <v/>
      </c>
      <c r="Q37" s="39">
        <f>IF(tblChecklist[[#This Row],[Audit no.]]="","",IF(OR(tblChecklist[[#This Row],[Finding]]=0,NOT(ISNUMBER(tblChecklist[[#This Row],[Closed]])),tblChecklist[[#This Row],[Response due]]=""),"",IF(tblChecklist[[#This Row],[Closed]]&lt;=tblChecklist[[#This Row],[Response due]],"Yes","No")))</f>
        <v/>
      </c>
      <c r="R37"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7" s="28" t="s">
        <v>152</v>
      </c>
    </row>
    <row r="38" spans="2:19">
      <c r="B38" s="28" t="s">
        <v>158</v>
      </c>
      <c r="C38" s="28" t="s">
        <v>135</v>
      </c>
      <c r="D38" s="28" t="s">
        <v>258</v>
      </c>
      <c r="E38" s="41" t="s">
        <v>259</v>
      </c>
      <c r="F38" s="41" t="s">
        <v>234</v>
      </c>
      <c r="G38" s="28" t="s">
        <v>186</v>
      </c>
      <c r="H38" s="28"/>
      <c r="I38" s="29"/>
      <c r="J38" s="36" t="str">
        <f>IF(tblChecklist[[#This Row],[Audit no.]]="","",IFERROR(INDEX(tblAudits[Process],MATCH(tblChecklist[[#This Row],[Audit no.]],tblAudits[Audit no.],0)),""))</f>
        <v>Inspection and testing</v>
      </c>
      <c r="K38" s="42">
        <f>IF(tblChecklist[[#This Row],[Audit no.]]="","",IFERROR(INDEX(tblAudits[Actual date],MATCH(tblChecklist[[#This Row],[Audit no.]],tblAudits[Audit no.],0)),""))</f>
        <v>46182</v>
      </c>
      <c r="L38" s="37">
        <f>IF(tblChecklist[[#This Row],[Audit no.]]="","",IFERROR(INDEX(tblGrades[Response (days)],MATCH(tblChecklist[[#This Row],[Result]],tblGrades[Grade],0)),""))</f>
        <v/>
      </c>
      <c r="M38" s="37">
        <f>IF(tblChecklist[[#This Row],[Audit no.]]="","",IF(tblChecklist[[#This Row],[Response (days)]]="",0,1))</f>
        <v>0</v>
      </c>
      <c r="N38" s="42">
        <f>IF(tblChecklist[[#This Row],[Audit no.]]="","",IF(OR(tblChecklist[[#This Row],[Finding]]=0,NOT(ISNUMBER(tblChecklist[[#This Row],[Audit date]]))),"",tblChecklist[[#This Row],[Audit date]]+tblChecklist[[#This Row],[Response (days)]]))</f>
        <v/>
      </c>
      <c r="O38" s="37">
        <f>IF(tblChecklist[[#This Row],[Audit no.]]="","",IF(AND(tblChecklist[[#This Row],[Finding]]=1,NOT(ISNUMBER(tblChecklist[[#This Row],[Closed]]))),1,0))</f>
        <v>0</v>
      </c>
      <c r="P38" s="39">
        <f>IF(tblChecklist[[#This Row],[Audit no.]]="","",IF(tblChecklist[[#This Row],[Finding]]=0,"",IF(ISNUMBER(tblChecklist[[#This Row],[Closed]]),"Complete",IF(tblChecklist[[#This Row],[Response due]]="","",IF(AsOf&gt;tblChecklist[[#This Row],[Response due]],"Overdue",IF(tblChecklist[[#This Row],[Response due]]-AsOf&lt;=DueSoonDays,"Due soon","OK"))))))</f>
        <v/>
      </c>
      <c r="Q38" s="39">
        <f>IF(tblChecklist[[#This Row],[Audit no.]]="","",IF(OR(tblChecklist[[#This Row],[Finding]]=0,NOT(ISNUMBER(tblChecklist[[#This Row],[Closed]])),tblChecklist[[#This Row],[Response due]]=""),"",IF(tblChecklist[[#This Row],[Closed]]&lt;=tblChecklist[[#This Row],[Response due]],"Yes","No")))</f>
        <v/>
      </c>
      <c r="R38"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8" s="28" t="s">
        <v>152</v>
      </c>
    </row>
    <row r="39" spans="2:19">
      <c r="B39" s="28" t="s">
        <v>158</v>
      </c>
      <c r="C39" s="28" t="s">
        <v>135</v>
      </c>
      <c r="D39" s="28" t="s">
        <v>232</v>
      </c>
      <c r="E39" s="41" t="s">
        <v>260</v>
      </c>
      <c r="F39" s="41" t="s">
        <v>192</v>
      </c>
      <c r="G39" s="28" t="s">
        <v>186</v>
      </c>
      <c r="H39" s="28"/>
      <c r="I39" s="29"/>
      <c r="J39" s="36" t="str">
        <f>IF(tblChecklist[[#This Row],[Audit no.]]="","",IFERROR(INDEX(tblAudits[Process],MATCH(tblChecklist[[#This Row],[Audit no.]],tblAudits[Audit no.],0)),""))</f>
        <v>Inspection and testing</v>
      </c>
      <c r="K39" s="42">
        <f>IF(tblChecklist[[#This Row],[Audit no.]]="","",IFERROR(INDEX(tblAudits[Actual date],MATCH(tblChecklist[[#This Row],[Audit no.]],tblAudits[Audit no.],0)),""))</f>
        <v>46182</v>
      </c>
      <c r="L39" s="37">
        <f>IF(tblChecklist[[#This Row],[Audit no.]]="","",IFERROR(INDEX(tblGrades[Response (days)],MATCH(tblChecklist[[#This Row],[Result]],tblGrades[Grade],0)),""))</f>
        <v/>
      </c>
      <c r="M39" s="37">
        <f>IF(tblChecklist[[#This Row],[Audit no.]]="","",IF(tblChecklist[[#This Row],[Response (days)]]="",0,1))</f>
        <v>0</v>
      </c>
      <c r="N39" s="42">
        <f>IF(tblChecklist[[#This Row],[Audit no.]]="","",IF(OR(tblChecklist[[#This Row],[Finding]]=0,NOT(ISNUMBER(tblChecklist[[#This Row],[Audit date]]))),"",tblChecklist[[#This Row],[Audit date]]+tblChecklist[[#This Row],[Response (days)]]))</f>
        <v/>
      </c>
      <c r="O39" s="37">
        <f>IF(tblChecklist[[#This Row],[Audit no.]]="","",IF(AND(tblChecklist[[#This Row],[Finding]]=1,NOT(ISNUMBER(tblChecklist[[#This Row],[Closed]]))),1,0))</f>
        <v>0</v>
      </c>
      <c r="P39" s="39">
        <f>IF(tblChecklist[[#This Row],[Audit no.]]="","",IF(tblChecklist[[#This Row],[Finding]]=0,"",IF(ISNUMBER(tblChecklist[[#This Row],[Closed]]),"Complete",IF(tblChecklist[[#This Row],[Response due]]="","",IF(AsOf&gt;tblChecklist[[#This Row],[Response due]],"Overdue",IF(tblChecklist[[#This Row],[Response due]]-AsOf&lt;=DueSoonDays,"Due soon","OK"))))))</f>
        <v/>
      </c>
      <c r="Q39" s="39">
        <f>IF(tblChecklist[[#This Row],[Audit no.]]="","",IF(OR(tblChecklist[[#This Row],[Finding]]=0,NOT(ISNUMBER(tblChecklist[[#This Row],[Closed]])),tblChecklist[[#This Row],[Response due]]=""),"",IF(tblChecklist[[#This Row],[Closed]]&lt;=tblChecklist[[#This Row],[Response due]],"Yes","No")))</f>
        <v/>
      </c>
      <c r="R39"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39" s="28" t="s">
        <v>152</v>
      </c>
    </row>
    <row r="40" spans="2:19">
      <c r="B40" s="28" t="s">
        <v>158</v>
      </c>
      <c r="C40" s="28" t="s">
        <v>134</v>
      </c>
      <c r="D40" s="28" t="s">
        <v>108</v>
      </c>
      <c r="E40" s="41" t="s">
        <v>261</v>
      </c>
      <c r="F40" s="41" t="s">
        <v>262</v>
      </c>
      <c r="G40" s="28" t="s">
        <v>126</v>
      </c>
      <c r="H40" s="28" t="s">
        <v>105</v>
      </c>
      <c r="I40" s="29"/>
      <c r="J40" s="36" t="str">
        <f>IF(tblChecklist[[#This Row],[Audit no.]]="","",IFERROR(INDEX(tblAudits[Process],MATCH(tblChecklist[[#This Row],[Audit no.]],tblAudits[Audit no.],0)),""))</f>
        <v>Inspection and testing</v>
      </c>
      <c r="K40" s="42">
        <f>IF(tblChecklist[[#This Row],[Audit no.]]="","",IFERROR(INDEX(tblAudits[Actual date],MATCH(tblChecklist[[#This Row],[Audit no.]],tblAudits[Audit no.],0)),""))</f>
        <v>46182</v>
      </c>
      <c r="L40" s="37">
        <f>IF(tblChecklist[[#This Row],[Audit no.]]="","",IFERROR(INDEX(tblGrades[Response (days)],MATCH(tblChecklist[[#This Row],[Result]],tblGrades[Grade],0)),""))</f>
        <v>60</v>
      </c>
      <c r="M40" s="37">
        <f>IF(tblChecklist[[#This Row],[Audit no.]]="","",IF(tblChecklist[[#This Row],[Response (days)]]="",0,1))</f>
        <v>1</v>
      </c>
      <c r="N40" s="42">
        <f>IF(tblChecklist[[#This Row],[Audit no.]]="","",IF(OR(tblChecklist[[#This Row],[Finding]]=0,NOT(ISNUMBER(tblChecklist[[#This Row],[Audit date]]))),"",tblChecklist[[#This Row],[Audit date]]+tblChecklist[[#This Row],[Response (days)]]))</f>
        <v>46242</v>
      </c>
      <c r="O40" s="37">
        <f>IF(tblChecklist[[#This Row],[Audit no.]]="","",IF(AND(tblChecklist[[#This Row],[Finding]]=1,NOT(ISNUMBER(tblChecklist[[#This Row],[Closed]]))),1,0))</f>
        <v>1</v>
      </c>
      <c r="P40" s="39" t="str">
        <f>IF(tblChecklist[[#This Row],[Audit no.]]="","",IF(tblChecklist[[#This Row],[Finding]]=0,"",IF(ISNUMBER(tblChecklist[[#This Row],[Closed]]),"Complete",IF(tblChecklist[[#This Row],[Response due]]="","",IF(AsOf&gt;tblChecklist[[#This Row],[Response due]],"Overdue",IF(tblChecklist[[#This Row],[Response due]]-AsOf&lt;=DueSoonDays,"Due soon","OK"))))))</f>
        <v>Overdue</v>
      </c>
      <c r="Q40" s="39">
        <f>IF(tblChecklist[[#This Row],[Audit no.]]="","",IF(OR(tblChecklist[[#This Row],[Finding]]=0,NOT(ISNUMBER(tblChecklist[[#This Row],[Closed]])),tblChecklist[[#This Row],[Response due]]=""),"",IF(tblChecklist[[#This Row],[Closed]]&lt;=tblChecklist[[#This Row],[Response due]],"Yes","No")))</f>
        <v/>
      </c>
      <c r="R40"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0" s="28" t="s">
        <v>152</v>
      </c>
    </row>
    <row r="41" spans="2:19">
      <c r="B41" s="28" t="s">
        <v>158</v>
      </c>
      <c r="C41" s="28" t="s">
        <v>134</v>
      </c>
      <c r="D41" s="28" t="s">
        <v>215</v>
      </c>
      <c r="E41" s="41" t="s">
        <v>263</v>
      </c>
      <c r="F41" s="41" t="s">
        <v>211</v>
      </c>
      <c r="G41" s="28" t="s">
        <v>186</v>
      </c>
      <c r="H41" s="28"/>
      <c r="I41" s="29"/>
      <c r="J41" s="36" t="str">
        <f>IF(tblChecklist[[#This Row],[Audit no.]]="","",IFERROR(INDEX(tblAudits[Process],MATCH(tblChecklist[[#This Row],[Audit no.]],tblAudits[Audit no.],0)),""))</f>
        <v>Inspection and testing</v>
      </c>
      <c r="K41" s="42">
        <f>IF(tblChecklist[[#This Row],[Audit no.]]="","",IFERROR(INDEX(tblAudits[Actual date],MATCH(tblChecklist[[#This Row],[Audit no.]],tblAudits[Audit no.],0)),""))</f>
        <v>46182</v>
      </c>
      <c r="L41" s="37">
        <f>IF(tblChecklist[[#This Row],[Audit no.]]="","",IFERROR(INDEX(tblGrades[Response (days)],MATCH(tblChecklist[[#This Row],[Result]],tblGrades[Grade],0)),""))</f>
        <v/>
      </c>
      <c r="M41" s="37">
        <f>IF(tblChecklist[[#This Row],[Audit no.]]="","",IF(tblChecklist[[#This Row],[Response (days)]]="",0,1))</f>
        <v>0</v>
      </c>
      <c r="N41" s="42">
        <f>IF(tblChecklist[[#This Row],[Audit no.]]="","",IF(OR(tblChecklist[[#This Row],[Finding]]=0,NOT(ISNUMBER(tblChecklist[[#This Row],[Audit date]]))),"",tblChecklist[[#This Row],[Audit date]]+tblChecklist[[#This Row],[Response (days)]]))</f>
        <v/>
      </c>
      <c r="O41" s="37">
        <f>IF(tblChecklist[[#This Row],[Audit no.]]="","",IF(AND(tblChecklist[[#This Row],[Finding]]=1,NOT(ISNUMBER(tblChecklist[[#This Row],[Closed]]))),1,0))</f>
        <v>0</v>
      </c>
      <c r="P41" s="39">
        <f>IF(tblChecklist[[#This Row],[Audit no.]]="","",IF(tblChecklist[[#This Row],[Finding]]=0,"",IF(ISNUMBER(tblChecklist[[#This Row],[Closed]]),"Complete",IF(tblChecklist[[#This Row],[Response due]]="","",IF(AsOf&gt;tblChecklist[[#This Row],[Response due]],"Overdue",IF(tblChecklist[[#This Row],[Response due]]-AsOf&lt;=DueSoonDays,"Due soon","OK"))))))</f>
        <v/>
      </c>
      <c r="Q41" s="39">
        <f>IF(tblChecklist[[#This Row],[Audit no.]]="","",IF(OR(tblChecklist[[#This Row],[Finding]]=0,NOT(ISNUMBER(tblChecklist[[#This Row],[Closed]])),tblChecklist[[#This Row],[Response due]]=""),"",IF(tblChecklist[[#This Row],[Closed]]&lt;=tblChecklist[[#This Row],[Response due]],"Yes","No")))</f>
        <v/>
      </c>
      <c r="R41"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1" s="28" t="s">
        <v>152</v>
      </c>
    </row>
    <row r="42" spans="2:19">
      <c r="B42" s="28" t="s">
        <v>158</v>
      </c>
      <c r="C42" s="28" t="s">
        <v>136</v>
      </c>
      <c r="D42" s="28" t="s">
        <v>212</v>
      </c>
      <c r="E42" s="41" t="s">
        <v>264</v>
      </c>
      <c r="F42" s="41" t="s">
        <v>265</v>
      </c>
      <c r="G42" s="28" t="s">
        <v>128</v>
      </c>
      <c r="H42" s="28" t="s">
        <v>105</v>
      </c>
      <c r="I42" s="29">
        <v>46242</v>
      </c>
      <c r="J42" s="36" t="str">
        <f>IF(tblChecklist[[#This Row],[Audit no.]]="","",IFERROR(INDEX(tblAudits[Process],MATCH(tblChecklist[[#This Row],[Audit no.]],tblAudits[Audit no.],0)),""))</f>
        <v>Inspection and testing</v>
      </c>
      <c r="K42" s="42">
        <f>IF(tblChecklist[[#This Row],[Audit no.]]="","",IFERROR(INDEX(tblAudits[Actual date],MATCH(tblChecklist[[#This Row],[Audit no.]],tblAudits[Audit no.],0)),""))</f>
        <v>46182</v>
      </c>
      <c r="L42" s="37">
        <f>IF(tblChecklist[[#This Row],[Audit no.]]="","",IFERROR(INDEX(tblGrades[Response (days)],MATCH(tblChecklist[[#This Row],[Result]],tblGrades[Grade],0)),""))</f>
        <v>90</v>
      </c>
      <c r="M42" s="37">
        <f>IF(tblChecklist[[#This Row],[Audit no.]]="","",IF(tblChecklist[[#This Row],[Response (days)]]="",0,1))</f>
        <v>1</v>
      </c>
      <c r="N42" s="42">
        <f>IF(tblChecklist[[#This Row],[Audit no.]]="","",IF(OR(tblChecklist[[#This Row],[Finding]]=0,NOT(ISNUMBER(tblChecklist[[#This Row],[Audit date]]))),"",tblChecklist[[#This Row],[Audit date]]+tblChecklist[[#This Row],[Response (days)]]))</f>
        <v>46272</v>
      </c>
      <c r="O42" s="37">
        <f>IF(tblChecklist[[#This Row],[Audit no.]]="","",IF(AND(tblChecklist[[#This Row],[Finding]]=1,NOT(ISNUMBER(tblChecklist[[#This Row],[Closed]]))),1,0))</f>
        <v>0</v>
      </c>
      <c r="P42" s="39" t="str">
        <f>IF(tblChecklist[[#This Row],[Audit no.]]="","",IF(tblChecklist[[#This Row],[Finding]]=0,"",IF(ISNUMBER(tblChecklist[[#This Row],[Closed]]),"Complete",IF(tblChecklist[[#This Row],[Response due]]="","",IF(AsOf&gt;tblChecklist[[#This Row],[Response due]],"Overdue",IF(tblChecklist[[#This Row],[Response due]]-AsOf&lt;=DueSoonDays,"Due soon","OK"))))))</f>
        <v>Complete</v>
      </c>
      <c r="Q42" s="39" t="str">
        <f>IF(tblChecklist[[#This Row],[Audit no.]]="","",IF(OR(tblChecklist[[#This Row],[Finding]]=0,NOT(ISNUMBER(tblChecklist[[#This Row],[Closed]])),tblChecklist[[#This Row],[Response due]]=""),"",IF(tblChecklist[[#This Row],[Closed]]&lt;=tblChecklist[[#This Row],[Response due]],"Yes","No")))</f>
        <v>Yes</v>
      </c>
      <c r="R42"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2" s="28" t="s">
        <v>152</v>
      </c>
    </row>
    <row r="43" spans="2:19">
      <c r="B43" s="28" t="s">
        <v>158</v>
      </c>
      <c r="C43" s="28" t="s">
        <v>135</v>
      </c>
      <c r="D43" s="28" t="s">
        <v>258</v>
      </c>
      <c r="E43" s="41" t="s">
        <v>266</v>
      </c>
      <c r="F43" s="41" t="s">
        <v>234</v>
      </c>
      <c r="G43" s="28" t="s">
        <v>186</v>
      </c>
      <c r="H43" s="28"/>
      <c r="I43" s="29"/>
      <c r="J43" s="36" t="str">
        <f>IF(tblChecklist[[#This Row],[Audit no.]]="","",IFERROR(INDEX(tblAudits[Process],MATCH(tblChecklist[[#This Row],[Audit no.]],tblAudits[Audit no.],0)),""))</f>
        <v>Inspection and testing</v>
      </c>
      <c r="K43" s="42">
        <f>IF(tblChecklist[[#This Row],[Audit no.]]="","",IFERROR(INDEX(tblAudits[Actual date],MATCH(tblChecklist[[#This Row],[Audit no.]],tblAudits[Audit no.],0)),""))</f>
        <v>46182</v>
      </c>
      <c r="L43" s="37">
        <f>IF(tblChecklist[[#This Row],[Audit no.]]="","",IFERROR(INDEX(tblGrades[Response (days)],MATCH(tblChecklist[[#This Row],[Result]],tblGrades[Grade],0)),""))</f>
        <v/>
      </c>
      <c r="M43" s="37">
        <f>IF(tblChecklist[[#This Row],[Audit no.]]="","",IF(tblChecklist[[#This Row],[Response (days)]]="",0,1))</f>
        <v>0</v>
      </c>
      <c r="N43" s="42">
        <f>IF(tblChecklist[[#This Row],[Audit no.]]="","",IF(OR(tblChecklist[[#This Row],[Finding]]=0,NOT(ISNUMBER(tblChecklist[[#This Row],[Audit date]]))),"",tblChecklist[[#This Row],[Audit date]]+tblChecklist[[#This Row],[Response (days)]]))</f>
        <v/>
      </c>
      <c r="O43" s="37">
        <f>IF(tblChecklist[[#This Row],[Audit no.]]="","",IF(AND(tblChecklist[[#This Row],[Finding]]=1,NOT(ISNUMBER(tblChecklist[[#This Row],[Closed]]))),1,0))</f>
        <v>0</v>
      </c>
      <c r="P43" s="39">
        <f>IF(tblChecklist[[#This Row],[Audit no.]]="","",IF(tblChecklist[[#This Row],[Finding]]=0,"",IF(ISNUMBER(tblChecklist[[#This Row],[Closed]]),"Complete",IF(tblChecklist[[#This Row],[Response due]]="","",IF(AsOf&gt;tblChecklist[[#This Row],[Response due]],"Overdue",IF(tblChecklist[[#This Row],[Response due]]-AsOf&lt;=DueSoonDays,"Due soon","OK"))))))</f>
        <v/>
      </c>
      <c r="Q43" s="39">
        <f>IF(tblChecklist[[#This Row],[Audit no.]]="","",IF(OR(tblChecklist[[#This Row],[Finding]]=0,NOT(ISNUMBER(tblChecklist[[#This Row],[Closed]])),tblChecklist[[#This Row],[Response due]]=""),"",IF(tblChecklist[[#This Row],[Closed]]&lt;=tblChecklist[[#This Row],[Response due]],"Yes","No")))</f>
        <v/>
      </c>
      <c r="R43"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3" s="28" t="s">
        <v>152</v>
      </c>
    </row>
    <row r="44" spans="2:19">
      <c r="B44" s="28" t="s">
        <v>159</v>
      </c>
      <c r="C44" s="28" t="s">
        <v>135</v>
      </c>
      <c r="D44" s="28" t="s">
        <v>267</v>
      </c>
      <c r="E44" s="41" t="s">
        <v>268</v>
      </c>
      <c r="F44" s="41" t="s">
        <v>195</v>
      </c>
      <c r="G44" s="28" t="s">
        <v>186</v>
      </c>
      <c r="H44" s="28"/>
      <c r="I44" s="29"/>
      <c r="J44" s="36" t="str">
        <f>IF(tblChecklist[[#This Row],[Audit no.]]="","",IFERROR(INDEX(tblAudits[Process],MATCH(tblChecklist[[#This Row],[Audit no.]],tblAudits[Audit no.],0)),""))</f>
        <v>Design and development</v>
      </c>
      <c r="K44" s="42">
        <f>IF(tblChecklist[[#This Row],[Audit no.]]="","",IFERROR(INDEX(tblAudits[Actual date],MATCH(tblChecklist[[#This Row],[Audit no.]],tblAudits[Audit no.],0)),""))</f>
        <v>46211</v>
      </c>
      <c r="L44" s="37">
        <f>IF(tblChecklist[[#This Row],[Audit no.]]="","",IFERROR(INDEX(tblGrades[Response (days)],MATCH(tblChecklist[[#This Row],[Result]],tblGrades[Grade],0)),""))</f>
        <v/>
      </c>
      <c r="M44" s="37">
        <f>IF(tblChecklist[[#This Row],[Audit no.]]="","",IF(tblChecklist[[#This Row],[Response (days)]]="",0,1))</f>
        <v>0</v>
      </c>
      <c r="N44" s="42">
        <f>IF(tblChecklist[[#This Row],[Audit no.]]="","",IF(OR(tblChecklist[[#This Row],[Finding]]=0,NOT(ISNUMBER(tblChecklist[[#This Row],[Audit date]]))),"",tblChecklist[[#This Row],[Audit date]]+tblChecklist[[#This Row],[Response (days)]]))</f>
        <v/>
      </c>
      <c r="O44" s="37">
        <f>IF(tblChecklist[[#This Row],[Audit no.]]="","",IF(AND(tblChecklist[[#This Row],[Finding]]=1,NOT(ISNUMBER(tblChecklist[[#This Row],[Closed]]))),1,0))</f>
        <v>0</v>
      </c>
      <c r="P44" s="39">
        <f>IF(tblChecklist[[#This Row],[Audit no.]]="","",IF(tblChecklist[[#This Row],[Finding]]=0,"",IF(ISNUMBER(tblChecklist[[#This Row],[Closed]]),"Complete",IF(tblChecklist[[#This Row],[Response due]]="","",IF(AsOf&gt;tblChecklist[[#This Row],[Response due]],"Overdue",IF(tblChecklist[[#This Row],[Response due]]-AsOf&lt;=DueSoonDays,"Due soon","OK"))))))</f>
        <v/>
      </c>
      <c r="Q44" s="39">
        <f>IF(tblChecklist[[#This Row],[Audit no.]]="","",IF(OR(tblChecklist[[#This Row],[Finding]]=0,NOT(ISNUMBER(tblChecklist[[#This Row],[Closed]])),tblChecklist[[#This Row],[Response due]]=""),"",IF(tblChecklist[[#This Row],[Closed]]&lt;=tblChecklist[[#This Row],[Response due]],"Yes","No")))</f>
        <v/>
      </c>
      <c r="R44"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4" s="28" t="s">
        <v>152</v>
      </c>
    </row>
    <row r="45" spans="2:19">
      <c r="B45" s="28" t="s">
        <v>159</v>
      </c>
      <c r="C45" s="28" t="s">
        <v>135</v>
      </c>
      <c r="D45" s="28" t="s">
        <v>269</v>
      </c>
      <c r="E45" s="41" t="s">
        <v>270</v>
      </c>
      <c r="F45" s="41" t="s">
        <v>234</v>
      </c>
      <c r="G45" s="28" t="s">
        <v>186</v>
      </c>
      <c r="H45" s="28"/>
      <c r="I45" s="29"/>
      <c r="J45" s="36" t="str">
        <f>IF(tblChecklist[[#This Row],[Audit no.]]="","",IFERROR(INDEX(tblAudits[Process],MATCH(tblChecklist[[#This Row],[Audit no.]],tblAudits[Audit no.],0)),""))</f>
        <v>Design and development</v>
      </c>
      <c r="K45" s="42">
        <f>IF(tblChecklist[[#This Row],[Audit no.]]="","",IFERROR(INDEX(tblAudits[Actual date],MATCH(tblChecklist[[#This Row],[Audit no.]],tblAudits[Audit no.],0)),""))</f>
        <v>46211</v>
      </c>
      <c r="L45" s="37">
        <f>IF(tblChecklist[[#This Row],[Audit no.]]="","",IFERROR(INDEX(tblGrades[Response (days)],MATCH(tblChecklist[[#This Row],[Result]],tblGrades[Grade],0)),""))</f>
        <v/>
      </c>
      <c r="M45" s="37">
        <f>IF(tblChecklist[[#This Row],[Audit no.]]="","",IF(tblChecklist[[#This Row],[Response (days)]]="",0,1))</f>
        <v>0</v>
      </c>
      <c r="N45" s="42">
        <f>IF(tblChecklist[[#This Row],[Audit no.]]="","",IF(OR(tblChecklist[[#This Row],[Finding]]=0,NOT(ISNUMBER(tblChecklist[[#This Row],[Audit date]]))),"",tblChecklist[[#This Row],[Audit date]]+tblChecklist[[#This Row],[Response (days)]]))</f>
        <v/>
      </c>
      <c r="O45" s="37">
        <f>IF(tblChecklist[[#This Row],[Audit no.]]="","",IF(AND(tblChecklist[[#This Row],[Finding]]=1,NOT(ISNUMBER(tblChecklist[[#This Row],[Closed]]))),1,0))</f>
        <v>0</v>
      </c>
      <c r="P45" s="39">
        <f>IF(tblChecklist[[#This Row],[Audit no.]]="","",IF(tblChecklist[[#This Row],[Finding]]=0,"",IF(ISNUMBER(tblChecklist[[#This Row],[Closed]]),"Complete",IF(tblChecklist[[#This Row],[Response due]]="","",IF(AsOf&gt;tblChecklist[[#This Row],[Response due]],"Overdue",IF(tblChecklist[[#This Row],[Response due]]-AsOf&lt;=DueSoonDays,"Due soon","OK"))))))</f>
        <v/>
      </c>
      <c r="Q45" s="39">
        <f>IF(tblChecklist[[#This Row],[Audit no.]]="","",IF(OR(tblChecklist[[#This Row],[Finding]]=0,NOT(ISNUMBER(tblChecklist[[#This Row],[Closed]])),tblChecklist[[#This Row],[Response due]]=""),"",IF(tblChecklist[[#This Row],[Closed]]&lt;=tblChecklist[[#This Row],[Response due]],"Yes","No")))</f>
        <v/>
      </c>
      <c r="R45"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5" s="28" t="s">
        <v>152</v>
      </c>
    </row>
    <row r="46" spans="2:19">
      <c r="B46" s="28" t="s">
        <v>159</v>
      </c>
      <c r="C46" s="28" t="s">
        <v>135</v>
      </c>
      <c r="D46" s="28" t="s">
        <v>271</v>
      </c>
      <c r="E46" s="41" t="s">
        <v>272</v>
      </c>
      <c r="F46" s="41" t="s">
        <v>234</v>
      </c>
      <c r="G46" s="28" t="s">
        <v>186</v>
      </c>
      <c r="H46" s="28"/>
      <c r="I46" s="29"/>
      <c r="J46" s="36" t="str">
        <f>IF(tblChecklist[[#This Row],[Audit no.]]="","",IFERROR(INDEX(tblAudits[Process],MATCH(tblChecklist[[#This Row],[Audit no.]],tblAudits[Audit no.],0)),""))</f>
        <v>Design and development</v>
      </c>
      <c r="K46" s="42">
        <f>IF(tblChecklist[[#This Row],[Audit no.]]="","",IFERROR(INDEX(tblAudits[Actual date],MATCH(tblChecklist[[#This Row],[Audit no.]],tblAudits[Audit no.],0)),""))</f>
        <v>46211</v>
      </c>
      <c r="L46" s="37">
        <f>IF(tblChecklist[[#This Row],[Audit no.]]="","",IFERROR(INDEX(tblGrades[Response (days)],MATCH(tblChecklist[[#This Row],[Result]],tblGrades[Grade],0)),""))</f>
        <v/>
      </c>
      <c r="M46" s="37">
        <f>IF(tblChecklist[[#This Row],[Audit no.]]="","",IF(tblChecklist[[#This Row],[Response (days)]]="",0,1))</f>
        <v>0</v>
      </c>
      <c r="N46" s="42">
        <f>IF(tblChecklist[[#This Row],[Audit no.]]="","",IF(OR(tblChecklist[[#This Row],[Finding]]=0,NOT(ISNUMBER(tblChecklist[[#This Row],[Audit date]]))),"",tblChecklist[[#This Row],[Audit date]]+tblChecklist[[#This Row],[Response (days)]]))</f>
        <v/>
      </c>
      <c r="O46" s="37">
        <f>IF(tblChecklist[[#This Row],[Audit no.]]="","",IF(AND(tblChecklist[[#This Row],[Finding]]=1,NOT(ISNUMBER(tblChecklist[[#This Row],[Closed]]))),1,0))</f>
        <v>0</v>
      </c>
      <c r="P46" s="39">
        <f>IF(tblChecklist[[#This Row],[Audit no.]]="","",IF(tblChecklist[[#This Row],[Finding]]=0,"",IF(ISNUMBER(tblChecklist[[#This Row],[Closed]]),"Complete",IF(tblChecklist[[#This Row],[Response due]]="","",IF(AsOf&gt;tblChecklist[[#This Row],[Response due]],"Overdue",IF(tblChecklist[[#This Row],[Response due]]-AsOf&lt;=DueSoonDays,"Due soon","OK"))))))</f>
        <v/>
      </c>
      <c r="Q46" s="39">
        <f>IF(tblChecklist[[#This Row],[Audit no.]]="","",IF(OR(tblChecklist[[#This Row],[Finding]]=0,NOT(ISNUMBER(tblChecklist[[#This Row],[Closed]])),tblChecklist[[#This Row],[Response due]]=""),"",IF(tblChecklist[[#This Row],[Closed]]&lt;=tblChecklist[[#This Row],[Response due]],"Yes","No")))</f>
        <v/>
      </c>
      <c r="R46"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6" s="28" t="s">
        <v>152</v>
      </c>
    </row>
    <row r="47" spans="2:19">
      <c r="B47" s="28" t="s">
        <v>159</v>
      </c>
      <c r="C47" s="28" t="s">
        <v>135</v>
      </c>
      <c r="D47" s="28" t="s">
        <v>273</v>
      </c>
      <c r="E47" s="41" t="s">
        <v>274</v>
      </c>
      <c r="F47" s="41" t="s">
        <v>201</v>
      </c>
      <c r="G47" s="28" t="s">
        <v>186</v>
      </c>
      <c r="H47" s="28"/>
      <c r="I47" s="29"/>
      <c r="J47" s="36" t="str">
        <f>IF(tblChecklist[[#This Row],[Audit no.]]="","",IFERROR(INDEX(tblAudits[Process],MATCH(tblChecklist[[#This Row],[Audit no.]],tblAudits[Audit no.],0)),""))</f>
        <v>Design and development</v>
      </c>
      <c r="K47" s="42">
        <f>IF(tblChecklist[[#This Row],[Audit no.]]="","",IFERROR(INDEX(tblAudits[Actual date],MATCH(tblChecklist[[#This Row],[Audit no.]],tblAudits[Audit no.],0)),""))</f>
        <v>46211</v>
      </c>
      <c r="L47" s="37">
        <f>IF(tblChecklist[[#This Row],[Audit no.]]="","",IFERROR(INDEX(tblGrades[Response (days)],MATCH(tblChecklist[[#This Row],[Result]],tblGrades[Grade],0)),""))</f>
        <v/>
      </c>
      <c r="M47" s="37">
        <f>IF(tblChecklist[[#This Row],[Audit no.]]="","",IF(tblChecklist[[#This Row],[Response (days)]]="",0,1))</f>
        <v>0</v>
      </c>
      <c r="N47" s="42">
        <f>IF(tblChecklist[[#This Row],[Audit no.]]="","",IF(OR(tblChecklist[[#This Row],[Finding]]=0,NOT(ISNUMBER(tblChecklist[[#This Row],[Audit date]]))),"",tblChecklist[[#This Row],[Audit date]]+tblChecklist[[#This Row],[Response (days)]]))</f>
        <v/>
      </c>
      <c r="O47" s="37">
        <f>IF(tblChecklist[[#This Row],[Audit no.]]="","",IF(AND(tblChecklist[[#This Row],[Finding]]=1,NOT(ISNUMBER(tblChecklist[[#This Row],[Closed]]))),1,0))</f>
        <v>0</v>
      </c>
      <c r="P47" s="39">
        <f>IF(tblChecklist[[#This Row],[Audit no.]]="","",IF(tblChecklist[[#This Row],[Finding]]=0,"",IF(ISNUMBER(tblChecklist[[#This Row],[Closed]]),"Complete",IF(tblChecklist[[#This Row],[Response due]]="","",IF(AsOf&gt;tblChecklist[[#This Row],[Response due]],"Overdue",IF(tblChecklist[[#This Row],[Response due]]-AsOf&lt;=DueSoonDays,"Due soon","OK"))))))</f>
        <v/>
      </c>
      <c r="Q47" s="39">
        <f>IF(tblChecklist[[#This Row],[Audit no.]]="","",IF(OR(tblChecklist[[#This Row],[Finding]]=0,NOT(ISNUMBER(tblChecklist[[#This Row],[Closed]])),tblChecklist[[#This Row],[Response due]]=""),"",IF(tblChecklist[[#This Row],[Closed]]&lt;=tblChecklist[[#This Row],[Response due]],"Yes","No")))</f>
        <v/>
      </c>
      <c r="R47"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7" s="28" t="s">
        <v>152</v>
      </c>
    </row>
    <row r="48" spans="2:19">
      <c r="B48" s="28" t="s">
        <v>159</v>
      </c>
      <c r="C48" s="28" t="s">
        <v>135</v>
      </c>
      <c r="D48" s="28" t="s">
        <v>275</v>
      </c>
      <c r="E48" s="41" t="s">
        <v>276</v>
      </c>
      <c r="F48" s="41" t="s">
        <v>277</v>
      </c>
      <c r="G48" s="28" t="s">
        <v>126</v>
      </c>
      <c r="H48" s="28" t="s">
        <v>96</v>
      </c>
      <c r="I48" s="29"/>
      <c r="J48" s="36" t="str">
        <f>IF(tblChecklist[[#This Row],[Audit no.]]="","",IFERROR(INDEX(tblAudits[Process],MATCH(tblChecklist[[#This Row],[Audit no.]],tblAudits[Audit no.],0)),""))</f>
        <v>Design and development</v>
      </c>
      <c r="K48" s="42">
        <f>IF(tblChecklist[[#This Row],[Audit no.]]="","",IFERROR(INDEX(tblAudits[Actual date],MATCH(tblChecklist[[#This Row],[Audit no.]],tblAudits[Audit no.],0)),""))</f>
        <v>46211</v>
      </c>
      <c r="L48" s="37">
        <f>IF(tblChecklist[[#This Row],[Audit no.]]="","",IFERROR(INDEX(tblGrades[Response (days)],MATCH(tblChecklist[[#This Row],[Result]],tblGrades[Grade],0)),""))</f>
        <v>60</v>
      </c>
      <c r="M48" s="37">
        <f>IF(tblChecklist[[#This Row],[Audit no.]]="","",IF(tblChecklist[[#This Row],[Response (days)]]="",0,1))</f>
        <v>1</v>
      </c>
      <c r="N48" s="42">
        <f>IF(tblChecklist[[#This Row],[Audit no.]]="","",IF(OR(tblChecklist[[#This Row],[Finding]]=0,NOT(ISNUMBER(tblChecklist[[#This Row],[Audit date]]))),"",tblChecklist[[#This Row],[Audit date]]+tblChecklist[[#This Row],[Response (days)]]))</f>
        <v>46271</v>
      </c>
      <c r="O48" s="37">
        <f>IF(tblChecklist[[#This Row],[Audit no.]]="","",IF(AND(tblChecklist[[#This Row],[Finding]]=1,NOT(ISNUMBER(tblChecklist[[#This Row],[Closed]]))),1,0))</f>
        <v>1</v>
      </c>
      <c r="P48" s="39" t="str">
        <f>IF(tblChecklist[[#This Row],[Audit no.]]="","",IF(tblChecklist[[#This Row],[Finding]]=0,"",IF(ISNUMBER(tblChecklist[[#This Row],[Closed]]),"Complete",IF(tblChecklist[[#This Row],[Response due]]="","",IF(AsOf&gt;tblChecklist[[#This Row],[Response due]],"Overdue",IF(tblChecklist[[#This Row],[Response due]]-AsOf&lt;=DueSoonDays,"Due soon","OK"))))))</f>
        <v>Overdue</v>
      </c>
      <c r="Q48" s="39">
        <f>IF(tblChecklist[[#This Row],[Audit no.]]="","",IF(OR(tblChecklist[[#This Row],[Finding]]=0,NOT(ISNUMBER(tblChecklist[[#This Row],[Closed]])),tblChecklist[[#This Row],[Response due]]=""),"",IF(tblChecklist[[#This Row],[Closed]]&lt;=tblChecklist[[#This Row],[Response due]],"Yes","No")))</f>
        <v/>
      </c>
      <c r="R48"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8" s="28" t="s">
        <v>152</v>
      </c>
    </row>
    <row r="49" spans="2:19">
      <c r="B49" s="28" t="s">
        <v>159</v>
      </c>
      <c r="C49" s="28" t="s">
        <v>134</v>
      </c>
      <c r="D49" s="28" t="s">
        <v>278</v>
      </c>
      <c r="E49" s="41" t="s">
        <v>279</v>
      </c>
      <c r="F49" s="41" t="s">
        <v>192</v>
      </c>
      <c r="G49" s="28" t="s">
        <v>186</v>
      </c>
      <c r="H49" s="28"/>
      <c r="I49" s="29"/>
      <c r="J49" s="36" t="str">
        <f>IF(tblChecklist[[#This Row],[Audit no.]]="","",IFERROR(INDEX(tblAudits[Process],MATCH(tblChecklist[[#This Row],[Audit no.]],tblAudits[Audit no.],0)),""))</f>
        <v>Design and development</v>
      </c>
      <c r="K49" s="42">
        <f>IF(tblChecklist[[#This Row],[Audit no.]]="","",IFERROR(INDEX(tblAudits[Actual date],MATCH(tblChecklist[[#This Row],[Audit no.]],tblAudits[Audit no.],0)),""))</f>
        <v>46211</v>
      </c>
      <c r="L49" s="37">
        <f>IF(tblChecklist[[#This Row],[Audit no.]]="","",IFERROR(INDEX(tblGrades[Response (days)],MATCH(tblChecklist[[#This Row],[Result]],tblGrades[Grade],0)),""))</f>
        <v/>
      </c>
      <c r="M49" s="37">
        <f>IF(tblChecklist[[#This Row],[Audit no.]]="","",IF(tblChecklist[[#This Row],[Response (days)]]="",0,1))</f>
        <v>0</v>
      </c>
      <c r="N49" s="42">
        <f>IF(tblChecklist[[#This Row],[Audit no.]]="","",IF(OR(tblChecklist[[#This Row],[Finding]]=0,NOT(ISNUMBER(tblChecklist[[#This Row],[Audit date]]))),"",tblChecklist[[#This Row],[Audit date]]+tblChecklist[[#This Row],[Response (days)]]))</f>
        <v/>
      </c>
      <c r="O49" s="37">
        <f>IF(tblChecklist[[#This Row],[Audit no.]]="","",IF(AND(tblChecklist[[#This Row],[Finding]]=1,NOT(ISNUMBER(tblChecklist[[#This Row],[Closed]]))),1,0))</f>
        <v>0</v>
      </c>
      <c r="P49" s="39">
        <f>IF(tblChecklist[[#This Row],[Audit no.]]="","",IF(tblChecklist[[#This Row],[Finding]]=0,"",IF(ISNUMBER(tblChecklist[[#This Row],[Closed]]),"Complete",IF(tblChecklist[[#This Row],[Response due]]="","",IF(AsOf&gt;tblChecklist[[#This Row],[Response due]],"Overdue",IF(tblChecklist[[#This Row],[Response due]]-AsOf&lt;=DueSoonDays,"Due soon","OK"))))))</f>
        <v/>
      </c>
      <c r="Q49" s="39">
        <f>IF(tblChecklist[[#This Row],[Audit no.]]="","",IF(OR(tblChecklist[[#This Row],[Finding]]=0,NOT(ISNUMBER(tblChecklist[[#This Row],[Closed]])),tblChecklist[[#This Row],[Response due]]=""),"",IF(tblChecklist[[#This Row],[Closed]]&lt;=tblChecklist[[#This Row],[Response due]],"Yes","No")))</f>
        <v/>
      </c>
      <c r="R49"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49" s="28" t="s">
        <v>152</v>
      </c>
    </row>
    <row r="50" spans="2:19">
      <c r="B50" s="28" t="s">
        <v>160</v>
      </c>
      <c r="C50" s="28" t="s">
        <v>134</v>
      </c>
      <c r="D50" s="28" t="s">
        <v>235</v>
      </c>
      <c r="E50" s="41" t="s">
        <v>280</v>
      </c>
      <c r="F50" s="41" t="s">
        <v>192</v>
      </c>
      <c r="G50" s="28" t="s">
        <v>186</v>
      </c>
      <c r="H50" s="28"/>
      <c r="I50" s="29"/>
      <c r="J50" s="36" t="str">
        <f>IF(tblChecklist[[#This Row],[Audit no.]]="","",IFERROR(INDEX(tblAudits[Process],MATCH(tblChecklist[[#This Row],[Audit no.]],tblAudits[Audit no.],0)),""))</f>
        <v>People and training</v>
      </c>
      <c r="K50" s="42">
        <f>IF(tblChecklist[[#This Row],[Audit no.]]="","",IFERROR(INDEX(tblAudits[Actual date],MATCH(tblChecklist[[#This Row],[Audit no.]],tblAudits[Audit no.],0)),""))</f>
        <v>46245</v>
      </c>
      <c r="L50" s="37">
        <f>IF(tblChecklist[[#This Row],[Audit no.]]="","",IFERROR(INDEX(tblGrades[Response (days)],MATCH(tblChecklist[[#This Row],[Result]],tblGrades[Grade],0)),""))</f>
        <v/>
      </c>
      <c r="M50" s="37">
        <f>IF(tblChecklist[[#This Row],[Audit no.]]="","",IF(tblChecklist[[#This Row],[Response (days)]]="",0,1))</f>
        <v>0</v>
      </c>
      <c r="N50" s="42">
        <f>IF(tblChecklist[[#This Row],[Audit no.]]="","",IF(OR(tblChecklist[[#This Row],[Finding]]=0,NOT(ISNUMBER(tblChecklist[[#This Row],[Audit date]]))),"",tblChecklist[[#This Row],[Audit date]]+tblChecklist[[#This Row],[Response (days)]]))</f>
        <v/>
      </c>
      <c r="O50" s="37">
        <f>IF(tblChecklist[[#This Row],[Audit no.]]="","",IF(AND(tblChecklist[[#This Row],[Finding]]=1,NOT(ISNUMBER(tblChecklist[[#This Row],[Closed]]))),1,0))</f>
        <v>0</v>
      </c>
      <c r="P50" s="39">
        <f>IF(tblChecklist[[#This Row],[Audit no.]]="","",IF(tblChecklist[[#This Row],[Finding]]=0,"",IF(ISNUMBER(tblChecklist[[#This Row],[Closed]]),"Complete",IF(tblChecklist[[#This Row],[Response due]]="","",IF(AsOf&gt;tblChecklist[[#This Row],[Response due]],"Overdue",IF(tblChecklist[[#This Row],[Response due]]-AsOf&lt;=DueSoonDays,"Due soon","OK"))))))</f>
        <v/>
      </c>
      <c r="Q50" s="39">
        <f>IF(tblChecklist[[#This Row],[Audit no.]]="","",IF(OR(tblChecklist[[#This Row],[Finding]]=0,NOT(ISNUMBER(tblChecklist[[#This Row],[Closed]])),tblChecklist[[#This Row],[Response due]]=""),"",IF(tblChecklist[[#This Row],[Closed]]&lt;=tblChecklist[[#This Row],[Response due]],"Yes","No")))</f>
        <v/>
      </c>
      <c r="R50"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0" s="28" t="s">
        <v>152</v>
      </c>
    </row>
    <row r="51" spans="2:19">
      <c r="B51" s="28" t="s">
        <v>160</v>
      </c>
      <c r="C51" s="28" t="s">
        <v>134</v>
      </c>
      <c r="D51" s="28" t="s">
        <v>235</v>
      </c>
      <c r="E51" s="41" t="s">
        <v>281</v>
      </c>
      <c r="F51" s="41" t="s">
        <v>282</v>
      </c>
      <c r="G51" s="28" t="s">
        <v>126</v>
      </c>
      <c r="H51" s="28" t="s">
        <v>113</v>
      </c>
      <c r="I51" s="29"/>
      <c r="J51" s="36" t="str">
        <f>IF(tblChecklist[[#This Row],[Audit no.]]="","",IFERROR(INDEX(tblAudits[Process],MATCH(tblChecklist[[#This Row],[Audit no.]],tblAudits[Audit no.],0)),""))</f>
        <v>People and training</v>
      </c>
      <c r="K51" s="42">
        <f>IF(tblChecklist[[#This Row],[Audit no.]]="","",IFERROR(INDEX(tblAudits[Actual date],MATCH(tblChecklist[[#This Row],[Audit no.]],tblAudits[Audit no.],0)),""))</f>
        <v>46245</v>
      </c>
      <c r="L51" s="37">
        <f>IF(tblChecklist[[#This Row],[Audit no.]]="","",IFERROR(INDEX(tblGrades[Response (days)],MATCH(tblChecklist[[#This Row],[Result]],tblGrades[Grade],0)),""))</f>
        <v>60</v>
      </c>
      <c r="M51" s="37">
        <f>IF(tblChecklist[[#This Row],[Audit no.]]="","",IF(tblChecklist[[#This Row],[Response (days)]]="",0,1))</f>
        <v>1</v>
      </c>
      <c r="N51" s="42">
        <f>IF(tblChecklist[[#This Row],[Audit no.]]="","",IF(OR(tblChecklist[[#This Row],[Finding]]=0,NOT(ISNUMBER(tblChecklist[[#This Row],[Audit date]]))),"",tblChecklist[[#This Row],[Audit date]]+tblChecklist[[#This Row],[Response (days)]]))</f>
        <v>46305</v>
      </c>
      <c r="O51" s="37">
        <f>IF(tblChecklist[[#This Row],[Audit no.]]="","",IF(AND(tblChecklist[[#This Row],[Finding]]=1,NOT(ISNUMBER(tblChecklist[[#This Row],[Closed]]))),1,0))</f>
        <v>1</v>
      </c>
      <c r="P51" s="39" t="str">
        <f>IF(tblChecklist[[#This Row],[Audit no.]]="","",IF(tblChecklist[[#This Row],[Finding]]=0,"",IF(ISNUMBER(tblChecklist[[#This Row],[Closed]]),"Complete",IF(tblChecklist[[#This Row],[Response due]]="","",IF(AsOf&gt;tblChecklist[[#This Row],[Response due]],"Overdue",IF(tblChecklist[[#This Row],[Response due]]-AsOf&lt;=DueSoonDays,"Due soon","OK"))))))</f>
        <v>Due soon</v>
      </c>
      <c r="Q51" s="39">
        <f>IF(tblChecklist[[#This Row],[Audit no.]]="","",IF(OR(tblChecklist[[#This Row],[Finding]]=0,NOT(ISNUMBER(tblChecklist[[#This Row],[Closed]])),tblChecklist[[#This Row],[Response due]]=""),"",IF(tblChecklist[[#This Row],[Closed]]&lt;=tblChecklist[[#This Row],[Response due]],"Yes","No")))</f>
        <v/>
      </c>
      <c r="R51"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1" s="28" t="s">
        <v>152</v>
      </c>
    </row>
    <row r="52" spans="2:19">
      <c r="B52" s="28" t="s">
        <v>160</v>
      </c>
      <c r="C52" s="28" t="s">
        <v>134</v>
      </c>
      <c r="D52" s="28" t="s">
        <v>283</v>
      </c>
      <c r="E52" s="41" t="s">
        <v>284</v>
      </c>
      <c r="F52" s="41" t="s">
        <v>201</v>
      </c>
      <c r="G52" s="28" t="s">
        <v>186</v>
      </c>
      <c r="H52" s="28"/>
      <c r="I52" s="29"/>
      <c r="J52" s="36" t="str">
        <f>IF(tblChecklist[[#This Row],[Audit no.]]="","",IFERROR(INDEX(tblAudits[Process],MATCH(tblChecklist[[#This Row],[Audit no.]],tblAudits[Audit no.],0)),""))</f>
        <v>People and training</v>
      </c>
      <c r="K52" s="42">
        <f>IF(tblChecklist[[#This Row],[Audit no.]]="","",IFERROR(INDEX(tblAudits[Actual date],MATCH(tblChecklist[[#This Row],[Audit no.]],tblAudits[Audit no.],0)),""))</f>
        <v>46245</v>
      </c>
      <c r="L52" s="37">
        <f>IF(tblChecklist[[#This Row],[Audit no.]]="","",IFERROR(INDEX(tblGrades[Response (days)],MATCH(tblChecklist[[#This Row],[Result]],tblGrades[Grade],0)),""))</f>
        <v/>
      </c>
      <c r="M52" s="37">
        <f>IF(tblChecklist[[#This Row],[Audit no.]]="","",IF(tblChecklist[[#This Row],[Response (days)]]="",0,1))</f>
        <v>0</v>
      </c>
      <c r="N52" s="42">
        <f>IF(tblChecklist[[#This Row],[Audit no.]]="","",IF(OR(tblChecklist[[#This Row],[Finding]]=0,NOT(ISNUMBER(tblChecklist[[#This Row],[Audit date]]))),"",tblChecklist[[#This Row],[Audit date]]+tblChecklist[[#This Row],[Response (days)]]))</f>
        <v/>
      </c>
      <c r="O52" s="37">
        <f>IF(tblChecklist[[#This Row],[Audit no.]]="","",IF(AND(tblChecklist[[#This Row],[Finding]]=1,NOT(ISNUMBER(tblChecklist[[#This Row],[Closed]]))),1,0))</f>
        <v>0</v>
      </c>
      <c r="P52" s="39">
        <f>IF(tblChecklist[[#This Row],[Audit no.]]="","",IF(tblChecklist[[#This Row],[Finding]]=0,"",IF(ISNUMBER(tblChecklist[[#This Row],[Closed]]),"Complete",IF(tblChecklist[[#This Row],[Response due]]="","",IF(AsOf&gt;tblChecklist[[#This Row],[Response due]],"Overdue",IF(tblChecklist[[#This Row],[Response due]]-AsOf&lt;=DueSoonDays,"Due soon","OK"))))))</f>
        <v/>
      </c>
      <c r="Q52" s="39">
        <f>IF(tblChecklist[[#This Row],[Audit no.]]="","",IF(OR(tblChecklist[[#This Row],[Finding]]=0,NOT(ISNUMBER(tblChecklist[[#This Row],[Closed]])),tblChecklist[[#This Row],[Response due]]=""),"",IF(tblChecklist[[#This Row],[Closed]]&lt;=tblChecklist[[#This Row],[Response due]],"Yes","No")))</f>
        <v/>
      </c>
      <c r="R52"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2" s="28" t="s">
        <v>152</v>
      </c>
    </row>
    <row r="53" spans="2:19">
      <c r="B53" s="28" t="s">
        <v>160</v>
      </c>
      <c r="C53" s="28" t="s">
        <v>134</v>
      </c>
      <c r="D53" s="28" t="s">
        <v>285</v>
      </c>
      <c r="E53" s="41" t="s">
        <v>286</v>
      </c>
      <c r="F53" s="41" t="s">
        <v>201</v>
      </c>
      <c r="G53" s="28" t="s">
        <v>186</v>
      </c>
      <c r="H53" s="28"/>
      <c r="I53" s="29"/>
      <c r="J53" s="36" t="str">
        <f>IF(tblChecklist[[#This Row],[Audit no.]]="","",IFERROR(INDEX(tblAudits[Process],MATCH(tblChecklist[[#This Row],[Audit no.]],tblAudits[Audit no.],0)),""))</f>
        <v>People and training</v>
      </c>
      <c r="K53" s="42">
        <f>IF(tblChecklist[[#This Row],[Audit no.]]="","",IFERROR(INDEX(tblAudits[Actual date],MATCH(tblChecklist[[#This Row],[Audit no.]],tblAudits[Audit no.],0)),""))</f>
        <v>46245</v>
      </c>
      <c r="L53" s="37">
        <f>IF(tblChecklist[[#This Row],[Audit no.]]="","",IFERROR(INDEX(tblGrades[Response (days)],MATCH(tblChecklist[[#This Row],[Result]],tblGrades[Grade],0)),""))</f>
        <v/>
      </c>
      <c r="M53" s="37">
        <f>IF(tblChecklist[[#This Row],[Audit no.]]="","",IF(tblChecklist[[#This Row],[Response (days)]]="",0,1))</f>
        <v>0</v>
      </c>
      <c r="N53" s="42">
        <f>IF(tblChecklist[[#This Row],[Audit no.]]="","",IF(OR(tblChecklist[[#This Row],[Finding]]=0,NOT(ISNUMBER(tblChecklist[[#This Row],[Audit date]]))),"",tblChecklist[[#This Row],[Audit date]]+tblChecklist[[#This Row],[Response (days)]]))</f>
        <v/>
      </c>
      <c r="O53" s="37">
        <f>IF(tblChecklist[[#This Row],[Audit no.]]="","",IF(AND(tblChecklist[[#This Row],[Finding]]=1,NOT(ISNUMBER(tblChecklist[[#This Row],[Closed]]))),1,0))</f>
        <v>0</v>
      </c>
      <c r="P53" s="39">
        <f>IF(tblChecklist[[#This Row],[Audit no.]]="","",IF(tblChecklist[[#This Row],[Finding]]=0,"",IF(ISNUMBER(tblChecklist[[#This Row],[Closed]]),"Complete",IF(tblChecklist[[#This Row],[Response due]]="","",IF(AsOf&gt;tblChecklist[[#This Row],[Response due]],"Overdue",IF(tblChecklist[[#This Row],[Response due]]-AsOf&lt;=DueSoonDays,"Due soon","OK"))))))</f>
        <v/>
      </c>
      <c r="Q53" s="39">
        <f>IF(tblChecklist[[#This Row],[Audit no.]]="","",IF(OR(tblChecklist[[#This Row],[Finding]]=0,NOT(ISNUMBER(tblChecklist[[#This Row],[Closed]])),tblChecklist[[#This Row],[Response due]]=""),"",IF(tblChecklist[[#This Row],[Closed]]&lt;=tblChecklist[[#This Row],[Response due]],"Yes","No")))</f>
        <v/>
      </c>
      <c r="R53"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3" s="28" t="s">
        <v>152</v>
      </c>
    </row>
    <row r="54" spans="2:19">
      <c r="B54" s="28" t="s">
        <v>160</v>
      </c>
      <c r="C54" s="28" t="s">
        <v>134</v>
      </c>
      <c r="D54" s="28" t="s">
        <v>287</v>
      </c>
      <c r="E54" s="41" t="s">
        <v>288</v>
      </c>
      <c r="F54" s="41" t="s">
        <v>192</v>
      </c>
      <c r="G54" s="28" t="s">
        <v>186</v>
      </c>
      <c r="H54" s="28"/>
      <c r="I54" s="29"/>
      <c r="J54" s="36" t="str">
        <f>IF(tblChecklist[[#This Row],[Audit no.]]="","",IFERROR(INDEX(tblAudits[Process],MATCH(tblChecklist[[#This Row],[Audit no.]],tblAudits[Audit no.],0)),""))</f>
        <v>People and training</v>
      </c>
      <c r="K54" s="42">
        <f>IF(tblChecklist[[#This Row],[Audit no.]]="","",IFERROR(INDEX(tblAudits[Actual date],MATCH(tblChecklist[[#This Row],[Audit no.]],tblAudits[Audit no.],0)),""))</f>
        <v>46245</v>
      </c>
      <c r="L54" s="37">
        <f>IF(tblChecklist[[#This Row],[Audit no.]]="","",IFERROR(INDEX(tblGrades[Response (days)],MATCH(tblChecklist[[#This Row],[Result]],tblGrades[Grade],0)),""))</f>
        <v/>
      </c>
      <c r="M54" s="37">
        <f>IF(tblChecklist[[#This Row],[Audit no.]]="","",IF(tblChecklist[[#This Row],[Response (days)]]="",0,1))</f>
        <v>0</v>
      </c>
      <c r="N54" s="42">
        <f>IF(tblChecklist[[#This Row],[Audit no.]]="","",IF(OR(tblChecklist[[#This Row],[Finding]]=0,NOT(ISNUMBER(tblChecklist[[#This Row],[Audit date]]))),"",tblChecklist[[#This Row],[Audit date]]+tblChecklist[[#This Row],[Response (days)]]))</f>
        <v/>
      </c>
      <c r="O54" s="37">
        <f>IF(tblChecklist[[#This Row],[Audit no.]]="","",IF(AND(tblChecklist[[#This Row],[Finding]]=1,NOT(ISNUMBER(tblChecklist[[#This Row],[Closed]]))),1,0))</f>
        <v>0</v>
      </c>
      <c r="P54" s="39">
        <f>IF(tblChecklist[[#This Row],[Audit no.]]="","",IF(tblChecklist[[#This Row],[Finding]]=0,"",IF(ISNUMBER(tblChecklist[[#This Row],[Closed]]),"Complete",IF(tblChecklist[[#This Row],[Response due]]="","",IF(AsOf&gt;tblChecklist[[#This Row],[Response due]],"Overdue",IF(tblChecklist[[#This Row],[Response due]]-AsOf&lt;=DueSoonDays,"Due soon","OK"))))))</f>
        <v/>
      </c>
      <c r="Q54" s="39">
        <f>IF(tblChecklist[[#This Row],[Audit no.]]="","",IF(OR(tblChecklist[[#This Row],[Finding]]=0,NOT(ISNUMBER(tblChecklist[[#This Row],[Closed]])),tblChecklist[[#This Row],[Response due]]=""),"",IF(tblChecklist[[#This Row],[Closed]]&lt;=tblChecklist[[#This Row],[Response due]],"Yes","No")))</f>
        <v/>
      </c>
      <c r="R54"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4" s="28" t="s">
        <v>152</v>
      </c>
    </row>
    <row r="55" spans="2:19">
      <c r="B55" s="28" t="s">
        <v>161</v>
      </c>
      <c r="C55" s="28" t="s">
        <v>135</v>
      </c>
      <c r="D55" s="28" t="s">
        <v>289</v>
      </c>
      <c r="E55" s="41" t="s">
        <v>290</v>
      </c>
      <c r="F55" s="41" t="s">
        <v>192</v>
      </c>
      <c r="G55" s="28" t="s">
        <v>186</v>
      </c>
      <c r="H55" s="28"/>
      <c r="I55" s="29"/>
      <c r="J55" s="36" t="str">
        <f>IF(tblChecklist[[#This Row],[Audit no.]]="","",IFERROR(INDEX(tblAudits[Process],MATCH(tblChecklist[[#This Row],[Audit no.]],tblAudits[Audit no.],0)),""))</f>
        <v>Warehouse and shipping</v>
      </c>
      <c r="K55" s="42">
        <f>IF(tblChecklist[[#This Row],[Audit no.]]="","",IFERROR(INDEX(tblAudits[Actual date],MATCH(tblChecklist[[#This Row],[Audit no.]],tblAudits[Audit no.],0)),""))</f>
        <v>46274</v>
      </c>
      <c r="L55" s="37">
        <f>IF(tblChecklist[[#This Row],[Audit no.]]="","",IFERROR(INDEX(tblGrades[Response (days)],MATCH(tblChecklist[[#This Row],[Result]],tblGrades[Grade],0)),""))</f>
        <v/>
      </c>
      <c r="M55" s="37">
        <f>IF(tblChecklist[[#This Row],[Audit no.]]="","",IF(tblChecklist[[#This Row],[Response (days)]]="",0,1))</f>
        <v>0</v>
      </c>
      <c r="N55" s="42">
        <f>IF(tblChecklist[[#This Row],[Audit no.]]="","",IF(OR(tblChecklist[[#This Row],[Finding]]=0,NOT(ISNUMBER(tblChecklist[[#This Row],[Audit date]]))),"",tblChecklist[[#This Row],[Audit date]]+tblChecklist[[#This Row],[Response (days)]]))</f>
        <v/>
      </c>
      <c r="O55" s="37">
        <f>IF(tblChecklist[[#This Row],[Audit no.]]="","",IF(AND(tblChecklist[[#This Row],[Finding]]=1,NOT(ISNUMBER(tblChecklist[[#This Row],[Closed]]))),1,0))</f>
        <v>0</v>
      </c>
      <c r="P55" s="39">
        <f>IF(tblChecklist[[#This Row],[Audit no.]]="","",IF(tblChecklist[[#This Row],[Finding]]=0,"",IF(ISNUMBER(tblChecklist[[#This Row],[Closed]]),"Complete",IF(tblChecklist[[#This Row],[Response due]]="","",IF(AsOf&gt;tblChecklist[[#This Row],[Response due]],"Overdue",IF(tblChecklist[[#This Row],[Response due]]-AsOf&lt;=DueSoonDays,"Due soon","OK"))))))</f>
        <v/>
      </c>
      <c r="Q55" s="39">
        <f>IF(tblChecklist[[#This Row],[Audit no.]]="","",IF(OR(tblChecklist[[#This Row],[Finding]]=0,NOT(ISNUMBER(tblChecklist[[#This Row],[Closed]])),tblChecklist[[#This Row],[Response due]]=""),"",IF(tblChecklist[[#This Row],[Closed]]&lt;=tblChecklist[[#This Row],[Response due]],"Yes","No")))</f>
        <v/>
      </c>
      <c r="R55"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5" s="28" t="s">
        <v>152</v>
      </c>
    </row>
    <row r="56" spans="2:19">
      <c r="B56" s="28" t="s">
        <v>161</v>
      </c>
      <c r="C56" s="28" t="s">
        <v>135</v>
      </c>
      <c r="D56" s="28" t="s">
        <v>223</v>
      </c>
      <c r="E56" s="41" t="s">
        <v>291</v>
      </c>
      <c r="F56" s="41" t="s">
        <v>201</v>
      </c>
      <c r="G56" s="28" t="s">
        <v>186</v>
      </c>
      <c r="H56" s="28"/>
      <c r="I56" s="29"/>
      <c r="J56" s="36" t="str">
        <f>IF(tblChecklist[[#This Row],[Audit no.]]="","",IFERROR(INDEX(tblAudits[Process],MATCH(tblChecklist[[#This Row],[Audit no.]],tblAudits[Audit no.],0)),""))</f>
        <v>Warehouse and shipping</v>
      </c>
      <c r="K56" s="42">
        <f>IF(tblChecklist[[#This Row],[Audit no.]]="","",IFERROR(INDEX(tblAudits[Actual date],MATCH(tblChecklist[[#This Row],[Audit no.]],tblAudits[Audit no.],0)),""))</f>
        <v>46274</v>
      </c>
      <c r="L56" s="37">
        <f>IF(tblChecklist[[#This Row],[Audit no.]]="","",IFERROR(INDEX(tblGrades[Response (days)],MATCH(tblChecklist[[#This Row],[Result]],tblGrades[Grade],0)),""))</f>
        <v/>
      </c>
      <c r="M56" s="37">
        <f>IF(tblChecklist[[#This Row],[Audit no.]]="","",IF(tblChecklist[[#This Row],[Response (days)]]="",0,1))</f>
        <v>0</v>
      </c>
      <c r="N56" s="42">
        <f>IF(tblChecklist[[#This Row],[Audit no.]]="","",IF(OR(tblChecklist[[#This Row],[Finding]]=0,NOT(ISNUMBER(tblChecklist[[#This Row],[Audit date]]))),"",tblChecklist[[#This Row],[Audit date]]+tblChecklist[[#This Row],[Response (days)]]))</f>
        <v/>
      </c>
      <c r="O56" s="37">
        <f>IF(tblChecklist[[#This Row],[Audit no.]]="","",IF(AND(tblChecklist[[#This Row],[Finding]]=1,NOT(ISNUMBER(tblChecklist[[#This Row],[Closed]]))),1,0))</f>
        <v>0</v>
      </c>
      <c r="P56" s="39">
        <f>IF(tblChecklist[[#This Row],[Audit no.]]="","",IF(tblChecklist[[#This Row],[Finding]]=0,"",IF(ISNUMBER(tblChecklist[[#This Row],[Closed]]),"Complete",IF(tblChecklist[[#This Row],[Response due]]="","",IF(AsOf&gt;tblChecklist[[#This Row],[Response due]],"Overdue",IF(tblChecklist[[#This Row],[Response due]]-AsOf&lt;=DueSoonDays,"Due soon","OK"))))))</f>
        <v/>
      </c>
      <c r="Q56" s="39">
        <f>IF(tblChecklist[[#This Row],[Audit no.]]="","",IF(OR(tblChecklist[[#This Row],[Finding]]=0,NOT(ISNUMBER(tblChecklist[[#This Row],[Closed]])),tblChecklist[[#This Row],[Response due]]=""),"",IF(tblChecklist[[#This Row],[Closed]]&lt;=tblChecklist[[#This Row],[Response due]],"Yes","No")))</f>
        <v/>
      </c>
      <c r="R56"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6" s="28" t="s">
        <v>152</v>
      </c>
    </row>
    <row r="57" spans="2:19">
      <c r="B57" s="28" t="s">
        <v>161</v>
      </c>
      <c r="C57" s="28" t="s">
        <v>135</v>
      </c>
      <c r="D57" s="28" t="s">
        <v>292</v>
      </c>
      <c r="E57" s="41" t="s">
        <v>293</v>
      </c>
      <c r="F57" s="41" t="s">
        <v>192</v>
      </c>
      <c r="G57" s="28" t="s">
        <v>186</v>
      </c>
      <c r="H57" s="28"/>
      <c r="I57" s="29"/>
      <c r="J57" s="36" t="str">
        <f>IF(tblChecklist[[#This Row],[Audit no.]]="","",IFERROR(INDEX(tblAudits[Process],MATCH(tblChecklist[[#This Row],[Audit no.]],tblAudits[Audit no.],0)),""))</f>
        <v>Warehouse and shipping</v>
      </c>
      <c r="K57" s="42">
        <f>IF(tblChecklist[[#This Row],[Audit no.]]="","",IFERROR(INDEX(tblAudits[Actual date],MATCH(tblChecklist[[#This Row],[Audit no.]],tblAudits[Audit no.],0)),""))</f>
        <v>46274</v>
      </c>
      <c r="L57" s="37">
        <f>IF(tblChecklist[[#This Row],[Audit no.]]="","",IFERROR(INDEX(tblGrades[Response (days)],MATCH(tblChecklist[[#This Row],[Result]],tblGrades[Grade],0)),""))</f>
        <v/>
      </c>
      <c r="M57" s="37">
        <f>IF(tblChecklist[[#This Row],[Audit no.]]="","",IF(tblChecklist[[#This Row],[Response (days)]]="",0,1))</f>
        <v>0</v>
      </c>
      <c r="N57" s="42">
        <f>IF(tblChecklist[[#This Row],[Audit no.]]="","",IF(OR(tblChecklist[[#This Row],[Finding]]=0,NOT(ISNUMBER(tblChecklist[[#This Row],[Audit date]]))),"",tblChecklist[[#This Row],[Audit date]]+tblChecklist[[#This Row],[Response (days)]]))</f>
        <v/>
      </c>
      <c r="O57" s="37">
        <f>IF(tblChecklist[[#This Row],[Audit no.]]="","",IF(AND(tblChecklist[[#This Row],[Finding]]=1,NOT(ISNUMBER(tblChecklist[[#This Row],[Closed]]))),1,0))</f>
        <v>0</v>
      </c>
      <c r="P57" s="39">
        <f>IF(tblChecklist[[#This Row],[Audit no.]]="","",IF(tblChecklist[[#This Row],[Finding]]=0,"",IF(ISNUMBER(tblChecklist[[#This Row],[Closed]]),"Complete",IF(tblChecklist[[#This Row],[Response due]]="","",IF(AsOf&gt;tblChecklist[[#This Row],[Response due]],"Overdue",IF(tblChecklist[[#This Row],[Response due]]-AsOf&lt;=DueSoonDays,"Due soon","OK"))))))</f>
        <v/>
      </c>
      <c r="Q57" s="39">
        <f>IF(tblChecklist[[#This Row],[Audit no.]]="","",IF(OR(tblChecklist[[#This Row],[Finding]]=0,NOT(ISNUMBER(tblChecklist[[#This Row],[Closed]])),tblChecklist[[#This Row],[Response due]]=""),"",IF(tblChecklist[[#This Row],[Closed]]&lt;=tblChecklist[[#This Row],[Response due]],"Yes","No")))</f>
        <v/>
      </c>
      <c r="R57"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7" s="28" t="s">
        <v>152</v>
      </c>
    </row>
    <row r="58" spans="2:19">
      <c r="B58" s="28" t="s">
        <v>161</v>
      </c>
      <c r="C58" s="28" t="s">
        <v>134</v>
      </c>
      <c r="D58" s="28" t="s">
        <v>225</v>
      </c>
      <c r="E58" s="41" t="s">
        <v>294</v>
      </c>
      <c r="F58" s="41" t="s">
        <v>234</v>
      </c>
      <c r="G58" s="28" t="s">
        <v>186</v>
      </c>
      <c r="H58" s="28"/>
      <c r="I58" s="29"/>
      <c r="J58" s="36" t="str">
        <f>IF(tblChecklist[[#This Row],[Audit no.]]="","",IFERROR(INDEX(tblAudits[Process],MATCH(tblChecklist[[#This Row],[Audit no.]],tblAudits[Audit no.],0)),""))</f>
        <v>Warehouse and shipping</v>
      </c>
      <c r="K58" s="42">
        <f>IF(tblChecklist[[#This Row],[Audit no.]]="","",IFERROR(INDEX(tblAudits[Actual date],MATCH(tblChecklist[[#This Row],[Audit no.]],tblAudits[Audit no.],0)),""))</f>
        <v>46274</v>
      </c>
      <c r="L58" s="37">
        <f>IF(tblChecklist[[#This Row],[Audit no.]]="","",IFERROR(INDEX(tblGrades[Response (days)],MATCH(tblChecklist[[#This Row],[Result]],tblGrades[Grade],0)),""))</f>
        <v/>
      </c>
      <c r="M58" s="37">
        <f>IF(tblChecklist[[#This Row],[Audit no.]]="","",IF(tblChecklist[[#This Row],[Response (days)]]="",0,1))</f>
        <v>0</v>
      </c>
      <c r="N58" s="42">
        <f>IF(tblChecklist[[#This Row],[Audit no.]]="","",IF(OR(tblChecklist[[#This Row],[Finding]]=0,NOT(ISNUMBER(tblChecklist[[#This Row],[Audit date]]))),"",tblChecklist[[#This Row],[Audit date]]+tblChecklist[[#This Row],[Response (days)]]))</f>
        <v/>
      </c>
      <c r="O58" s="37">
        <f>IF(tblChecklist[[#This Row],[Audit no.]]="","",IF(AND(tblChecklist[[#This Row],[Finding]]=1,NOT(ISNUMBER(tblChecklist[[#This Row],[Closed]]))),1,0))</f>
        <v>0</v>
      </c>
      <c r="P58" s="39">
        <f>IF(tblChecklist[[#This Row],[Audit no.]]="","",IF(tblChecklist[[#This Row],[Finding]]=0,"",IF(ISNUMBER(tblChecklist[[#This Row],[Closed]]),"Complete",IF(tblChecklist[[#This Row],[Response due]]="","",IF(AsOf&gt;tblChecklist[[#This Row],[Response due]],"Overdue",IF(tblChecklist[[#This Row],[Response due]]-AsOf&lt;=DueSoonDays,"Due soon","OK"))))))</f>
        <v/>
      </c>
      <c r="Q58" s="39">
        <f>IF(tblChecklist[[#This Row],[Audit no.]]="","",IF(OR(tblChecklist[[#This Row],[Finding]]=0,NOT(ISNUMBER(tblChecklist[[#This Row],[Closed]])),tblChecklist[[#This Row],[Response due]]=""),"",IF(tblChecklist[[#This Row],[Closed]]&lt;=tblChecklist[[#This Row],[Response due]],"Yes","No")))</f>
        <v/>
      </c>
      <c r="R58"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8" s="28" t="s">
        <v>152</v>
      </c>
    </row>
    <row r="59" spans="2:19">
      <c r="B59" s="28" t="s">
        <v>161</v>
      </c>
      <c r="C59" s="28" t="s">
        <v>135</v>
      </c>
      <c r="D59" s="28" t="s">
        <v>232</v>
      </c>
      <c r="E59" s="41" t="s">
        <v>295</v>
      </c>
      <c r="F59" s="41" t="s">
        <v>296</v>
      </c>
      <c r="G59" s="28" t="s">
        <v>128</v>
      </c>
      <c r="H59" s="28" t="s">
        <v>110</v>
      </c>
      <c r="I59" s="29"/>
      <c r="J59" s="36" t="str">
        <f>IF(tblChecklist[[#This Row],[Audit no.]]="","",IFERROR(INDEX(tblAudits[Process],MATCH(tblChecklist[[#This Row],[Audit no.]],tblAudits[Audit no.],0)),""))</f>
        <v>Warehouse and shipping</v>
      </c>
      <c r="K59" s="42">
        <f>IF(tblChecklist[[#This Row],[Audit no.]]="","",IFERROR(INDEX(tblAudits[Actual date],MATCH(tblChecklist[[#This Row],[Audit no.]],tblAudits[Audit no.],0)),""))</f>
        <v>46274</v>
      </c>
      <c r="L59" s="37">
        <f>IF(tblChecklist[[#This Row],[Audit no.]]="","",IFERROR(INDEX(tblGrades[Response (days)],MATCH(tblChecklist[[#This Row],[Result]],tblGrades[Grade],0)),""))</f>
        <v>90</v>
      </c>
      <c r="M59" s="37">
        <f>IF(tblChecklist[[#This Row],[Audit no.]]="","",IF(tblChecklist[[#This Row],[Response (days)]]="",0,1))</f>
        <v>1</v>
      </c>
      <c r="N59" s="42">
        <f>IF(tblChecklist[[#This Row],[Audit no.]]="","",IF(OR(tblChecklist[[#This Row],[Finding]]=0,NOT(ISNUMBER(tblChecklist[[#This Row],[Audit date]]))),"",tblChecklist[[#This Row],[Audit date]]+tblChecklist[[#This Row],[Response (days)]]))</f>
        <v>46364</v>
      </c>
      <c r="O59" s="37">
        <f>IF(tblChecklist[[#This Row],[Audit no.]]="","",IF(AND(tblChecklist[[#This Row],[Finding]]=1,NOT(ISNUMBER(tblChecklist[[#This Row],[Closed]]))),1,0))</f>
        <v>1</v>
      </c>
      <c r="P59" s="39" t="str">
        <f>IF(tblChecklist[[#This Row],[Audit no.]]="","",IF(tblChecklist[[#This Row],[Finding]]=0,"",IF(ISNUMBER(tblChecklist[[#This Row],[Closed]]),"Complete",IF(tblChecklist[[#This Row],[Response due]]="","",IF(AsOf&gt;tblChecklist[[#This Row],[Response due]],"Overdue",IF(tblChecklist[[#This Row],[Response due]]-AsOf&lt;=DueSoonDays,"Due soon","OK"))))))</f>
        <v>OK</v>
      </c>
      <c r="Q59" s="39">
        <f>IF(tblChecklist[[#This Row],[Audit no.]]="","",IF(OR(tblChecklist[[#This Row],[Finding]]=0,NOT(ISNUMBER(tblChecklist[[#This Row],[Closed]])),tblChecklist[[#This Row],[Response due]]=""),"",IF(tblChecklist[[#This Row],[Closed]]&lt;=tblChecklist[[#This Row],[Response due]],"Yes","No")))</f>
        <v/>
      </c>
      <c r="R59" s="40" t="str">
        <f>IF(tblChecklist[[#This Row],[Audit no.]]="","",IF(tblChecklist[[#This Row],[Clause]]="","Missing clause",IF(tblChecklist[[#This Row],[Question]]="","Missing question",IF(tblChecklist[[#This Row],[Result]]="","Missing result",IF(tblChecklist[[#This Row],[Process]]="","Audit no. not on the programme",IF(AND(tblChecklist[[#This Row],[Finding]]=1,tblChecklist[[#This Row],[Action owner]]=""),"Finding has no owner",IF(AND(tblChecklist[[#This Row],[Finding]]=0,ISNUMBER(tblChecklist[[#This Row],[Closed]])),"Closed date on a non-finding",IF(AND(ISNUMBER(tblChecklist[[#This Row],[Closed]]),ISNUMBER(tblChecklist[[#This Row],[Audit date]]),tblChecklist[[#This Row],[Closed]]&lt;tblChecklist[[#This Row],[Audit date]]),"Closed before the audit",IF(AND(ISNUMBER(tblChecklist[[#This Row],[Closed]]),tblChecklist[[#This Row],[Closed]]&gt;AsOf),"Closed after the status date","OK")))))))))</f>
        <v>OK</v>
      </c>
      <c r="S59" s="28" t="s">
        <v>152</v>
      </c>
    </row>
  </sheetData>
  <mergeCells count="3">
    <mergeCell ref="A1:S1"/>
    <mergeCell ref="B2:R2"/>
    <mergeCell ref="B4:S4"/>
  </mergeCells>
  <conditionalFormatting sqref="P6:P55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Q6:Q559">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R6:R559">
    <cfRule type="expression" dxfId="3" priority="41">
      <formula>$R6="OK"</formula>
    </cfRule>
    <cfRule type="expression" dxfId="1" priority="42">
      <formula>AND($R6&lt;&gt;"",$R6&lt;&gt;"OK")</formula>
    </cfRule>
  </conditionalFormatting>
  <dataValidations count="9">
    <dataValidation type="list" allowBlank="1" showInputMessage="1" showErrorMessage="1" errorTitle="Check this entry" error="Pick from the list (edit the list on Setup: AuditIDs)." promptTitle="Audit no." prompt="Pick from the list (edit the list on Setup: AuditIDs)." sqref="B6:B559">
      <formula1>AuditIDs</formula1>
    </dataValidation>
    <dataValidation type="list" allowBlank="1" showInputMessage="1" showErrorMessage="1" errorTitle="Check this entry" error="Pick from the list (edit the list on Setup: Sections)." promptTitle="Clause" prompt="ISO 9001:2015 clause section the question tests. Pick from the list (edit the list on Setup: Sections)." sqref="C6:C559">
      <formula1>Sections</formula1>
    </dataValidation>
    <dataValidation type="textLength" allowBlank="1" showInputMessage="1" showErrorMessage="1" errorTitle="Check this entry" error="Text up to 20 characters." promptTitle="Clause ref." prompt="Clause number, e.g. 7.1.5.2. Text up to 20 characters." sqref="D6:D559">
      <formula1>0</formula1>
      <formula2>20</formula2>
    </dataValidation>
    <dataValidation type="textLength" allowBlank="1" showInputMessage="1" showErrorMessage="1" errorTitle="Check this entry" error="Text up to 255 characters." promptTitle="Question" prompt="The question, in your own words. Text up to 255 characters." sqref="E6:E559">
      <formula1>0</formula1>
      <formula2>255</formula2>
    </dataValidation>
    <dataValidation type="textLength" allowBlank="1" showInputMessage="1" showErrorMessage="1" errorTitle="Check this entry" error="Text up to 255 characters." promptTitle="Evidence" prompt="What you saw: records, samples, people interviewed. For a finding, state the facts. Text up to 255 characters." sqref="F6:F559">
      <formula1>0</formula1>
      <formula2>255</formula2>
    </dataValidation>
    <dataValidation type="list" allowBlank="1" showInputMessage="1" showErrorMessage="1" errorTitle="Check this entry" error="Pick one of: Conforms, Minor NC, Major NC, OFI, Not audited." promptTitle="Result" prompt="Conforms, Minor NC, Major NC, OFI (opportunity for improvement) or Not audited. Pick one of: Conforms, Minor NC, Major NC, OFI, Not audited." sqref="G6:G559">
      <formula1>"Conforms,Minor NC,Major NC,OFI,Not audited"</formula1>
    </dataValidation>
    <dataValidation type="textLength" allowBlank="1" showInputMessage="1" showErrorMessage="1" errorTitle="Check this entry" error="Text up to 40 characters." promptTitle="Action owner" prompt="Who owns the response to a finding. Text up to 40 characters." sqref="H6:H559">
      <formula1>0</formula1>
      <formula2>40</formula2>
    </dataValidation>
    <dataValidation type="date" allowBlank="1" showInputMessage="1" showErrorMessage="1" errorTitle="Check this entry" error="Enter a date between 01 Jan 2000 and 31 Dec 2100." promptTitle="Closed" prompt="Date the action was verified effective and the finding closed. Enter a date between 01 Jan 2000 and 31 Dec 2100." sqref="I6:I559">
      <formula1>36526</formula1>
      <formula2>73415</formula2>
    </dataValidation>
    <dataValidation type="textLength" allowBlank="1" showInputMessage="1" showErrorMessage="1" errorTitle="Check this entry" error="Text up to 255 characters." promptTitle="Notes" prompt="Text up to 255 characters." sqref="S6:S559">
      <formula1>0</formula1>
      <formula2>255</formula2>
    </dataValidation>
  </dataValidations>
  <hyperlinks>
    <hyperlink ref="S2" r:id="rId1" tooltip="Free manufacturing calculators and templates"/>
  </hyperlinks>
  <pageMargins left="0.4" right="0.4" top="0.7" bottom="0.65" header="0.3" footer="0.3"/>
  <pageSetup fitToHeight="0" orientation="landscape"/>
  <headerFooter>
    <oddHeader>&amp;L&amp;8MFG Calcs - ISO 9001 Internal Audit Planner&amp;R&amp;8&amp;A</oddHeader>
    <oddFooter>&amp;L&amp;8mfgcalcs.com - free manufacturing templates&amp;R&amp;8Page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sheetPr>
    <tabColor rgb="FF1BA37A"/>
    <pageSetUpPr fitToPage="1"/>
  </sheetPr>
  <dimension ref="A1:L61"/>
  <sheetViews>
    <sheetView showGridLines="0" zoomScale="90" zoomScaleNormal="90" workbookViewId="0"/>
  </sheetViews>
  <sheetFormatPr defaultRowHeight="15"/>
  <cols>
    <col min="1" max="1" width="2.7109375" customWidth="1"/>
    <col min="2" max="2" width="24.7109375" customWidth="1"/>
    <col min="3" max="12" width="10.28515625" customWidth="1"/>
  </cols>
  <sheetData>
    <row r="1" spans="1:12" ht="30" customHeight="1">
      <c r="A1" s="1" t="s">
        <v>0</v>
      </c>
      <c r="B1" s="1"/>
      <c r="C1" s="1"/>
      <c r="D1" s="1"/>
      <c r="E1" s="1"/>
      <c r="F1" s="1"/>
      <c r="G1" s="1"/>
      <c r="H1" s="1"/>
      <c r="I1" s="1"/>
      <c r="J1" s="1"/>
      <c r="K1" s="1"/>
      <c r="L1" s="1"/>
    </row>
    <row r="2" spans="1:12" ht="21" customHeight="1">
      <c r="B2" s="2" t="s">
        <v>26</v>
      </c>
      <c r="C2" s="2"/>
      <c r="D2" s="2"/>
      <c r="E2" s="2"/>
      <c r="F2" s="2"/>
      <c r="G2" s="2"/>
      <c r="H2" s="2"/>
      <c r="I2" s="2"/>
      <c r="J2" s="2"/>
      <c r="K2" s="3" t="s">
        <v>2</v>
      </c>
      <c r="L2" s="3"/>
    </row>
    <row r="3" spans="1:12" ht="6" customHeight="1"/>
    <row r="4" spans="1:12">
      <c r="B4" s="43" t="str">
        <f>"Status date "&amp;TEXT(AsOf,"d mmm yyyy")&amp;": "&amp;COUNTA(tblAudits[Audit no.])&amp;" audits on the programme, "&amp;COUNTA(tblChecklist[Question])&amp;" questions asked, "&amp;SUM(tblChecklist[Finding])&amp;" findings."</f>
        <v>Status date 9 Oct 2026: 14 audits on the programme, 54 questions asked, 14 findings.</v>
      </c>
      <c r="C4" s="43"/>
      <c r="D4" s="43"/>
      <c r="E4" s="43"/>
      <c r="F4" s="43"/>
      <c r="G4" s="43"/>
      <c r="H4" s="43"/>
      <c r="I4" s="43"/>
      <c r="J4" s="43"/>
      <c r="K4" s="43"/>
      <c r="L4" s="43"/>
    </row>
    <row r="6" spans="1:12" ht="18" customHeight="1">
      <c r="B6" s="44" t="s">
        <v>297</v>
      </c>
      <c r="C6" s="44"/>
      <c r="D6" s="44" t="s">
        <v>298</v>
      </c>
      <c r="E6" s="44"/>
      <c r="F6" s="44"/>
      <c r="G6" s="44" t="s">
        <v>299</v>
      </c>
      <c r="H6" s="44"/>
      <c r="I6" s="44"/>
      <c r="J6" s="44" t="s">
        <v>300</v>
      </c>
      <c r="K6" s="44"/>
      <c r="L6" s="44"/>
    </row>
    <row r="7" spans="1:12" ht="21" customHeight="1">
      <c r="B7" s="45">
        <f>IF((COUNTIFS(tblAudits[Planned date],"&lt;="&amp;AsOf)-COUNTIFS(tblAudits[Status],"Cancelled",tblAudits[Planned date],"&lt;="&amp;AsOf))=0,"",(COUNTIFS(tblAudits[Status],"Done",tblAudits[Planned date],"&lt;="&amp;AsOf))/(COUNTIFS(tblAudits[Planned date],"&lt;="&amp;AsOf)-COUNTIFS(tblAudits[Status],"Cancelled",tblAudits[Planned date],"&lt;="&amp;AsOf)))</f>
        <v>0.9</v>
      </c>
      <c r="C7" s="45"/>
      <c r="D7" s="46">
        <f>SUM(tblChecklist[Open])</f>
        <v>6</v>
      </c>
      <c r="E7" s="46"/>
      <c r="F7" s="46"/>
      <c r="G7" s="46">
        <f>COUNTIFS(tblChecklist[Action status],"Overdue")</f>
        <v>4</v>
      </c>
      <c r="H7" s="46"/>
      <c r="I7" s="46"/>
      <c r="J7" s="45">
        <f>IF((COUNTA(tblChecklist[Result])-COUNTIFS(tblChecklist[Result],"Not audited"))=0,"",(COUNTIFS(tblChecklist[Result],"Conforms"))/(COUNTA(tblChecklist[Result])-COUNTIFS(tblChecklist[Result],"Not audited")))</f>
        <v>0.740740740740741</v>
      </c>
      <c r="K7" s="45"/>
      <c r="L7" s="45"/>
    </row>
    <row r="8" spans="1:12" ht="21" customHeight="1">
      <c r="B8" s="45"/>
      <c r="C8" s="45"/>
      <c r="D8" s="46"/>
      <c r="E8" s="46"/>
      <c r="F8" s="46"/>
      <c r="G8" s="46"/>
      <c r="H8" s="46"/>
      <c r="I8" s="46"/>
      <c r="J8" s="45"/>
      <c r="K8" s="45"/>
      <c r="L8" s="45"/>
    </row>
    <row r="9" spans="1:12">
      <c r="B9" s="47">
        <f>TargetDone</f>
        <v>0.9</v>
      </c>
      <c r="C9" s="47"/>
      <c r="D9" s="48" t="s">
        <v>301</v>
      </c>
      <c r="E9" s="48"/>
      <c r="F9" s="48"/>
      <c r="G9" s="49">
        <f>0</f>
        <v>0</v>
      </c>
      <c r="H9" s="49"/>
      <c r="I9" s="49"/>
      <c r="J9" s="48" t="s">
        <v>302</v>
      </c>
      <c r="K9" s="48"/>
      <c r="L9" s="48"/>
    </row>
    <row r="10" spans="1:12" ht="18" customHeight="1">
      <c r="B10" s="50" t="str">
        <f>IF(NOT(ISNUMBER(KpiDone)),"No data",IF(KpiDone&gt;=(TargetDone),"On target",IF(KpiDone&gt;=(TargetDone)*(1-0.05),"Near target","Below target")))</f>
        <v>On target</v>
      </c>
      <c r="C10" s="50"/>
      <c r="D10" s="50"/>
      <c r="E10" s="50"/>
      <c r="F10" s="50"/>
      <c r="G10" s="50" t="str">
        <f>IF(NOT(ISNUMBER(KpiOverdue)),"No data",IF(KpiOverdue&lt;=(0),"On target",IF(KpiOverdue&lt;=(0)*(1+0.05),"Near target","Above target")))</f>
        <v>Above target</v>
      </c>
      <c r="H10" s="50"/>
      <c r="I10" s="50"/>
      <c r="J10" s="50"/>
      <c r="K10" s="50"/>
      <c r="L10" s="50"/>
    </row>
    <row r="30" spans="2:12" ht="18" customHeight="1">
      <c r="B30" s="44" t="s">
        <v>303</v>
      </c>
      <c r="C30" s="44"/>
      <c r="D30" s="44" t="s">
        <v>304</v>
      </c>
      <c r="E30" s="44"/>
      <c r="F30" s="44"/>
      <c r="G30" s="44" t="s">
        <v>305</v>
      </c>
      <c r="H30" s="44"/>
      <c r="I30" s="44"/>
      <c r="J30" s="44" t="s">
        <v>306</v>
      </c>
      <c r="K30" s="44"/>
      <c r="L30" s="44"/>
    </row>
    <row r="31" spans="2:12" ht="21" customHeight="1">
      <c r="B31" s="46">
        <f>COUNTIFS(tblChecklist[Result],"Major NC",tblChecklist[Open],1)</f>
        <v>0</v>
      </c>
      <c r="C31" s="46"/>
      <c r="D31" s="45">
        <f>IF((SUM(tblChecklist[Finding]))=0,"",(SUM(tblChecklist[Finding])-SUM(tblChecklist[Open]))/(SUM(tblChecklist[Finding])))</f>
        <v>0.571428571428571</v>
      </c>
      <c r="E31" s="45"/>
      <c r="F31" s="45"/>
      <c r="G31" s="46">
        <f>COUNTIFS(tblAudits[Due status],"Overdue")</f>
        <v>1</v>
      </c>
      <c r="H31" s="46"/>
      <c r="I31" s="46"/>
      <c r="J31" s="51">
        <f>SUMIFS(tblAudits[Est. hours],tblAudits[Status],"Planned")+SUMIFS(tblAudits[Est. hours],tblAudits[Status],"Postponed")</f>
        <v>2.93333333333333</v>
      </c>
      <c r="K31" s="51"/>
      <c r="L31" s="51"/>
    </row>
    <row r="32" spans="2:12" ht="21" customHeight="1">
      <c r="B32" s="46"/>
      <c r="C32" s="46"/>
      <c r="D32" s="45"/>
      <c r="E32" s="45"/>
      <c r="F32" s="45"/>
      <c r="G32" s="46"/>
      <c r="H32" s="46"/>
      <c r="I32" s="46"/>
      <c r="J32" s="51"/>
      <c r="K32" s="51"/>
      <c r="L32" s="51"/>
    </row>
    <row r="33" spans="2:12">
      <c r="B33" s="49">
        <f>0</f>
        <v>0</v>
      </c>
      <c r="C33" s="49"/>
      <c r="D33" s="47">
        <f>TargetClosed</f>
        <v>0.8</v>
      </c>
      <c r="E33" s="47"/>
      <c r="F33" s="47"/>
      <c r="G33" s="49">
        <f>0</f>
        <v>0</v>
      </c>
      <c r="H33" s="49"/>
      <c r="I33" s="49"/>
      <c r="J33" s="48" t="s">
        <v>307</v>
      </c>
      <c r="K33" s="48"/>
      <c r="L33" s="48"/>
    </row>
    <row r="34" spans="2:12" ht="18" customHeight="1">
      <c r="B34" s="50" t="str">
        <f>IF(NOT(ISNUMBER(KpiMajor)),"No data",IF(KpiMajor&lt;=(0),"On target",IF(KpiMajor&lt;=(0)*(1+0.05),"Near target","Above target")))</f>
        <v>On target</v>
      </c>
      <c r="C34" s="50"/>
      <c r="D34" s="50" t="str">
        <f>IF(NOT(ISNUMBER(KpiClosed)),"No data",IF(KpiClosed&gt;=(TargetClosed),"On target",IF(KpiClosed&gt;=(TargetClosed)*(1-0.05),"Near target","Below target")))</f>
        <v>Below target</v>
      </c>
      <c r="E34" s="50"/>
      <c r="F34" s="50"/>
      <c r="G34" s="50" t="str">
        <f>IF(NOT(ISNUMBER(KpiAuditsOverdue)),"No data",IF(KpiAuditsOverdue&lt;=(0),"On target",IF(KpiAuditsOverdue&lt;=(0)*(1+0.05),"Near target","Above target")))</f>
        <v>Above target</v>
      </c>
      <c r="H34" s="50"/>
      <c r="I34" s="50"/>
      <c r="J34" s="50"/>
      <c r="K34" s="50"/>
      <c r="L34" s="50"/>
    </row>
    <row r="36" spans="2:12">
      <c r="B36" s="33" t="s">
        <v>308</v>
      </c>
      <c r="C36" s="33"/>
      <c r="D36" s="33"/>
      <c r="E36" s="33"/>
      <c r="F36" s="33"/>
      <c r="G36" s="33"/>
      <c r="H36" s="33"/>
    </row>
    <row r="37" spans="2:12" ht="32" customHeight="1">
      <c r="B37" s="52" t="s">
        <v>309</v>
      </c>
      <c r="C37" s="34" t="s">
        <v>310</v>
      </c>
      <c r="D37" s="34" t="s">
        <v>311</v>
      </c>
      <c r="E37" s="34" t="s">
        <v>124</v>
      </c>
      <c r="F37" s="34" t="s">
        <v>126</v>
      </c>
      <c r="G37" s="34" t="s">
        <v>128</v>
      </c>
      <c r="H37" s="34" t="s">
        <v>312</v>
      </c>
    </row>
    <row r="38" spans="2:12">
      <c r="B38" s="53" t="s">
        <v>131</v>
      </c>
      <c r="C38" s="37">
        <f>COUNTIFS(tblChecklist[Clause],$B$38)-COUNTIFS(tblChecklist[Clause],$B$38,tblChecklist[Result],"Not audited")</f>
        <v>2</v>
      </c>
      <c r="D38" s="37">
        <f>COUNTIFS(tblChecklist[Clause],$B$38,tblChecklist[Result],"Conforms")</f>
        <v>1</v>
      </c>
      <c r="E38" s="37">
        <f>COUNTIFS(tblChecklist[Clause],$B$38,tblChecklist[Result],"Major NC")</f>
        <v>0</v>
      </c>
      <c r="F38" s="37">
        <f>COUNTIFS(tblChecklist[Clause],$B$38,tblChecklist[Result],"Minor NC")</f>
        <v>0</v>
      </c>
      <c r="G38" s="37">
        <f>COUNTIFS(tblChecklist[Clause],$B$38,tblChecklist[Result],"OFI")</f>
        <v>1</v>
      </c>
      <c r="H38" s="54">
        <f>IF(($C$38)=0,"",($D$38)/($C$38))</f>
        <v>0.5</v>
      </c>
    </row>
    <row r="39" spans="2:12">
      <c r="B39" s="53" t="s">
        <v>132</v>
      </c>
      <c r="C39" s="37">
        <f>COUNTIFS(tblChecklist[Clause],$B$39)-COUNTIFS(tblChecklist[Clause],$B$39,tblChecklist[Result],"Not audited")</f>
        <v>2</v>
      </c>
      <c r="D39" s="37">
        <f>COUNTIFS(tblChecklist[Clause],$B$39,tblChecklist[Result],"Conforms")</f>
        <v>2</v>
      </c>
      <c r="E39" s="37">
        <f>COUNTIFS(tblChecklist[Clause],$B$39,tblChecklist[Result],"Major NC")</f>
        <v>0</v>
      </c>
      <c r="F39" s="37">
        <f>COUNTIFS(tblChecklist[Clause],$B$39,tblChecklist[Result],"Minor NC")</f>
        <v>0</v>
      </c>
      <c r="G39" s="37">
        <f>COUNTIFS(tblChecklist[Clause],$B$39,tblChecklist[Result],"OFI")</f>
        <v>0</v>
      </c>
      <c r="H39" s="54">
        <f>IF(($C$39)=0,"",($D$39)/($C$39))</f>
        <v>1</v>
      </c>
    </row>
    <row r="40" spans="2:12">
      <c r="B40" s="53" t="s">
        <v>133</v>
      </c>
      <c r="C40" s="37">
        <f>COUNTIFS(tblChecklist[Clause],$B$40)-COUNTIFS(tblChecklist[Clause],$B$40,tblChecklist[Result],"Not audited")</f>
        <v>2</v>
      </c>
      <c r="D40" s="37">
        <f>COUNTIFS(tblChecklist[Clause],$B$40,tblChecklist[Result],"Conforms")</f>
        <v>1</v>
      </c>
      <c r="E40" s="37">
        <f>COUNTIFS(tblChecklist[Clause],$B$40,tblChecklist[Result],"Major NC")</f>
        <v>0</v>
      </c>
      <c r="F40" s="37">
        <f>COUNTIFS(tblChecklist[Clause],$B$40,tblChecklist[Result],"Minor NC")</f>
        <v>1</v>
      </c>
      <c r="G40" s="37">
        <f>COUNTIFS(tblChecklist[Clause],$B$40,tblChecklist[Result],"OFI")</f>
        <v>0</v>
      </c>
      <c r="H40" s="54">
        <f>IF(($C$40)=0,"",($D$40)/($C$40))</f>
        <v>0.5</v>
      </c>
    </row>
    <row r="41" spans="2:12">
      <c r="B41" s="53" t="s">
        <v>134</v>
      </c>
      <c r="C41" s="37">
        <f>COUNTIFS(tblChecklist[Clause],$B$41)-COUNTIFS(tblChecklist[Clause],$B$41,tblChecklist[Result],"Not audited")</f>
        <v>19</v>
      </c>
      <c r="D41" s="37">
        <f>COUNTIFS(tblChecklist[Clause],$B$41,tblChecklist[Result],"Conforms")</f>
        <v>14</v>
      </c>
      <c r="E41" s="37">
        <f>COUNTIFS(tblChecklist[Clause],$B$41,tblChecklist[Result],"Major NC")</f>
        <v>1</v>
      </c>
      <c r="F41" s="37">
        <f>COUNTIFS(tblChecklist[Clause],$B$41,tblChecklist[Result],"Minor NC")</f>
        <v>3</v>
      </c>
      <c r="G41" s="37">
        <f>COUNTIFS(tblChecklist[Clause],$B$41,tblChecklist[Result],"OFI")</f>
        <v>1</v>
      </c>
      <c r="H41" s="54">
        <f>IF(($C$41)=0,"",($D$41)/($C$41))</f>
        <v>0.736842105263158</v>
      </c>
    </row>
    <row r="42" spans="2:12">
      <c r="B42" s="53" t="s">
        <v>135</v>
      </c>
      <c r="C42" s="37">
        <f>COUNTIFS(tblChecklist[Clause],$B$42)-COUNTIFS(tblChecklist[Clause],$B$42,tblChecklist[Result],"Not audited")</f>
        <v>24</v>
      </c>
      <c r="D42" s="37">
        <f>COUNTIFS(tblChecklist[Clause],$B$42,tblChecklist[Result],"Conforms")</f>
        <v>19</v>
      </c>
      <c r="E42" s="37">
        <f>COUNTIFS(tblChecklist[Clause],$B$42,tblChecklist[Result],"Major NC")</f>
        <v>0</v>
      </c>
      <c r="F42" s="37">
        <f>COUNTIFS(tblChecklist[Clause],$B$42,tblChecklist[Result],"Minor NC")</f>
        <v>3</v>
      </c>
      <c r="G42" s="37">
        <f>COUNTIFS(tblChecklist[Clause],$B$42,tblChecklist[Result],"OFI")</f>
        <v>2</v>
      </c>
      <c r="H42" s="54">
        <f>IF(($C$42)=0,"",($D$42)/($C$42))</f>
        <v>0.791666666666667</v>
      </c>
    </row>
    <row r="43" spans="2:12">
      <c r="B43" s="53" t="s">
        <v>136</v>
      </c>
      <c r="C43" s="37">
        <f>COUNTIFS(tblChecklist[Clause],$B$43)-COUNTIFS(tblChecklist[Clause],$B$43,tblChecklist[Result],"Not audited")</f>
        <v>4</v>
      </c>
      <c r="D43" s="37">
        <f>COUNTIFS(tblChecklist[Clause],$B$43,tblChecklist[Result],"Conforms")</f>
        <v>2</v>
      </c>
      <c r="E43" s="37">
        <f>COUNTIFS(tblChecklist[Clause],$B$43,tblChecklist[Result],"Major NC")</f>
        <v>0</v>
      </c>
      <c r="F43" s="37">
        <f>COUNTIFS(tblChecklist[Clause],$B$43,tblChecklist[Result],"Minor NC")</f>
        <v>0</v>
      </c>
      <c r="G43" s="37">
        <f>COUNTIFS(tblChecklist[Clause],$B$43,tblChecklist[Result],"OFI")</f>
        <v>2</v>
      </c>
      <c r="H43" s="54">
        <f>IF(($C$43)=0,"",($D$43)/($C$43))</f>
        <v>0.5</v>
      </c>
    </row>
    <row r="44" spans="2:12">
      <c r="B44" s="53" t="s">
        <v>137</v>
      </c>
      <c r="C44" s="37">
        <f>COUNTIFS(tblChecklist[Clause],$B$44)-COUNTIFS(tblChecklist[Clause],$B$44,tblChecklist[Result],"Not audited")</f>
        <v>1</v>
      </c>
      <c r="D44" s="37">
        <f>COUNTIFS(tblChecklist[Clause],$B$44,tblChecklist[Result],"Conforms")</f>
        <v>1</v>
      </c>
      <c r="E44" s="37">
        <f>COUNTIFS(tblChecklist[Clause],$B$44,tblChecklist[Result],"Major NC")</f>
        <v>0</v>
      </c>
      <c r="F44" s="37">
        <f>COUNTIFS(tblChecklist[Clause],$B$44,tblChecklist[Result],"Minor NC")</f>
        <v>0</v>
      </c>
      <c r="G44" s="37">
        <f>COUNTIFS(tblChecklist[Clause],$B$44,tblChecklist[Result],"OFI")</f>
        <v>0</v>
      </c>
      <c r="H44" s="54">
        <f>IF(($C$44)=0,"",($D$44)/($C$44))</f>
        <v>1</v>
      </c>
    </row>
    <row r="46" spans="2:12">
      <c r="B46" s="33" t="s">
        <v>313</v>
      </c>
      <c r="C46" s="33"/>
      <c r="D46" s="33"/>
      <c r="E46" s="33"/>
      <c r="F46" s="33"/>
      <c r="G46" s="33"/>
      <c r="H46" s="33"/>
      <c r="I46" s="33"/>
      <c r="J46" s="33"/>
    </row>
    <row r="47" spans="2:12" ht="32" customHeight="1">
      <c r="B47" s="52" t="s">
        <v>64</v>
      </c>
      <c r="C47" s="34" t="s">
        <v>314</v>
      </c>
      <c r="D47" s="34" t="s">
        <v>151</v>
      </c>
      <c r="E47" s="34" t="s">
        <v>315</v>
      </c>
      <c r="F47" s="34" t="s">
        <v>124</v>
      </c>
      <c r="G47" s="34" t="s">
        <v>126</v>
      </c>
      <c r="H47" s="34" t="s">
        <v>128</v>
      </c>
      <c r="I47" s="34" t="s">
        <v>179</v>
      </c>
      <c r="J47" s="34" t="s">
        <v>316</v>
      </c>
    </row>
    <row r="48" spans="2:12">
      <c r="B48" s="53" t="str">
        <f>IFERROR(INDEX(tblProcesses[Process],1)&amp;"","")</f>
        <v>Management and planning</v>
      </c>
      <c r="C48" s="37">
        <f>IF($B$48="","",COUNTIFS(tblAudits[Process],$B$48)-COUNTIFS(tblAudits[Process],$B$48,tblAudits[Status],"Cancelled"))</f>
        <v>2</v>
      </c>
      <c r="D48" s="37">
        <f>IF($B$48="","",COUNTIFS(tblAudits[Process],$B$48,tblAudits[Status],"Done"))</f>
        <v>1</v>
      </c>
      <c r="E48" s="42">
        <f>IF($B$48="","",IF($D$48=0,"",SUMPRODUCT(MAX((tblAudits[Process]=$B$48)*(tblAudits[Status]="Done")*tblAudits[Actual date]))))</f>
        <v>46042</v>
      </c>
      <c r="F48" s="37">
        <f>IF($B$48="","",COUNTIFS(tblChecklist[Process],$B$48,tblChecklist[Result],"Major NC"))</f>
        <v>0</v>
      </c>
      <c r="G48" s="37">
        <f>IF($B$48="","",COUNTIFS(tblChecklist[Process],$B$48,tblChecklist[Result],"Minor NC"))</f>
        <v>1</v>
      </c>
      <c r="H48" s="37">
        <f>IF($B$48="","",COUNTIFS(tblChecklist[Process],$B$48,tblChecklist[Result],"OFI"))</f>
        <v>1</v>
      </c>
      <c r="I48" s="37">
        <f>IF($B$48="","",SUMIFS(tblChecklist[Open],tblChecklist[Process],$B$48))</f>
        <v>0</v>
      </c>
      <c r="J48" s="37">
        <f>IF($B$48="","",COUNTIFS(tblChecklist[Process],$B$48,tblChecklist[Action status],"Overdue"))</f>
        <v>0</v>
      </c>
    </row>
    <row r="49" spans="2:12">
      <c r="B49" s="53" t="str">
        <f>IFERROR(INDEX(tblProcesses[Process],2)&amp;"","")</f>
        <v>Sales and contract review</v>
      </c>
      <c r="C49" s="37">
        <f>IF($B$49="","",COUNTIFS(tblAudits[Process],$B$49)-COUNTIFS(tblAudits[Process],$B$49,tblAudits[Status],"Cancelled"))</f>
        <v>1</v>
      </c>
      <c r="D49" s="37">
        <f>IF($B$49="","",COUNTIFS(tblAudits[Process],$B$49,tblAudits[Status],"Done"))</f>
        <v>1</v>
      </c>
      <c r="E49" s="42">
        <f>IF($B$49="","",IF($D$49=0,"",SUMPRODUCT(MAX((tblAudits[Process]=$B$49)*(tblAudits[Status]="Done")*tblAudits[Actual date]))))</f>
        <v>46161</v>
      </c>
      <c r="F49" s="37">
        <f>IF($B$49="","",COUNTIFS(tblChecklist[Process],$B$49,tblChecklist[Result],"Major NC"))</f>
        <v>0</v>
      </c>
      <c r="G49" s="37">
        <f>IF($B$49="","",COUNTIFS(tblChecklist[Process],$B$49,tblChecklist[Result],"Minor NC"))</f>
        <v>0</v>
      </c>
      <c r="H49" s="37">
        <f>IF($B$49="","",COUNTIFS(tblChecklist[Process],$B$49,tblChecklist[Result],"OFI"))</f>
        <v>1</v>
      </c>
      <c r="I49" s="37">
        <f>IF($B$49="","",SUMIFS(tblChecklist[Open],tblChecklist[Process],$B$49))</f>
        <v>1</v>
      </c>
      <c r="J49" s="37">
        <f>IF($B$49="","",COUNTIFS(tblChecklist[Process],$B$49,tblChecklist[Action status],"Overdue"))</f>
        <v>1</v>
      </c>
    </row>
    <row r="50" spans="2:12">
      <c r="B50" s="53" t="str">
        <f>IFERROR(INDEX(tblProcesses[Process],3)&amp;"","")</f>
        <v>Design and development</v>
      </c>
      <c r="C50" s="37">
        <f>IF($B$50="","",COUNTIFS(tblAudits[Process],$B$50)-COUNTIFS(tblAudits[Process],$B$50,tblAudits[Status],"Cancelled"))</f>
        <v>1</v>
      </c>
      <c r="D50" s="37">
        <f>IF($B$50="","",COUNTIFS(tblAudits[Process],$B$50,tblAudits[Status],"Done"))</f>
        <v>1</v>
      </c>
      <c r="E50" s="42">
        <f>IF($B$50="","",IF($D$50=0,"",SUMPRODUCT(MAX((tblAudits[Process]=$B$50)*(tblAudits[Status]="Done")*tblAudits[Actual date]))))</f>
        <v>46211</v>
      </c>
      <c r="F50" s="37">
        <f>IF($B$50="","",COUNTIFS(tblChecklist[Process],$B$50,tblChecklist[Result],"Major NC"))</f>
        <v>0</v>
      </c>
      <c r="G50" s="37">
        <f>IF($B$50="","",COUNTIFS(tblChecklist[Process],$B$50,tblChecklist[Result],"Minor NC"))</f>
        <v>1</v>
      </c>
      <c r="H50" s="37">
        <f>IF($B$50="","",COUNTIFS(tblChecklist[Process],$B$50,tblChecklist[Result],"OFI"))</f>
        <v>0</v>
      </c>
      <c r="I50" s="37">
        <f>IF($B$50="","",SUMIFS(tblChecklist[Open],tblChecklist[Process],$B$50))</f>
        <v>1</v>
      </c>
      <c r="J50" s="37">
        <f>IF($B$50="","",COUNTIFS(tblChecklist[Process],$B$50,tblChecklist[Action status],"Overdue"))</f>
        <v>1</v>
      </c>
    </row>
    <row r="51" spans="2:12">
      <c r="B51" s="53" t="str">
        <f>IFERROR(INDEX(tblProcesses[Process],4)&amp;"","")</f>
        <v>Purchasing and suppliers</v>
      </c>
      <c r="C51" s="37">
        <f>IF($B$51="","",COUNTIFS(tblAudits[Process],$B$51)-COUNTIFS(tblAudits[Process],$B$51,tblAudits[Status],"Cancelled"))</f>
        <v>1</v>
      </c>
      <c r="D51" s="37">
        <f>IF($B$51="","",COUNTIFS(tblAudits[Process],$B$51,tblAudits[Status],"Done"))</f>
        <v>1</v>
      </c>
      <c r="E51" s="42">
        <f>IF($B$51="","",IF($D$51=0,"",SUMPRODUCT(MAX((tblAudits[Process]=$B$51)*(tblAudits[Status]="Done")*tblAudits[Actual date]))))</f>
        <v>46071</v>
      </c>
      <c r="F51" s="37">
        <f>IF($B$51="","",COUNTIFS(tblChecklist[Process],$B$51,tblChecklist[Result],"Major NC"))</f>
        <v>0</v>
      </c>
      <c r="G51" s="37">
        <f>IF($B$51="","",COUNTIFS(tblChecklist[Process],$B$51,tblChecklist[Result],"Minor NC"))</f>
        <v>1</v>
      </c>
      <c r="H51" s="37">
        <f>IF($B$51="","",COUNTIFS(tblChecklist[Process],$B$51,tblChecklist[Result],"OFI"))</f>
        <v>1</v>
      </c>
      <c r="I51" s="37">
        <f>IF($B$51="","",SUMIFS(tblChecklist[Open],tblChecklist[Process],$B$51))</f>
        <v>1</v>
      </c>
      <c r="J51" s="37">
        <f>IF($B$51="","",COUNTIFS(tblChecklist[Process],$B$51,tblChecklist[Action status],"Overdue"))</f>
        <v>1</v>
      </c>
    </row>
    <row r="52" spans="2:12">
      <c r="B52" s="53" t="str">
        <f>IFERROR(INDEX(tblProcesses[Process],5)&amp;"","")</f>
        <v>Production</v>
      </c>
      <c r="C52" s="37">
        <f>IF($B$52="","",COUNTIFS(tblAudits[Process],$B$52)-COUNTIFS(tblAudits[Process],$B$52,tblAudits[Status],"Cancelled"))</f>
        <v>2</v>
      </c>
      <c r="D52" s="37">
        <f>IF($B$52="","",COUNTIFS(tblAudits[Process],$B$52,tblAudits[Status],"Done"))</f>
        <v>1</v>
      </c>
      <c r="E52" s="42">
        <f>IF($B$52="","",IF($D$52=0,"",SUMPRODUCT(MAX((tblAudits[Process]=$B$52)*(tblAudits[Status]="Done")*tblAudits[Actual date]))))</f>
        <v>46091</v>
      </c>
      <c r="F52" s="37">
        <f>IF($B$52="","",COUNTIFS(tblChecklist[Process],$B$52,tblChecklist[Result],"Major NC"))</f>
        <v>0</v>
      </c>
      <c r="G52" s="37">
        <f>IF($B$52="","",COUNTIFS(tblChecklist[Process],$B$52,tblChecklist[Result],"Minor NC"))</f>
        <v>1</v>
      </c>
      <c r="H52" s="37">
        <f>IF($B$52="","",COUNTIFS(tblChecklist[Process],$B$52,tblChecklist[Result],"OFI"))</f>
        <v>1</v>
      </c>
      <c r="I52" s="37">
        <f>IF($B$52="","",SUMIFS(tblChecklist[Open],tblChecklist[Process],$B$52))</f>
        <v>0</v>
      </c>
      <c r="J52" s="37">
        <f>IF($B$52="","",COUNTIFS(tblChecklist[Process],$B$52,tblChecklist[Action status],"Overdue"))</f>
        <v>0</v>
      </c>
    </row>
    <row r="53" spans="2:12">
      <c r="B53" s="53" t="str">
        <f>IFERROR(INDEX(tblProcesses[Process],6)&amp;"","")</f>
        <v>Inspection and testing</v>
      </c>
      <c r="C53" s="37">
        <f>IF($B$53="","",COUNTIFS(tblAudits[Process],$B$53)-COUNTIFS(tblAudits[Process],$B$53,tblAudits[Status],"Cancelled"))</f>
        <v>2</v>
      </c>
      <c r="D53" s="37">
        <f>IF($B$53="","",COUNTIFS(tblAudits[Process],$B$53,tblAudits[Status],"Done"))</f>
        <v>1</v>
      </c>
      <c r="E53" s="42">
        <f>IF($B$53="","",IF($D$53=0,"",SUMPRODUCT(MAX((tblAudits[Process]=$B$53)*(tblAudits[Status]="Done")*tblAudits[Actual date]))))</f>
        <v>46182</v>
      </c>
      <c r="F53" s="37">
        <f>IF($B$53="","",COUNTIFS(tblChecklist[Process],$B$53,tblChecklist[Result],"Major NC"))</f>
        <v>0</v>
      </c>
      <c r="G53" s="37">
        <f>IF($B$53="","",COUNTIFS(tblChecklist[Process],$B$53,tblChecklist[Result],"Minor NC"))</f>
        <v>1</v>
      </c>
      <c r="H53" s="37">
        <f>IF($B$53="","",COUNTIFS(tblChecklist[Process],$B$53,tblChecklist[Result],"OFI"))</f>
        <v>1</v>
      </c>
      <c r="I53" s="37">
        <f>IF($B$53="","",SUMIFS(tblChecklist[Open],tblChecklist[Process],$B$53))</f>
        <v>1</v>
      </c>
      <c r="J53" s="37">
        <f>IF($B$53="","",COUNTIFS(tblChecklist[Process],$B$53,tblChecklist[Action status],"Overdue"))</f>
        <v>1</v>
      </c>
    </row>
    <row r="54" spans="2:12">
      <c r="B54" s="53" t="str">
        <f>IFERROR(INDEX(tblProcesses[Process],7)&amp;"","")</f>
        <v>Calibration</v>
      </c>
      <c r="C54" s="37">
        <f>IF($B$54="","",COUNTIFS(tblAudits[Process],$B$54)-COUNTIFS(tblAudits[Process],$B$54,tblAudits[Status],"Cancelled"))</f>
        <v>2</v>
      </c>
      <c r="D54" s="37">
        <f>IF($B$54="","",COUNTIFS(tblAudits[Process],$B$54,tblAudits[Status],"Done"))</f>
        <v>1</v>
      </c>
      <c r="E54" s="42">
        <f>IF($B$54="","",IF($D$54=0,"",SUMPRODUCT(MAX((tblAudits[Process]=$B$54)*(tblAudits[Status]="Done")*tblAudits[Actual date]))))</f>
        <v>46126</v>
      </c>
      <c r="F54" s="37">
        <f>IF($B$54="","",COUNTIFS(tblChecklist[Process],$B$54,tblChecklist[Result],"Major NC"))</f>
        <v>1</v>
      </c>
      <c r="G54" s="37">
        <f>IF($B$54="","",COUNTIFS(tblChecklist[Process],$B$54,tblChecklist[Result],"Minor NC"))</f>
        <v>1</v>
      </c>
      <c r="H54" s="37">
        <f>IF($B$54="","",COUNTIFS(tblChecklist[Process],$B$54,tblChecklist[Result],"OFI"))</f>
        <v>0</v>
      </c>
      <c r="I54" s="37">
        <f>IF($B$54="","",SUMIFS(tblChecklist[Open],tblChecklist[Process],$B$54))</f>
        <v>0</v>
      </c>
      <c r="J54" s="37">
        <f>IF($B$54="","",COUNTIFS(tblChecklist[Process],$B$54,tblChecklist[Action status],"Overdue"))</f>
        <v>0</v>
      </c>
    </row>
    <row r="55" spans="2:12">
      <c r="B55" s="53" t="str">
        <f>IFERROR(INDEX(tblProcesses[Process],8)&amp;"","")</f>
        <v>Warehouse and shipping</v>
      </c>
      <c r="C55" s="37">
        <f>IF($B$55="","",COUNTIFS(tblAudits[Process],$B$55)-COUNTIFS(tblAudits[Process],$B$55,tblAudits[Status],"Cancelled"))</f>
        <v>1</v>
      </c>
      <c r="D55" s="37">
        <f>IF($B$55="","",COUNTIFS(tblAudits[Process],$B$55,tblAudits[Status],"Done"))</f>
        <v>1</v>
      </c>
      <c r="E55" s="42">
        <f>IF($B$55="","",IF($D$55=0,"",SUMPRODUCT(MAX((tblAudits[Process]=$B$55)*(tblAudits[Status]="Done")*tblAudits[Actual date]))))</f>
        <v>46274</v>
      </c>
      <c r="F55" s="37">
        <f>IF($B$55="","",COUNTIFS(tblChecklist[Process],$B$55,tblChecklist[Result],"Major NC"))</f>
        <v>0</v>
      </c>
      <c r="G55" s="37">
        <f>IF($B$55="","",COUNTIFS(tblChecklist[Process],$B$55,tblChecklist[Result],"Minor NC"))</f>
        <v>0</v>
      </c>
      <c r="H55" s="37">
        <f>IF($B$55="","",COUNTIFS(tblChecklist[Process],$B$55,tblChecklist[Result],"OFI"))</f>
        <v>1</v>
      </c>
      <c r="I55" s="37">
        <f>IF($B$55="","",SUMIFS(tblChecklist[Open],tblChecklist[Process],$B$55))</f>
        <v>1</v>
      </c>
      <c r="J55" s="37">
        <f>IF($B$55="","",COUNTIFS(tblChecklist[Process],$B$55,tblChecklist[Action status],"Overdue"))</f>
        <v>0</v>
      </c>
    </row>
    <row r="56" spans="2:12">
      <c r="B56" s="53" t="str">
        <f>IFERROR(INDEX(tblProcesses[Process],9)&amp;"","")</f>
        <v>People and training</v>
      </c>
      <c r="C56" s="37">
        <f>IF($B$56="","",COUNTIFS(tblAudits[Process],$B$56)-COUNTIFS(tblAudits[Process],$B$56,tblAudits[Status],"Cancelled"))</f>
        <v>1</v>
      </c>
      <c r="D56" s="37">
        <f>IF($B$56="","",COUNTIFS(tblAudits[Process],$B$56,tblAudits[Status],"Done"))</f>
        <v>1</v>
      </c>
      <c r="E56" s="42">
        <f>IF($B$56="","",IF($D$56=0,"",SUMPRODUCT(MAX((tblAudits[Process]=$B$56)*(tblAudits[Status]="Done")*tblAudits[Actual date]))))</f>
        <v>46245</v>
      </c>
      <c r="F56" s="37">
        <f>IF($B$56="","",COUNTIFS(tblChecklist[Process],$B$56,tblChecklist[Result],"Major NC"))</f>
        <v>0</v>
      </c>
      <c r="G56" s="37">
        <f>IF($B$56="","",COUNTIFS(tblChecklist[Process],$B$56,tblChecklist[Result],"Minor NC"))</f>
        <v>1</v>
      </c>
      <c r="H56" s="37">
        <f>IF($B$56="","",COUNTIFS(tblChecklist[Process],$B$56,tblChecklist[Result],"OFI"))</f>
        <v>0</v>
      </c>
      <c r="I56" s="37">
        <f>IF($B$56="","",SUMIFS(tblChecklist[Open],tblChecklist[Process],$B$56))</f>
        <v>1</v>
      </c>
      <c r="J56" s="37">
        <f>IF($B$56="","",COUNTIFS(tblChecklist[Process],$B$56,tblChecklist[Action status],"Overdue"))</f>
        <v>0</v>
      </c>
    </row>
    <row r="57" spans="2:12">
      <c r="B57" s="53" t="str">
        <f>IFERROR(INDEX(tblProcesses[Process],10)&amp;"","")</f>
        <v>Improvement and CAPA</v>
      </c>
      <c r="C57" s="37">
        <f>IF($B$57="","",COUNTIFS(tblAudits[Process],$B$57)-COUNTIFS(tblAudits[Process],$B$57,tblAudits[Status],"Cancelled"))</f>
        <v>1</v>
      </c>
      <c r="D57" s="37">
        <f>IF($B$57="","",COUNTIFS(tblAudits[Process],$B$57,tblAudits[Status],"Done"))</f>
        <v>0</v>
      </c>
      <c r="E57" s="42">
        <f>IF($B$57="","",IF($D$57=0,"",SUMPRODUCT(MAX((tblAudits[Process]=$B$57)*(tblAudits[Status]="Done")*tblAudits[Actual date]))))</f>
        <v/>
      </c>
      <c r="F57" s="37">
        <f>IF($B$57="","",COUNTIFS(tblChecklist[Process],$B$57,tblChecklist[Result],"Major NC"))</f>
        <v>0</v>
      </c>
      <c r="G57" s="37">
        <f>IF($B$57="","",COUNTIFS(tblChecklist[Process],$B$57,tblChecklist[Result],"Minor NC"))</f>
        <v>0</v>
      </c>
      <c r="H57" s="37">
        <f>IF($B$57="","",COUNTIFS(tblChecklist[Process],$B$57,tblChecklist[Result],"OFI"))</f>
        <v>0</v>
      </c>
      <c r="I57" s="37">
        <f>IF($B$57="","",SUMIFS(tblChecklist[Open],tblChecklist[Process],$B$57))</f>
        <v>0</v>
      </c>
      <c r="J57" s="37">
        <f>IF($B$57="","",COUNTIFS(tblChecklist[Process],$B$57,tblChecklist[Action status],"Overdue"))</f>
        <v>0</v>
      </c>
    </row>
    <row r="59" spans="2:12" ht="8" customHeight="1"/>
    <row r="60" spans="2:12">
      <c r="B60" s="21" t="s">
        <v>317</v>
      </c>
      <c r="C60" s="21"/>
      <c r="D60" s="21"/>
      <c r="E60" s="21"/>
      <c r="F60" s="21"/>
      <c r="G60" s="21"/>
      <c r="H60" s="21"/>
      <c r="I60" s="21"/>
      <c r="J60" s="21"/>
      <c r="K60" s="21"/>
      <c r="L60" s="21"/>
    </row>
    <row r="61" spans="2:12">
      <c r="B61" s="55">
        <f>IF(COUNTA(tblProcesses[Process])&gt;10,"The process list is longer than the Dashboard block: some processes are not shown.","")</f>
        <v/>
      </c>
      <c r="C61" s="55"/>
      <c r="D61" s="55"/>
      <c r="E61" s="55"/>
      <c r="F61" s="55"/>
      <c r="G61" s="55"/>
      <c r="H61" s="55"/>
      <c r="I61" s="55"/>
      <c r="J61" s="55"/>
      <c r="K61" s="55"/>
      <c r="L61" s="55"/>
    </row>
  </sheetData>
  <sheetProtection sheet="1" formatColumns="0" formatRows="0"/>
  <mergeCells count="40">
    <mergeCell ref="A1:L1"/>
    <mergeCell ref="B2:J2"/>
    <mergeCell ref="K2:L2"/>
    <mergeCell ref="B4:L4"/>
    <mergeCell ref="B6:C6"/>
    <mergeCell ref="B7:C8"/>
    <mergeCell ref="B9:C9"/>
    <mergeCell ref="B10:C10"/>
    <mergeCell ref="D6:F6"/>
    <mergeCell ref="D7:F8"/>
    <mergeCell ref="D9:F9"/>
    <mergeCell ref="D10:F10"/>
    <mergeCell ref="G6:I6"/>
    <mergeCell ref="G7:I8"/>
    <mergeCell ref="G9:I9"/>
    <mergeCell ref="G10:I10"/>
    <mergeCell ref="J6:L6"/>
    <mergeCell ref="J7:L8"/>
    <mergeCell ref="J9:L9"/>
    <mergeCell ref="J10:L10"/>
    <mergeCell ref="B30:C30"/>
    <mergeCell ref="B31:C32"/>
    <mergeCell ref="B33:C33"/>
    <mergeCell ref="B34:C34"/>
    <mergeCell ref="D30:F30"/>
    <mergeCell ref="D31:F32"/>
    <mergeCell ref="D33:F33"/>
    <mergeCell ref="D34:F34"/>
    <mergeCell ref="G30:I30"/>
    <mergeCell ref="G31:I32"/>
    <mergeCell ref="G33:I33"/>
    <mergeCell ref="G34:I34"/>
    <mergeCell ref="J30:L30"/>
    <mergeCell ref="J31:L32"/>
    <mergeCell ref="J33:L33"/>
    <mergeCell ref="J34:L34"/>
    <mergeCell ref="B36:H36"/>
    <mergeCell ref="B46:J46"/>
    <mergeCell ref="B60:L60"/>
    <mergeCell ref="B61:L61"/>
  </mergeCells>
  <conditionalFormatting sqref="B10">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B34">
    <cfRule type="cellIs" dxfId="0" priority="41" operator="equal">
      <formula>"On target"</formula>
    </cfRule>
    <cfRule type="cellIs" dxfId="0" priority="42" operator="equal">
      <formula>"PASS"</formula>
    </cfRule>
    <cfRule type="cellIs" dxfId="0" priority="43" operator="equal">
      <formula>"OK"</formula>
    </cfRule>
    <cfRule type="cellIs" dxfId="0" priority="44" operator="equal">
      <formula>"Within limits"</formula>
    </cfRule>
    <cfRule type="cellIs" dxfId="0" priority="45" operator="equal">
      <formula>"Under capacity"</formula>
    </cfRule>
    <cfRule type="cellIs" dxfId="0" priority="46" operator="equal">
      <formula>"Complete"</formula>
    </cfRule>
    <cfRule type="cellIs" dxfId="0" priority="47" operator="equal">
      <formula>"Yes"</formula>
    </cfRule>
    <cfRule type="cellIs" dxfId="1" priority="48" operator="equal">
      <formula>"Near target"</formula>
    </cfRule>
    <cfRule type="cellIs" dxfId="1" priority="49" operator="equal">
      <formula>"Check"</formula>
    </cfRule>
    <cfRule type="cellIs" dxfId="1" priority="50" operator="equal">
      <formula>"Due soon"</formula>
    </cfRule>
    <cfRule type="cellIs" dxfId="1" priority="51" operator="equal">
      <formula>"Near capacity"</formula>
    </cfRule>
    <cfRule type="cellIs" dxfId="1" priority="52" operator="equal">
      <formula>"In progress"</formula>
    </cfRule>
    <cfRule type="cellIs" dxfId="1" priority="53" operator="equal">
      <formula>"Partial"</formula>
    </cfRule>
    <cfRule type="cellIs" dxfId="2" priority="54" operator="equal">
      <formula>"Below target"</formula>
    </cfRule>
    <cfRule type="cellIs" dxfId="2" priority="55" operator="equal">
      <formula>"Above target"</formula>
    </cfRule>
    <cfRule type="cellIs" dxfId="2" priority="56" operator="equal">
      <formula>"FAIL"</formula>
    </cfRule>
    <cfRule type="cellIs" dxfId="2" priority="57" operator="equal">
      <formula>"Over capacity"</formula>
    </cfRule>
    <cfRule type="cellIs" dxfId="2" priority="58" operator="equal">
      <formula>"Overdue"</formula>
    </cfRule>
    <cfRule type="cellIs" dxfId="2" priority="59" operator="equal">
      <formula>"Out of limits"</formula>
    </cfRule>
    <cfRule type="cellIs" dxfId="2" priority="60" operator="equal">
      <formula>"No"</formula>
    </cfRule>
  </conditionalFormatting>
  <conditionalFormatting sqref="D34">
    <cfRule type="cellIs" dxfId="0" priority="61" operator="equal">
      <formula>"On target"</formula>
    </cfRule>
    <cfRule type="cellIs" dxfId="0" priority="62" operator="equal">
      <formula>"PASS"</formula>
    </cfRule>
    <cfRule type="cellIs" dxfId="0" priority="63" operator="equal">
      <formula>"OK"</formula>
    </cfRule>
    <cfRule type="cellIs" dxfId="0" priority="64" operator="equal">
      <formula>"Within limits"</formula>
    </cfRule>
    <cfRule type="cellIs" dxfId="0" priority="65" operator="equal">
      <formula>"Under capacity"</formula>
    </cfRule>
    <cfRule type="cellIs" dxfId="0" priority="66" operator="equal">
      <formula>"Complete"</formula>
    </cfRule>
    <cfRule type="cellIs" dxfId="0" priority="67" operator="equal">
      <formula>"Yes"</formula>
    </cfRule>
    <cfRule type="cellIs" dxfId="1" priority="68" operator="equal">
      <formula>"Near target"</formula>
    </cfRule>
    <cfRule type="cellIs" dxfId="1" priority="69" operator="equal">
      <formula>"Check"</formula>
    </cfRule>
    <cfRule type="cellIs" dxfId="1" priority="70" operator="equal">
      <formula>"Due soon"</formula>
    </cfRule>
    <cfRule type="cellIs" dxfId="1" priority="71" operator="equal">
      <formula>"Near capacity"</formula>
    </cfRule>
    <cfRule type="cellIs" dxfId="1" priority="72" operator="equal">
      <formula>"In progress"</formula>
    </cfRule>
    <cfRule type="cellIs" dxfId="1" priority="73" operator="equal">
      <formula>"Partial"</formula>
    </cfRule>
    <cfRule type="cellIs" dxfId="2" priority="74" operator="equal">
      <formula>"Below target"</formula>
    </cfRule>
    <cfRule type="cellIs" dxfId="2" priority="75" operator="equal">
      <formula>"Above target"</formula>
    </cfRule>
    <cfRule type="cellIs" dxfId="2" priority="76" operator="equal">
      <formula>"FAIL"</formula>
    </cfRule>
    <cfRule type="cellIs" dxfId="2" priority="77" operator="equal">
      <formula>"Over capacity"</formula>
    </cfRule>
    <cfRule type="cellIs" dxfId="2" priority="78" operator="equal">
      <formula>"Overdue"</formula>
    </cfRule>
    <cfRule type="cellIs" dxfId="2" priority="79" operator="equal">
      <formula>"Out of limits"</formula>
    </cfRule>
    <cfRule type="cellIs" dxfId="2" priority="80" operator="equal">
      <formula>"No"</formula>
    </cfRule>
  </conditionalFormatting>
  <conditionalFormatting sqref="G10">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G34">
    <cfRule type="cellIs" dxfId="0" priority="81" operator="equal">
      <formula>"On target"</formula>
    </cfRule>
    <cfRule type="cellIs" dxfId="0" priority="82" operator="equal">
      <formula>"PASS"</formula>
    </cfRule>
    <cfRule type="cellIs" dxfId="0" priority="83" operator="equal">
      <formula>"OK"</formula>
    </cfRule>
    <cfRule type="cellIs" dxfId="0" priority="84" operator="equal">
      <formula>"Within limits"</formula>
    </cfRule>
    <cfRule type="cellIs" dxfId="0" priority="85" operator="equal">
      <formula>"Under capacity"</formula>
    </cfRule>
    <cfRule type="cellIs" dxfId="0" priority="86" operator="equal">
      <formula>"Complete"</formula>
    </cfRule>
    <cfRule type="cellIs" dxfId="0" priority="87" operator="equal">
      <formula>"Yes"</formula>
    </cfRule>
    <cfRule type="cellIs" dxfId="1" priority="88" operator="equal">
      <formula>"Near target"</formula>
    </cfRule>
    <cfRule type="cellIs" dxfId="1" priority="89" operator="equal">
      <formula>"Check"</formula>
    </cfRule>
    <cfRule type="cellIs" dxfId="1" priority="90" operator="equal">
      <formula>"Due soon"</formula>
    </cfRule>
    <cfRule type="cellIs" dxfId="1" priority="91" operator="equal">
      <formula>"Near capacity"</formula>
    </cfRule>
    <cfRule type="cellIs" dxfId="1" priority="92" operator="equal">
      <formula>"In progress"</formula>
    </cfRule>
    <cfRule type="cellIs" dxfId="1" priority="93" operator="equal">
      <formula>"Partial"</formula>
    </cfRule>
    <cfRule type="cellIs" dxfId="2" priority="94" operator="equal">
      <formula>"Below target"</formula>
    </cfRule>
    <cfRule type="cellIs" dxfId="2" priority="95" operator="equal">
      <formula>"Above target"</formula>
    </cfRule>
    <cfRule type="cellIs" dxfId="2" priority="96" operator="equal">
      <formula>"FAIL"</formula>
    </cfRule>
    <cfRule type="cellIs" dxfId="2" priority="97" operator="equal">
      <formula>"Over capacity"</formula>
    </cfRule>
    <cfRule type="cellIs" dxfId="2" priority="98" operator="equal">
      <formula>"Overdue"</formula>
    </cfRule>
    <cfRule type="cellIs" dxfId="2" priority="99" operator="equal">
      <formula>"Out of limits"</formula>
    </cfRule>
    <cfRule type="cellIs" dxfId="2" priority="100" operator="equal">
      <formula>"No"</formula>
    </cfRule>
  </conditionalFormatting>
  <hyperlinks>
    <hyperlink ref="K2" r:id="rId1" tooltip="Free manufacturing calculators and templates"/>
  </hyperlinks>
  <pageMargins left="0.4" right="0.4" top="0.7" bottom="0.65" header="0.3" footer="0.3"/>
  <pageSetup fitToHeight="0" orientation="landscape"/>
  <headerFooter>
    <oddHeader>&amp;L&amp;8MFG Calcs - ISO 9001 Internal Audit Planner&amp;R&amp;8&amp;A</oddHeader>
    <oddFooter>&amp;L&amp;8mfgcalcs.com - free manufacturing templates&amp;R&amp;8Page &amp;P of &amp;N</oddFooter>
  </headerFooter>
  <rowBreaks count="2" manualBreakCount="2">
    <brk id="29" max="16383" man="1"/>
    <brk id="45" max="16383" man="1"/>
  </rowBreaks>
  <drawing r:id="rId2"/>
</worksheet>
</file>

<file path=xl/worksheets/sheet6.xml><?xml version="1.0" encoding="utf-8"?>
<worksheet xmlns="http://schemas.openxmlformats.org/spreadsheetml/2006/main" xmlns:r="http://schemas.openxmlformats.org/officeDocument/2006/relationships">
  <sheetPr>
    <tabColor rgb="FF6B7280"/>
    <pageSetUpPr fitToPage="1"/>
  </sheetPr>
  <dimension ref="A1:D58"/>
  <sheetViews>
    <sheetView showGridLines="0" workbookViewId="0"/>
  </sheetViews>
  <sheetFormatPr defaultRowHeight="15"/>
  <cols>
    <col min="1" max="1" width="2.7109375" customWidth="1"/>
    <col min="2" max="2" width="26.7109375" customWidth="1"/>
    <col min="3" max="3" width="64.7109375" customWidth="1"/>
    <col min="4" max="4" width="14.7109375" customWidth="1"/>
  </cols>
  <sheetData>
    <row r="1" spans="1:4" ht="30" customHeight="1">
      <c r="A1" s="1" t="s">
        <v>0</v>
      </c>
      <c r="B1" s="1"/>
      <c r="C1" s="1"/>
      <c r="D1" s="1"/>
    </row>
    <row r="2" spans="1:4" ht="21" customHeight="1">
      <c r="B2" s="2" t="s">
        <v>28</v>
      </c>
      <c r="C2" s="2"/>
      <c r="D2" s="3" t="s">
        <v>2</v>
      </c>
    </row>
    <row r="3" spans="1:4" ht="6" customHeight="1"/>
    <row r="4" spans="1:4" ht="21" customHeight="1">
      <c r="B4" s="8" t="s">
        <v>318</v>
      </c>
      <c r="C4" s="8"/>
      <c r="D4" s="8"/>
    </row>
    <row r="5" spans="1:4" ht="5" customHeight="1"/>
    <row r="6" spans="1:4" ht="55.8" customHeight="1">
      <c r="B6" s="10" t="s">
        <v>319</v>
      </c>
      <c r="C6" s="10"/>
      <c r="D6" s="10"/>
    </row>
    <row r="8" spans="1:4" ht="21" customHeight="1">
      <c r="B8" s="8" t="s">
        <v>320</v>
      </c>
      <c r="C8" s="8"/>
      <c r="D8" s="8"/>
    </row>
    <row r="9" spans="1:4" ht="5" customHeight="1"/>
    <row r="10" spans="1:4" ht="20" customHeight="1">
      <c r="B10" s="52" t="s">
        <v>321</v>
      </c>
      <c r="C10" s="52" t="s">
        <v>322</v>
      </c>
      <c r="D10" s="34" t="s">
        <v>323</v>
      </c>
    </row>
    <row r="11" spans="1:4" ht="30.4" customHeight="1">
      <c r="B11" s="56" t="s">
        <v>324</v>
      </c>
      <c r="C11" s="57" t="s">
        <v>325</v>
      </c>
      <c r="D11" s="58" t="s">
        <v>326</v>
      </c>
    </row>
    <row r="12" spans="1:4" ht="30.4" customHeight="1">
      <c r="B12" s="56" t="s">
        <v>146</v>
      </c>
      <c r="C12" s="57" t="s">
        <v>327</v>
      </c>
      <c r="D12" s="58" t="s">
        <v>328</v>
      </c>
    </row>
    <row r="13" spans="1:4" ht="30.4" customHeight="1">
      <c r="B13" s="56" t="s">
        <v>329</v>
      </c>
      <c r="C13" s="57" t="s">
        <v>330</v>
      </c>
      <c r="D13" s="58" t="s">
        <v>331</v>
      </c>
    </row>
    <row r="14" spans="1:4" ht="17.2" customHeight="1">
      <c r="B14" s="56" t="s">
        <v>177</v>
      </c>
      <c r="C14" s="57" t="s">
        <v>332</v>
      </c>
      <c r="D14" s="58" t="s">
        <v>333</v>
      </c>
    </row>
    <row r="15" spans="1:4" ht="17.2" customHeight="1">
      <c r="B15" s="56" t="s">
        <v>178</v>
      </c>
      <c r="C15" s="57" t="s">
        <v>334</v>
      </c>
      <c r="D15" s="58" t="s">
        <v>335</v>
      </c>
    </row>
    <row r="16" spans="1:4" ht="30.4" customHeight="1">
      <c r="B16" s="56" t="s">
        <v>336</v>
      </c>
      <c r="C16" s="57" t="s">
        <v>337</v>
      </c>
      <c r="D16" s="58" t="s">
        <v>331</v>
      </c>
    </row>
    <row r="17" spans="2:4" ht="17.2" customHeight="1">
      <c r="B17" s="56" t="s">
        <v>181</v>
      </c>
      <c r="C17" s="57" t="s">
        <v>338</v>
      </c>
      <c r="D17" s="58" t="s">
        <v>331</v>
      </c>
    </row>
    <row r="18" spans="2:4" ht="30.4" customHeight="1">
      <c r="B18" s="56" t="s">
        <v>339</v>
      </c>
      <c r="C18" s="57" t="s">
        <v>340</v>
      </c>
      <c r="D18" s="58" t="s">
        <v>341</v>
      </c>
    </row>
    <row r="19" spans="2:4" ht="30.4" customHeight="1">
      <c r="B19" s="56" t="s">
        <v>342</v>
      </c>
      <c r="C19" s="57" t="s">
        <v>343</v>
      </c>
      <c r="D19" s="58" t="s">
        <v>341</v>
      </c>
    </row>
    <row r="20" spans="2:4" ht="30.4" customHeight="1">
      <c r="B20" s="56" t="s">
        <v>344</v>
      </c>
      <c r="C20" s="57" t="s">
        <v>345</v>
      </c>
      <c r="D20" s="58" t="s">
        <v>341</v>
      </c>
    </row>
    <row r="21" spans="2:4" ht="17.2" customHeight="1">
      <c r="B21" s="56" t="s">
        <v>346</v>
      </c>
      <c r="C21" s="57" t="s">
        <v>347</v>
      </c>
      <c r="D21" s="58" t="s">
        <v>328</v>
      </c>
    </row>
    <row r="23" spans="2:4" ht="21" customHeight="1">
      <c r="B23" s="8" t="s">
        <v>348</v>
      </c>
      <c r="C23" s="8"/>
      <c r="D23" s="8"/>
    </row>
    <row r="24" spans="2:4" ht="5" customHeight="1"/>
    <row r="25" spans="2:4" ht="16.2" customHeight="1">
      <c r="B25" s="26" t="s">
        <v>57</v>
      </c>
      <c r="C25" s="10" t="s">
        <v>349</v>
      </c>
      <c r="D25" s="10"/>
    </row>
    <row r="26" spans="2:4" ht="29.4" customHeight="1">
      <c r="B26" s="26" t="s">
        <v>57</v>
      </c>
      <c r="C26" s="10" t="s">
        <v>350</v>
      </c>
      <c r="D26" s="10"/>
    </row>
    <row r="27" spans="2:4" ht="29.4" customHeight="1">
      <c r="B27" s="26" t="s">
        <v>57</v>
      </c>
      <c r="C27" s="10" t="s">
        <v>351</v>
      </c>
      <c r="D27" s="10"/>
    </row>
    <row r="28" spans="2:4" ht="16.2" customHeight="1">
      <c r="B28" s="26" t="s">
        <v>57</v>
      </c>
      <c r="C28" s="10" t="s">
        <v>352</v>
      </c>
      <c r="D28" s="10"/>
    </row>
    <row r="30" spans="2:4" ht="21" customHeight="1">
      <c r="B30" s="8" t="s">
        <v>353</v>
      </c>
      <c r="C30" s="8"/>
      <c r="D30" s="8"/>
    </row>
    <row r="31" spans="2:4" ht="5" customHeight="1"/>
    <row r="32" spans="2:4" ht="29.4" customHeight="1">
      <c r="B32" s="26" t="s">
        <v>57</v>
      </c>
      <c r="C32" s="10" t="s">
        <v>354</v>
      </c>
      <c r="D32" s="10"/>
    </row>
    <row r="33" spans="2:4" ht="29.4" customHeight="1">
      <c r="B33" s="26" t="s">
        <v>57</v>
      </c>
      <c r="C33" s="10" t="s">
        <v>355</v>
      </c>
      <c r="D33" s="10"/>
    </row>
    <row r="34" spans="2:4" ht="16.2" customHeight="1">
      <c r="B34" s="26" t="s">
        <v>57</v>
      </c>
      <c r="C34" s="10" t="s">
        <v>356</v>
      </c>
      <c r="D34" s="10"/>
    </row>
    <row r="35" spans="2:4" ht="29.4" customHeight="1">
      <c r="B35" s="26" t="s">
        <v>57</v>
      </c>
      <c r="C35" s="10" t="s">
        <v>357</v>
      </c>
      <c r="D35" s="10"/>
    </row>
    <row r="37" spans="2:4" ht="21" customHeight="1">
      <c r="B37" s="8" t="s">
        <v>358</v>
      </c>
      <c r="C37" s="8"/>
      <c r="D37" s="8"/>
    </row>
    <row r="38" spans="2:4" ht="5" customHeight="1"/>
    <row r="39" spans="2:4" ht="55.8" customHeight="1">
      <c r="B39" s="10" t="s">
        <v>359</v>
      </c>
      <c r="C39" s="10"/>
      <c r="D39" s="10"/>
    </row>
    <row r="40" spans="2:4">
      <c r="B40" s="24" t="s">
        <v>360</v>
      </c>
      <c r="C40" s="24"/>
      <c r="D40" s="24"/>
    </row>
    <row r="42" spans="2:4" ht="21" customHeight="1">
      <c r="B42" s="8" t="s">
        <v>44</v>
      </c>
      <c r="C42" s="8"/>
      <c r="D42" s="8"/>
    </row>
    <row r="43" spans="2:4" ht="5" customHeight="1"/>
    <row r="44" spans="2:4" ht="42.6" customHeight="1">
      <c r="B44" s="10" t="s">
        <v>361</v>
      </c>
      <c r="C44" s="10"/>
      <c r="D44" s="10"/>
    </row>
    <row r="46" spans="2:4" ht="21" customHeight="1">
      <c r="B46" s="8" t="s">
        <v>362</v>
      </c>
      <c r="C46" s="8"/>
      <c r="D46" s="8"/>
    </row>
    <row r="47" spans="2:4" ht="5" customHeight="1"/>
    <row r="48" spans="2:4" ht="16.2" customHeight="1">
      <c r="B48" s="26" t="s">
        <v>57</v>
      </c>
      <c r="C48" s="10" t="s">
        <v>363</v>
      </c>
      <c r="D48" s="10"/>
    </row>
    <row r="49" spans="2:4" ht="16.2" customHeight="1">
      <c r="B49" s="26" t="s">
        <v>57</v>
      </c>
      <c r="C49" s="10" t="s">
        <v>364</v>
      </c>
      <c r="D49" s="10"/>
    </row>
    <row r="50" spans="2:4" ht="16.2" customHeight="1">
      <c r="B50" s="26" t="s">
        <v>57</v>
      </c>
      <c r="C50" s="10" t="s">
        <v>365</v>
      </c>
      <c r="D50" s="10"/>
    </row>
    <row r="51" spans="2:4">
      <c r="B51" s="21" t="s">
        <v>366</v>
      </c>
      <c r="C51" s="21"/>
      <c r="D51" s="21"/>
    </row>
    <row r="53" spans="2:4" ht="21" customHeight="1">
      <c r="B53" s="8" t="s">
        <v>367</v>
      </c>
      <c r="C53" s="8"/>
      <c r="D53" s="8"/>
    </row>
    <row r="54" spans="2:4" ht="5" customHeight="1"/>
    <row r="55" spans="2:4">
      <c r="B55" s="52" t="s">
        <v>52</v>
      </c>
      <c r="C55" s="52" t="s">
        <v>368</v>
      </c>
      <c r="D55" s="34" t="s">
        <v>369</v>
      </c>
    </row>
    <row r="56" spans="2:4" ht="16.2" customHeight="1">
      <c r="B56" s="59" t="s">
        <v>370</v>
      </c>
      <c r="C56" s="60" t="s">
        <v>371</v>
      </c>
      <c r="D56" s="61" t="s">
        <v>372</v>
      </c>
    </row>
    <row r="58" spans="2:4">
      <c r="B58" s="21" t="s">
        <v>63</v>
      </c>
      <c r="C58" s="21"/>
      <c r="D58" s="21"/>
    </row>
  </sheetData>
  <sheetProtection sheet="1" formatColumns="0" formatRows="0"/>
  <mergeCells count="27">
    <mergeCell ref="A1:D1"/>
    <mergeCell ref="B2:C2"/>
    <mergeCell ref="B4:D4"/>
    <mergeCell ref="B6:D6"/>
    <mergeCell ref="B8:D8"/>
    <mergeCell ref="B23:D23"/>
    <mergeCell ref="C25:D25"/>
    <mergeCell ref="C26:D26"/>
    <mergeCell ref="C27:D27"/>
    <mergeCell ref="C28:D28"/>
    <mergeCell ref="B30:D30"/>
    <mergeCell ref="C32:D32"/>
    <mergeCell ref="C33:D33"/>
    <mergeCell ref="C34:D34"/>
    <mergeCell ref="C35:D35"/>
    <mergeCell ref="B37:D37"/>
    <mergeCell ref="B39:D39"/>
    <mergeCell ref="B40:D40"/>
    <mergeCell ref="B42:D42"/>
    <mergeCell ref="B44:D44"/>
    <mergeCell ref="B46:D46"/>
    <mergeCell ref="C48:D48"/>
    <mergeCell ref="C49:D49"/>
    <mergeCell ref="C50:D50"/>
    <mergeCell ref="B51:D51"/>
    <mergeCell ref="B53:D53"/>
    <mergeCell ref="B58:D58"/>
  </mergeCells>
  <hyperlinks>
    <hyperlink ref="D2" r:id="rId1" tooltip="Free manufacturing calculators and templates"/>
    <hyperlink ref="B40" r:id="rId2"/>
  </hyperlinks>
  <printOptions horizontalCentered="1"/>
  <pageMargins left="0.4" right="0.4" top="0.7" bottom="0.65" header="0.3" footer="0.3"/>
  <pageSetup fitToHeight="0" orientation="portrait"/>
  <headerFooter>
    <oddHeader>&amp;L&amp;8MFG Calcs - ISO 9001 Internal Audit Planner&amp;R&amp;8&amp;A</oddHeader>
    <oddFooter>&amp;L&amp;8mfgcalcs.com - free manufacturing templates&amp;R&amp;8Page &amp;P of &amp;N</oddFooter>
  </headerFooter>
  <rowBreaks count="1" manualBreakCount="1">
    <brk id="29" max="16383" man="1"/>
  </rowBreaks>
</worksheet>
</file>

<file path=xl/worksheets/sheet7.xml><?xml version="1.0" encoding="utf-8"?>
<worksheet xmlns="http://schemas.openxmlformats.org/spreadsheetml/2006/main" xmlns:r="http://schemas.openxmlformats.org/officeDocument/2006/relationships">
  <sheetPr>
    <tabColor rgb="FF2C3440"/>
    <pageSetUpPr fitToPage="1"/>
  </sheetPr>
  <dimension ref="A1:S68"/>
  <sheetViews>
    <sheetView showGridLines="0" workbookViewId="0"/>
  </sheetViews>
  <sheetFormatPr defaultRowHeight="15"/>
  <cols>
    <col min="1" max="1" width="2.7109375" customWidth="1"/>
    <col min="2" max="19" width="12.7109375" customWidth="1"/>
  </cols>
  <sheetData>
    <row r="1" spans="1:19" ht="30" customHeight="1">
      <c r="A1" s="1" t="s">
        <v>0</v>
      </c>
      <c r="B1" s="1"/>
      <c r="C1" s="1"/>
      <c r="D1" s="1"/>
      <c r="E1" s="1"/>
      <c r="F1" s="1"/>
      <c r="G1" s="1"/>
      <c r="H1" s="1"/>
      <c r="I1" s="1"/>
      <c r="J1" s="1"/>
      <c r="K1" s="1"/>
      <c r="L1" s="1"/>
      <c r="M1" s="1"/>
      <c r="N1" s="1"/>
      <c r="O1" s="1"/>
      <c r="P1" s="1"/>
      <c r="Q1" s="1"/>
      <c r="R1" s="1"/>
      <c r="S1" s="1"/>
    </row>
    <row r="2" spans="1:19" ht="21" customHeight="1">
      <c r="B2" s="2" t="s">
        <v>30</v>
      </c>
      <c r="C2" s="2"/>
      <c r="D2" s="2"/>
      <c r="E2" s="2"/>
      <c r="F2" s="2"/>
      <c r="G2" s="2"/>
      <c r="H2" s="2"/>
      <c r="I2" s="2"/>
      <c r="J2" s="2"/>
      <c r="K2" s="2"/>
      <c r="L2" s="2"/>
      <c r="M2" s="2"/>
      <c r="N2" s="2"/>
      <c r="O2" s="2"/>
      <c r="P2" s="2"/>
      <c r="Q2" s="2"/>
      <c r="R2" s="2"/>
      <c r="S2" s="3" t="s">
        <v>2</v>
      </c>
    </row>
    <row r="3" spans="1:19" ht="6" customHeight="1"/>
    <row r="4" spans="1:19" ht="30" customHeight="1">
      <c r="B4" s="62" t="s">
        <v>373</v>
      </c>
      <c r="C4" s="62"/>
      <c r="D4" s="22" t="str">
        <f>IF(COUNTIF($K$11:$K$29,"PASS")=19,"PASS","FAIL")</f>
        <v>PASS</v>
      </c>
      <c r="E4" s="22"/>
      <c r="F4" s="23" t="str">
        <f>COUNTIF($K$11:$K$29,"PASS")&amp;" of 19 checks pass"</f>
        <v>19 of 19 checks pass</v>
      </c>
      <c r="G4" s="23"/>
      <c r="H4" s="23"/>
      <c r="I4" s="23"/>
      <c r="J4" s="23"/>
    </row>
    <row r="6" spans="1:19" ht="29.4" customHeight="1">
      <c r="B6" s="10" t="s">
        <v>374</v>
      </c>
      <c r="C6" s="10"/>
      <c r="D6" s="10"/>
      <c r="E6" s="10"/>
      <c r="F6" s="10"/>
      <c r="G6" s="10"/>
      <c r="H6" s="10"/>
      <c r="I6" s="10"/>
      <c r="J6" s="10"/>
      <c r="K6" s="10"/>
      <c r="L6" s="10"/>
    </row>
    <row r="8" spans="1:19" ht="21" customHeight="1">
      <c r="B8" s="8" t="s">
        <v>375</v>
      </c>
      <c r="C8" s="8"/>
      <c r="D8" s="8"/>
      <c r="E8" s="8"/>
      <c r="F8" s="8"/>
      <c r="G8" s="8"/>
      <c r="H8" s="8"/>
      <c r="I8" s="8"/>
      <c r="J8" s="8"/>
      <c r="K8" s="8"/>
      <c r="L8" s="8"/>
    </row>
    <row r="9" spans="1:19" ht="5" customHeight="1"/>
    <row r="10" spans="1:19" ht="30" customHeight="1">
      <c r="B10" s="34" t="s">
        <v>376</v>
      </c>
      <c r="C10" s="52" t="s">
        <v>148</v>
      </c>
      <c r="D10" s="52"/>
      <c r="E10" s="52"/>
      <c r="F10" s="52"/>
      <c r="G10" s="34" t="s">
        <v>377</v>
      </c>
      <c r="H10" s="34" t="s">
        <v>378</v>
      </c>
      <c r="I10" s="34" t="s">
        <v>379</v>
      </c>
      <c r="J10" s="34" t="s">
        <v>380</v>
      </c>
      <c r="K10" s="34" t="s">
        <v>173</v>
      </c>
    </row>
    <row r="11" spans="1:19" ht="16.2" customHeight="1">
      <c r="B11" s="63">
        <v>1</v>
      </c>
      <c r="C11" s="60" t="s">
        <v>381</v>
      </c>
      <c r="D11" s="60"/>
      <c r="E11" s="60"/>
      <c r="F11" s="60"/>
      <c r="G11" s="64">
        <v>11</v>
      </c>
      <c r="H11" s="65">
        <f>$N$53</f>
        <v>11</v>
      </c>
      <c r="I11" s="66">
        <f>IF(AND(ISNUMBER($G$11),ISNUMBER($H$11)),ABS($H$11-$G$11),"")</f>
        <v>0</v>
      </c>
      <c r="J11" s="67">
        <v>1E-09</v>
      </c>
      <c r="K11" s="39" t="str">
        <f>IF(AND(ISNUMBER($G$11),ISNUMBER($H$11)),IF(ABS($H$11-$G$11)&lt;=$J$11,"PASS","FAIL"),"FAIL")</f>
        <v>PASS</v>
      </c>
    </row>
    <row r="12" spans="1:19" ht="16.2" customHeight="1">
      <c r="B12" s="63">
        <v>2</v>
      </c>
      <c r="C12" s="60" t="s">
        <v>382</v>
      </c>
      <c r="D12" s="60"/>
      <c r="E12" s="60"/>
      <c r="F12" s="60"/>
      <c r="G12" s="68">
        <v>1</v>
      </c>
      <c r="H12" s="37">
        <f>$K$53</f>
        <v>1</v>
      </c>
      <c r="I12" s="66">
        <f>IF(AND(ISNUMBER($G$12),ISNUMBER($H$12)),ABS($H$12-$G$12),"")</f>
        <v>0</v>
      </c>
      <c r="J12" s="67">
        <v>1E-09</v>
      </c>
      <c r="K12" s="39" t="str">
        <f>IF(AND(ISNUMBER($G$12),ISNUMBER($H$12)),IF(ABS($H$12-$G$12)&lt;=$J$12,"PASS","FAIL"),"FAIL")</f>
        <v>PASS</v>
      </c>
    </row>
    <row r="13" spans="1:19" ht="16.2" customHeight="1">
      <c r="B13" s="63">
        <v>3</v>
      </c>
      <c r="C13" s="60" t="s">
        <v>383</v>
      </c>
      <c r="D13" s="60"/>
      <c r="E13" s="60"/>
      <c r="F13" s="60"/>
      <c r="G13" s="59" t="s">
        <v>316</v>
      </c>
      <c r="H13" s="36" t="str">
        <f>$O$55</f>
        <v>Overdue</v>
      </c>
      <c r="I13" s="36"/>
      <c r="J13" s="61" t="s">
        <v>384</v>
      </c>
      <c r="K13" s="39" t="str">
        <f>IF($H$13&amp;""=$G$13&amp;"","PASS","FAIL")</f>
        <v>PASS</v>
      </c>
    </row>
    <row r="14" spans="1:19" ht="16.2" customHeight="1">
      <c r="B14" s="63">
        <v>4</v>
      </c>
      <c r="C14" s="60" t="s">
        <v>385</v>
      </c>
      <c r="D14" s="60"/>
      <c r="E14" s="60"/>
      <c r="F14" s="60"/>
      <c r="G14" s="59" t="s">
        <v>386</v>
      </c>
      <c r="H14" s="36" t="str">
        <f>$O$56</f>
        <v>Due soon</v>
      </c>
      <c r="I14" s="36"/>
      <c r="J14" s="61" t="s">
        <v>384</v>
      </c>
      <c r="K14" s="39" t="str">
        <f>IF($H$14&amp;""=$G$14&amp;"","PASS","FAIL")</f>
        <v>PASS</v>
      </c>
    </row>
    <row r="15" spans="1:19" ht="16.2" customHeight="1">
      <c r="B15" s="63">
        <v>5</v>
      </c>
      <c r="C15" s="60" t="s">
        <v>387</v>
      </c>
      <c r="D15" s="60"/>
      <c r="E15" s="60"/>
      <c r="F15" s="60"/>
      <c r="G15" s="59" t="s">
        <v>388</v>
      </c>
      <c r="H15" s="36" t="str">
        <f>$O$57</f>
        <v>Cancelled</v>
      </c>
      <c r="I15" s="36"/>
      <c r="J15" s="61" t="s">
        <v>384</v>
      </c>
      <c r="K15" s="39" t="str">
        <f>IF($H$15&amp;""=$G$15&amp;"","PASS","FAIL")</f>
        <v>PASS</v>
      </c>
    </row>
    <row r="16" spans="1:19" ht="16.2" customHeight="1">
      <c r="B16" s="63">
        <v>6</v>
      </c>
      <c r="C16" s="60" t="s">
        <v>389</v>
      </c>
      <c r="D16" s="60"/>
      <c r="E16" s="60"/>
      <c r="F16" s="60"/>
      <c r="G16" s="59" t="s">
        <v>390</v>
      </c>
      <c r="H16" s="36" t="str">
        <f>$P$58</f>
        <v>Auditor owns this process</v>
      </c>
      <c r="I16" s="36"/>
      <c r="J16" s="61" t="s">
        <v>384</v>
      </c>
      <c r="K16" s="39" t="str">
        <f>IF($H$16&amp;""=$G$16&amp;"","PASS","FAIL")</f>
        <v>PASS</v>
      </c>
    </row>
    <row r="17" spans="2:12" ht="16.2" customHeight="1">
      <c r="B17" s="63">
        <v>7</v>
      </c>
      <c r="C17" s="60" t="s">
        <v>391</v>
      </c>
      <c r="D17" s="60"/>
      <c r="E17" s="60"/>
      <c r="F17" s="60"/>
      <c r="G17" s="69">
        <v>46121</v>
      </c>
      <c r="H17" s="42">
        <f>$N$63</f>
        <v>46121</v>
      </c>
      <c r="I17" s="66">
        <f>IF(AND(ISNUMBER($G$17),ISNUMBER($H$17)),ABS($H$17-$G$17),"")</f>
        <v>0</v>
      </c>
      <c r="J17" s="67">
        <v>1E-09</v>
      </c>
      <c r="K17" s="39" t="str">
        <f>IF(AND(ISNUMBER($G$17),ISNUMBER($H$17)),IF(ABS($H$17-$G$17)&lt;=$J$17,"PASS","FAIL"),"FAIL")</f>
        <v>PASS</v>
      </c>
    </row>
    <row r="18" spans="2:12" ht="16.2" customHeight="1">
      <c r="B18" s="63">
        <v>8</v>
      </c>
      <c r="C18" s="60" t="s">
        <v>392</v>
      </c>
      <c r="D18" s="60"/>
      <c r="E18" s="60"/>
      <c r="F18" s="60"/>
      <c r="G18" s="59" t="s">
        <v>393</v>
      </c>
      <c r="H18" s="36" t="str">
        <f>$Q$63</f>
        <v>Yes</v>
      </c>
      <c r="I18" s="36"/>
      <c r="J18" s="61" t="s">
        <v>384</v>
      </c>
      <c r="K18" s="39" t="str">
        <f>IF($H$18&amp;""=$G$18&amp;"","PASS","FAIL")</f>
        <v>PASS</v>
      </c>
    </row>
    <row r="19" spans="2:12" ht="16.2" customHeight="1">
      <c r="B19" s="63">
        <v>9</v>
      </c>
      <c r="C19" s="60" t="s">
        <v>394</v>
      </c>
      <c r="D19" s="60"/>
      <c r="E19" s="60"/>
      <c r="F19" s="60"/>
      <c r="G19" s="59" t="s">
        <v>316</v>
      </c>
      <c r="H19" s="36" t="str">
        <f>$P$64</f>
        <v>Overdue</v>
      </c>
      <c r="I19" s="36"/>
      <c r="J19" s="61" t="s">
        <v>384</v>
      </c>
      <c r="K19" s="39" t="str">
        <f>IF($H$19&amp;""=$G$19&amp;"","PASS","FAIL")</f>
        <v>PASS</v>
      </c>
    </row>
    <row r="20" spans="2:12" ht="16.2" customHeight="1">
      <c r="B20" s="63">
        <v>10</v>
      </c>
      <c r="C20" s="60" t="s">
        <v>395</v>
      </c>
      <c r="D20" s="60"/>
      <c r="E20" s="60"/>
      <c r="F20" s="60"/>
      <c r="G20" s="59" t="s">
        <v>396</v>
      </c>
      <c r="H20" s="36" t="str">
        <f>$P$65</f>
        <v>OK</v>
      </c>
      <c r="I20" s="36"/>
      <c r="J20" s="61" t="s">
        <v>384</v>
      </c>
      <c r="K20" s="39" t="str">
        <f>IF($H$20&amp;""=$G$20&amp;"","PASS","FAIL")</f>
        <v>PASS</v>
      </c>
    </row>
    <row r="21" spans="2:12" ht="16.2" customHeight="1">
      <c r="B21" s="63">
        <v>11</v>
      </c>
      <c r="C21" s="60" t="s">
        <v>397</v>
      </c>
      <c r="D21" s="60"/>
      <c r="E21" s="60"/>
      <c r="F21" s="60"/>
      <c r="G21" s="68">
        <v>0</v>
      </c>
      <c r="H21" s="37">
        <f>$M$62</f>
        <v>0</v>
      </c>
      <c r="I21" s="66">
        <f>IF(AND(ISNUMBER($G$21),ISNUMBER($H$21)),ABS($H$21-$G$21),"")</f>
        <v>0</v>
      </c>
      <c r="J21" s="67">
        <v>1E-09</v>
      </c>
      <c r="K21" s="39" t="str">
        <f>IF(AND(ISNUMBER($G$21),ISNUMBER($H$21)),IF(ABS($H$21-$G$21)&lt;=$J$21,"PASS","FAIL"),"FAIL")</f>
        <v>PASS</v>
      </c>
    </row>
    <row r="22" spans="2:12" ht="16.2" customHeight="1">
      <c r="B22" s="63">
        <v>12</v>
      </c>
      <c r="C22" s="60" t="s">
        <v>398</v>
      </c>
      <c r="D22" s="60"/>
      <c r="E22" s="60"/>
      <c r="F22" s="60"/>
      <c r="G22" s="59" t="s">
        <v>399</v>
      </c>
      <c r="H22" s="36" t="str">
        <f>$R$66</f>
        <v>Closed after the status date</v>
      </c>
      <c r="I22" s="36"/>
      <c r="J22" s="61" t="s">
        <v>384</v>
      </c>
      <c r="K22" s="39" t="str">
        <f>IF($H$22&amp;""=$G$22&amp;"","PASS","FAIL")</f>
        <v>PASS</v>
      </c>
    </row>
    <row r="23" spans="2:12" ht="16.2" customHeight="1">
      <c r="B23" s="63">
        <v>13</v>
      </c>
      <c r="C23" s="60" t="s">
        <v>400</v>
      </c>
      <c r="D23" s="60"/>
      <c r="E23" s="60"/>
      <c r="F23" s="60"/>
      <c r="G23" s="59" t="s">
        <v>401</v>
      </c>
      <c r="H23" s="36" t="str">
        <f>$R$68</f>
        <v>Finding has no owner</v>
      </c>
      <c r="I23" s="36"/>
      <c r="J23" s="61" t="s">
        <v>384</v>
      </c>
      <c r="K23" s="39" t="str">
        <f>IF($H$23&amp;""=$G$23&amp;"","PASS","FAIL")</f>
        <v>PASS</v>
      </c>
    </row>
    <row r="24" spans="2:12" ht="16.2" customHeight="1">
      <c r="B24" s="63">
        <v>14</v>
      </c>
      <c r="C24" s="60" t="s">
        <v>402</v>
      </c>
      <c r="D24" s="60"/>
      <c r="E24" s="60"/>
      <c r="F24" s="60"/>
      <c r="G24" s="70">
        <v>0.6666666666666666</v>
      </c>
      <c r="H24" s="71">
        <f>IF((COUNTIFS(tblVerifyAudits[Planned date],"&lt;="&amp;$E$35)-COUNTIFS(tblVerifyAudits[Status],"Cancelled",tblVerifyAudits[Planned date],"&lt;="&amp;$E$35))=0,"",(COUNTIFS(tblVerifyAudits[Status],"Done",tblVerifyAudits[Planned date],"&lt;="&amp;$E$35))/(COUNTIFS(tblVerifyAudits[Planned date],"&lt;="&amp;$E$35)-COUNTIFS(tblVerifyAudits[Status],"Cancelled",tblVerifyAudits[Planned date],"&lt;="&amp;$E$35)))</f>
        <v>0.666666666666667</v>
      </c>
      <c r="I24" s="66">
        <f>IF(AND(ISNUMBER($G$24),ISNUMBER($H$24)),ABS($H$24-$G$24),"")</f>
        <v>0</v>
      </c>
      <c r="J24" s="67">
        <v>1E-09</v>
      </c>
      <c r="K24" s="39" t="str">
        <f>IF(AND(ISNUMBER($G$24),ISNUMBER($H$24)),IF(ABS($H$24-$G$24)&lt;=$J$24,"PASS","FAIL"),"FAIL")</f>
        <v>PASS</v>
      </c>
    </row>
    <row r="25" spans="2:12" ht="16.2" customHeight="1">
      <c r="B25" s="63">
        <v>15</v>
      </c>
      <c r="C25" s="60" t="s">
        <v>403</v>
      </c>
      <c r="D25" s="60"/>
      <c r="E25" s="60"/>
      <c r="F25" s="60"/>
      <c r="G25" s="68">
        <v>3</v>
      </c>
      <c r="H25" s="37">
        <f>SUM(tblVerifyChecklist[Open])</f>
        <v>3</v>
      </c>
      <c r="I25" s="66">
        <f>IF(AND(ISNUMBER($G$25),ISNUMBER($H$25)),ABS($H$25-$G$25),"")</f>
        <v>0</v>
      </c>
      <c r="J25" s="67">
        <v>1E-09</v>
      </c>
      <c r="K25" s="39" t="str">
        <f>IF(AND(ISNUMBER($G$25),ISNUMBER($H$25)),IF(ABS($H$25-$G$25)&lt;=$J$25,"PASS","FAIL"),"FAIL")</f>
        <v>PASS</v>
      </c>
    </row>
    <row r="26" spans="2:12" ht="16.2" customHeight="1">
      <c r="B26" s="63">
        <v>16</v>
      </c>
      <c r="C26" s="60" t="s">
        <v>404</v>
      </c>
      <c r="D26" s="60"/>
      <c r="E26" s="60"/>
      <c r="F26" s="60"/>
      <c r="G26" s="68">
        <v>1</v>
      </c>
      <c r="H26" s="37">
        <f>COUNTIFS(tblVerifyChecklist[Action status],"Overdue")</f>
        <v>1</v>
      </c>
      <c r="I26" s="66">
        <f>IF(AND(ISNUMBER($G$26),ISNUMBER($H$26)),ABS($H$26-$G$26),"")</f>
        <v>0</v>
      </c>
      <c r="J26" s="67">
        <v>1E-09</v>
      </c>
      <c r="K26" s="39" t="str">
        <f>IF(AND(ISNUMBER($G$26),ISNUMBER($H$26)),IF(ABS($H$26-$G$26)&lt;=$J$26,"PASS","FAIL"),"FAIL")</f>
        <v>PASS</v>
      </c>
    </row>
    <row r="27" spans="2:12" ht="16.2" customHeight="1">
      <c r="B27" s="63">
        <v>17</v>
      </c>
      <c r="C27" s="60" t="s">
        <v>405</v>
      </c>
      <c r="D27" s="60"/>
      <c r="E27" s="60"/>
      <c r="F27" s="60"/>
      <c r="G27" s="70">
        <v>0.1666666666666667</v>
      </c>
      <c r="H27" s="71">
        <f>IF((COUNTA(tblVerifyChecklist[Result])-COUNTIFS(tblVerifyChecklist[Result],"Not audited"))=0,"",(COUNTIFS(tblVerifyChecklist[Result],"Conforms"))/(COUNTA(tblVerifyChecklist[Result])-COUNTIFS(tblVerifyChecklist[Result],"Not audited")))</f>
        <v>0.166666666666667</v>
      </c>
      <c r="I27" s="66">
        <f>IF(AND(ISNUMBER($G$27),ISNUMBER($H$27)),ABS($H$27-$G$27),"")</f>
        <v>0</v>
      </c>
      <c r="J27" s="67">
        <v>1E-09</v>
      </c>
      <c r="K27" s="39" t="str">
        <f>IF(AND(ISNUMBER($G$27),ISNUMBER($H$27)),IF(ABS($H$27-$G$27)&lt;=$J$27,"PASS","FAIL"),"FAIL")</f>
        <v>PASS</v>
      </c>
    </row>
    <row r="28" spans="2:12" ht="16.2" customHeight="1">
      <c r="B28" s="63">
        <v>18</v>
      </c>
      <c r="C28" s="60" t="s">
        <v>406</v>
      </c>
      <c r="D28" s="60"/>
      <c r="E28" s="60"/>
      <c r="F28" s="60"/>
      <c r="G28" s="70">
        <v>0.4</v>
      </c>
      <c r="H28" s="71">
        <f>IF((SUM(tblVerifyChecklist[Finding]))=0,"",(SUM(tblVerifyChecklist[Finding])-SUM(tblVerifyChecklist[Open]))/(SUM(tblVerifyChecklist[Finding])))</f>
        <v>0.4</v>
      </c>
      <c r="I28" s="66">
        <f>IF(AND(ISNUMBER($G$28),ISNUMBER($H$28)),ABS($H$28-$G$28),"")</f>
        <v>0</v>
      </c>
      <c r="J28" s="67">
        <v>1E-09</v>
      </c>
      <c r="K28" s="39" t="str">
        <f>IF(AND(ISNUMBER($G$28),ISNUMBER($H$28)),IF(ABS($H$28-$G$28)&lt;=$J$28,"PASS","FAIL"),"FAIL")</f>
        <v>PASS</v>
      </c>
    </row>
    <row r="29" spans="2:12" ht="16.2" customHeight="1">
      <c r="B29" s="63">
        <v>19</v>
      </c>
      <c r="C29" s="60" t="s">
        <v>407</v>
      </c>
      <c r="D29" s="60"/>
      <c r="E29" s="60"/>
      <c r="F29" s="60"/>
      <c r="G29" s="64">
        <v>1.65</v>
      </c>
      <c r="H29" s="65">
        <f>SUMIFS(tblVerifyAudits[Est. hours],tblVerifyAudits[Status],"Planned")+SUMIFS(tblVerifyAudits[Est. hours],tblVerifyAudits[Status],"Postponed")</f>
        <v>1.65</v>
      </c>
      <c r="I29" s="66">
        <f>IF(AND(ISNUMBER($G$29),ISNUMBER($H$29)),ABS($H$29-$G$29),"")</f>
        <v>0</v>
      </c>
      <c r="J29" s="67">
        <v>1E-09</v>
      </c>
      <c r="K29" s="39" t="str">
        <f>IF(AND(ISNUMBER($G$29),ISNUMBER($H$29)),IF(ABS($H$29-$G$29)&lt;=$J$29,"PASS","FAIL"),"FAIL")</f>
        <v>PASS</v>
      </c>
    </row>
    <row r="31" spans="2:12" ht="21" customHeight="1">
      <c r="B31" s="8" t="s">
        <v>408</v>
      </c>
      <c r="C31" s="8"/>
      <c r="D31" s="8"/>
      <c r="E31" s="8"/>
      <c r="F31" s="8"/>
      <c r="G31" s="8"/>
      <c r="H31" s="8"/>
      <c r="I31" s="8"/>
      <c r="J31" s="8"/>
      <c r="K31" s="8"/>
      <c r="L31" s="8"/>
    </row>
    <row r="32" spans="2:12" ht="5" customHeight="1"/>
    <row r="33" spans="2:12">
      <c r="B33" s="21" t="s">
        <v>409</v>
      </c>
      <c r="C33" s="21"/>
      <c r="D33" s="21"/>
      <c r="E33" s="21"/>
      <c r="F33" s="21"/>
      <c r="G33" s="21"/>
      <c r="H33" s="21"/>
      <c r="I33" s="21"/>
      <c r="J33" s="21"/>
      <c r="K33" s="21"/>
      <c r="L33" s="21"/>
    </row>
    <row r="34" spans="2:12">
      <c r="B34" s="33" t="s">
        <v>410</v>
      </c>
      <c r="C34" s="33"/>
      <c r="D34" s="33"/>
      <c r="E34" s="33"/>
      <c r="F34" s="33"/>
    </row>
    <row r="35" spans="2:12">
      <c r="B35" s="27" t="s">
        <v>411</v>
      </c>
      <c r="C35" s="27"/>
      <c r="D35" s="27"/>
      <c r="E35" s="69">
        <v>46203</v>
      </c>
      <c r="F35" s="7"/>
    </row>
    <row r="36" spans="2:12">
      <c r="B36" s="27" t="s">
        <v>412</v>
      </c>
      <c r="C36" s="27"/>
      <c r="D36" s="27"/>
      <c r="E36" s="68">
        <v>14</v>
      </c>
      <c r="F36" s="7"/>
    </row>
    <row r="37" spans="2:12">
      <c r="B37" s="27" t="s">
        <v>413</v>
      </c>
      <c r="C37" s="27"/>
      <c r="D37" s="27"/>
      <c r="E37" s="72">
        <v>5</v>
      </c>
      <c r="F37" s="7"/>
    </row>
    <row r="38" spans="2:12">
      <c r="B38" s="27" t="s">
        <v>414</v>
      </c>
      <c r="C38" s="27"/>
      <c r="D38" s="27"/>
      <c r="E38" s="73">
        <v>0.1</v>
      </c>
      <c r="F38" s="7"/>
    </row>
    <row r="40" spans="2:12">
      <c r="B40" s="33" t="s">
        <v>415</v>
      </c>
      <c r="C40" s="33"/>
      <c r="D40" s="33"/>
      <c r="E40" s="33"/>
      <c r="F40" s="33"/>
      <c r="G40" s="33"/>
      <c r="H40" s="33"/>
      <c r="I40" s="33"/>
      <c r="J40" s="33"/>
      <c r="K40" s="33"/>
      <c r="L40" s="33"/>
    </row>
    <row r="41" spans="2:12" ht="20" customHeight="1">
      <c r="B41" s="34" t="s">
        <v>64</v>
      </c>
      <c r="C41" s="34" t="s">
        <v>65</v>
      </c>
      <c r="D41" s="34" t="s">
        <v>66</v>
      </c>
    </row>
    <row r="42" spans="2:12">
      <c r="B42" s="59" t="s">
        <v>416</v>
      </c>
      <c r="C42" s="59" t="s">
        <v>417</v>
      </c>
      <c r="D42" s="59" t="s">
        <v>152</v>
      </c>
    </row>
    <row r="43" spans="2:12">
      <c r="B43" s="59" t="s">
        <v>418</v>
      </c>
      <c r="C43" s="59" t="s">
        <v>419</v>
      </c>
      <c r="D43" s="59" t="s">
        <v>152</v>
      </c>
    </row>
    <row r="45" spans="2:12">
      <c r="B45" s="33" t="s">
        <v>420</v>
      </c>
      <c r="C45" s="33"/>
      <c r="D45" s="33"/>
      <c r="E45" s="33"/>
      <c r="F45" s="33"/>
      <c r="G45" s="33"/>
      <c r="H45" s="33"/>
      <c r="I45" s="33"/>
      <c r="J45" s="33"/>
      <c r="K45" s="33"/>
      <c r="L45" s="33"/>
    </row>
    <row r="46" spans="2:12" ht="32" customHeight="1">
      <c r="B46" s="34" t="s">
        <v>69</v>
      </c>
      <c r="C46" s="34" t="s">
        <v>70</v>
      </c>
      <c r="D46" s="34" t="s">
        <v>71</v>
      </c>
    </row>
    <row r="47" spans="2:12">
      <c r="B47" s="59" t="s">
        <v>124</v>
      </c>
      <c r="C47" s="68">
        <v>30</v>
      </c>
      <c r="D47" s="59" t="s">
        <v>152</v>
      </c>
    </row>
    <row r="48" spans="2:12">
      <c r="B48" s="59" t="s">
        <v>126</v>
      </c>
      <c r="C48" s="68">
        <v>60</v>
      </c>
      <c r="D48" s="59" t="s">
        <v>152</v>
      </c>
    </row>
    <row r="49" spans="2:19">
      <c r="B49" s="59" t="s">
        <v>128</v>
      </c>
      <c r="C49" s="68">
        <v>90</v>
      </c>
      <c r="D49" s="59" t="s">
        <v>152</v>
      </c>
    </row>
    <row r="51" spans="2:19">
      <c r="B51" s="33" t="s">
        <v>421</v>
      </c>
      <c r="C51" s="33"/>
      <c r="D51" s="33"/>
      <c r="E51" s="33"/>
      <c r="F51" s="33"/>
      <c r="G51" s="33"/>
      <c r="H51" s="33"/>
      <c r="I51" s="33"/>
      <c r="J51" s="33"/>
      <c r="K51" s="33"/>
      <c r="L51" s="33"/>
    </row>
    <row r="52" spans="2:19" ht="32" customHeight="1">
      <c r="B52" s="34" t="s">
        <v>138</v>
      </c>
      <c r="C52" s="34" t="s">
        <v>64</v>
      </c>
      <c r="D52" s="34" t="s">
        <v>139</v>
      </c>
      <c r="E52" s="34" t="s">
        <v>140</v>
      </c>
      <c r="F52" s="34" t="s">
        <v>141</v>
      </c>
      <c r="G52" s="34" t="s">
        <v>142</v>
      </c>
      <c r="H52" s="34" t="s">
        <v>143</v>
      </c>
      <c r="I52" s="34" t="s">
        <v>144</v>
      </c>
      <c r="J52" s="34" t="s">
        <v>145</v>
      </c>
      <c r="K52" s="34" t="s">
        <v>124</v>
      </c>
      <c r="L52" s="34" t="s">
        <v>126</v>
      </c>
      <c r="M52" s="34" t="s">
        <v>128</v>
      </c>
      <c r="N52" s="34" t="s">
        <v>146</v>
      </c>
      <c r="O52" s="34" t="s">
        <v>147</v>
      </c>
      <c r="P52" s="34" t="s">
        <v>148</v>
      </c>
      <c r="Q52" s="34" t="s">
        <v>68</v>
      </c>
    </row>
    <row r="53" spans="2:19">
      <c r="B53" s="59" t="s">
        <v>422</v>
      </c>
      <c r="C53" s="59" t="s">
        <v>416</v>
      </c>
      <c r="D53" s="59" t="s">
        <v>423</v>
      </c>
      <c r="E53" s="69">
        <v>46091</v>
      </c>
      <c r="F53" s="69">
        <v>46091</v>
      </c>
      <c r="G53" s="59" t="s">
        <v>151</v>
      </c>
      <c r="H53" s="68">
        <v>120</v>
      </c>
      <c r="I53" s="59" t="s">
        <v>417</v>
      </c>
      <c r="J53" s="37">
        <f>IF(tblVerifyAudits[[#This Row],[Audit no.]]="","",COUNTIFS(tblVerifyChecklist[Audit no.],tblVerifyAudits[[#This Row],[Audit no.]]))</f>
        <v>3</v>
      </c>
      <c r="K53" s="37">
        <f>IF(tblVerifyAudits[[#This Row],[Audit no.]]="","",COUNTIFS(tblVerifyChecklist[Audit no.],tblVerifyAudits[[#This Row],[Audit no.]],tblVerifyChecklist[Result],"Major NC"))</f>
        <v>1</v>
      </c>
      <c r="L53" s="37">
        <f>IF(tblVerifyAudits[[#This Row],[Audit no.]]="","",COUNTIFS(tblVerifyChecklist[Audit no.],tblVerifyAudits[[#This Row],[Audit no.]],tblVerifyChecklist[Result],"Minor NC"))</f>
        <v>1</v>
      </c>
      <c r="M53" s="37">
        <f>IF(tblVerifyAudits[[#This Row],[Audit no.]]="","",COUNTIFS(tblVerifyChecklist[Audit no.],tblVerifyAudits[[#This Row],[Audit no.]],tblVerifyChecklist[Result],"OFI"))</f>
        <v>0</v>
      </c>
      <c r="N53" s="38">
        <f>IF(tblVerifyAudits[[#This Row],[Audit no.]]="","",tblVerifyAudits[[#This Row],[Questions planned]]*$E$37/60*(1+$E$38))</f>
        <v>11</v>
      </c>
      <c r="O53" s="39" t="str">
        <f>IF(tblVerifyAudits[[#This Row],[Audit no.]]="","",IF(tblVerifyAudits[[#This Row],[Status]]="Done","Complete",IF(tblVerifyAudits[[#This Row],[Status]]="Cancelled","Cancelled",IF($E$35&gt;tblVerifyAudits[[#This Row],[Planned date]],"Overdue",IF(tblVerifyAudits[[#This Row],[Planned date]]-$E$35&lt;=$E$36,"Due soon","OK")))))</f>
        <v>Complete</v>
      </c>
      <c r="P53" s="40" t="str">
        <f>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f>
        <v>OK</v>
      </c>
      <c r="Q53" s="59" t="s">
        <v>152</v>
      </c>
    </row>
    <row r="54" spans="2:19">
      <c r="B54" s="59" t="s">
        <v>424</v>
      </c>
      <c r="C54" s="59" t="s">
        <v>418</v>
      </c>
      <c r="D54" s="59" t="s">
        <v>423</v>
      </c>
      <c r="E54" s="69">
        <v>46162</v>
      </c>
      <c r="F54" s="69">
        <v>46163</v>
      </c>
      <c r="G54" s="59" t="s">
        <v>151</v>
      </c>
      <c r="H54" s="68">
        <v>4</v>
      </c>
      <c r="I54" s="59" t="s">
        <v>419</v>
      </c>
      <c r="J54" s="37">
        <f>IF(tblVerifyAudits[[#This Row],[Audit no.]]="","",COUNTIFS(tblVerifyChecklist[Audit no.],tblVerifyAudits[[#This Row],[Audit no.]]))</f>
        <v>4</v>
      </c>
      <c r="K54" s="37">
        <f>IF(tblVerifyAudits[[#This Row],[Audit no.]]="","",COUNTIFS(tblVerifyChecklist[Audit no.],tblVerifyAudits[[#This Row],[Audit no.]],tblVerifyChecklist[Result],"Major NC"))</f>
        <v>0</v>
      </c>
      <c r="L54" s="37">
        <f>IF(tblVerifyAudits[[#This Row],[Audit no.]]="","",COUNTIFS(tblVerifyChecklist[Audit no.],tblVerifyAudits[[#This Row],[Audit no.]],tblVerifyChecklist[Result],"Minor NC"))</f>
        <v>2</v>
      </c>
      <c r="M54" s="37">
        <f>IF(tblVerifyAudits[[#This Row],[Audit no.]]="","",COUNTIFS(tblVerifyChecklist[Audit no.],tblVerifyAudits[[#This Row],[Audit no.]],tblVerifyChecklist[Result],"OFI"))</f>
        <v>1</v>
      </c>
      <c r="N54" s="38">
        <f>IF(tblVerifyAudits[[#This Row],[Audit no.]]="","",tblVerifyAudits[[#This Row],[Questions planned]]*$E$37/60*(1+$E$38))</f>
        <v>0.366666666666667</v>
      </c>
      <c r="O54" s="39" t="str">
        <f>IF(tblVerifyAudits[[#This Row],[Audit no.]]="","",IF(tblVerifyAudits[[#This Row],[Status]]="Done","Complete",IF(tblVerifyAudits[[#This Row],[Status]]="Cancelled","Cancelled",IF($E$35&gt;tblVerifyAudits[[#This Row],[Planned date]],"Overdue",IF(tblVerifyAudits[[#This Row],[Planned date]]-$E$35&lt;=$E$36,"Due soon","OK")))))</f>
        <v>Complete</v>
      </c>
      <c r="P54" s="40" t="str">
        <f>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f>
        <v>OK</v>
      </c>
      <c r="Q54" s="59" t="s">
        <v>152</v>
      </c>
    </row>
    <row r="55" spans="2:19">
      <c r="B55" s="59" t="s">
        <v>425</v>
      </c>
      <c r="C55" s="59" t="s">
        <v>416</v>
      </c>
      <c r="D55" s="59" t="s">
        <v>423</v>
      </c>
      <c r="E55" s="69">
        <v>46188</v>
      </c>
      <c r="F55" s="69"/>
      <c r="G55" s="59" t="s">
        <v>163</v>
      </c>
      <c r="H55" s="68">
        <v>6</v>
      </c>
      <c r="I55" s="59" t="s">
        <v>417</v>
      </c>
      <c r="J55" s="37">
        <f>IF(tblVerifyAudits[[#This Row],[Audit no.]]="","",COUNTIFS(tblVerifyChecklist[Audit no.],tblVerifyAudits[[#This Row],[Audit no.]]))</f>
        <v>0</v>
      </c>
      <c r="K55" s="37">
        <f>IF(tblVerifyAudits[[#This Row],[Audit no.]]="","",COUNTIFS(tblVerifyChecklist[Audit no.],tblVerifyAudits[[#This Row],[Audit no.]],tblVerifyChecklist[Result],"Major NC"))</f>
        <v>0</v>
      </c>
      <c r="L55" s="37">
        <f>IF(tblVerifyAudits[[#This Row],[Audit no.]]="","",COUNTIFS(tblVerifyChecklist[Audit no.],tblVerifyAudits[[#This Row],[Audit no.]],tblVerifyChecklist[Result],"Minor NC"))</f>
        <v>0</v>
      </c>
      <c r="M55" s="37">
        <f>IF(tblVerifyAudits[[#This Row],[Audit no.]]="","",COUNTIFS(tblVerifyChecklist[Audit no.],tblVerifyAudits[[#This Row],[Audit no.]],tblVerifyChecklist[Result],"OFI"))</f>
        <v>0</v>
      </c>
      <c r="N55" s="38">
        <f>IF(tblVerifyAudits[[#This Row],[Audit no.]]="","",tblVerifyAudits[[#This Row],[Questions planned]]*$E$37/60*(1+$E$38))</f>
        <v>0.55</v>
      </c>
      <c r="O55" s="39" t="str">
        <f>IF(tblVerifyAudits[[#This Row],[Audit no.]]="","",IF(tblVerifyAudits[[#This Row],[Status]]="Done","Complete",IF(tblVerifyAudits[[#This Row],[Status]]="Cancelled","Cancelled",IF($E$35&gt;tblVerifyAudits[[#This Row],[Planned date]],"Overdue",IF(tblVerifyAudits[[#This Row],[Planned date]]-$E$35&lt;=$E$36,"Due soon","OK")))))</f>
        <v>Overdue</v>
      </c>
      <c r="P55" s="40" t="str">
        <f>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f>
        <v>OK</v>
      </c>
      <c r="Q55" s="59" t="s">
        <v>152</v>
      </c>
    </row>
    <row r="56" spans="2:19">
      <c r="B56" s="59" t="s">
        <v>426</v>
      </c>
      <c r="C56" s="59" t="s">
        <v>418</v>
      </c>
      <c r="D56" s="59" t="s">
        <v>423</v>
      </c>
      <c r="E56" s="69">
        <v>46211</v>
      </c>
      <c r="F56" s="69"/>
      <c r="G56" s="59" t="s">
        <v>166</v>
      </c>
      <c r="H56" s="68">
        <v>6</v>
      </c>
      <c r="I56" s="59" t="s">
        <v>419</v>
      </c>
      <c r="J56" s="37">
        <f>IF(tblVerifyAudits[[#This Row],[Audit no.]]="","",COUNTIFS(tblVerifyChecklist[Audit no.],tblVerifyAudits[[#This Row],[Audit no.]]))</f>
        <v>0</v>
      </c>
      <c r="K56" s="37">
        <f>IF(tblVerifyAudits[[#This Row],[Audit no.]]="","",COUNTIFS(tblVerifyChecklist[Audit no.],tblVerifyAudits[[#This Row],[Audit no.]],tblVerifyChecklist[Result],"Major NC"))</f>
        <v>0</v>
      </c>
      <c r="L56" s="37">
        <f>IF(tblVerifyAudits[[#This Row],[Audit no.]]="","",COUNTIFS(tblVerifyChecklist[Audit no.],tblVerifyAudits[[#This Row],[Audit no.]],tblVerifyChecklist[Result],"Minor NC"))</f>
        <v>0</v>
      </c>
      <c r="M56" s="37">
        <f>IF(tblVerifyAudits[[#This Row],[Audit no.]]="","",COUNTIFS(tblVerifyChecklist[Audit no.],tblVerifyAudits[[#This Row],[Audit no.]],tblVerifyChecklist[Result],"OFI"))</f>
        <v>0</v>
      </c>
      <c r="N56" s="38">
        <f>IF(tblVerifyAudits[[#This Row],[Audit no.]]="","",tblVerifyAudits[[#This Row],[Questions planned]]*$E$37/60*(1+$E$38))</f>
        <v>0.55</v>
      </c>
      <c r="O56" s="39" t="str">
        <f>IF(tblVerifyAudits[[#This Row],[Audit no.]]="","",IF(tblVerifyAudits[[#This Row],[Status]]="Done","Complete",IF(tblVerifyAudits[[#This Row],[Status]]="Cancelled","Cancelled",IF($E$35&gt;tblVerifyAudits[[#This Row],[Planned date]],"Overdue",IF(tblVerifyAudits[[#This Row],[Planned date]]-$E$35&lt;=$E$36,"Due soon","OK")))))</f>
        <v>Due soon</v>
      </c>
      <c r="P56" s="40" t="str">
        <f>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f>
        <v>OK</v>
      </c>
      <c r="Q56" s="59" t="s">
        <v>152</v>
      </c>
    </row>
    <row r="57" spans="2:19">
      <c r="B57" s="59" t="s">
        <v>427</v>
      </c>
      <c r="C57" s="59" t="s">
        <v>416</v>
      </c>
      <c r="D57" s="59" t="s">
        <v>423</v>
      </c>
      <c r="E57" s="69">
        <v>46174</v>
      </c>
      <c r="F57" s="69"/>
      <c r="G57" s="59" t="s">
        <v>388</v>
      </c>
      <c r="H57" s="68">
        <v>6</v>
      </c>
      <c r="I57" s="59" t="s">
        <v>417</v>
      </c>
      <c r="J57" s="37">
        <f>IF(tblVerifyAudits[[#This Row],[Audit no.]]="","",COUNTIFS(tblVerifyChecklist[Audit no.],tblVerifyAudits[[#This Row],[Audit no.]]))</f>
        <v>0</v>
      </c>
      <c r="K57" s="37">
        <f>IF(tblVerifyAudits[[#This Row],[Audit no.]]="","",COUNTIFS(tblVerifyChecklist[Audit no.],tblVerifyAudits[[#This Row],[Audit no.]],tblVerifyChecklist[Result],"Major NC"))</f>
        <v>0</v>
      </c>
      <c r="L57" s="37">
        <f>IF(tblVerifyAudits[[#This Row],[Audit no.]]="","",COUNTIFS(tblVerifyChecklist[Audit no.],tblVerifyAudits[[#This Row],[Audit no.]],tblVerifyChecklist[Result],"Minor NC"))</f>
        <v>0</v>
      </c>
      <c r="M57" s="37">
        <f>IF(tblVerifyAudits[[#This Row],[Audit no.]]="","",COUNTIFS(tblVerifyChecklist[Audit no.],tblVerifyAudits[[#This Row],[Audit no.]],tblVerifyChecklist[Result],"OFI"))</f>
        <v>0</v>
      </c>
      <c r="N57" s="38">
        <f>IF(tblVerifyAudits[[#This Row],[Audit no.]]="","",tblVerifyAudits[[#This Row],[Questions planned]]*$E$37/60*(1+$E$38))</f>
        <v>0.55</v>
      </c>
      <c r="O57" s="39" t="str">
        <f>IF(tblVerifyAudits[[#This Row],[Audit no.]]="","",IF(tblVerifyAudits[[#This Row],[Status]]="Done","Complete",IF(tblVerifyAudits[[#This Row],[Status]]="Cancelled","Cancelled",IF($E$35&gt;tblVerifyAudits[[#This Row],[Planned date]],"Overdue",IF(tblVerifyAudits[[#This Row],[Planned date]]-$E$35&lt;=$E$36,"Due soon","OK")))))</f>
        <v>Cancelled</v>
      </c>
      <c r="P57" s="40" t="str">
        <f>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f>
        <v>OK</v>
      </c>
      <c r="Q57" s="59" t="s">
        <v>152</v>
      </c>
    </row>
    <row r="58" spans="2:19">
      <c r="B58" s="59" t="s">
        <v>428</v>
      </c>
      <c r="C58" s="59" t="s">
        <v>418</v>
      </c>
      <c r="D58" s="59" t="s">
        <v>419</v>
      </c>
      <c r="E58" s="69">
        <v>46266</v>
      </c>
      <c r="F58" s="69"/>
      <c r="G58" s="59" t="s">
        <v>166</v>
      </c>
      <c r="H58" s="68">
        <v>6</v>
      </c>
      <c r="I58" s="59" t="s">
        <v>419</v>
      </c>
      <c r="J58" s="37">
        <f>IF(tblVerifyAudits[[#This Row],[Audit no.]]="","",COUNTIFS(tblVerifyChecklist[Audit no.],tblVerifyAudits[[#This Row],[Audit no.]]))</f>
        <v>0</v>
      </c>
      <c r="K58" s="37">
        <f>IF(tblVerifyAudits[[#This Row],[Audit no.]]="","",COUNTIFS(tblVerifyChecklist[Audit no.],tblVerifyAudits[[#This Row],[Audit no.]],tblVerifyChecklist[Result],"Major NC"))</f>
        <v>0</v>
      </c>
      <c r="L58" s="37">
        <f>IF(tblVerifyAudits[[#This Row],[Audit no.]]="","",COUNTIFS(tblVerifyChecklist[Audit no.],tblVerifyAudits[[#This Row],[Audit no.]],tblVerifyChecklist[Result],"Minor NC"))</f>
        <v>0</v>
      </c>
      <c r="M58" s="37">
        <f>IF(tblVerifyAudits[[#This Row],[Audit no.]]="","",COUNTIFS(tblVerifyChecklist[Audit no.],tblVerifyAudits[[#This Row],[Audit no.]],tblVerifyChecklist[Result],"OFI"))</f>
        <v>0</v>
      </c>
      <c r="N58" s="38">
        <f>IF(tblVerifyAudits[[#This Row],[Audit no.]]="","",tblVerifyAudits[[#This Row],[Questions planned]]*$E$37/60*(1+$E$38))</f>
        <v>0.55</v>
      </c>
      <c r="O58" s="39" t="str">
        <f>IF(tblVerifyAudits[[#This Row],[Audit no.]]="","",IF(tblVerifyAudits[[#This Row],[Status]]="Done","Complete",IF(tblVerifyAudits[[#This Row],[Status]]="Cancelled","Cancelled",IF($E$35&gt;tblVerifyAudits[[#This Row],[Planned date]],"Overdue",IF(tblVerifyAudits[[#This Row],[Planned date]]-$E$35&lt;=$E$36,"Due soon","OK")))))</f>
        <v>OK</v>
      </c>
      <c r="P58" s="40" t="str">
        <f>IF(tblVerifyAudits[[#This Row],[Audit no.]]="","",IF(tblVerifyAudits[[#This Row],[Planned date]]="","Missing planned date",IF(tblVerifyAudits[[#This Row],[Status]]="","Missing status",IF(COUNTIF(tblVerifyAudits[Audit no.],tblVerifyAudits[[#This Row],[Audit no.]])&gt;1,"Duplicate audit no.",IF(tblVerifyAudits[[#This Row],[Process owner]]="","Process not on Setup list",IF(tblVerifyAudits[[#This Row],[Lead auditor]]=tblVerifyAudits[[#This Row],[Process owner]],"Auditor owns this process",IF(AND(tblVerifyAudits[[#This Row],[Status]]="Done",NOT(ISNUMBER(tblVerifyAudits[[#This Row],[Actual date]]))),"Actual date missing",IF(AND(tblVerifyAudits[[#This Row],[Status]]&lt;&gt;"Done",ISNUMBER(tblVerifyAudits[[#This Row],[Actual date]])),"Actual date on an audit not done",IF(AND(ISNUMBER(tblVerifyAudits[[#This Row],[Actual date]]),tblVerifyAudits[[#This Row],[Actual date]]&gt;$E$35),"Audit after the status date",IF(AND(tblVerifyAudits[[#This Row],[Status]]="Done",tblVerifyAudits[[#This Row],[Questions asked]]=0),"Done with no checklist rows","OK"))))))))))</f>
        <v>Auditor owns this process</v>
      </c>
      <c r="Q58" s="59" t="s">
        <v>152</v>
      </c>
    </row>
    <row r="60" spans="2:19">
      <c r="B60" s="33" t="s">
        <v>429</v>
      </c>
      <c r="C60" s="33"/>
      <c r="D60" s="33"/>
      <c r="E60" s="33"/>
      <c r="F60" s="33"/>
      <c r="G60" s="33"/>
      <c r="H60" s="33"/>
      <c r="I60" s="33"/>
      <c r="J60" s="33"/>
      <c r="K60" s="33"/>
      <c r="L60" s="33"/>
    </row>
    <row r="61" spans="2:19" ht="32" customHeight="1">
      <c r="B61" s="34" t="s">
        <v>138</v>
      </c>
      <c r="C61" s="34" t="s">
        <v>72</v>
      </c>
      <c r="D61" s="34" t="s">
        <v>170</v>
      </c>
      <c r="E61" s="34" t="s">
        <v>171</v>
      </c>
      <c r="F61" s="34" t="s">
        <v>172</v>
      </c>
      <c r="G61" s="34" t="s">
        <v>173</v>
      </c>
      <c r="H61" s="34" t="s">
        <v>174</v>
      </c>
      <c r="I61" s="34" t="s">
        <v>175</v>
      </c>
      <c r="J61" s="34" t="s">
        <v>64</v>
      </c>
      <c r="K61" s="34" t="s">
        <v>176</v>
      </c>
      <c r="L61" s="34" t="s">
        <v>70</v>
      </c>
      <c r="M61" s="34" t="s">
        <v>177</v>
      </c>
      <c r="N61" s="34" t="s">
        <v>178</v>
      </c>
      <c r="O61" s="34" t="s">
        <v>179</v>
      </c>
      <c r="P61" s="34" t="s">
        <v>180</v>
      </c>
      <c r="Q61" s="34" t="s">
        <v>181</v>
      </c>
      <c r="R61" s="34" t="s">
        <v>148</v>
      </c>
      <c r="S61" s="34" t="s">
        <v>68</v>
      </c>
    </row>
    <row r="62" spans="2:19">
      <c r="B62" s="59" t="s">
        <v>422</v>
      </c>
      <c r="C62" s="59" t="s">
        <v>134</v>
      </c>
      <c r="D62" s="59" t="s">
        <v>430</v>
      </c>
      <c r="E62" s="59" t="s">
        <v>431</v>
      </c>
      <c r="F62" s="59" t="s">
        <v>432</v>
      </c>
      <c r="G62" s="59" t="s">
        <v>186</v>
      </c>
      <c r="H62" s="59"/>
      <c r="I62" s="69"/>
      <c r="J62" s="59" t="s">
        <v>416</v>
      </c>
      <c r="K62" s="69">
        <v>46091</v>
      </c>
      <c r="L62" s="68" t="s">
        <v>152</v>
      </c>
      <c r="M62" s="37">
        <f>IF(tblVerifyChecklist[[#This Row],[Audit no.]]="","",IF(tblVerifyChecklist[[#This Row],[Response (days)]]="",0,1))</f>
        <v>0</v>
      </c>
      <c r="N62" s="42">
        <f>IF(tblVerifyChecklist[[#This Row],[Audit no.]]="","",IF(OR(tblVerifyChecklist[[#This Row],[Finding]]=0,NOT(ISNUMBER(tblVerifyChecklist[[#This Row],[Audit date]]))),"",tblVerifyChecklist[[#This Row],[Audit date]]+tblVerifyChecklist[[#This Row],[Response (days)]]))</f>
        <v/>
      </c>
      <c r="O62" s="37">
        <f>IF(tblVerifyChecklist[[#This Row],[Audit no.]]="","",IF(AND(tblVerifyChecklist[[#This Row],[Finding]]=1,NOT(ISNUMBER(tblVerifyChecklist[[#This Row],[Closed]]))),1,0))</f>
        <v>0</v>
      </c>
      <c r="P62" s="39">
        <f>IF(tblVerifyChecklist[[#This Row],[Audit no.]]="","",IF(tblVerifyChecklist[[#This Row],[Finding]]=0,"",IF(ISNUMBER(tblVerifyChecklist[[#This Row],[Closed]]),"Complete",IF(tblVerifyChecklist[[#This Row],[Response due]]="","",IF($E$35&gt;tblVerifyChecklist[[#This Row],[Response due]],"Overdue",IF(tblVerifyChecklist[[#This Row],[Response due]]-$E$35&lt;=$E$36,"Due soon","OK"))))))</f>
        <v/>
      </c>
      <c r="Q62" s="39">
        <f>IF(tblVerifyChecklist[[#This Row],[Audit no.]]="","",IF(OR(tblVerifyChecklist[[#This Row],[Finding]]=0,NOT(ISNUMBER(tblVerifyChecklist[[#This Row],[Closed]])),tblVerifyChecklist[[#This Row],[Response due]]=""),"",IF(tblVerifyChecklist[[#This Row],[Closed]]&lt;=tblVerifyChecklist[[#This Row],[Response due]],"Yes","No")))</f>
        <v/>
      </c>
      <c r="R62"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OK</v>
      </c>
      <c r="S62" s="59" t="s">
        <v>152</v>
      </c>
    </row>
    <row r="63" spans="2:19">
      <c r="B63" s="59" t="s">
        <v>422</v>
      </c>
      <c r="C63" s="59" t="s">
        <v>134</v>
      </c>
      <c r="D63" s="59" t="s">
        <v>430</v>
      </c>
      <c r="E63" s="59" t="s">
        <v>431</v>
      </c>
      <c r="F63" s="59" t="s">
        <v>432</v>
      </c>
      <c r="G63" s="59" t="s">
        <v>124</v>
      </c>
      <c r="H63" s="59" t="s">
        <v>417</v>
      </c>
      <c r="I63" s="69">
        <v>46114</v>
      </c>
      <c r="J63" s="59" t="s">
        <v>416</v>
      </c>
      <c r="K63" s="69">
        <v>46091</v>
      </c>
      <c r="L63" s="68">
        <v>30</v>
      </c>
      <c r="M63" s="37">
        <f>IF(tblVerifyChecklist[[#This Row],[Audit no.]]="","",IF(tblVerifyChecklist[[#This Row],[Response (days)]]="",0,1))</f>
        <v>1</v>
      </c>
      <c r="N63" s="42">
        <f>IF(tblVerifyChecklist[[#This Row],[Audit no.]]="","",IF(OR(tblVerifyChecklist[[#This Row],[Finding]]=0,NOT(ISNUMBER(tblVerifyChecklist[[#This Row],[Audit date]]))),"",tblVerifyChecklist[[#This Row],[Audit date]]+tblVerifyChecklist[[#This Row],[Response (days)]]))</f>
        <v>46121</v>
      </c>
      <c r="O63" s="37">
        <f>IF(tblVerifyChecklist[[#This Row],[Audit no.]]="","",IF(AND(tblVerifyChecklist[[#This Row],[Finding]]=1,NOT(ISNUMBER(tblVerifyChecklist[[#This Row],[Closed]]))),1,0))</f>
        <v>0</v>
      </c>
      <c r="P63" s="39" t="str">
        <f>IF(tblVerifyChecklist[[#This Row],[Audit no.]]="","",IF(tblVerifyChecklist[[#This Row],[Finding]]=0,"",IF(ISNUMBER(tblVerifyChecklist[[#This Row],[Closed]]),"Complete",IF(tblVerifyChecklist[[#This Row],[Response due]]="","",IF($E$35&gt;tblVerifyChecklist[[#This Row],[Response due]],"Overdue",IF(tblVerifyChecklist[[#This Row],[Response due]]-$E$35&lt;=$E$36,"Due soon","OK"))))))</f>
        <v>Complete</v>
      </c>
      <c r="Q63" s="39" t="str">
        <f>IF(tblVerifyChecklist[[#This Row],[Audit no.]]="","",IF(OR(tblVerifyChecklist[[#This Row],[Finding]]=0,NOT(ISNUMBER(tblVerifyChecklist[[#This Row],[Closed]])),tblVerifyChecklist[[#This Row],[Response due]]=""),"",IF(tblVerifyChecklist[[#This Row],[Closed]]&lt;=tblVerifyChecklist[[#This Row],[Response due]],"Yes","No")))</f>
        <v>Yes</v>
      </c>
      <c r="R63"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OK</v>
      </c>
      <c r="S63" s="59" t="s">
        <v>152</v>
      </c>
    </row>
    <row r="64" spans="2:19">
      <c r="B64" s="59" t="s">
        <v>422</v>
      </c>
      <c r="C64" s="59" t="s">
        <v>135</v>
      </c>
      <c r="D64" s="59" t="s">
        <v>430</v>
      </c>
      <c r="E64" s="59" t="s">
        <v>431</v>
      </c>
      <c r="F64" s="59" t="s">
        <v>432</v>
      </c>
      <c r="G64" s="59" t="s">
        <v>126</v>
      </c>
      <c r="H64" s="59" t="s">
        <v>417</v>
      </c>
      <c r="I64" s="69"/>
      <c r="J64" s="59" t="s">
        <v>416</v>
      </c>
      <c r="K64" s="69">
        <v>46091</v>
      </c>
      <c r="L64" s="68">
        <v>60</v>
      </c>
      <c r="M64" s="37">
        <f>IF(tblVerifyChecklist[[#This Row],[Audit no.]]="","",IF(tblVerifyChecklist[[#This Row],[Response (days)]]="",0,1))</f>
        <v>1</v>
      </c>
      <c r="N64" s="42">
        <f>IF(tblVerifyChecklist[[#This Row],[Audit no.]]="","",IF(OR(tblVerifyChecklist[[#This Row],[Finding]]=0,NOT(ISNUMBER(tblVerifyChecklist[[#This Row],[Audit date]]))),"",tblVerifyChecklist[[#This Row],[Audit date]]+tblVerifyChecklist[[#This Row],[Response (days)]]))</f>
        <v>46151</v>
      </c>
      <c r="O64" s="37">
        <f>IF(tblVerifyChecklist[[#This Row],[Audit no.]]="","",IF(AND(tblVerifyChecklist[[#This Row],[Finding]]=1,NOT(ISNUMBER(tblVerifyChecklist[[#This Row],[Closed]]))),1,0))</f>
        <v>1</v>
      </c>
      <c r="P64" s="39" t="str">
        <f>IF(tblVerifyChecklist[[#This Row],[Audit no.]]="","",IF(tblVerifyChecklist[[#This Row],[Finding]]=0,"",IF(ISNUMBER(tblVerifyChecklist[[#This Row],[Closed]]),"Complete",IF(tblVerifyChecklist[[#This Row],[Response due]]="","",IF($E$35&gt;tblVerifyChecklist[[#This Row],[Response due]],"Overdue",IF(tblVerifyChecklist[[#This Row],[Response due]]-$E$35&lt;=$E$36,"Due soon","OK"))))))</f>
        <v>Overdue</v>
      </c>
      <c r="Q64" s="39">
        <f>IF(tblVerifyChecklist[[#This Row],[Audit no.]]="","",IF(OR(tblVerifyChecklist[[#This Row],[Finding]]=0,NOT(ISNUMBER(tblVerifyChecklist[[#This Row],[Closed]])),tblVerifyChecklist[[#This Row],[Response due]]=""),"",IF(tblVerifyChecklist[[#This Row],[Closed]]&lt;=tblVerifyChecklist[[#This Row],[Response due]],"Yes","No")))</f>
        <v/>
      </c>
      <c r="R64"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OK</v>
      </c>
      <c r="S64" s="59" t="s">
        <v>152</v>
      </c>
    </row>
    <row r="65" spans="2:19">
      <c r="B65" s="59" t="s">
        <v>424</v>
      </c>
      <c r="C65" s="59" t="s">
        <v>135</v>
      </c>
      <c r="D65" s="59" t="s">
        <v>430</v>
      </c>
      <c r="E65" s="59" t="s">
        <v>431</v>
      </c>
      <c r="F65" s="59" t="s">
        <v>432</v>
      </c>
      <c r="G65" s="59" t="s">
        <v>128</v>
      </c>
      <c r="H65" s="59" t="s">
        <v>419</v>
      </c>
      <c r="I65" s="69"/>
      <c r="J65" s="59" t="s">
        <v>418</v>
      </c>
      <c r="K65" s="69">
        <v>46163</v>
      </c>
      <c r="L65" s="68">
        <v>90</v>
      </c>
      <c r="M65" s="37">
        <f>IF(tblVerifyChecklist[[#This Row],[Audit no.]]="","",IF(tblVerifyChecklist[[#This Row],[Response (days)]]="",0,1))</f>
        <v>1</v>
      </c>
      <c r="N65" s="42">
        <f>IF(tblVerifyChecklist[[#This Row],[Audit no.]]="","",IF(OR(tblVerifyChecklist[[#This Row],[Finding]]=0,NOT(ISNUMBER(tblVerifyChecklist[[#This Row],[Audit date]]))),"",tblVerifyChecklist[[#This Row],[Audit date]]+tblVerifyChecklist[[#This Row],[Response (days)]]))</f>
        <v>46253</v>
      </c>
      <c r="O65" s="37">
        <f>IF(tblVerifyChecklist[[#This Row],[Audit no.]]="","",IF(AND(tblVerifyChecklist[[#This Row],[Finding]]=1,NOT(ISNUMBER(tblVerifyChecklist[[#This Row],[Closed]]))),1,0))</f>
        <v>1</v>
      </c>
      <c r="P65" s="39" t="str">
        <f>IF(tblVerifyChecklist[[#This Row],[Audit no.]]="","",IF(tblVerifyChecklist[[#This Row],[Finding]]=0,"",IF(ISNUMBER(tblVerifyChecklist[[#This Row],[Closed]]),"Complete",IF(tblVerifyChecklist[[#This Row],[Response due]]="","",IF($E$35&gt;tblVerifyChecklist[[#This Row],[Response due]],"Overdue",IF(tblVerifyChecklist[[#This Row],[Response due]]-$E$35&lt;=$E$36,"Due soon","OK"))))))</f>
        <v>OK</v>
      </c>
      <c r="Q65" s="39">
        <f>IF(tblVerifyChecklist[[#This Row],[Audit no.]]="","",IF(OR(tblVerifyChecklist[[#This Row],[Finding]]=0,NOT(ISNUMBER(tblVerifyChecklist[[#This Row],[Closed]])),tblVerifyChecklist[[#This Row],[Response due]]=""),"",IF(tblVerifyChecklist[[#This Row],[Closed]]&lt;=tblVerifyChecklist[[#This Row],[Response due]],"Yes","No")))</f>
        <v/>
      </c>
      <c r="R65"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OK</v>
      </c>
      <c r="S65" s="59" t="s">
        <v>152</v>
      </c>
    </row>
    <row r="66" spans="2:19">
      <c r="B66" s="59" t="s">
        <v>424</v>
      </c>
      <c r="C66" s="59" t="s">
        <v>135</v>
      </c>
      <c r="D66" s="59" t="s">
        <v>430</v>
      </c>
      <c r="E66" s="59" t="s">
        <v>431</v>
      </c>
      <c r="F66" s="59" t="s">
        <v>432</v>
      </c>
      <c r="G66" s="59" t="s">
        <v>126</v>
      </c>
      <c r="H66" s="59" t="s">
        <v>419</v>
      </c>
      <c r="I66" s="69">
        <v>46228</v>
      </c>
      <c r="J66" s="59" t="s">
        <v>418</v>
      </c>
      <c r="K66" s="69">
        <v>46163</v>
      </c>
      <c r="L66" s="68">
        <v>60</v>
      </c>
      <c r="M66" s="37">
        <f>IF(tblVerifyChecklist[[#This Row],[Audit no.]]="","",IF(tblVerifyChecklist[[#This Row],[Response (days)]]="",0,1))</f>
        <v>1</v>
      </c>
      <c r="N66" s="42">
        <f>IF(tblVerifyChecklist[[#This Row],[Audit no.]]="","",IF(OR(tblVerifyChecklist[[#This Row],[Finding]]=0,NOT(ISNUMBER(tblVerifyChecklist[[#This Row],[Audit date]]))),"",tblVerifyChecklist[[#This Row],[Audit date]]+tblVerifyChecklist[[#This Row],[Response (days)]]))</f>
        <v>46223</v>
      </c>
      <c r="O66" s="37">
        <f>IF(tblVerifyChecklist[[#This Row],[Audit no.]]="","",IF(AND(tblVerifyChecklist[[#This Row],[Finding]]=1,NOT(ISNUMBER(tblVerifyChecklist[[#This Row],[Closed]]))),1,0))</f>
        <v>0</v>
      </c>
      <c r="P66" s="39" t="str">
        <f>IF(tblVerifyChecklist[[#This Row],[Audit no.]]="","",IF(tblVerifyChecklist[[#This Row],[Finding]]=0,"",IF(ISNUMBER(tblVerifyChecklist[[#This Row],[Closed]]),"Complete",IF(tblVerifyChecklist[[#This Row],[Response due]]="","",IF($E$35&gt;tblVerifyChecklist[[#This Row],[Response due]],"Overdue",IF(tblVerifyChecklist[[#This Row],[Response due]]-$E$35&lt;=$E$36,"Due soon","OK"))))))</f>
        <v>Complete</v>
      </c>
      <c r="Q66" s="39" t="str">
        <f>IF(tblVerifyChecklist[[#This Row],[Audit no.]]="","",IF(OR(tblVerifyChecklist[[#This Row],[Finding]]=0,NOT(ISNUMBER(tblVerifyChecklist[[#This Row],[Closed]])),tblVerifyChecklist[[#This Row],[Response due]]=""),"",IF(tblVerifyChecklist[[#This Row],[Closed]]&lt;=tblVerifyChecklist[[#This Row],[Response due]],"Yes","No")))</f>
        <v>No</v>
      </c>
      <c r="R66"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Closed after the status date</v>
      </c>
      <c r="S66" s="59" t="s">
        <v>152</v>
      </c>
    </row>
    <row r="67" spans="2:19">
      <c r="B67" s="59" t="s">
        <v>424</v>
      </c>
      <c r="C67" s="59" t="s">
        <v>136</v>
      </c>
      <c r="D67" s="59" t="s">
        <v>430</v>
      </c>
      <c r="E67" s="59" t="s">
        <v>431</v>
      </c>
      <c r="F67" s="59" t="s">
        <v>432</v>
      </c>
      <c r="G67" s="59" t="s">
        <v>433</v>
      </c>
      <c r="H67" s="59"/>
      <c r="I67" s="69"/>
      <c r="J67" s="59" t="s">
        <v>418</v>
      </c>
      <c r="K67" s="69">
        <v>46163</v>
      </c>
      <c r="L67" s="68" t="s">
        <v>152</v>
      </c>
      <c r="M67" s="37">
        <f>IF(tblVerifyChecklist[[#This Row],[Audit no.]]="","",IF(tblVerifyChecklist[[#This Row],[Response (days)]]="",0,1))</f>
        <v>0</v>
      </c>
      <c r="N67" s="42">
        <f>IF(tblVerifyChecklist[[#This Row],[Audit no.]]="","",IF(OR(tblVerifyChecklist[[#This Row],[Finding]]=0,NOT(ISNUMBER(tblVerifyChecklist[[#This Row],[Audit date]]))),"",tblVerifyChecklist[[#This Row],[Audit date]]+tblVerifyChecklist[[#This Row],[Response (days)]]))</f>
        <v/>
      </c>
      <c r="O67" s="37">
        <f>IF(tblVerifyChecklist[[#This Row],[Audit no.]]="","",IF(AND(tblVerifyChecklist[[#This Row],[Finding]]=1,NOT(ISNUMBER(tblVerifyChecklist[[#This Row],[Closed]]))),1,0))</f>
        <v>0</v>
      </c>
      <c r="P67" s="39">
        <f>IF(tblVerifyChecklist[[#This Row],[Audit no.]]="","",IF(tblVerifyChecklist[[#This Row],[Finding]]=0,"",IF(ISNUMBER(tblVerifyChecklist[[#This Row],[Closed]]),"Complete",IF(tblVerifyChecklist[[#This Row],[Response due]]="","",IF($E$35&gt;tblVerifyChecklist[[#This Row],[Response due]],"Overdue",IF(tblVerifyChecklist[[#This Row],[Response due]]-$E$35&lt;=$E$36,"Due soon","OK"))))))</f>
        <v/>
      </c>
      <c r="Q67" s="39">
        <f>IF(tblVerifyChecklist[[#This Row],[Audit no.]]="","",IF(OR(tblVerifyChecklist[[#This Row],[Finding]]=0,NOT(ISNUMBER(tblVerifyChecklist[[#This Row],[Closed]])),tblVerifyChecklist[[#This Row],[Response due]]=""),"",IF(tblVerifyChecklist[[#This Row],[Closed]]&lt;=tblVerifyChecklist[[#This Row],[Response due]],"Yes","No")))</f>
        <v/>
      </c>
      <c r="R67"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OK</v>
      </c>
      <c r="S67" s="59" t="s">
        <v>152</v>
      </c>
    </row>
    <row r="68" spans="2:19">
      <c r="B68" s="59" t="s">
        <v>424</v>
      </c>
      <c r="C68" s="59" t="s">
        <v>136</v>
      </c>
      <c r="D68" s="59" t="s">
        <v>430</v>
      </c>
      <c r="E68" s="59" t="s">
        <v>431</v>
      </c>
      <c r="F68" s="59" t="s">
        <v>432</v>
      </c>
      <c r="G68" s="59" t="s">
        <v>126</v>
      </c>
      <c r="H68" s="59"/>
      <c r="I68" s="69"/>
      <c r="J68" s="59" t="s">
        <v>418</v>
      </c>
      <c r="K68" s="69">
        <v>46163</v>
      </c>
      <c r="L68" s="68">
        <v>60</v>
      </c>
      <c r="M68" s="37">
        <f>IF(tblVerifyChecklist[[#This Row],[Audit no.]]="","",IF(tblVerifyChecklist[[#This Row],[Response (days)]]="",0,1))</f>
        <v>1</v>
      </c>
      <c r="N68" s="42">
        <f>IF(tblVerifyChecklist[[#This Row],[Audit no.]]="","",IF(OR(tblVerifyChecklist[[#This Row],[Finding]]=0,NOT(ISNUMBER(tblVerifyChecklist[[#This Row],[Audit date]]))),"",tblVerifyChecklist[[#This Row],[Audit date]]+tblVerifyChecklist[[#This Row],[Response (days)]]))</f>
        <v>46223</v>
      </c>
      <c r="O68" s="37">
        <f>IF(tblVerifyChecklist[[#This Row],[Audit no.]]="","",IF(AND(tblVerifyChecklist[[#This Row],[Finding]]=1,NOT(ISNUMBER(tblVerifyChecklist[[#This Row],[Closed]]))),1,0))</f>
        <v>1</v>
      </c>
      <c r="P68" s="39" t="str">
        <f>IF(tblVerifyChecklist[[#This Row],[Audit no.]]="","",IF(tblVerifyChecklist[[#This Row],[Finding]]=0,"",IF(ISNUMBER(tblVerifyChecklist[[#This Row],[Closed]]),"Complete",IF(tblVerifyChecklist[[#This Row],[Response due]]="","",IF($E$35&gt;tblVerifyChecklist[[#This Row],[Response due]],"Overdue",IF(tblVerifyChecklist[[#This Row],[Response due]]-$E$35&lt;=$E$36,"Due soon","OK"))))))</f>
        <v>OK</v>
      </c>
      <c r="Q68" s="39">
        <f>IF(tblVerifyChecklist[[#This Row],[Audit no.]]="","",IF(OR(tblVerifyChecklist[[#This Row],[Finding]]=0,NOT(ISNUMBER(tblVerifyChecklist[[#This Row],[Closed]])),tblVerifyChecklist[[#This Row],[Response due]]=""),"",IF(tblVerifyChecklist[[#This Row],[Closed]]&lt;=tblVerifyChecklist[[#This Row],[Response due]],"Yes","No")))</f>
        <v/>
      </c>
      <c r="R68" s="40" t="str">
        <f>IF(tblVerifyChecklist[[#This Row],[Audit no.]]="","",IF(tblVerifyChecklist[[#This Row],[Clause]]="","Missing clause",IF(tblVerifyChecklist[[#This Row],[Question]]="","Missing question",IF(tblVerifyChecklist[[#This Row],[Result]]="","Missing result",IF(tblVerifyChecklist[[#This Row],[Process]]="","Audit no. not on the programme",IF(AND(tblVerifyChecklist[[#This Row],[Finding]]=1,tblVerifyChecklist[[#This Row],[Action owner]]=""),"Finding has no owner",IF(AND(tblVerifyChecklist[[#This Row],[Finding]]=0,ISNUMBER(tblVerifyChecklist[[#This Row],[Closed]])),"Closed date on a non-finding",IF(AND(ISNUMBER(tblVerifyChecklist[[#This Row],[Closed]]),ISNUMBER(tblVerifyChecklist[[#This Row],[Audit date]]),tblVerifyChecklist[[#This Row],[Closed]]&lt;tblVerifyChecklist[[#This Row],[Audit date]]),"Closed before the audit",IF(AND(ISNUMBER(tblVerifyChecklist[[#This Row],[Closed]]),tblVerifyChecklist[[#This Row],[Closed]]&gt;$E$35),"Closed after the status date","OK")))))))))</f>
        <v>Finding has no owner</v>
      </c>
      <c r="S68" s="59" t="s">
        <v>152</v>
      </c>
    </row>
  </sheetData>
  <sheetProtection sheet="1" formatColumns="0" formatRows="0"/>
  <mergeCells count="38">
    <mergeCell ref="A1:S1"/>
    <mergeCell ref="B2:R2"/>
    <mergeCell ref="B4:C4"/>
    <mergeCell ref="D4:E4"/>
    <mergeCell ref="F4:J4"/>
    <mergeCell ref="B6:L6"/>
    <mergeCell ref="B8:L8"/>
    <mergeCell ref="C10:F10"/>
    <mergeCell ref="C11:F11"/>
    <mergeCell ref="C12:F12"/>
    <mergeCell ref="C13:F13"/>
    <mergeCell ref="C14:F14"/>
    <mergeCell ref="C15:F15"/>
    <mergeCell ref="C16:F16"/>
    <mergeCell ref="C17:F17"/>
    <mergeCell ref="C18:F18"/>
    <mergeCell ref="C19:F19"/>
    <mergeCell ref="C20:F20"/>
    <mergeCell ref="C21:F21"/>
    <mergeCell ref="C22:F22"/>
    <mergeCell ref="C23:F23"/>
    <mergeCell ref="C24:F24"/>
    <mergeCell ref="C25:F25"/>
    <mergeCell ref="C26:F26"/>
    <mergeCell ref="C27:F27"/>
    <mergeCell ref="C28:F28"/>
    <mergeCell ref="C29:F29"/>
    <mergeCell ref="B31:L31"/>
    <mergeCell ref="B33:L33"/>
    <mergeCell ref="B34:F34"/>
    <mergeCell ref="B35:D35"/>
    <mergeCell ref="B36:D36"/>
    <mergeCell ref="B37:D37"/>
    <mergeCell ref="B38:D38"/>
    <mergeCell ref="B40:L40"/>
    <mergeCell ref="B45:L45"/>
    <mergeCell ref="B51:L51"/>
    <mergeCell ref="B60:L60"/>
  </mergeCells>
  <conditionalFormatting sqref="D4">
    <cfRule type="cellIs" dxfId="0" priority="21" operator="equal">
      <formula>"On target"</formula>
    </cfRule>
    <cfRule type="cellIs" dxfId="0" priority="22" operator="equal">
      <formula>"PASS"</formula>
    </cfRule>
    <cfRule type="cellIs" dxfId="0" priority="23" operator="equal">
      <formula>"OK"</formula>
    </cfRule>
    <cfRule type="cellIs" dxfId="0" priority="24" operator="equal">
      <formula>"Within limits"</formula>
    </cfRule>
    <cfRule type="cellIs" dxfId="0" priority="25" operator="equal">
      <formula>"Under capacity"</formula>
    </cfRule>
    <cfRule type="cellIs" dxfId="0" priority="26" operator="equal">
      <formula>"Complete"</formula>
    </cfRule>
    <cfRule type="cellIs" dxfId="0" priority="27" operator="equal">
      <formula>"Yes"</formula>
    </cfRule>
    <cfRule type="cellIs" dxfId="1" priority="28" operator="equal">
      <formula>"Near target"</formula>
    </cfRule>
    <cfRule type="cellIs" dxfId="1" priority="29" operator="equal">
      <formula>"Check"</formula>
    </cfRule>
    <cfRule type="cellIs" dxfId="1" priority="30" operator="equal">
      <formula>"Due soon"</formula>
    </cfRule>
    <cfRule type="cellIs" dxfId="1" priority="31" operator="equal">
      <formula>"Near capacity"</formula>
    </cfRule>
    <cfRule type="cellIs" dxfId="1" priority="32" operator="equal">
      <formula>"In progress"</formula>
    </cfRule>
    <cfRule type="cellIs" dxfId="1" priority="33" operator="equal">
      <formula>"Partial"</formula>
    </cfRule>
    <cfRule type="cellIs" dxfId="2" priority="34" operator="equal">
      <formula>"Below target"</formula>
    </cfRule>
    <cfRule type="cellIs" dxfId="2" priority="35" operator="equal">
      <formula>"Above target"</formula>
    </cfRule>
    <cfRule type="cellIs" dxfId="2" priority="36" operator="equal">
      <formula>"FAIL"</formula>
    </cfRule>
    <cfRule type="cellIs" dxfId="2" priority="37" operator="equal">
      <formula>"Over capacity"</formula>
    </cfRule>
    <cfRule type="cellIs" dxfId="2" priority="38" operator="equal">
      <formula>"Overdue"</formula>
    </cfRule>
    <cfRule type="cellIs" dxfId="2" priority="39" operator="equal">
      <formula>"Out of limits"</formula>
    </cfRule>
    <cfRule type="cellIs" dxfId="2" priority="40" operator="equal">
      <formula>"No"</formula>
    </cfRule>
  </conditionalFormatting>
  <conditionalFormatting sqref="K11:K29">
    <cfRule type="cellIs" dxfId="0" priority="1" operator="equal">
      <formula>"On target"</formula>
    </cfRule>
    <cfRule type="cellIs" dxfId="0" priority="2" operator="equal">
      <formula>"PASS"</formula>
    </cfRule>
    <cfRule type="cellIs" dxfId="0" priority="3" operator="equal">
      <formula>"OK"</formula>
    </cfRule>
    <cfRule type="cellIs" dxfId="0" priority="4" operator="equal">
      <formula>"Within limits"</formula>
    </cfRule>
    <cfRule type="cellIs" dxfId="0" priority="5" operator="equal">
      <formula>"Under capacity"</formula>
    </cfRule>
    <cfRule type="cellIs" dxfId="0" priority="6" operator="equal">
      <formula>"Complete"</formula>
    </cfRule>
    <cfRule type="cellIs" dxfId="0" priority="7" operator="equal">
      <formula>"Yes"</formula>
    </cfRule>
    <cfRule type="cellIs" dxfId="1" priority="8" operator="equal">
      <formula>"Near target"</formula>
    </cfRule>
    <cfRule type="cellIs" dxfId="1" priority="9" operator="equal">
      <formula>"Check"</formula>
    </cfRule>
    <cfRule type="cellIs" dxfId="1" priority="10" operator="equal">
      <formula>"Due soon"</formula>
    </cfRule>
    <cfRule type="cellIs" dxfId="1" priority="11" operator="equal">
      <formula>"Near capacity"</formula>
    </cfRule>
    <cfRule type="cellIs" dxfId="1" priority="12" operator="equal">
      <formula>"In progress"</formula>
    </cfRule>
    <cfRule type="cellIs" dxfId="1" priority="13" operator="equal">
      <formula>"Partial"</formula>
    </cfRule>
    <cfRule type="cellIs" dxfId="2" priority="14" operator="equal">
      <formula>"Below target"</formula>
    </cfRule>
    <cfRule type="cellIs" dxfId="2" priority="15" operator="equal">
      <formula>"Above target"</formula>
    </cfRule>
    <cfRule type="cellIs" dxfId="2" priority="16" operator="equal">
      <formula>"FAIL"</formula>
    </cfRule>
    <cfRule type="cellIs" dxfId="2" priority="17" operator="equal">
      <formula>"Over capacity"</formula>
    </cfRule>
    <cfRule type="cellIs" dxfId="2" priority="18" operator="equal">
      <formula>"Overdue"</formula>
    </cfRule>
    <cfRule type="cellIs" dxfId="2" priority="19" operator="equal">
      <formula>"Out of limits"</formula>
    </cfRule>
    <cfRule type="cellIs" dxfId="2" priority="20" operator="equal">
      <formula>"No"</formula>
    </cfRule>
  </conditionalFormatting>
  <conditionalFormatting sqref="P53:P58">
    <cfRule type="expression" dxfId="3" priority="41">
      <formula>$P53="OK"</formula>
    </cfRule>
    <cfRule type="expression" dxfId="1" priority="42">
      <formula>AND($P53&lt;&gt;"",$P53&lt;&gt;"OK")</formula>
    </cfRule>
  </conditionalFormatting>
  <conditionalFormatting sqref="R62:R68">
    <cfRule type="expression" dxfId="3" priority="43">
      <formula>$R62="OK"</formula>
    </cfRule>
    <cfRule type="expression" dxfId="1" priority="44">
      <formula>AND($R62&lt;&gt;"",$R62&lt;&gt;"OK")</formula>
    </cfRule>
  </conditionalFormatting>
  <hyperlinks>
    <hyperlink ref="S2" r:id="rId1" tooltip="Free manufacturing calculators and templates"/>
  </hyperlinks>
  <printOptions horizontalCentered="1"/>
  <pageMargins left="0.4" right="0.4" top="0.7" bottom="0.65" header="0.3" footer="0.3"/>
  <pageSetup fitToHeight="0" orientation="landscape"/>
  <headerFooter>
    <oddHeader>&amp;L&amp;8MFG Calcs - ISO 9001 Internal Audit Planner&amp;R&amp;8&amp;A</oddHeader>
    <oddFooter>&amp;L&amp;8mfgcalcs.com - free manufacturing templates&amp;R&amp;8Page &amp;P of &amp;N</oddFooter>
  </headerFooter>
  <rowBreaks count="1" manualBreakCount="1">
    <brk id="44" max="16383" man="1"/>
  </rowBreaks>
  <tableParts count="4">
    <tablePart r:id="rId2"/>
    <tablePart r:id="rId3"/>
    <tablePart r:id="rId4"/>
    <tablePart r:id="rId5"/>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27</vt:i4>
      </vt:variant>
    </vt:vector>
  </HeadingPairs>
  <TitlesOfParts>
    <vt:vector size="34" baseType="lpstr">
      <vt:lpstr>Start Here</vt:lpstr>
      <vt:lpstr>Setup</vt:lpstr>
      <vt:lpstr>Audit Programme</vt:lpstr>
      <vt:lpstr>Audit Checklist</vt:lpstr>
      <vt:lpstr>Dashboard</vt:lpstr>
      <vt:lpstr>Method</vt:lpstr>
      <vt:lpstr>Verify</vt:lpstr>
      <vt:lpstr>Allowance</vt:lpstr>
      <vt:lpstr>AsOf</vt:lpstr>
      <vt:lpstr>DueSoonDays</vt:lpstr>
      <vt:lpstr>KpiAuditsOverdue</vt:lpstr>
      <vt:lpstr>KpiClosed</vt:lpstr>
      <vt:lpstr>KpiConform</vt:lpstr>
      <vt:lpstr>KpiDone</vt:lpstr>
      <vt:lpstr>KpiHours</vt:lpstr>
      <vt:lpstr>KpiMajor</vt:lpstr>
      <vt:lpstr>KpiOpen</vt:lpstr>
      <vt:lpstr>KpiOverdue</vt:lpstr>
      <vt:lpstr>MinPerItem</vt:lpstr>
      <vt:lpstr>PlantName</vt:lpstr>
      <vt:lpstr>'Audit Checklist'!Print_Area</vt:lpstr>
      <vt:lpstr>'Audit Programme'!Print_Area</vt:lpstr>
      <vt:lpstr>Dashboard!Print_Area</vt:lpstr>
      <vt:lpstr>Method!Print_Area</vt:lpstr>
      <vt:lpstr>Setup!Print_Area</vt:lpstr>
      <vt:lpstr>'Start Here'!Print_Area</vt:lpstr>
      <vt:lpstr>Verify!Print_Area</vt:lpstr>
      <vt:lpstr>'Audit Checklist'!Print_Titles</vt:lpstr>
      <vt:lpstr>'Audit Programme'!Print_Titles</vt:lpstr>
      <vt:lpstr>Method!Print_Titles</vt:lpstr>
      <vt:lpstr>SelfCheck</vt:lpstr>
      <vt:lpstr>SelfCheckSummary</vt:lpstr>
      <vt:lpstr>TargetClosed</vt:lpstr>
      <vt:lpstr>TargetDone</vt:lpstr>
    </vt:vector>
  </TitlesOfParts>
  <Manager>MFG Calcs</Manager>
  <Company>MFG Calcs</Company>
  <LinksUpToDate>false</LinksUpToDate>
  <SharedDoc>false</SharedDoc>
  <HyperlinkBase>https://www.mfgcalcs.com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ISO 9001 Internal Audit Planner - free Excel template from MFG Calcs</dc:title>
  <dc:subject>Plan the internal audit programme, record each audit's checklist and findings, and see completion, conformance by clause and overdue corrective actions.</dc:subject>
  <dc:creator>MFG Calcs</dc:creator>
  <cp:keywords>internal audit, ISO 9001, audit programme, audit checklist, nonconformity, corrective action, clause 9.2, QMS</cp:keywords>
  <dc:description>https://www.mfgcalcs.com/templates/internal-audit-checklist - version 1.0.0, updated 2026-10-15. Free from MFG Calcs - keep this credit when you share it.</dc:description>
  <cp:lastModifiedBy>MFG Calcs</cp:lastModifiedBy>
  <dcterms:created xsi:type="dcterms:W3CDTF">2026-10-15T12:00:00Z</dcterms:created>
  <dcterms:modified xsi:type="dcterms:W3CDTF">2026-10-15T12:00:00Z</dcterms:modified>
  <cp:category>Manufacturing template</cp:category>
  <cp:contentStatus>v1.0.0</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emplate slug">
    <vt:lpwstr>internal-audit-checklist</vt:lpwstr>
  </property>
  <property fmtid="{D5CDD505-2E9C-101B-9397-08002B2CF9AE}" pid="3" name="Template version">
    <vt:lpwstr>1.0.0</vt:lpwstr>
  </property>
  <property fmtid="{D5CDD505-2E9C-101B-9397-08002B2CF9AE}" pid="4" name="Template updated">
    <vt:lpwstr>2026-10-15</vt:lpwstr>
  </property>
  <property fmtid="{D5CDD505-2E9C-101B-9397-08002B2CF9AE}" pid="5" name="Template layout">
    <vt:lpwstr>checklist</vt:lpwstr>
  </property>
  <property fmtid="{D5CDD505-2E9C-101B-9397-08002B2CF9AE}" pid="6" name="Template URL">
    <vt:lpwstr>https://www.mfgcalcs.com/templates/internal-audit-checklist</vt:lpwstr>
  </property>
  <property fmtid="{D5CDD505-2E9C-101B-9397-08002B2CF9AE}" pid="7" name="Template sheet roles">
    <vt:lpwstr>Start Here=start;Setup=setup;Audit Programme=work;Audit Checklist=work;Dashboard=dashboard;Method=method;Verify=verify</vt:lpwstr>
  </property>
</Properties>
</file>