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Inventory Register" sheetId="3" r:id="rId3"/>
    <sheet name="Rate Builder" sheetId="4" r:id="rId4"/>
    <sheet name="Dashboard" sheetId="5" r:id="rId5"/>
    <sheet name="Method" sheetId="6" r:id="rId6"/>
    <sheet name="Verify" sheetId="7" r:id="rId7"/>
  </sheets>
  <definedNames>
    <definedName name="AvgValue">'Rate Builder'!$C$16</definedName>
    <definedName name="CarryCostTotal">'Rate Builder'!$C$17</definedName>
    <definedName name="CarryRate">'Rate Builder'!$C$18</definedName>
    <definedName name="Categories">tblCategories[Category]</definedName>
    <definedName name="CompanyName">Setup!$C$6</definedName>
    <definedName name="Currency">Setup!$C$7</definedName>
    <definedName name="HoldingBudget">Setup!$C$9</definedName>
    <definedName name="KpiAbove">Dashboard!$J$7</definedName>
    <definedName name="KpiCost">Dashboard!$G$7</definedName>
    <definedName name="KpiRate">Dashboard!$D$7</definedName>
    <definedName name="KpiValue">Dashboard!$B$7</definedName>
    <definedName name="_xlnm.Print_Area" localSheetId="4">Dashboard!$A$1:$L$67</definedName>
    <definedName name="_xlnm.Print_Area" localSheetId="2">'Inventory Register'!$A$1:$Q$30</definedName>
    <definedName name="_xlnm.Print_Area" localSheetId="5">Method!$A$1:$D$60</definedName>
    <definedName name="_xlnm.Print_Area" localSheetId="3">'Rate Builder'!$A$1:$I$18</definedName>
    <definedName name="_xlnm.Print_Area" localSheetId="1">Setup!$A$1:$E$22</definedName>
    <definedName name="_xlnm.Print_Area" localSheetId="0">'Start Here'!$A$1:$F$56</definedName>
    <definedName name="_xlnm.Print_Area" localSheetId="6">Verify!$A$1:$Q$72</definedName>
    <definedName name="_xlnm.Print_Titles" localSheetId="2">'Inventory Register'!$1:$6</definedName>
    <definedName name="_xlnm.Print_Titles" localSheetId="5">Method!$1:$2</definedName>
    <definedName name="_xlnm.Print_Titles" localSheetId="3">'Rate Builder'!$1:$6</definedName>
    <definedName name="SelfCheck">Verify!$D$4</definedName>
    <definedName name="SelfCheckSummary">Verify!$F$4</definedName>
    <definedName name="TargetDOS">Setup!$C$8</definedName>
  </definedNames>
  <calcPr calcId="124519" fullCalcOnLoad="1"/>
</workbook>
</file>

<file path=xl/sharedStrings.xml><?xml version="1.0" encoding="utf-8"?>
<sst xmlns="http://schemas.openxmlformats.org/spreadsheetml/2006/main" count="554" uniqueCount="314">
  <si>
    <t>Inventory Carrying Cost</t>
  </si>
  <si>
    <t>Read this first: what the workbook does and how to use it.</t>
  </si>
  <si>
    <t>mfgcalcs.com</t>
  </si>
  <si>
    <t>Build your carrying-cost rate from your own numbers and see, item by item, what holding inventory costs per year and where that cost sits.</t>
  </si>
  <si>
    <t>For: Inventory planners, supply-chain and materials managers, plant controllers and finance teams setting EOQ and stock policies.</t>
  </si>
  <si>
    <t>Version 1.0.0  ·  updated 15 October 2026</t>
  </si>
  <si>
    <t>Quick start</t>
  </si>
  <si>
    <t>1.</t>
  </si>
  <si>
    <t>On Setup, type your company name, currency, days-of-supply target and annual holding budget, then check the category list.</t>
  </si>
  <si>
    <t>2.</t>
  </si>
  <si>
    <t>On Inventory Register, list your items with average units on hand, unit cost and annual usage (an ERP stock and usage export).</t>
  </si>
  <si>
    <t>3.</t>
  </si>
  <si>
    <t>On Rate Builder, enter each carrying-cost component: cost of capital as a % of value, the others as annual amounts from your ledger.</t>
  </si>
  <si>
    <t>4.</t>
  </si>
  <si>
    <t>Open the Dashboard: the carrying-cost rate, annual carrying cost against budget, slow movers and the ten items that cost most to hold.</t>
  </si>
  <si>
    <t>What is in this workbook</t>
  </si>
  <si>
    <t>Start Here</t>
  </si>
  <si>
    <t>Setup</t>
  </si>
  <si>
    <t>Company, currency, your days-of-supply target and holding budget, and the item categories.</t>
  </si>
  <si>
    <t>Inventory Register</t>
  </si>
  <si>
    <t>One row per item: stock on hand, unit cost and annual usage, with carrying cost, turns and days of supply.</t>
  </si>
  <si>
    <t>Rate Builder</t>
  </si>
  <si>
    <t>Each carrying-cost component as a % of inventory value or an annual amount, summed into one carrying-cost rate.</t>
  </si>
  <si>
    <t>Dashboard</t>
  </si>
  <si>
    <t>Your carrying-cost rate, what holding inventory costs per year, how much of it sits in slow movers, and where.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</si>
  <si>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</si>
  <si>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</si>
  <si>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</si>
  <si>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</si>
  <si>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</si>
  <si>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</si>
  <si>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</si>
  <si>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</si>
  <si>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</si>
  <si>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</si>
  <si>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</si>
  <si>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</si>
  <si>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</si>
  <si>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</si>
  <si>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</si>
  <si>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</si>
  <si>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</si>
  <si>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</si>
  <si>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</si>
  <si>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</si>
  <si>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Inventory Carrying Cost Calculator on mfgcalcs.com</t>
  </si>
  <si>
    <t>Latest version</t>
  </si>
  <si>
    <t>mfgcalcs.com/templates/inventory-carrying-cost</t>
  </si>
  <si>
    <t>More free templates</t>
  </si>
  <si>
    <t>mfgcalcs.com/templates</t>
  </si>
  <si>
    <t>Version</t>
  </si>
  <si>
    <t>1.0.0 (updated 15 October 2026)</t>
  </si>
  <si>
    <t>About the example data</t>
  </si>
  <si>
    <t>Every number already in this workbook is example data for Linden Controls, a fictional business invented for this template, so the dashboard and charts show something meaningful on day one. It holds 24 items of a controller and control-panel maker, with an average inventory of about 1.28 million and carrying-cost components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</si>
  <si>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</si>
  <si>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</si>
  <si>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</si>
  <si>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</si>
  <si>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</si>
  <si>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</si>
  <si>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</si>
  <si>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</si>
  <si>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Category</t>
  </si>
  <si>
    <t>Company and targets</t>
  </si>
  <si>
    <t>Company or site</t>
  </si>
  <si>
    <t>Linden Controls (example)</t>
  </si>
  <si>
    <t>Currency label</t>
  </si>
  <si>
    <t>EUR</t>
  </si>
  <si>
    <t>Days-of-supply target</t>
  </si>
  <si>
    <t>days</t>
  </si>
  <si>
    <t>Annual holding cost budget</t>
  </si>
  <si>
    <t>Both targets are yours to set; nothing here assumes an industry benchmark. 'Near target' means up to 5% above the target (61 to 63 days against a 60-day target, or up to 5% over the budget); beyond that a value reads 'Above target'. An item with stock but no usage in the year reads 'Above target'.</t>
  </si>
  <si>
    <t>Categories</t>
  </si>
  <si>
    <t>Item categories (feed the Inventory Register dropdown)</t>
  </si>
  <si>
    <t>Raw material</t>
  </si>
  <si>
    <t>Purchased parts</t>
  </si>
  <si>
    <t>Work in progress</t>
  </si>
  <si>
    <t>Finished goods</t>
  </si>
  <si>
    <t>Packaging</t>
  </si>
  <si>
    <t>MRO spares</t>
  </si>
  <si>
    <t>Item</t>
  </si>
  <si>
    <t>Description</t>
  </si>
  <si>
    <t>Avg units on hand</t>
  </si>
  <si>
    <t>Unit cost</t>
  </si>
  <si>
    <t>Annual usage</t>
  </si>
  <si>
    <t>Avg inventory value</t>
  </si>
  <si>
    <t>Annual carrying cost</t>
  </si>
  <si>
    <t>Holding cost per unit</t>
  </si>
  <si>
    <t>Annual usage value</t>
  </si>
  <si>
    <t>Turns</t>
  </si>
  <si>
    <t>Days of supply</t>
  </si>
  <si>
    <t>Days of supply status</t>
  </si>
  <si>
    <t>Cost rank</t>
  </si>
  <si>
    <t>Check</t>
  </si>
  <si>
    <t>Notes</t>
  </si>
  <si>
    <t>Example data for Linden Controls (fictional). Replace it with your own: select the example rows, right-click, Delete &gt; Table Rows, then paste your item list. Carrying cost uses the rate from the Rate Builder sheet.</t>
  </si>
  <si>
    <t>per year</t>
  </si>
  <si>
    <t>PCB-201</t>
  </si>
  <si>
    <t>Controller PCB, assembled</t>
  </si>
  <si>
    <t/>
  </si>
  <si>
    <t>PCB-305</t>
  </si>
  <si>
    <t>Display PCB, assembled</t>
  </si>
  <si>
    <t>Minimum order 2,500</t>
  </si>
  <si>
    <t>ENC-10</t>
  </si>
  <si>
    <t>Enclosure, die-cast aluminium</t>
  </si>
  <si>
    <t>ENC-22</t>
  </si>
  <si>
    <t>Enclosure, stainless steel</t>
  </si>
  <si>
    <t>Bought for a cancelled order</t>
  </si>
  <si>
    <t>CBL-4</t>
  </si>
  <si>
    <t>Cable harness, 4-way</t>
  </si>
  <si>
    <t>RLY-12</t>
  </si>
  <si>
    <t>Relay, 12 V</t>
  </si>
  <si>
    <t>Price-break buy</t>
  </si>
  <si>
    <t>CON-8</t>
  </si>
  <si>
    <t>Connector set</t>
  </si>
  <si>
    <t>LCD-7</t>
  </si>
  <si>
    <t>Display, 7 inch</t>
  </si>
  <si>
    <t>PSU-24</t>
  </si>
  <si>
    <t>Power supply, 24 V</t>
  </si>
  <si>
    <t>SNS-T</t>
  </si>
  <si>
    <t>Temperature sensor</t>
  </si>
  <si>
    <t>LEG-3</t>
  </si>
  <si>
    <t>Keypad, previous design</t>
  </si>
  <si>
    <t>No usage since redesign</t>
  </si>
  <si>
    <t>BRD-OLD</t>
  </si>
  <si>
    <t>Controller board, previous design</t>
  </si>
  <si>
    <t>SHT-2</t>
  </si>
  <si>
    <t>Steel sheet, 2 mm</t>
  </si>
  <si>
    <t>Units are kg</t>
  </si>
  <si>
    <t>GSK-1</t>
  </si>
  <si>
    <t>Gasket strip</t>
  </si>
  <si>
    <t>Units are metres</t>
  </si>
  <si>
    <t>SCR-M4</t>
  </si>
  <si>
    <t>Screws, M4</t>
  </si>
  <si>
    <t>WIP-CTL</t>
  </si>
  <si>
    <t>Controllers in assembly</t>
  </si>
  <si>
    <t>WIP-PNL</t>
  </si>
  <si>
    <t>Panels in test</t>
  </si>
  <si>
    <t>FG-C100</t>
  </si>
  <si>
    <t>Controller C100</t>
  </si>
  <si>
    <t>FG-C200</t>
  </si>
  <si>
    <t>Controller C200</t>
  </si>
  <si>
    <t>FG-P10</t>
  </si>
  <si>
    <t>Control panel P10</t>
  </si>
  <si>
    <t>FG-P20</t>
  </si>
  <si>
    <t>Control panel P20, stainless</t>
  </si>
  <si>
    <t>Built ahead of a forecast that slipped</t>
  </si>
  <si>
    <t>FG-SPK</t>
  </si>
  <si>
    <t>Service kit</t>
  </si>
  <si>
    <t>PKG-B</t>
  </si>
  <si>
    <t>Boxes and inserts</t>
  </si>
  <si>
    <t>MRO-DRV</t>
  </si>
  <si>
    <t>Spare drives and motors</t>
  </si>
  <si>
    <t>Insurance spares for critical lines</t>
  </si>
  <si>
    <t>Component</t>
  </si>
  <si>
    <t>Basis</t>
  </si>
  <si>
    <t>Rate</t>
  </si>
  <si>
    <t>Annual amount</t>
  </si>
  <si>
    <t>Annual cost</t>
  </si>
  <si>
    <t>Rate equivalent</t>
  </si>
  <si>
    <t>Source</t>
  </si>
  <si>
    <t>Example components for Linden Controls (fictional). Use your finance team's cost of capital and the last 12 months from your ledger for the amounts. Count each cost once: if storage is in the Warehouse Storage Cost template, bring its total here.</t>
  </si>
  <si>
    <t>Cost of capital</t>
  </si>
  <si>
    <t>% of value</t>
  </si>
  <si>
    <t>Finance: borrowing rate on the working-capital facility</t>
  </si>
  <si>
    <t>Storage space</t>
  </si>
  <si>
    <t>Share of warehouse cost (see the Warehouse Storage Cost template)</t>
  </si>
  <si>
    <t>Handling and stock control</t>
  </si>
  <si>
    <t>Labour for putaway, moves and cycle counts</t>
  </si>
  <si>
    <t>Insurance on stock</t>
  </si>
  <si>
    <t>Stock share of the property policy</t>
  </si>
  <si>
    <t>Obsolescence write-downs</t>
  </si>
  <si>
    <t>Ledger: last 12 months of write-downs</t>
  </si>
  <si>
    <t>Shrinkage and damage</t>
  </si>
  <si>
    <t>Ledger: count adjustments and damage</t>
  </si>
  <si>
    <t>Taxes on inventory</t>
  </si>
  <si>
    <t>Only where stock is taxed; none here</t>
  </si>
  <si>
    <t>Your carrying-cost rate (the Inventory Register uses it)</t>
  </si>
  <si>
    <t>Average inventory value (Inventory Register)</t>
  </si>
  <si>
    <t>Annual carrying cost (sum of components)</t>
  </si>
  <si>
    <t>Carrying-cost rate</t>
  </si>
  <si>
    <t>of value per year</t>
  </si>
  <si>
    <t>CARRYING-COST RATE</t>
  </si>
  <si>
    <t>CARRYING COST IN SLOW MOVERS</t>
  </si>
  <si>
    <t>Units on hand x unit cost, all items</t>
  </si>
  <si>
    <t>Per year, built from your components</t>
  </si>
  <si>
    <t>Items above the days-of-supply target</t>
  </si>
  <si>
    <t>The ten items with the highest annual carrying cost</t>
  </si>
  <si>
    <t>Rank</t>
  </si>
  <si>
    <t>Inventory value</t>
  </si>
  <si>
    <t>1</t>
  </si>
  <si>
    <t>2</t>
  </si>
  <si>
    <t>3</t>
  </si>
  <si>
    <t>4</t>
  </si>
  <si>
    <t>5</t>
  </si>
  <si>
    <t>6</t>
  </si>
  <si>
    <t>7</t>
  </si>
  <si>
    <t>8</t>
  </si>
  <si>
    <t>9</t>
  </si>
  <si>
    <t>10</t>
  </si>
  <si>
    <t>By category (days of supply from value: average inventory value / annual usage value x 365)</t>
  </si>
  <si>
    <t>Items</t>
  </si>
  <si>
    <t>Within target</t>
  </si>
  <si>
    <t>Above target</t>
  </si>
  <si>
    <t>Items above target</t>
  </si>
  <si>
    <t>Total</t>
  </si>
  <si>
    <t>Carrying-cost rate by component</t>
  </si>
  <si>
    <t>Share of carrying cost</t>
  </si>
  <si>
    <t>The Dashboard shows the 6 categories and 7 rate components of the lists. If you add more, extend the category and component blocks (see Method) or they will not appear here. The top ten works for any number of items.</t>
  </si>
  <si>
    <t>What this workbook calculates</t>
  </si>
  <si>
    <t>Carrying cost is what it costs per year to hold inventory: the return the cash could earn elsewhere (cost of capital), the space it occupies, the people who move and count it, insurance, and the stock that is written off as obsolete, damaged or missing. This workbook builds one carrying-cost rate from those components, each taken either as a % of inventory value or as an annual amount from your ledger divided by the average inventory value, and applies it to every item's average inventory value. Days of supply then show which items hold the most cost for the least use.</t>
  </si>
  <si>
    <t>Calculations</t>
  </si>
  <si>
    <t>Quantity</t>
  </si>
  <si>
    <t>How it is calculated</t>
  </si>
  <si>
    <t>Units</t>
  </si>
  <si>
    <t>Average inventory value</t>
  </si>
  <si>
    <t>Average units on hand x unit cost, per item; summed over the register.</t>
  </si>
  <si>
    <t>currency</t>
  </si>
  <si>
    <t>Component annual cost</t>
  </si>
  <si>
    <t>% of value basis: rate x average inventory value. Annual amount basis: the amount as typed.</t>
  </si>
  <si>
    <t>currency/year</t>
  </si>
  <si>
    <t>Component annual cost / average inventory value.</t>
  </si>
  <si>
    <t>%/year</t>
  </si>
  <si>
    <t>Sum of the component annual costs / average inventory value of the register.</t>
  </si>
  <si>
    <t>Average inventory value x carrying-cost rate, per item.
Excel: =[@[Avg inventory value]]*CarryRate</t>
  </si>
  <si>
    <t>Unit cost x carrying-cost rate: the cost of holding one unit for a year (H in EOQ = sqrt(2DS/H)).</t>
  </si>
  <si>
    <t>currency/unit</t>
  </si>
  <si>
    <t>Annual usage x unit cost.</t>
  </si>
  <si>
    <t>Annual usage / average units on hand (= usage value / inventory value).</t>
  </si>
  <si>
    <t>Average units on hand / annual usage x 365; blank when there was no usage.</t>
  </si>
  <si>
    <t>On target at or below the Setup target; Near target up to 5% above it; Above target beyond that, or when stock has no usage in the year.</t>
  </si>
  <si>
    <t>-</t>
  </si>
  <si>
    <t>Carrying cost in slow movers</t>
  </si>
  <si>
    <t>Annual carrying cost of items with status Above target / total annual carrying cost.</t>
  </si>
  <si>
    <t>%</t>
  </si>
  <si>
    <t>Category roll-ups</t>
  </si>
  <si>
    <t>SUMIFS by category; category turns = usage value / inventory value and days of supply = inventory value / usage value x 365 (ratios of sums).</t>
  </si>
  <si>
    <t>Top ten</t>
  </si>
  <si>
    <t>Items ranked by annual carrying cost with the helper column Cost rank (COUNTIF of larger values plus earlier ties, + 1), looked up with INDEX/MATCH.</t>
  </si>
  <si>
    <t>Assumptions</t>
  </si>
  <si>
    <t>The rate applies equally to every item: space, handling and write-offs are allocated in proportion to value. Bulky low-value items cost more space than this shows; very valuable small items cost less.</t>
  </si>
  <si>
    <t>Average units on hand are the year's average (for example the mean of 12 month-end balances), not a single count.</t>
  </si>
  <si>
    <t>Annual usage covers the same 12 months as the ledger amounts and the average stock.</t>
  </si>
  <si>
    <t>Days of supply use 365 calendar days a year.</t>
  </si>
  <si>
    <t>Limitations</t>
  </si>
  <si>
    <t>One rate for all items; if obsolescence is concentrated in a few product families, build a separate rate for them.</t>
  </si>
  <si>
    <t>MRO and insurance spares are held for availability, not usage: a high days-of-supply on them is a policy, not necessarily a problem.</t>
  </si>
  <si>
    <t>Write-offs in the rate are last year's; a one-off write-down inflates the rate for every item.</t>
  </si>
  <si>
    <t>The Dashboard has fixed blocks for 6 categories and 7 components; longer lists need the blocks extended (a warning appears). The top ten works for any number of items.</t>
  </si>
  <si>
    <t>Agreement with the live calculator</t>
  </si>
  <si>
    <t>The live Inventory Carrying Cost calculator values one block of stock: average inventory value = units x unit cost; annual carrying cost = value x rate / 100 + a separate annual expense; cost per held unit = annual carrying cost / units. This workbook gives the same numbers: the % of value components are the calculator's rate, the annual amounts its separate expense, and for any single item, carrying cost = value x the combined rate. The build checks the template's reference against the calculator's engine for its own example (2,000 units at 45, 25%, 250 separate: 22,750 a year), for one example item, and for the whole example register.</t>
  </si>
  <si>
    <t>Open the Inventory Carrying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</si>
  <si>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</si>
  <si>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</si>
  <si>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Inventory management practice: carrying cost as the sum of capital, storage, service (insurance, taxes) and risk (obsolescence, shrinkage) costs; see APICS/ASCM Dictionary, 'carrying cost'.</t>
  </si>
  <si>
    <t>Harris, F. W., 'How Many Parts to Make at Once', Factory, The Magazine of Management, 1913 (the economic order quantity and its holding cost term).</t>
  </si>
  <si>
    <t>MFG Calcs Inventory Carrying Cost calculator (carrying-cost-calculator): annual carrying cost = inventory value x rate + separate annual expense.</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</si>
  <si>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</si>
  <si>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</si>
  <si>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</si>
  <si>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</si>
  <si>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</si>
  <si>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</si>
  <si>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</si>
  <si>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</si>
  <si>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</si>
  <si>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</si>
  <si>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</si>
  <si>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</si>
  <si>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</si>
  <si>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</si>
  <si>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</si>
  <si>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</si>
  <si>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Component 1: annual cost (25% of value)</t>
  </si>
  <si>
    <t>Component 2: rate equivalent</t>
  </si>
  <si>
    <t>Component 3: Check reports the missing amount</t>
  </si>
  <si>
    <t>Missing amount</t>
  </si>
  <si>
    <t>exact</t>
  </si>
  <si>
    <t>Item A: average inventory value</t>
  </si>
  <si>
    <t>Item A: annual carrying cost</t>
  </si>
  <si>
    <t>Item A: holding cost per unit</t>
  </si>
  <si>
    <t>Item A: turns</t>
  </si>
  <si>
    <t>Item A: days of supply</t>
  </si>
  <si>
    <t>Item A: status (61 days against 60: within 5%)</t>
  </si>
  <si>
    <t>Near target</t>
  </si>
  <si>
    <t>Item B: days of supply blank (no usage)</t>
  </si>
  <si>
    <t>Item B: status with stock and no usage</t>
  </si>
  <si>
    <t>Item C: Check reports the unknown category</t>
  </si>
  <si>
    <t>Category not on Setup list</t>
  </si>
  <si>
    <t>Item B: cost rank</t>
  </si>
  <si>
    <t>All items: annual carrying cost (Dashboard formula)</t>
  </si>
  <si>
    <t>All items: share in slow movers (Dashboard formula)</t>
  </si>
  <si>
    <t>Top ten: rank 1 item</t>
  </si>
  <si>
    <t>T-A</t>
  </si>
  <si>
    <t>Top ten: rank 2 annual carrying cost</t>
  </si>
  <si>
    <t>Fixed test inputs</t>
  </si>
  <si>
    <t>White cells are fixed test inputs; blue cells are the workbook's formulas evaluated on them.</t>
  </si>
  <si>
    <t>Parameters</t>
  </si>
  <si>
    <t>Test table: Categories</t>
  </si>
  <si>
    <t>Test table: Register</t>
  </si>
  <si>
    <t>Calculator example</t>
  </si>
  <si>
    <t>T-B</t>
  </si>
  <si>
    <t>No usage</t>
  </si>
  <si>
    <t>T-C</t>
  </si>
  <si>
    <t>Category typo</t>
  </si>
  <si>
    <t>Finished good</t>
  </si>
  <si>
    <t>Test table: Components</t>
  </si>
  <si>
    <t>Calculator rate</t>
  </si>
  <si>
    <t>Test</t>
  </si>
  <si>
    <t>Separate expense</t>
  </si>
  <si>
    <t>Amount not typed</t>
  </si>
  <si>
    <t>Check-column case</t>
  </si>
  <si>
    <t>Test rate (same formulas, over the test register and components)</t>
  </si>
  <si>
    <t>Test top ten (same formulas as the Dashboard)</t>
  </si>
</sst>
</file>

<file path=xl/styles.xml><?xml version="1.0" encoding="utf-8"?>
<styleSheet xmlns="http://schemas.openxmlformats.org/spreadsheetml/2006/main">
  <numFmts count="8">
    <numFmt numFmtId="164" formatCode="#,##0"/>
    <numFmt numFmtId="165" formatCode="#,##0.00"/>
    <numFmt numFmtId="166" formatCode="#,##0.0000"/>
    <numFmt numFmtId="167" formatCode="#,##0.0"/>
    <numFmt numFmtId="168" formatCode="0.0%"/>
    <numFmt numFmtId="169" formatCode="0.00%"/>
    <numFmt numFmtId="170" formatCode="&quot;Budget &quot;#,##0"/>
    <numFmt numFmtId="171"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165"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168" fontId="10" fillId="3" borderId="2" xfId="0" applyNumberFormat="1" applyFont="1" applyFill="1" applyBorder="1" applyAlignment="1" applyProtection="1">
      <alignment vertical="center"/>
      <protection locked="0"/>
    </xf>
    <xf numFmtId="169" fontId="10" fillId="4" borderId="3" xfId="0" applyNumberFormat="1" applyFont="1" applyFill="1" applyBorder="1" applyAlignment="1">
      <alignment vertical="center"/>
    </xf>
    <xf numFmtId="0" fontId="10" fillId="3" borderId="2" xfId="0" applyFont="1" applyFill="1" applyBorder="1" applyAlignment="1" applyProtection="1">
      <alignment vertical="top" wrapText="1"/>
      <protection locked="0"/>
    </xf>
    <xf numFmtId="169" fontId="9" fillId="4" borderId="3" xfId="0" applyNumberFormat="1"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70"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0" fontId="10" fillId="4" borderId="3" xfId="0" applyFont="1" applyFill="1" applyBorder="1" applyAlignment="1">
      <alignment vertical="center"/>
    </xf>
    <xf numFmtId="0" fontId="9" fillId="4" borderId="10" xfId="0" applyFont="1" applyFill="1" applyBorder="1" applyAlignment="1">
      <alignment vertical="center"/>
    </xf>
    <xf numFmtId="164" fontId="9" fillId="4" borderId="10" xfId="0" applyNumberFormat="1" applyFont="1" applyFill="1" applyBorder="1" applyAlignment="1">
      <alignment vertical="center"/>
    </xf>
    <xf numFmtId="168" fontId="10" fillId="4" borderId="3" xfId="0" applyNumberFormat="1" applyFont="1" applyFill="1" applyBorder="1" applyAlignment="1">
      <alignment vertical="center"/>
    </xf>
    <xf numFmtId="169"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9" fillId="0" borderId="9" xfId="0" applyNumberFormat="1" applyFont="1" applyBorder="1" applyAlignment="1">
      <alignment horizontal="center" vertical="center"/>
    </xf>
    <xf numFmtId="169"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65" fontId="10" fillId="0" borderId="9" xfId="0" applyNumberFormat="1" applyFont="1" applyBorder="1" applyAlignment="1">
      <alignment vertical="center"/>
    </xf>
    <xf numFmtId="165" fontId="10" fillId="4" borderId="3" xfId="0" applyNumberFormat="1" applyFont="1" applyFill="1" applyBorder="1" applyAlignment="1">
      <alignment vertical="center"/>
    </xf>
    <xf numFmtId="166" fontId="10" fillId="0" borderId="9" xfId="0" applyNumberFormat="1" applyFont="1" applyBorder="1" applyAlignment="1">
      <alignment vertical="center"/>
    </xf>
    <xf numFmtId="164" fontId="10" fillId="0" borderId="9" xfId="0" applyNumberFormat="1" applyFont="1" applyBorder="1" applyAlignment="1">
      <alignment vertical="center"/>
    </xf>
    <xf numFmtId="168"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Carrying-cost rate by component</a:t>
            </a:r>
          </a:p>
        </c:rich>
      </c:tx>
      <c:layout/>
    </c:title>
    <c:plotArea>
      <c:layout/>
      <c:barChart>
        <c:barDir val="bar"/>
        <c:grouping val="clustered"/>
        <c:ser>
          <c:idx val="0"/>
          <c:order val="0"/>
          <c:tx>
            <c:v>Rate equivalent</c:v>
          </c:tx>
          <c:spPr>
            <a:solidFill>
              <a:srgbClr val="3B64D8"/>
            </a:solidFill>
            <a:ln w="9525">
              <a:solidFill>
                <a:srgbClr val="FFFFFF"/>
              </a:solidFill>
            </a:ln>
          </c:spPr>
          <c:cat>
            <c:strRef>
              <c:f>Dashboard!$B$57:$B$63</c:f>
              <c:strCache>
                <c:ptCount val="7"/>
                <c:pt idx="0">
                  <c:v>Cost of capital</c:v>
                </c:pt>
                <c:pt idx="1">
                  <c:v>Storage space</c:v>
                </c:pt>
                <c:pt idx="2">
                  <c:v>Handling and stock control</c:v>
                </c:pt>
                <c:pt idx="3">
                  <c:v>Insurance on stock</c:v>
                </c:pt>
                <c:pt idx="4">
                  <c:v>Obsolescence write-downs</c:v>
                </c:pt>
                <c:pt idx="5">
                  <c:v>Shrinkage and damage</c:v>
                </c:pt>
                <c:pt idx="6">
                  <c:v>Taxes on inventory</c:v>
                </c:pt>
              </c:strCache>
            </c:strRef>
          </c:cat>
          <c:val>
            <c:numRef>
              <c:f>Dashboard!$D$57:$D$63</c:f>
              <c:numCache>
                <c:formatCode>General</c:formatCode>
                <c:ptCount val="7"/>
                <c:pt idx="0">
                  <c:v>0.085</c:v>
                </c:pt>
                <c:pt idx="1">
                  <c:v>0.045227698066126</c:v>
                </c:pt>
                <c:pt idx="2">
                  <c:v>0.0241734248284467</c:v>
                </c:pt>
                <c:pt idx="3">
                  <c:v>0.00358702432938241</c:v>
                </c:pt>
                <c:pt idx="4">
                  <c:v>0.0300218340611354</c:v>
                </c:pt>
                <c:pt idx="5">
                  <c:v>0.00717404865876482</c:v>
                </c:pt>
                <c:pt idx="6">
                  <c:v>0</c:v>
                </c:pt>
              </c:numCache>
            </c:numRef>
          </c:val>
        </c:ser>
        <c:gapWidth val="60"/>
        <c:overlap val="-1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Carrying cost by category: within vs above target</a:t>
            </a:r>
          </a:p>
        </c:rich>
      </c:tx>
      <c:layout/>
    </c:title>
    <c:plotArea>
      <c:layout/>
      <c:barChart>
        <c:barDir val="bar"/>
        <c:grouping val="stacked"/>
        <c:ser>
          <c:idx val="0"/>
          <c:order val="0"/>
          <c:tx>
            <c:v>Within target</c:v>
          </c:tx>
          <c:spPr>
            <a:solidFill>
              <a:srgbClr val="3B64D8"/>
            </a:solidFill>
            <a:ln w="9525">
              <a:solidFill>
                <a:srgbClr val="FFFFFF"/>
              </a:solidFill>
            </a:ln>
          </c:spPr>
          <c:cat>
            <c:strRef>
              <c:f>Dashboard!$B$46:$B$51</c:f>
              <c:strCache>
                <c:ptCount val="6"/>
                <c:pt idx="0">
                  <c:v>Raw material</c:v>
                </c:pt>
                <c:pt idx="1">
                  <c:v>Purchased parts</c:v>
                </c:pt>
                <c:pt idx="2">
                  <c:v>Work in progress</c:v>
                </c:pt>
                <c:pt idx="3">
                  <c:v>Finished goods</c:v>
                </c:pt>
                <c:pt idx="4">
                  <c:v>Packaging</c:v>
                </c:pt>
                <c:pt idx="5">
                  <c:v>MRO spares</c:v>
                </c:pt>
              </c:strCache>
            </c:strRef>
          </c:cat>
          <c:val>
            <c:numRef>
              <c:f>Dashboard!$F$46:$F$51</c:f>
              <c:numCache>
                <c:formatCode>General</c:formatCode>
                <c:ptCount val="6"/>
                <c:pt idx="0">
                  <c:v>6675.29382407985</c:v>
                </c:pt>
                <c:pt idx="1">
                  <c:v>17810.5427323768</c:v>
                </c:pt>
                <c:pt idx="2">
                  <c:v>20673.8924516532</c:v>
                </c:pt>
                <c:pt idx="3">
                  <c:v>75750.9220212102</c:v>
                </c:pt>
                <c:pt idx="4">
                  <c:v>0</c:v>
                </c:pt>
                <c:pt idx="5">
                  <c:v>0</c:v>
                </c:pt>
              </c:numCache>
            </c:numRef>
          </c:val>
        </c:ser>
        <c:ser>
          <c:idx val="1"/>
          <c:order val="1"/>
          <c:tx>
            <c:v>Above target (slow movers)</c:v>
          </c:tx>
          <c:spPr>
            <a:solidFill>
              <a:srgbClr val="E8702A"/>
            </a:solidFill>
            <a:ln w="9525">
              <a:solidFill>
                <a:srgbClr val="FFFFFF"/>
              </a:solidFill>
            </a:ln>
          </c:spPr>
          <c:cat>
            <c:strRef>
              <c:f>Dashboard!$B$46:$B$51</c:f>
              <c:strCache>
                <c:ptCount val="6"/>
                <c:pt idx="0">
                  <c:v>Raw material</c:v>
                </c:pt>
                <c:pt idx="1">
                  <c:v>Purchased parts</c:v>
                </c:pt>
                <c:pt idx="2">
                  <c:v>Work in progress</c:v>
                </c:pt>
                <c:pt idx="3">
                  <c:v>Finished goods</c:v>
                </c:pt>
                <c:pt idx="4">
                  <c:v>Packaging</c:v>
                </c:pt>
                <c:pt idx="5">
                  <c:v>MRO spares</c:v>
                </c:pt>
              </c:strCache>
            </c:strRef>
          </c:cat>
          <c:val>
            <c:numRef>
              <c:f>Dashboard!$G$46:$G$51</c:f>
              <c:numCache>
                <c:formatCode>General</c:formatCode>
                <c:ptCount val="6"/>
                <c:pt idx="0">
                  <c:v>1124.26001247661</c:v>
                </c:pt>
                <c:pt idx="1">
                  <c:v>29790.9384903306</c:v>
                </c:pt>
                <c:pt idx="2">
                  <c:v>0</c:v>
                </c:pt>
                <c:pt idx="3">
                  <c:v>90065.7187772926</c:v>
                </c:pt>
                <c:pt idx="4">
                  <c:v>1990.87710542732</c:v>
                </c:pt>
                <c:pt idx="5">
                  <c:v>6421.55458515284</c:v>
                </c:pt>
              </c:numCache>
            </c:numRef>
          </c:val>
        </c:ser>
        <c:gapWidth val="60"/>
        <c:overlap val="10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quot;k&quot;"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26</xdr:row>
      <xdr:rowOff>152400</xdr:rowOff>
    </xdr:to>
    <xdr:graphicFrame macro="">
      <xdr:nvGraphicFramePr>
        <xdr:cNvPr id="2" name="Chart 1" descr="Bar chart of each carrying-cost component as a percentage of average inventory value per year; together they make the carrying-cost rat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26</xdr:row>
      <xdr:rowOff>152400</xdr:rowOff>
    </xdr:to>
    <xdr:graphicFrame macro="">
      <xdr:nvGraphicFramePr>
        <xdr:cNvPr id="3" name="Chart 2" descr="Stacked bar chart of annual carrying cost for each item category, split into items within the days-of-supply target and items above i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ategories" displayName="tblCategories" ref="B16:B22" totalsRowShown="0">
  <autoFilter ref="B16:B22"/>
  <tableColumns count="1">
    <tableColumn id="1" name="Category"/>
  </tableColumns>
  <tableStyleInfo name="TableStyleLight1" showFirstColumn="0" showLastColumn="0" showRowStripes="0" showColumnStripes="0"/>
</table>
</file>

<file path=xl/tables/table2.xml><?xml version="1.0" encoding="utf-8"?>
<table xmlns="http://schemas.openxmlformats.org/spreadsheetml/2006/main" id="2" name="tblRegister" displayName="tblRegister" ref="B6:Q30" totalsRowShown="0">
  <autoFilter ref="B6:Q30"/>
  <tableColumns count="16">
    <tableColumn id="1" name="Item"/>
    <tableColumn id="2" name="Description"/>
    <tableColumn id="3" name="Category"/>
    <tableColumn id="4" name="Avg units on hand"/>
    <tableColumn id="5" name="Unit cost"/>
    <tableColumn id="6" name="Annual usage"/>
    <tableColumn id="7" name="Avg inventory value">
      <calculatedColumnFormula>IF(tblRegister[[#This Row],[Item]]="","",tblRegister[[#This Row],[Avg units on hand]]*tblRegister[[#This Row],[Unit cost]])</calculatedColumnFormula>
    </tableColumn>
    <tableColumn id="8" name="Annual carrying cost">
      <calculatedColumnFormula>IF(tblRegister[[#This Row],[Item]]="","",tblRegister[[#This Row],[Avg inventory value]]*CarryRate)</calculatedColumnFormula>
    </tableColumn>
    <tableColumn id="9" name="Holding cost per unit">
      <calculatedColumnFormula>IF(tblRegister[[#This Row],[Item]]="","",tblRegister[[#This Row],[Unit cost]]*CarryRate)</calculatedColumnFormula>
    </tableColumn>
    <tableColumn id="10" name="Annual usage value">
      <calculatedColumnFormula>IF(tblRegister[[#This Row],[Item]]="","",tblRegister[[#This Row],[Annual usage]]*tblRegister[[#This Row],[Unit cost]])</calculatedColumnFormula>
    </tableColumn>
    <tableColumn id="11" name="Turns">
      <calculatedColumnFormula>IF(tblRegister[[#This Row],[Item]]="","",IF(tblRegister[[#This Row],[Avg units on hand]]&gt;0,tblRegister[[#This Row],[Annual usage]]/tblRegister[[#This Row],[Avg units on hand]],""))</calculatedColumnFormula>
    </tableColumn>
    <tableColumn id="12" name="Days of supply">
      <calculatedColumnFormula>IF(tblRegister[[#This Row],[Item]]="","",IF(tblRegister[[#This Row],[Annual usage]]&gt;0,tblRegister[[#This Row],[Avg units on hand]]/tblRegister[[#This Row],[Annual usage]]*365,""))</calculatedColumnFormula>
    </tableColumn>
    <tableColumn id="13" name="Days of supply status">
      <calculatedColumnFormula>IF(tblRegister[[#This Row],[Item]]="","",IF(tblRegister[[#This Row],[Avg units on hand]]=0,"",IF(tblRegister[[#This Row],[Annual usage]]=0,"Above target",IF(tblRegister[[#This Row],[Days of supply]]&lt;=TargetDOS,"On target",IF(tblRegister[[#This Row],[Days of supply]]&lt;=TargetDOS*1.05,"Near target","Above target")))))</calculatedColumnFormula>
    </tableColumn>
    <tableColumn id="14" name="Cost rank">
      <calculatedColumnFormula>IF(tblRegister[[#This Row],[Item]]="","",COUNTIF(tblRegister[Annual carrying cost],"&gt;"&amp;tblRegister[[#This Row],[Annual carrying cost]])+SUMPRODUCT((tblRegister[Annual carrying cost]=tblRegister[[#This Row],[Annual carrying cost]])*(ROW(tblRegister[Annual carrying cost])&lt;ROW(tblRegister[[#This Row],[Annual carrying cost]])))+1)</calculatedColumnFormula>
    </tableColumn>
    <tableColumn id="15" name="Check">
      <calculatedColumnFormula>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calculatedColumnFormula>
    </tableColumn>
    <tableColumn id="16" name="Notes"/>
  </tableColumns>
  <tableStyleInfo name="TableStyleLight1" showFirstColumn="0" showLastColumn="0" showRowStripes="0" showColumnStripes="0"/>
</table>
</file>

<file path=xl/tables/table3.xml><?xml version="1.0" encoding="utf-8"?>
<table xmlns="http://schemas.openxmlformats.org/spreadsheetml/2006/main" id="3" name="tblComponents" displayName="tblComponents" ref="B6:I13" totalsRowShown="0">
  <autoFilter ref="B6:I13"/>
  <tableColumns count="8">
    <tableColumn id="1" name="Component"/>
    <tableColumn id="2" name="Basis"/>
    <tableColumn id="3" name="Rate"/>
    <tableColumn id="4" name="Annual amount"/>
    <tableColumn id="5" name="Annual cost">
      <calculatedColumnFormula>IF(tblComponents[[#This Row],[Component]]="","",IF(tblComponents[[#This Row],[Basis]]="% of value",tblComponents[[#This Row],[Rate]]*AvgValue,tblComponents[[#This Row],[Annual amount]]))</calculatedColumnFormula>
    </tableColumn>
    <tableColumn id="6" name="Rate equivalent">
      <calculatedColumnFormula>IF(tblComponents[[#This Row],[Component]]="","",IF(AvgValue&gt;0,tblComponents[[#This Row],[Annual cost]]/AvgValue,""))</calculatedColumnFormula>
    </tableColumn>
    <tableColumn id="7" name="Check">
      <calculatedColumnFormula>IF(tblComponents[[#This Row],[Component]]="","",IF(tblComponents[[#This Row],[Basis]]="","Missing basis",IF(AND(tblComponents[[#This Row],[Basis]]="% of value",tblComponents[[#This Row],[Rate]]=""),"Missing rate",IF(AND(tblComponents[[#This Row],[Basis]]="Annual amount",tblComponents[[#This Row],[Annual amount]]=""),"Missing amount","OK"))))</calculatedColumnFormula>
    </tableColumn>
    <tableColumn id="8" name="Source"/>
  </tableColumns>
  <tableStyleInfo name="TableStyleLight1" showFirstColumn="0" showLastColumn="0" showRowStripes="0" showColumnStripes="0"/>
</table>
</file>

<file path=xl/tables/table4.xml><?xml version="1.0" encoding="utf-8"?>
<table xmlns="http://schemas.openxmlformats.org/spreadsheetml/2006/main" id="4" name="tblVerifyCategories" displayName="tblVerifyCategories" ref="B37:B39" totalsRowShown="0">
  <tableColumns count="1">
    <tableColumn id="1" name="Category"/>
  </tableColumns>
  <tableStyleInfo name="TableStyleLight1" showFirstColumn="0" showLastColumn="0" showRowStripes="0" showColumnStripes="0"/>
</table>
</file>

<file path=xl/tables/table5.xml><?xml version="1.0" encoding="utf-8"?>
<table xmlns="http://schemas.openxmlformats.org/spreadsheetml/2006/main" id="5" name="tblVerifyRegister" displayName="tblVerifyRegister" ref="B43:Q46" totalsRowShown="0">
  <tableColumns count="16">
    <tableColumn id="1" name="Item"/>
    <tableColumn id="2" name="Description"/>
    <tableColumn id="3" name="Category"/>
    <tableColumn id="4" name="Avg units on hand"/>
    <tableColumn id="5" name="Unit cost"/>
    <tableColumn id="6" name="Annual usage"/>
    <tableColumn id="7" name="Avg inventory value">
      <calculatedColumnFormula>IF(tblVerifyRegister[[#This Row],[Item]]="","",tblVerifyRegister[[#This Row],[Avg units on hand]]*tblVerifyRegister[[#This Row],[Unit cost]])</calculatedColumnFormula>
    </tableColumn>
    <tableColumn id="8" name="Annual carrying cost">
      <calculatedColumnFormula>IF(tblVerifyRegister[[#This Row],[Item]]="","",tblVerifyRegister[[#This Row],[Avg inventory value]]*$E$58)</calculatedColumnFormula>
    </tableColumn>
    <tableColumn id="9" name="Holding cost per unit">
      <calculatedColumnFormula>IF(tblVerifyRegister[[#This Row],[Item]]="","",tblVerifyRegister[[#This Row],[Unit cost]]*$E$58)</calculatedColumnFormula>
    </tableColumn>
    <tableColumn id="10" name="Annual usage value">
      <calculatedColumnFormula>IF(tblVerifyRegister[[#This Row],[Item]]="","",tblVerifyRegister[[#This Row],[Annual usage]]*tblVerifyRegister[[#This Row],[Unit cost]])</calculatedColumnFormula>
    </tableColumn>
    <tableColumn id="11" name="Turns">
      <calculatedColumnFormula>IF(tblVerifyRegister[[#This Row],[Item]]="","",IF(tblVerifyRegister[[#This Row],[Avg units on hand]]&gt;0,tblVerifyRegister[[#This Row],[Annual usage]]/tblVerifyRegister[[#This Row],[Avg units on hand]],""))</calculatedColumnFormula>
    </tableColumn>
    <tableColumn id="12" name="Days of supply">
      <calculatedColumnFormula>IF(tblVerifyRegister[[#This Row],[Item]]="","",IF(tblVerifyRegister[[#This Row],[Annual usage]]&gt;0,tblVerifyRegister[[#This Row],[Avg units on hand]]/tblVerifyRegister[[#This Row],[Annual usage]]*365,""))</calculatedColumnFormula>
    </tableColumn>
    <tableColumn id="13" name="Days of supply status">
      <calculatedColumnFormula>IF(tblVerifyRegister[[#This Row],[Item]]="","",IF(tblVerifyRegister[[#This Row],[Avg units on hand]]=0,"",IF(tblVerifyRegister[[#This Row],[Annual usage]]=0,"Above target",IF(tblVerifyRegister[[#This Row],[Days of supply]]&lt;=$E$34,"On target",IF(tblVerifyRegister[[#This Row],[Days of supply]]&lt;=$E$34*1.05,"Near target","Above target")))))</calculatedColumnFormula>
    </tableColumn>
    <tableColumn id="14" name="Cost rank">
      <calculatedColumnFormula>IF(tblVerifyRegister[[#This Row],[Item]]="","",COUNTIF(tblVerifyRegister[Annual carrying cost],"&gt;"&amp;tblVerifyRegister[[#This Row],[Annual carrying cost]])+SUMPRODUCT((tblVerifyRegister[Annual carrying cost]=tblVerifyRegister[[#This Row],[Annual carrying cost]])*(ROW(tblVerifyRegister[Annual carrying cost])&lt;ROW(tblVerifyRegister[[#This Row],[Annual carrying cost]])))+1)</calculatedColumnFormula>
    </tableColumn>
    <tableColumn id="15" name="Check">
      <calculatedColumnFormula>IF(tblVerifyRegister[[#This Row],[Item]]="","",IF(tblVerifyRegister[[#This Row],[Category]]="","Missing category",IF(tblVerifyRegister[[#This Row],[Avg units on hand]]="","Missing avg units on hand",IF(tblVerifyRegister[[#This Row],[Unit cost]]="","Missing unit cost",IF(tblVerifyRegister[[#This Row],[Annual usage]]="","Missing annual usage",IF(COUNTIF(tblVerifyCategories[Category],tblVerifyRegister[[#This Row],[Category]])=0,"Category not on Setup list",IF(COUNTIF(tblVerifyRegister[Item],tblVerifyRegister[[#This Row],[Item]])&gt;1,"Item listed twice",IF(tblVerifyRegister[[#This Row],[Unit cost]]=0,"Unit cost is 0","OK"))))))))</calculatedColumnFormula>
    </tableColumn>
    <tableColumn id="16" name="Notes"/>
  </tableColumns>
  <tableStyleInfo name="TableStyleLight1" showFirstColumn="0" showLastColumn="0" showRowStripes="0" showColumnStripes="0"/>
</table>
</file>

<file path=xl/tables/table6.xml><?xml version="1.0" encoding="utf-8"?>
<table xmlns="http://schemas.openxmlformats.org/spreadsheetml/2006/main" id="6" name="tblVerifyComponents" displayName="tblVerifyComponents" ref="B50:I53" totalsRowShown="0">
  <tableColumns count="8">
    <tableColumn id="1" name="Component"/>
    <tableColumn id="2" name="Basis"/>
    <tableColumn id="3" name="Rate"/>
    <tableColumn id="4" name="Annual amount"/>
    <tableColumn id="5" name="Annual cost">
      <calculatedColumnFormula>IF(tblVerifyComponents[[#This Row],[Component]]="","",IF(tblVerifyComponents[[#This Row],[Basis]]="% of value",tblVerifyComponents[[#This Row],[Rate]]*$E$56,tblVerifyComponents[[#This Row],[Annual amount]]))</calculatedColumnFormula>
    </tableColumn>
    <tableColumn id="6" name="Rate equivalent">
      <calculatedColumnFormula>IF(tblVerifyComponents[[#This Row],[Component]]="","",IF($E$56&gt;0,tblVerifyComponents[[#This Row],[Annual cost]]/$E$56,""))</calculatedColumnFormula>
    </tableColumn>
    <tableColumn id="7" name="Check">
      <calculatedColumnFormula>IF(tblVerifyComponents[[#This Row],[Component]]="","",IF(tblVerifyComponents[[#This Row],[Basis]]="","Missing basis",IF(AND(tblVerifyComponents[[#This Row],[Basis]]="% of value",tblVerifyComponents[[#This Row],[Rate]]=""),"Missing rate",IF(AND(tblVerifyComponents[[#This Row],[Basis]]="Annual amount",tblVerifyComponents[[#This Row],[Annual amount]]=""),"Missing amount","OK"))))</calculatedColumnFormula>
    </tableColumn>
    <tableColumn id="8" name="Sourc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ventory-carrying-cost" TargetMode="External"/><Relationship Id="rId2" Type="http://schemas.openxmlformats.org/officeDocument/2006/relationships/hyperlink" Target="https://www.mfgcalcs.com/calculators/supply-chain-procurement-inventory/carrying-cost-calculator?utm_source=mfgcalcs-template&amp;utm_medium=xlsx&amp;utm_campaign=inventory-carrying-cost" TargetMode="External"/><Relationship Id="rId3" Type="http://schemas.openxmlformats.org/officeDocument/2006/relationships/hyperlink" Target="https://www.mfgcalcs.com/templates/inventory-carrying-cost?utm_source=mfgcalcs-template&amp;utm_medium=xlsx&amp;utm_campaign=inventory-carrying-cost" TargetMode="External"/><Relationship Id="rId4" Type="http://schemas.openxmlformats.org/officeDocument/2006/relationships/hyperlink" Target="https://www.mfgcalcs.com/templates?utm_source=mfgcalcs-template&amp;utm_medium=xlsx&amp;utm_campaign=inventory-carrying-cos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ventory-carrying-cost"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ventory-carrying-cost"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ventory-carrying-cost" TargetMode="External"/><Relationship Id="rId2"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ventory-carrying-cost"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ventory-carrying-cost" TargetMode="External"/><Relationship Id="rId2" Type="http://schemas.openxmlformats.org/officeDocument/2006/relationships/hyperlink" Target="https://www.mfgcalcs.com/calculators/supply-chain-procurement-inventory/carrying-cost-calculator?utm_source=mfgcalcs-template&amp;utm_medium=xlsx&amp;utm_campaign=inventory-carrying-cos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ventory-carrying-cost" TargetMode="External"/><Relationship Id="rId2" Type="http://schemas.openxmlformats.org/officeDocument/2006/relationships/table" Target="../tables/table4.xml"/><Relationship Id="rId3" Type="http://schemas.openxmlformats.org/officeDocument/2006/relationships/table" Target="../tables/table5.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18 of 18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Inventory Register'!A1" tooltip="Go to Inventory Register" display="Inventory Register"/>
    <hyperlink ref="C22" location="'Rate Builder'!A1" tooltip="Go to Rate Builder" display="Rate Builder"/>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Inventory Carrying Cost&amp;R&amp;8&amp;A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2"/>
  <sheetViews>
    <sheetView showGridLines="0" workbookViewId="0"/>
  </sheetViews>
  <sheetFormatPr defaultRowHeight="15"/>
  <cols>
    <col min="1" max="1" width="2.7109375" customWidth="1"/>
    <col min="2" max="2" width="32.7109375" customWidth="1"/>
    <col min="3" max="3" width="14.7109375" customWidth="1"/>
    <col min="4" max="4" width="30.7109375" customWidth="1"/>
  </cols>
  <sheetData>
    <row r="1" spans="1:5" ht="30" customHeight="1">
      <c r="A1" s="1" t="s">
        <v>0</v>
      </c>
      <c r="B1" s="1"/>
      <c r="C1" s="1"/>
      <c r="D1" s="1"/>
      <c r="E1" s="1"/>
    </row>
    <row r="2" spans="1:5" ht="32.4" customHeight="1">
      <c r="B2" s="2" t="s">
        <v>18</v>
      </c>
      <c r="C2" s="2"/>
      <c r="D2" s="3" t="s">
        <v>2</v>
      </c>
      <c r="E2" s="3"/>
    </row>
    <row r="3" spans="1:5" ht="6" customHeight="1"/>
    <row r="4" spans="1:5" ht="21" customHeight="1">
      <c r="B4" s="8" t="s">
        <v>63</v>
      </c>
      <c r="C4" s="8"/>
      <c r="D4" s="8"/>
    </row>
    <row r="5" spans="1:5" ht="5" customHeight="1"/>
    <row r="6" spans="1:5">
      <c r="B6" s="27" t="s">
        <v>64</v>
      </c>
      <c r="C6" s="28" t="s">
        <v>65</v>
      </c>
      <c r="D6" s="28"/>
    </row>
    <row r="7" spans="1:5">
      <c r="B7" s="27" t="s">
        <v>66</v>
      </c>
      <c r="C7" s="28" t="s">
        <v>67</v>
      </c>
      <c r="D7" s="28"/>
    </row>
    <row r="8" spans="1:5">
      <c r="B8" s="27" t="s">
        <v>68</v>
      </c>
      <c r="C8" s="29">
        <v>60</v>
      </c>
      <c r="D8" s="7" t="s">
        <v>69</v>
      </c>
    </row>
    <row r="9" spans="1:5">
      <c r="B9" s="27" t="s">
        <v>70</v>
      </c>
      <c r="C9" s="29">
        <v>240000</v>
      </c>
      <c r="D9" s="7" t="str">
        <f>Currency&amp;" per year"</f>
        <v>EUR per year</v>
      </c>
    </row>
    <row r="11" spans="1:5" ht="48.6" customHeight="1">
      <c r="B11" s="25" t="s">
        <v>71</v>
      </c>
      <c r="C11" s="25"/>
      <c r="D11" s="25"/>
    </row>
    <row r="13" spans="1:5" ht="21" customHeight="1">
      <c r="B13" s="8" t="s">
        <v>72</v>
      </c>
      <c r="C13" s="8"/>
      <c r="D13" s="8"/>
    </row>
    <row r="14" spans="1:5" ht="5" customHeight="1"/>
    <row r="15" spans="1:5">
      <c r="B15" s="30" t="s">
        <v>73</v>
      </c>
    </row>
    <row r="16" spans="1:5" ht="20" customHeight="1">
      <c r="B16" s="31" t="s">
        <v>62</v>
      </c>
    </row>
    <row r="17" spans="2:2">
      <c r="B17" s="28" t="s">
        <v>74</v>
      </c>
    </row>
    <row r="18" spans="2:2">
      <c r="B18" s="28" t="s">
        <v>75</v>
      </c>
    </row>
    <row r="19" spans="2:2">
      <c r="B19" s="28" t="s">
        <v>76</v>
      </c>
    </row>
    <row r="20" spans="2:2">
      <c r="B20" s="28" t="s">
        <v>77</v>
      </c>
    </row>
    <row r="21" spans="2:2">
      <c r="B21" s="28" t="s">
        <v>78</v>
      </c>
    </row>
    <row r="22" spans="2:2">
      <c r="B22" s="28" t="s">
        <v>79</v>
      </c>
    </row>
  </sheetData>
  <mergeCells count="8">
    <mergeCell ref="A1:E1"/>
    <mergeCell ref="B2:C2"/>
    <mergeCell ref="D2:E2"/>
    <mergeCell ref="B4:D4"/>
    <mergeCell ref="C6:D6"/>
    <mergeCell ref="C7:D7"/>
    <mergeCell ref="B11:D11"/>
    <mergeCell ref="B13:D13"/>
  </mergeCells>
  <dataValidations count="5">
    <dataValidation type="textLength" allowBlank="1" showInputMessage="1" showErrorMessage="1" errorTitle="Check this entry" error="Text up to 80 characters." promptTitle="Company or site" prompt="Shown on the Dashboard. Text up to 80 characters." sqref="C6">
      <formula1>0</formula1>
      <formula2>80</formula2>
    </dataValidation>
    <dataValidation type="textLength" allowBlank="1" showInputMessage="1" showErrorMessage="1" errorTitle="Check this entry" error="Text up to 12 characters." promptTitle="Currency label" prompt="Text shown with every money value, e.g. USD, INR, GBP, EUR, MXN. No exchange rate is applied. Text up to 12 characters." sqref="C7">
      <formula1>0</formula1>
      <formula2>12</formula2>
    </dataValidation>
    <dataValidation type="whole" allowBlank="1" showInputMessage="1" showErrorMessage="1" errorTitle="Check this entry" error="Enter a whole number from 1 to 3,650." promptTitle="Days-of-supply target" prompt="Your own limit for stock on hand, in days of annual usage. Items above it are counted as slow movers. Enter a whole number from 1 to 3,650." sqref="C8">
      <formula1>1</formula1>
      <formula2>3650</formula2>
    </dataValidation>
    <dataValidation type="decimal" allowBlank="1" showInputMessage="1" showErrorMessage="1" errorTitle="Check this entry" error="Enter a number of at least 0." promptTitle="Annual holding cost budget" prompt="Your own budget for the cost of holding inventory. The Dashboard compares the annual carrying cost with it. Enter a number of at least 0." sqref="C9">
      <formula1>0</formula1>
      <formula2>1000000000000.0</formula2>
    </dataValidation>
    <dataValidation type="textLength" allowBlank="1" showInputMessage="1" showErrorMessage="1" errorTitle="Check this entry" error="Text up to 40 characters." promptTitle="Category" prompt="Text up to 40 characters." sqref="B17:B122">
      <formula1>0</formula1>
      <formula2>40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Inventory Carrying Cost&amp;R&amp;8&amp;A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Q30"/>
  <sheetViews>
    <sheetView workbookViewId="0">
      <pane xSplit="2" ySplit="6" topLeftCell="C7" activePane="bottomRight" state="frozen"/>
      <selection pane="topRight" activeCell="C1" sqref="C1"/>
      <selection pane="bottomLeft" activeCell="A7" sqref="A7"/>
      <selection pane="bottomRight"/>
    </sheetView>
  </sheetViews>
  <sheetFormatPr defaultRowHeight="15" x14ac:dyDescent="0.25"/>
  <cols>
    <col min="1" max="1" width="2.7109375" customWidth="1"/>
    <col min="2" max="2" width="10.7109375" customWidth="1"/>
    <col min="3" max="3" width="26.7109375" customWidth="1"/>
    <col min="4" max="4" width="14.7109375" customWidth="1"/>
    <col min="5" max="5" width="10.7109375" customWidth="1"/>
    <col min="6" max="6" width="9.7109375" customWidth="1"/>
    <col min="7" max="7" width="10.7109375" customWidth="1"/>
    <col min="8" max="8" width="11.7109375" customWidth="1"/>
    <col min="9" max="9" width="11.28515625" customWidth="1"/>
    <col min="10" max="10" width="10.7109375" customWidth="1"/>
    <col min="11" max="11" width="11.7109375" customWidth="1"/>
    <col min="12" max="12" width="7.7109375" customWidth="1"/>
    <col min="13" max="13" width="9.28515625" customWidth="1"/>
    <col min="14" max="14" width="12.7109375" customWidth="1"/>
    <col min="15" max="15" width="7.7109375" customWidth="1"/>
    <col min="16" max="16" width="20.7109375" customWidth="1"/>
    <col min="17" max="17" width="28.7109375" customWidth="1"/>
  </cols>
  <sheetData>
    <row r="1" spans="1:17" ht="30" customHeight="1" x14ac:dyDescent="0.25">
      <c r="A1" s="1" t="s">
        <v>0</v>
      </c>
      <c r="B1" s="1"/>
      <c r="C1" s="1"/>
      <c r="D1" s="1"/>
      <c r="E1" s="1"/>
      <c r="F1" s="1"/>
      <c r="G1" s="1"/>
      <c r="H1" s="1"/>
      <c r="I1" s="1"/>
      <c r="J1" s="1"/>
      <c r="K1" s="1"/>
      <c r="L1" s="1"/>
      <c r="M1" s="1"/>
      <c r="N1" s="1"/>
      <c r="O1" s="1"/>
      <c r="P1" s="1"/>
      <c r="Q1" s="1"/>
    </row>
    <row r="2" spans="1:17" ht="21" customHeight="1" x14ac:dyDescent="0.25">
      <c r="B2" s="2" t="s">
        <v>20</v>
      </c>
      <c r="C2" s="2"/>
      <c r="D2" s="2"/>
      <c r="E2" s="2"/>
      <c r="F2" s="2"/>
      <c r="G2" s="2"/>
      <c r="H2" s="2"/>
      <c r="I2" s="2"/>
      <c r="J2" s="2"/>
      <c r="K2" s="2"/>
      <c r="L2" s="2"/>
      <c r="M2" s="2"/>
      <c r="N2" s="2"/>
      <c r="O2" s="2"/>
      <c r="P2" s="2"/>
      <c r="Q2" s="3" t="s">
        <v>2</v>
      </c>
    </row>
    <row r="3" spans="1:17" ht="6" customHeight="1" x14ac:dyDescent="0.25"/>
    <row r="4" spans="1:17" ht="29.76" customHeight="1" x14ac:dyDescent="0.25">
      <c r="B4" s="32" t="s">
        <v>95</v>
      </c>
      <c r="C4" s="32"/>
      <c r="D4" s="32"/>
      <c r="E4" s="32"/>
      <c r="F4" s="32"/>
      <c r="G4" s="32"/>
      <c r="H4" s="32"/>
      <c r="I4" s="32"/>
      <c r="J4" s="32"/>
      <c r="K4" s="32"/>
      <c r="L4" s="32"/>
      <c r="M4" s="32"/>
      <c r="N4" s="32"/>
      <c r="O4" s="32"/>
      <c r="P4" s="32"/>
      <c r="Q4" s="32"/>
    </row>
    <row r="5" spans="1:17" ht="14" customHeight="1" x14ac:dyDescent="0.25">
      <c r="B5" s="33"/>
      <c r="C5" s="33"/>
      <c r="D5" s="33"/>
      <c r="E5" s="33"/>
      <c r="F5" s="33" t="str">
        <f>Currency</f>
        <v>EUR</v>
      </c>
      <c r="G5" s="33"/>
      <c r="H5" s="33" t="str">
        <f>Currency</f>
        <v>EUR</v>
      </c>
      <c r="I5" s="33" t="str">
        <f>Currency&amp;"/year"</f>
        <v>EUR/year</v>
      </c>
      <c r="J5" s="33" t="str">
        <f>Currency&amp;"/unit/year"</f>
        <v>EUR/unit/year</v>
      </c>
      <c r="K5" s="33" t="str">
        <f>Currency&amp;"/year"</f>
        <v>EUR/year</v>
      </c>
      <c r="L5" s="33" t="s">
        <v>96</v>
      </c>
      <c r="M5" s="33" t="s">
        <v>69</v>
      </c>
      <c r="N5" s="33"/>
      <c r="O5" s="33"/>
      <c r="P5" s="33"/>
      <c r="Q5" s="33"/>
    </row>
    <row r="6" spans="1:17" ht="32" customHeight="1" x14ac:dyDescent="0.25">
      <c r="B6" s="31" t="s">
        <v>80</v>
      </c>
      <c r="C6" s="31" t="s">
        <v>81</v>
      </c>
      <c r="D6" s="31" t="s">
        <v>62</v>
      </c>
      <c r="E6" s="31" t="s">
        <v>82</v>
      </c>
      <c r="F6" s="31" t="s">
        <v>83</v>
      </c>
      <c r="G6" s="31" t="s">
        <v>84</v>
      </c>
      <c r="H6" s="31" t="s">
        <v>85</v>
      </c>
      <c r="I6" s="31" t="s">
        <v>86</v>
      </c>
      <c r="J6" s="31" t="s">
        <v>87</v>
      </c>
      <c r="K6" s="31" t="s">
        <v>88</v>
      </c>
      <c r="L6" s="31" t="s">
        <v>89</v>
      </c>
      <c r="M6" s="31" t="s">
        <v>90</v>
      </c>
      <c r="N6" s="31" t="s">
        <v>91</v>
      </c>
      <c r="O6" s="31" t="s">
        <v>92</v>
      </c>
      <c r="P6" s="31" t="s">
        <v>93</v>
      </c>
      <c r="Q6" s="31" t="s">
        <v>94</v>
      </c>
    </row>
    <row r="7" spans="1:17" x14ac:dyDescent="0.25">
      <c r="B7" s="28" t="s">
        <v>97</v>
      </c>
      <c r="C7" s="28" t="s">
        <v>98</v>
      </c>
      <c r="D7" s="28" t="s">
        <v>75</v>
      </c>
      <c r="E7" s="29">
        <v>1800</v>
      </c>
      <c r="F7" s="34">
        <v>14.2</v>
      </c>
      <c r="G7" s="29">
        <v>21000</v>
      </c>
      <c r="H7" s="35">
        <f>IF(tblRegister[[#This Row],[Item]]="","",tblRegister[[#This Row],[Avg units on hand]]*tblRegister[[#This Row],[Unit cost]])</f>
        <v>25560</v>
      </c>
      <c r="I7" s="35">
        <f>IF(tblRegister[[#This Row],[Item]]="","",tblRegister[[#This Row],[Avg inventory value]]*CarryRate)</f>
        <v>4988.90380536494</v>
      </c>
      <c r="J7" s="36">
        <f>IF(tblRegister[[#This Row],[Item]]="","",tblRegister[[#This Row],[Unit cost]]*CarryRate)</f>
        <v>2.77161322520275</v>
      </c>
      <c r="K7" s="35">
        <f>IF(tblRegister[[#This Row],[Item]]="","",tblRegister[[#This Row],[Annual usage]]*tblRegister[[#This Row],[Unit cost]])</f>
        <v>298200</v>
      </c>
      <c r="L7" s="37">
        <f>IF(tblRegister[[#This Row],[Item]]="","",IF(tblRegister[[#This Row],[Avg units on hand]]&gt;0,tblRegister[[#This Row],[Annual usage]]/tblRegister[[#This Row],[Avg units on hand]],""))</f>
        <v>11.6666666666667</v>
      </c>
      <c r="M7" s="35">
        <f>IF(tblRegister[[#This Row],[Item]]="","",IF(tblRegister[[#This Row],[Annual usage]]&gt;0,tblRegister[[#This Row],[Avg units on hand]]/tblRegister[[#This Row],[Annual usage]]*365,""))</f>
        <v>31.2857142857143</v>
      </c>
      <c r="N7" s="38" t="str">
        <f>IF(tblRegister[[#This Row],[Item]]="","",IF(tblRegister[[#This Row],[Avg units on hand]]=0,"",IF(tblRegister[[#This Row],[Annual usage]]=0,"Above target",IF(tblRegister[[#This Row],[Days of supply]]&lt;=TargetDOS,"On target",IF(tblRegister[[#This Row],[Days of supply]]&lt;=TargetDOS*1.05,"Near target","Above target")))))</f>
        <v>On target</v>
      </c>
      <c r="O7" s="35">
        <f>IF(tblRegister[[#This Row],[Item]]="","",COUNTIF(tblRegister[Annual carrying cost],"&gt;"&amp;tblRegister[[#This Row],[Annual carrying cost]])+SUMPRODUCT((tblRegister[Annual carrying cost]=tblRegister[[#This Row],[Annual carrying cost]])*(ROW(tblRegister[Annual carrying cost])&lt;ROW(tblRegister[[#This Row],[Annual carrying cost]])))+1)</f>
        <v>13</v>
      </c>
      <c r="P7"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7" s="28" t="s">
        <v>99</v>
      </c>
    </row>
    <row r="8" spans="1:17" x14ac:dyDescent="0.25">
      <c r="B8" s="28" t="s">
        <v>100</v>
      </c>
      <c r="C8" s="28" t="s">
        <v>101</v>
      </c>
      <c r="D8" s="28" t="s">
        <v>75</v>
      </c>
      <c r="E8" s="29">
        <v>2600</v>
      </c>
      <c r="F8" s="34">
        <v>9.800000000000001</v>
      </c>
      <c r="G8" s="29">
        <v>12000</v>
      </c>
      <c r="H8" s="35">
        <f>IF(tblRegister[[#This Row],[Item]]="","",tblRegister[[#This Row],[Avg units on hand]]*tblRegister[[#This Row],[Unit cost]])</f>
        <v>25480</v>
      </c>
      <c r="I8" s="35">
        <f>IF(tblRegister[[#This Row],[Item]]="","",tblRegister[[#This Row],[Avg inventory value]]*CarryRate)</f>
        <v>4973.28908296943</v>
      </c>
      <c r="J8" s="36">
        <f>IF(tblRegister[[#This Row],[Item]]="","",tblRegister[[#This Row],[Unit cost]]*CarryRate)</f>
        <v>1.91280349344978</v>
      </c>
      <c r="K8" s="35">
        <f>IF(tblRegister[[#This Row],[Item]]="","",tblRegister[[#This Row],[Annual usage]]*tblRegister[[#This Row],[Unit cost]])</f>
        <v>117600</v>
      </c>
      <c r="L8" s="37">
        <f>IF(tblRegister[[#This Row],[Item]]="","",IF(tblRegister[[#This Row],[Avg units on hand]]&gt;0,tblRegister[[#This Row],[Annual usage]]/tblRegister[[#This Row],[Avg units on hand]],""))</f>
        <v>4.61538461538462</v>
      </c>
      <c r="M8" s="35">
        <f>IF(tblRegister[[#This Row],[Item]]="","",IF(tblRegister[[#This Row],[Annual usage]]&gt;0,tblRegister[[#This Row],[Avg units on hand]]/tblRegister[[#This Row],[Annual usage]]*365,""))</f>
        <v>79.0833333333333</v>
      </c>
      <c r="N8" s="38" t="str">
        <f>IF(tblRegister[[#This Row],[Item]]="","",IF(tblRegister[[#This Row],[Avg units on hand]]=0,"",IF(tblRegister[[#This Row],[Annual usage]]=0,"Above target",IF(tblRegister[[#This Row],[Days of supply]]&lt;=TargetDOS,"On target",IF(tblRegister[[#This Row],[Days of supply]]&lt;=TargetDOS*1.05,"Near target","Above target")))))</f>
        <v>Above target</v>
      </c>
      <c r="O8" s="35">
        <f>IF(tblRegister[[#This Row],[Item]]="","",COUNTIF(tblRegister[Annual carrying cost],"&gt;"&amp;tblRegister[[#This Row],[Annual carrying cost]])+SUMPRODUCT((tblRegister[Annual carrying cost]=tblRegister[[#This Row],[Annual carrying cost]])*(ROW(tblRegister[Annual carrying cost])&lt;ROW(tblRegister[[#This Row],[Annual carrying cost]])))+1)</f>
        <v>14</v>
      </c>
      <c r="P8"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8" s="28" t="s">
        <v>102</v>
      </c>
    </row>
    <row r="9" spans="1:17" x14ac:dyDescent="0.25">
      <c r="B9" s="28" t="s">
        <v>103</v>
      </c>
      <c r="C9" s="28" t="s">
        <v>104</v>
      </c>
      <c r="D9" s="28" t="s">
        <v>75</v>
      </c>
      <c r="E9" s="29">
        <v>1200</v>
      </c>
      <c r="F9" s="34">
        <v>18.5</v>
      </c>
      <c r="G9" s="29">
        <v>10500</v>
      </c>
      <c r="H9" s="35">
        <f>IF(tblRegister[[#This Row],[Item]]="","",tblRegister[[#This Row],[Avg units on hand]]*tblRegister[[#This Row],[Unit cost]])</f>
        <v>22200</v>
      </c>
      <c r="I9" s="35">
        <f>IF(tblRegister[[#This Row],[Item]]="","",tblRegister[[#This Row],[Avg inventory value]]*CarryRate)</f>
        <v>4333.08546475359</v>
      </c>
      <c r="J9" s="36">
        <f>IF(tblRegister[[#This Row],[Item]]="","",tblRegister[[#This Row],[Unit cost]]*CarryRate)</f>
        <v>3.61090455396132</v>
      </c>
      <c r="K9" s="35">
        <f>IF(tblRegister[[#This Row],[Item]]="","",tblRegister[[#This Row],[Annual usage]]*tblRegister[[#This Row],[Unit cost]])</f>
        <v>194250</v>
      </c>
      <c r="L9" s="37">
        <f>IF(tblRegister[[#This Row],[Item]]="","",IF(tblRegister[[#This Row],[Avg units on hand]]&gt;0,tblRegister[[#This Row],[Annual usage]]/tblRegister[[#This Row],[Avg units on hand]],""))</f>
        <v>8.75</v>
      </c>
      <c r="M9" s="35">
        <f>IF(tblRegister[[#This Row],[Item]]="","",IF(tblRegister[[#This Row],[Annual usage]]&gt;0,tblRegister[[#This Row],[Avg units on hand]]/tblRegister[[#This Row],[Annual usage]]*365,""))</f>
        <v>41.7142857142857</v>
      </c>
      <c r="N9" s="38" t="str">
        <f>IF(tblRegister[[#This Row],[Item]]="","",IF(tblRegister[[#This Row],[Avg units on hand]]=0,"",IF(tblRegister[[#This Row],[Annual usage]]=0,"Above target",IF(tblRegister[[#This Row],[Days of supply]]&lt;=TargetDOS,"On target",IF(tblRegister[[#This Row],[Days of supply]]&lt;=TargetDOS*1.05,"Near target","Above target")))))</f>
        <v>On target</v>
      </c>
      <c r="O9" s="35">
        <f>IF(tblRegister[[#This Row],[Item]]="","",COUNTIF(tblRegister[Annual carrying cost],"&gt;"&amp;tblRegister[[#This Row],[Annual carrying cost]])+SUMPRODUCT((tblRegister[Annual carrying cost]=tblRegister[[#This Row],[Annual carrying cost]])*(ROW(tblRegister[Annual carrying cost])&lt;ROW(tblRegister[[#This Row],[Annual carrying cost]])))+1)</f>
        <v>16</v>
      </c>
      <c r="P9"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9" s="28" t="s">
        <v>99</v>
      </c>
    </row>
    <row r="10" spans="1:17" x14ac:dyDescent="0.25">
      <c r="B10" s="28" t="s">
        <v>105</v>
      </c>
      <c r="C10" s="28" t="s">
        <v>106</v>
      </c>
      <c r="D10" s="28" t="s">
        <v>75</v>
      </c>
      <c r="E10" s="29">
        <v>640</v>
      </c>
      <c r="F10" s="34">
        <v>46</v>
      </c>
      <c r="G10" s="29">
        <v>1900</v>
      </c>
      <c r="H10" s="35">
        <f>IF(tblRegister[[#This Row],[Item]]="","",tblRegister[[#This Row],[Avg units on hand]]*tblRegister[[#This Row],[Unit cost]])</f>
        <v>29440</v>
      </c>
      <c r="I10" s="35">
        <f>IF(tblRegister[[#This Row],[Item]]="","",tblRegister[[#This Row],[Avg inventory value]]*CarryRate)</f>
        <v>5746.2178415471</v>
      </c>
      <c r="J10" s="36">
        <f>IF(tblRegister[[#This Row],[Item]]="","",tblRegister[[#This Row],[Unit cost]]*CarryRate)</f>
        <v>8.97846537741734</v>
      </c>
      <c r="K10" s="35">
        <f>IF(tblRegister[[#This Row],[Item]]="","",tblRegister[[#This Row],[Annual usage]]*tblRegister[[#This Row],[Unit cost]])</f>
        <v>87400</v>
      </c>
      <c r="L10" s="37">
        <f>IF(tblRegister[[#This Row],[Item]]="","",IF(tblRegister[[#This Row],[Avg units on hand]]&gt;0,tblRegister[[#This Row],[Annual usage]]/tblRegister[[#This Row],[Avg units on hand]],""))</f>
        <v>2.96875</v>
      </c>
      <c r="M10" s="35">
        <f>IF(tblRegister[[#This Row],[Item]]="","",IF(tblRegister[[#This Row],[Annual usage]]&gt;0,tblRegister[[#This Row],[Avg units on hand]]/tblRegister[[#This Row],[Annual usage]]*365,""))</f>
        <v>122.947368421053</v>
      </c>
      <c r="N10" s="38" t="str">
        <f>IF(tblRegister[[#This Row],[Item]]="","",IF(tblRegister[[#This Row],[Avg units on hand]]=0,"",IF(tblRegister[[#This Row],[Annual usage]]=0,"Above target",IF(tblRegister[[#This Row],[Days of supply]]&lt;=TargetDOS,"On target",IF(tblRegister[[#This Row],[Days of supply]]&lt;=TargetDOS*1.05,"Near target","Above target")))))</f>
        <v>Above target</v>
      </c>
      <c r="O10" s="35">
        <f>IF(tblRegister[[#This Row],[Item]]="","",COUNTIF(tblRegister[Annual carrying cost],"&gt;"&amp;tblRegister[[#This Row],[Annual carrying cost]])+SUMPRODUCT((tblRegister[Annual carrying cost]=tblRegister[[#This Row],[Annual carrying cost]])*(ROW(tblRegister[Annual carrying cost])&lt;ROW(tblRegister[[#This Row],[Annual carrying cost]])))+1)</f>
        <v>11</v>
      </c>
      <c r="P10"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10" s="28" t="s">
        <v>107</v>
      </c>
    </row>
    <row r="11" spans="1:17" x14ac:dyDescent="0.25">
      <c r="B11" s="28" t="s">
        <v>108</v>
      </c>
      <c r="C11" s="28" t="s">
        <v>109</v>
      </c>
      <c r="D11" s="28" t="s">
        <v>75</v>
      </c>
      <c r="E11" s="29">
        <v>3400</v>
      </c>
      <c r="F11" s="34">
        <v>3.1</v>
      </c>
      <c r="G11" s="29">
        <v>26000</v>
      </c>
      <c r="H11" s="35">
        <f>IF(tblRegister[[#This Row],[Item]]="","",tblRegister[[#This Row],[Avg units on hand]]*tblRegister[[#This Row],[Unit cost]])</f>
        <v>10540</v>
      </c>
      <c r="I11" s="35">
        <f>IF(tblRegister[[#This Row],[Item]]="","",tblRegister[[#This Row],[Avg inventory value]]*CarryRate)</f>
        <v>2057.23967560824</v>
      </c>
      <c r="J11" s="36">
        <f>IF(tblRegister[[#This Row],[Item]]="","",tblRegister[[#This Row],[Unit cost]]*CarryRate)</f>
        <v>0.605070492825951</v>
      </c>
      <c r="K11" s="35">
        <f>IF(tblRegister[[#This Row],[Item]]="","",tblRegister[[#This Row],[Annual usage]]*tblRegister[[#This Row],[Unit cost]])</f>
        <v>80600</v>
      </c>
      <c r="L11" s="37">
        <f>IF(tblRegister[[#This Row],[Item]]="","",IF(tblRegister[[#This Row],[Avg units on hand]]&gt;0,tblRegister[[#This Row],[Annual usage]]/tblRegister[[#This Row],[Avg units on hand]],""))</f>
        <v>7.64705882352941</v>
      </c>
      <c r="M11" s="35">
        <f>IF(tblRegister[[#This Row],[Item]]="","",IF(tblRegister[[#This Row],[Annual usage]]&gt;0,tblRegister[[#This Row],[Avg units on hand]]/tblRegister[[#This Row],[Annual usage]]*365,""))</f>
        <v>47.7307692307692</v>
      </c>
      <c r="N11" s="38" t="str">
        <f>IF(tblRegister[[#This Row],[Item]]="","",IF(tblRegister[[#This Row],[Avg units on hand]]=0,"",IF(tblRegister[[#This Row],[Annual usage]]=0,"Above target",IF(tblRegister[[#This Row],[Days of supply]]&lt;=TargetDOS,"On target",IF(tblRegister[[#This Row],[Days of supply]]&lt;=TargetDOS*1.05,"Near target","Above target")))))</f>
        <v>On target</v>
      </c>
      <c r="O11" s="35">
        <f>IF(tblRegister[[#This Row],[Item]]="","",COUNTIF(tblRegister[Annual carrying cost],"&gt;"&amp;tblRegister[[#This Row],[Annual carrying cost]])+SUMPRODUCT((tblRegister[Annual carrying cost]=tblRegister[[#This Row],[Annual carrying cost]])*(ROW(tblRegister[Annual carrying cost])&lt;ROW(tblRegister[[#This Row],[Annual carrying cost]])))+1)</f>
        <v>19</v>
      </c>
      <c r="P11"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11" s="28" t="s">
        <v>99</v>
      </c>
    </row>
    <row r="12" spans="1:17" x14ac:dyDescent="0.25">
      <c r="B12" s="28" t="s">
        <v>110</v>
      </c>
      <c r="C12" s="28" t="s">
        <v>111</v>
      </c>
      <c r="D12" s="28" t="s">
        <v>75</v>
      </c>
      <c r="E12" s="29">
        <v>9000</v>
      </c>
      <c r="F12" s="34">
        <v>1.45</v>
      </c>
      <c r="G12" s="29">
        <v>40000</v>
      </c>
      <c r="H12" s="35">
        <f>IF(tblRegister[[#This Row],[Item]]="","",tblRegister[[#This Row],[Avg units on hand]]*tblRegister[[#This Row],[Unit cost]])</f>
        <v>13050</v>
      </c>
      <c r="I12" s="35">
        <f>IF(tblRegister[[#This Row],[Item]]="","",tblRegister[[#This Row],[Avg inventory value]]*CarryRate)</f>
        <v>2547.15159076731</v>
      </c>
      <c r="J12" s="36">
        <f>IF(tblRegister[[#This Row],[Item]]="","",tblRegister[[#This Row],[Unit cost]]*CarryRate)</f>
        <v>0.28301684341859</v>
      </c>
      <c r="K12" s="35">
        <f>IF(tblRegister[[#This Row],[Item]]="","",tblRegister[[#This Row],[Annual usage]]*tblRegister[[#This Row],[Unit cost]])</f>
        <v>58000</v>
      </c>
      <c r="L12" s="37">
        <f>IF(tblRegister[[#This Row],[Item]]="","",IF(tblRegister[[#This Row],[Avg units on hand]]&gt;0,tblRegister[[#This Row],[Annual usage]]/tblRegister[[#This Row],[Avg units on hand]],""))</f>
        <v>4.44444444444445</v>
      </c>
      <c r="M12" s="35">
        <f>IF(tblRegister[[#This Row],[Item]]="","",IF(tblRegister[[#This Row],[Annual usage]]&gt;0,tblRegister[[#This Row],[Avg units on hand]]/tblRegister[[#This Row],[Annual usage]]*365,""))</f>
        <v>82.125</v>
      </c>
      <c r="N12" s="38" t="str">
        <f>IF(tblRegister[[#This Row],[Item]]="","",IF(tblRegister[[#This Row],[Avg units on hand]]=0,"",IF(tblRegister[[#This Row],[Annual usage]]=0,"Above target",IF(tblRegister[[#This Row],[Days of supply]]&lt;=TargetDOS,"On target",IF(tblRegister[[#This Row],[Days of supply]]&lt;=TargetDOS*1.05,"Near target","Above target")))))</f>
        <v>Above target</v>
      </c>
      <c r="O12" s="35">
        <f>IF(tblRegister[[#This Row],[Item]]="","",COUNTIF(tblRegister[Annual carrying cost],"&gt;"&amp;tblRegister[[#This Row],[Annual carrying cost]])+SUMPRODUCT((tblRegister[Annual carrying cost]=tblRegister[[#This Row],[Annual carrying cost]])*(ROW(tblRegister[Annual carrying cost])&lt;ROW(tblRegister[[#This Row],[Annual carrying cost]])))+1)</f>
        <v>17</v>
      </c>
      <c r="P12"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12" s="28" t="s">
        <v>112</v>
      </c>
    </row>
    <row r="13" spans="1:17" x14ac:dyDescent="0.25">
      <c r="B13" s="28" t="s">
        <v>113</v>
      </c>
      <c r="C13" s="28" t="s">
        <v>114</v>
      </c>
      <c r="D13" s="28" t="s">
        <v>75</v>
      </c>
      <c r="E13" s="29">
        <v>15000</v>
      </c>
      <c r="F13" s="34">
        <v>0.62</v>
      </c>
      <c r="G13" s="29">
        <v>96000</v>
      </c>
      <c r="H13" s="35">
        <f>IF(tblRegister[[#This Row],[Item]]="","",tblRegister[[#This Row],[Avg units on hand]]*tblRegister[[#This Row],[Unit cost]])</f>
        <v>9300</v>
      </c>
      <c r="I13" s="35">
        <f>IF(tblRegister[[#This Row],[Item]]="","",tblRegister[[#This Row],[Avg inventory value]]*CarryRate)</f>
        <v>1815.21147847785</v>
      </c>
      <c r="J13" s="36">
        <f>IF(tblRegister[[#This Row],[Item]]="","",tblRegister[[#This Row],[Unit cost]]*CarryRate)</f>
        <v>0.12101409856519</v>
      </c>
      <c r="K13" s="35">
        <f>IF(tblRegister[[#This Row],[Item]]="","",tblRegister[[#This Row],[Annual usage]]*tblRegister[[#This Row],[Unit cost]])</f>
        <v>59520</v>
      </c>
      <c r="L13" s="37">
        <f>IF(tblRegister[[#This Row],[Item]]="","",IF(tblRegister[[#This Row],[Avg units on hand]]&gt;0,tblRegister[[#This Row],[Annual usage]]/tblRegister[[#This Row],[Avg units on hand]],""))</f>
        <v>6.4</v>
      </c>
      <c r="M13" s="35">
        <f>IF(tblRegister[[#This Row],[Item]]="","",IF(tblRegister[[#This Row],[Annual usage]]&gt;0,tblRegister[[#This Row],[Avg units on hand]]/tblRegister[[#This Row],[Annual usage]]*365,""))</f>
        <v>57.03125</v>
      </c>
      <c r="N13" s="38" t="str">
        <f>IF(tblRegister[[#This Row],[Item]]="","",IF(tblRegister[[#This Row],[Avg units on hand]]=0,"",IF(tblRegister[[#This Row],[Annual usage]]=0,"Above target",IF(tblRegister[[#This Row],[Days of supply]]&lt;=TargetDOS,"On target",IF(tblRegister[[#This Row],[Days of supply]]&lt;=TargetDOS*1.05,"Near target","Above target")))))</f>
        <v>On target</v>
      </c>
      <c r="O13" s="35">
        <f>IF(tblRegister[[#This Row],[Item]]="","",COUNTIF(tblRegister[Annual carrying cost],"&gt;"&amp;tblRegister[[#This Row],[Annual carrying cost]])+SUMPRODUCT((tblRegister[Annual carrying cost]=tblRegister[[#This Row],[Annual carrying cost]])*(ROW(tblRegister[Annual carrying cost])&lt;ROW(tblRegister[[#This Row],[Annual carrying cost]])))+1)</f>
        <v>22</v>
      </c>
      <c r="P13"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13" s="28" t="s">
        <v>99</v>
      </c>
    </row>
    <row r="14" spans="1:17" x14ac:dyDescent="0.25">
      <c r="B14" s="28" t="s">
        <v>115</v>
      </c>
      <c r="C14" s="28" t="s">
        <v>116</v>
      </c>
      <c r="D14" s="28" t="s">
        <v>75</v>
      </c>
      <c r="E14" s="29">
        <v>900</v>
      </c>
      <c r="F14" s="34">
        <v>38</v>
      </c>
      <c r="G14" s="29">
        <v>4800</v>
      </c>
      <c r="H14" s="35">
        <f>IF(tblRegister[[#This Row],[Item]]="","",tblRegister[[#This Row],[Avg units on hand]]*tblRegister[[#This Row],[Unit cost]])</f>
        <v>34200</v>
      </c>
      <c r="I14" s="35">
        <f>IF(tblRegister[[#This Row],[Item]]="","",tblRegister[[#This Row],[Avg inventory value]]*CarryRate)</f>
        <v>6675.29382407985</v>
      </c>
      <c r="J14" s="36">
        <f>IF(tblRegister[[#This Row],[Item]]="","",tblRegister[[#This Row],[Unit cost]]*CarryRate)</f>
        <v>7.4169931378665</v>
      </c>
      <c r="K14" s="35">
        <f>IF(tblRegister[[#This Row],[Item]]="","",tblRegister[[#This Row],[Annual usage]]*tblRegister[[#This Row],[Unit cost]])</f>
        <v>182400</v>
      </c>
      <c r="L14" s="37">
        <f>IF(tblRegister[[#This Row],[Item]]="","",IF(tblRegister[[#This Row],[Avg units on hand]]&gt;0,tblRegister[[#This Row],[Annual usage]]/tblRegister[[#This Row],[Avg units on hand]],""))</f>
        <v>5.33333333333333</v>
      </c>
      <c r="M14" s="35">
        <f>IF(tblRegister[[#This Row],[Item]]="","",IF(tblRegister[[#This Row],[Annual usage]]&gt;0,tblRegister[[#This Row],[Avg units on hand]]/tblRegister[[#This Row],[Annual usage]]*365,""))</f>
        <v>68.4375</v>
      </c>
      <c r="N14" s="38" t="str">
        <f>IF(tblRegister[[#This Row],[Item]]="","",IF(tblRegister[[#This Row],[Avg units on hand]]=0,"",IF(tblRegister[[#This Row],[Annual usage]]=0,"Above target",IF(tblRegister[[#This Row],[Days of supply]]&lt;=TargetDOS,"On target",IF(tblRegister[[#This Row],[Days of supply]]&lt;=TargetDOS*1.05,"Near target","Above target")))))</f>
        <v>Above target</v>
      </c>
      <c r="O14" s="35">
        <f>IF(tblRegister[[#This Row],[Item]]="","",COUNTIF(tblRegister[Annual carrying cost],"&gt;"&amp;tblRegister[[#This Row],[Annual carrying cost]])+SUMPRODUCT((tblRegister[Annual carrying cost]=tblRegister[[#This Row],[Annual carrying cost]])*(ROW(tblRegister[Annual carrying cost])&lt;ROW(tblRegister[[#This Row],[Annual carrying cost]])))+1)</f>
        <v>8</v>
      </c>
      <c r="P14"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14" s="28" t="s">
        <v>99</v>
      </c>
    </row>
    <row r="15" spans="1:17" x14ac:dyDescent="0.25">
      <c r="B15" s="28" t="s">
        <v>117</v>
      </c>
      <c r="C15" s="28" t="s">
        <v>118</v>
      </c>
      <c r="D15" s="28" t="s">
        <v>75</v>
      </c>
      <c r="E15" s="29">
        <v>1100</v>
      </c>
      <c r="F15" s="34">
        <v>21.5</v>
      </c>
      <c r="G15" s="29">
        <v>9600</v>
      </c>
      <c r="H15" s="35">
        <f>IF(tblRegister[[#This Row],[Item]]="","",tblRegister[[#This Row],[Avg units on hand]]*tblRegister[[#This Row],[Unit cost]])</f>
        <v>23650</v>
      </c>
      <c r="I15" s="35">
        <f>IF(tblRegister[[#This Row],[Item]]="","",tblRegister[[#This Row],[Avg inventory value]]*CarryRate)</f>
        <v>4616.10230817218</v>
      </c>
      <c r="J15" s="36">
        <f>IF(tblRegister[[#This Row],[Item]]="","",tblRegister[[#This Row],[Unit cost]]*CarryRate)</f>
        <v>4.19645664379289</v>
      </c>
      <c r="K15" s="35">
        <f>IF(tblRegister[[#This Row],[Item]]="","",tblRegister[[#This Row],[Annual usage]]*tblRegister[[#This Row],[Unit cost]])</f>
        <v>206400</v>
      </c>
      <c r="L15" s="37">
        <f>IF(tblRegister[[#This Row],[Item]]="","",IF(tblRegister[[#This Row],[Avg units on hand]]&gt;0,tblRegister[[#This Row],[Annual usage]]/tblRegister[[#This Row],[Avg units on hand]],""))</f>
        <v>8.72727272727273</v>
      </c>
      <c r="M15" s="35">
        <f>IF(tblRegister[[#This Row],[Item]]="","",IF(tblRegister[[#This Row],[Annual usage]]&gt;0,tblRegister[[#This Row],[Avg units on hand]]/tblRegister[[#This Row],[Annual usage]]*365,""))</f>
        <v>41.8229166666667</v>
      </c>
      <c r="N15" s="38" t="str">
        <f>IF(tblRegister[[#This Row],[Item]]="","",IF(tblRegister[[#This Row],[Avg units on hand]]=0,"",IF(tblRegister[[#This Row],[Annual usage]]=0,"Above target",IF(tblRegister[[#This Row],[Days of supply]]&lt;=TargetDOS,"On target",IF(tblRegister[[#This Row],[Days of supply]]&lt;=TargetDOS*1.05,"Near target","Above target")))))</f>
        <v>On target</v>
      </c>
      <c r="O15" s="35">
        <f>IF(tblRegister[[#This Row],[Item]]="","",COUNTIF(tblRegister[Annual carrying cost],"&gt;"&amp;tblRegister[[#This Row],[Annual carrying cost]])+SUMPRODUCT((tblRegister[Annual carrying cost]=tblRegister[[#This Row],[Annual carrying cost]])*(ROW(tblRegister[Annual carrying cost])&lt;ROW(tblRegister[[#This Row],[Annual carrying cost]])))+1)</f>
        <v>15</v>
      </c>
      <c r="P15"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15" s="28" t="s">
        <v>99</v>
      </c>
    </row>
    <row r="16" spans="1:17" x14ac:dyDescent="0.25">
      <c r="B16" s="28" t="s">
        <v>119</v>
      </c>
      <c r="C16" s="28" t="s">
        <v>120</v>
      </c>
      <c r="D16" s="28" t="s">
        <v>75</v>
      </c>
      <c r="E16" s="29">
        <v>4200</v>
      </c>
      <c r="F16" s="34">
        <v>6.8</v>
      </c>
      <c r="G16" s="29">
        <v>14000</v>
      </c>
      <c r="H16" s="35">
        <f>IF(tblRegister[[#This Row],[Item]]="","",tblRegister[[#This Row],[Avg units on hand]]*tblRegister[[#This Row],[Unit cost]])</f>
        <v>28560</v>
      </c>
      <c r="I16" s="35">
        <f>IF(tblRegister[[#This Row],[Item]]="","",tblRegister[[#This Row],[Avg inventory value]]*CarryRate)</f>
        <v>5574.45589519651</v>
      </c>
      <c r="J16" s="36">
        <f>IF(tblRegister[[#This Row],[Item]]="","",tblRegister[[#This Row],[Unit cost]]*CarryRate)</f>
        <v>1.32725140361822</v>
      </c>
      <c r="K16" s="35">
        <f>IF(tblRegister[[#This Row],[Item]]="","",tblRegister[[#This Row],[Annual usage]]*tblRegister[[#This Row],[Unit cost]])</f>
        <v>95200</v>
      </c>
      <c r="L16" s="37">
        <f>IF(tblRegister[[#This Row],[Item]]="","",IF(tblRegister[[#This Row],[Avg units on hand]]&gt;0,tblRegister[[#This Row],[Annual usage]]/tblRegister[[#This Row],[Avg units on hand]],""))</f>
        <v>3.33333333333333</v>
      </c>
      <c r="M16" s="35">
        <f>IF(tblRegister[[#This Row],[Item]]="","",IF(tblRegister[[#This Row],[Annual usage]]&gt;0,tblRegister[[#This Row],[Avg units on hand]]/tblRegister[[#This Row],[Annual usage]]*365,""))</f>
        <v>109.5</v>
      </c>
      <c r="N16" s="38" t="str">
        <f>IF(tblRegister[[#This Row],[Item]]="","",IF(tblRegister[[#This Row],[Avg units on hand]]=0,"",IF(tblRegister[[#This Row],[Annual usage]]=0,"Above target",IF(tblRegister[[#This Row],[Days of supply]]&lt;=TargetDOS,"On target",IF(tblRegister[[#This Row],[Days of supply]]&lt;=TargetDOS*1.05,"Near target","Above target")))))</f>
        <v>Above target</v>
      </c>
      <c r="O16" s="35">
        <f>IF(tblRegister[[#This Row],[Item]]="","",COUNTIF(tblRegister[Annual carrying cost],"&gt;"&amp;tblRegister[[#This Row],[Annual carrying cost]])+SUMPRODUCT((tblRegister[Annual carrying cost]=tblRegister[[#This Row],[Annual carrying cost]])*(ROW(tblRegister[Annual carrying cost])&lt;ROW(tblRegister[[#This Row],[Annual carrying cost]])))+1)</f>
        <v>12</v>
      </c>
      <c r="P16"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16" s="28" t="s">
        <v>99</v>
      </c>
    </row>
    <row r="17" spans="2:17" x14ac:dyDescent="0.25">
      <c r="B17" s="28" t="s">
        <v>121</v>
      </c>
      <c r="C17" s="28" t="s">
        <v>122</v>
      </c>
      <c r="D17" s="28" t="s">
        <v>75</v>
      </c>
      <c r="E17" s="29">
        <v>2300</v>
      </c>
      <c r="F17" s="34">
        <v>4.4</v>
      </c>
      <c r="G17" s="29">
        <v>0</v>
      </c>
      <c r="H17" s="35">
        <f>IF(tblRegister[[#This Row],[Item]]="","",tblRegister[[#This Row],[Avg units on hand]]*tblRegister[[#This Row],[Unit cost]])</f>
        <v>10120</v>
      </c>
      <c r="I17" s="35">
        <f>IF(tblRegister[[#This Row],[Item]]="","",tblRegister[[#This Row],[Avg inventory value]]*CarryRate)</f>
        <v>1975.26238303182</v>
      </c>
      <c r="J17" s="36">
        <f>IF(tblRegister[[#This Row],[Item]]="","",tblRegister[[#This Row],[Unit cost]]*CarryRate)</f>
        <v>0.858809731752963</v>
      </c>
      <c r="K17" s="35">
        <f>IF(tblRegister[[#This Row],[Item]]="","",tblRegister[[#This Row],[Annual usage]]*tblRegister[[#This Row],[Unit cost]])</f>
        <v>0</v>
      </c>
      <c r="L17" s="37">
        <f>IF(tblRegister[[#This Row],[Item]]="","",IF(tblRegister[[#This Row],[Avg units on hand]]&gt;0,tblRegister[[#This Row],[Annual usage]]/tblRegister[[#This Row],[Avg units on hand]],""))</f>
        <v>0</v>
      </c>
      <c r="M17" s="35">
        <f>IF(tblRegister[[#This Row],[Item]]="","",IF(tblRegister[[#This Row],[Annual usage]]&gt;0,tblRegister[[#This Row],[Avg units on hand]]/tblRegister[[#This Row],[Annual usage]]*365,""))</f>
        <v/>
      </c>
      <c r="N17" s="38" t="str">
        <f>IF(tblRegister[[#This Row],[Item]]="","",IF(tblRegister[[#This Row],[Avg units on hand]]=0,"",IF(tblRegister[[#This Row],[Annual usage]]=0,"Above target",IF(tblRegister[[#This Row],[Days of supply]]&lt;=TargetDOS,"On target",IF(tblRegister[[#This Row],[Days of supply]]&lt;=TargetDOS*1.05,"Near target","Above target")))))</f>
        <v>Above target</v>
      </c>
      <c r="O17" s="35">
        <f>IF(tblRegister[[#This Row],[Item]]="","",COUNTIF(tblRegister[Annual carrying cost],"&gt;"&amp;tblRegister[[#This Row],[Annual carrying cost]])+SUMPRODUCT((tblRegister[Annual carrying cost]=tblRegister[[#This Row],[Annual carrying cost]])*(ROW(tblRegister[Annual carrying cost])&lt;ROW(tblRegister[[#This Row],[Annual carrying cost]])))+1)</f>
        <v>21</v>
      </c>
      <c r="P17"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17" s="28" t="s">
        <v>123</v>
      </c>
    </row>
    <row r="18" spans="2:17" x14ac:dyDescent="0.25">
      <c r="B18" s="28" t="s">
        <v>124</v>
      </c>
      <c r="C18" s="28" t="s">
        <v>125</v>
      </c>
      <c r="D18" s="28" t="s">
        <v>75</v>
      </c>
      <c r="E18" s="29">
        <v>380</v>
      </c>
      <c r="F18" s="34">
        <v>31</v>
      </c>
      <c r="G18" s="29">
        <v>0</v>
      </c>
      <c r="H18" s="35">
        <f>IF(tblRegister[[#This Row],[Item]]="","",tblRegister[[#This Row],[Avg units on hand]]*tblRegister[[#This Row],[Unit cost]])</f>
        <v>11780</v>
      </c>
      <c r="I18" s="35">
        <f>IF(tblRegister[[#This Row],[Item]]="","",tblRegister[[#This Row],[Avg inventory value]]*CarryRate)</f>
        <v>2299.26787273862</v>
      </c>
      <c r="J18" s="36">
        <f>IF(tblRegister[[#This Row],[Item]]="","",tblRegister[[#This Row],[Unit cost]]*CarryRate)</f>
        <v>6.05070492825951</v>
      </c>
      <c r="K18" s="35">
        <f>IF(tblRegister[[#This Row],[Item]]="","",tblRegister[[#This Row],[Annual usage]]*tblRegister[[#This Row],[Unit cost]])</f>
        <v>0</v>
      </c>
      <c r="L18" s="37">
        <f>IF(tblRegister[[#This Row],[Item]]="","",IF(tblRegister[[#This Row],[Avg units on hand]]&gt;0,tblRegister[[#This Row],[Annual usage]]/tblRegister[[#This Row],[Avg units on hand]],""))</f>
        <v>0</v>
      </c>
      <c r="M18" s="35">
        <f>IF(tblRegister[[#This Row],[Item]]="","",IF(tblRegister[[#This Row],[Annual usage]]&gt;0,tblRegister[[#This Row],[Avg units on hand]]/tblRegister[[#This Row],[Annual usage]]*365,""))</f>
        <v/>
      </c>
      <c r="N18" s="38" t="str">
        <f>IF(tblRegister[[#This Row],[Item]]="","",IF(tblRegister[[#This Row],[Avg units on hand]]=0,"",IF(tblRegister[[#This Row],[Annual usage]]=0,"Above target",IF(tblRegister[[#This Row],[Days of supply]]&lt;=TargetDOS,"On target",IF(tblRegister[[#This Row],[Days of supply]]&lt;=TargetDOS*1.05,"Near target","Above target")))))</f>
        <v>Above target</v>
      </c>
      <c r="O18" s="35">
        <f>IF(tblRegister[[#This Row],[Item]]="","",COUNTIF(tblRegister[Annual carrying cost],"&gt;"&amp;tblRegister[[#This Row],[Annual carrying cost]])+SUMPRODUCT((tblRegister[Annual carrying cost]=tblRegister[[#This Row],[Annual carrying cost]])*(ROW(tblRegister[Annual carrying cost])&lt;ROW(tblRegister[[#This Row],[Annual carrying cost]])))+1)</f>
        <v>18</v>
      </c>
      <c r="P18"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18" s="28" t="s">
        <v>123</v>
      </c>
    </row>
    <row r="19" spans="2:17" x14ac:dyDescent="0.25">
      <c r="B19" s="28" t="s">
        <v>126</v>
      </c>
      <c r="C19" s="28" t="s">
        <v>127</v>
      </c>
      <c r="D19" s="28" t="s">
        <v>74</v>
      </c>
      <c r="E19" s="29">
        <v>18000</v>
      </c>
      <c r="F19" s="34">
        <v>1.9</v>
      </c>
      <c r="G19" s="29">
        <v>120000</v>
      </c>
      <c r="H19" s="35">
        <f>IF(tblRegister[[#This Row],[Item]]="","",tblRegister[[#This Row],[Avg units on hand]]*tblRegister[[#This Row],[Unit cost]])</f>
        <v>34200</v>
      </c>
      <c r="I19" s="35">
        <f>IF(tblRegister[[#This Row],[Item]]="","",tblRegister[[#This Row],[Avg inventory value]]*CarryRate)</f>
        <v>6675.29382407985</v>
      </c>
      <c r="J19" s="36">
        <f>IF(tblRegister[[#This Row],[Item]]="","",tblRegister[[#This Row],[Unit cost]]*CarryRate)</f>
        <v>0.370849656893325</v>
      </c>
      <c r="K19" s="35">
        <f>IF(tblRegister[[#This Row],[Item]]="","",tblRegister[[#This Row],[Annual usage]]*tblRegister[[#This Row],[Unit cost]])</f>
        <v>228000</v>
      </c>
      <c r="L19" s="37">
        <f>IF(tblRegister[[#This Row],[Item]]="","",IF(tblRegister[[#This Row],[Avg units on hand]]&gt;0,tblRegister[[#This Row],[Annual usage]]/tblRegister[[#This Row],[Avg units on hand]],""))</f>
        <v>6.66666666666667</v>
      </c>
      <c r="M19" s="35">
        <f>IF(tblRegister[[#This Row],[Item]]="","",IF(tblRegister[[#This Row],[Annual usage]]&gt;0,tblRegister[[#This Row],[Avg units on hand]]/tblRegister[[#This Row],[Annual usage]]*365,""))</f>
        <v>54.75</v>
      </c>
      <c r="N19" s="38" t="str">
        <f>IF(tblRegister[[#This Row],[Item]]="","",IF(tblRegister[[#This Row],[Avg units on hand]]=0,"",IF(tblRegister[[#This Row],[Annual usage]]=0,"Above target",IF(tblRegister[[#This Row],[Days of supply]]&lt;=TargetDOS,"On target",IF(tblRegister[[#This Row],[Days of supply]]&lt;=TargetDOS*1.05,"Near target","Above target")))))</f>
        <v>On target</v>
      </c>
      <c r="O19" s="35">
        <f>IF(tblRegister[[#This Row],[Item]]="","",COUNTIF(tblRegister[Annual carrying cost],"&gt;"&amp;tblRegister[[#This Row],[Annual carrying cost]])+SUMPRODUCT((tblRegister[Annual carrying cost]=tblRegister[[#This Row],[Annual carrying cost]])*(ROW(tblRegister[Annual carrying cost])&lt;ROW(tblRegister[[#This Row],[Annual carrying cost]])))+1)</f>
        <v>9</v>
      </c>
      <c r="P19"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19" s="28" t="s">
        <v>128</v>
      </c>
    </row>
    <row r="20" spans="2:17" x14ac:dyDescent="0.25">
      <c r="B20" s="28" t="s">
        <v>129</v>
      </c>
      <c r="C20" s="28" t="s">
        <v>130</v>
      </c>
      <c r="D20" s="28" t="s">
        <v>74</v>
      </c>
      <c r="E20" s="29">
        <v>8000</v>
      </c>
      <c r="F20" s="34">
        <v>0.48</v>
      </c>
      <c r="G20" s="29">
        <v>30000</v>
      </c>
      <c r="H20" s="35">
        <f>IF(tblRegister[[#This Row],[Item]]="","",tblRegister[[#This Row],[Avg units on hand]]*tblRegister[[#This Row],[Unit cost]])</f>
        <v>3840</v>
      </c>
      <c r="I20" s="35">
        <f>IF(tblRegister[[#This Row],[Item]]="","",tblRegister[[#This Row],[Avg inventory value]]*CarryRate)</f>
        <v>749.506674984404</v>
      </c>
      <c r="J20" s="36">
        <f>IF(tblRegister[[#This Row],[Item]]="","",tblRegister[[#This Row],[Unit cost]]*CarryRate)</f>
        <v>0.0936883343730505</v>
      </c>
      <c r="K20" s="35">
        <f>IF(tblRegister[[#This Row],[Item]]="","",tblRegister[[#This Row],[Annual usage]]*tblRegister[[#This Row],[Unit cost]])</f>
        <v>14400</v>
      </c>
      <c r="L20" s="37">
        <f>IF(tblRegister[[#This Row],[Item]]="","",IF(tblRegister[[#This Row],[Avg units on hand]]&gt;0,tblRegister[[#This Row],[Annual usage]]/tblRegister[[#This Row],[Avg units on hand]],""))</f>
        <v>3.75</v>
      </c>
      <c r="M20" s="35">
        <f>IF(tblRegister[[#This Row],[Item]]="","",IF(tblRegister[[#This Row],[Annual usage]]&gt;0,tblRegister[[#This Row],[Avg units on hand]]/tblRegister[[#This Row],[Annual usage]]*365,""))</f>
        <v>97.3333333333333</v>
      </c>
      <c r="N20" s="38" t="str">
        <f>IF(tblRegister[[#This Row],[Item]]="","",IF(tblRegister[[#This Row],[Avg units on hand]]=0,"",IF(tblRegister[[#This Row],[Annual usage]]=0,"Above target",IF(tblRegister[[#This Row],[Days of supply]]&lt;=TargetDOS,"On target",IF(tblRegister[[#This Row],[Days of supply]]&lt;=TargetDOS*1.05,"Near target","Above target")))))</f>
        <v>Above target</v>
      </c>
      <c r="O20" s="35">
        <f>IF(tblRegister[[#This Row],[Item]]="","",COUNTIF(tblRegister[Annual carrying cost],"&gt;"&amp;tblRegister[[#This Row],[Annual carrying cost]])+SUMPRODUCT((tblRegister[Annual carrying cost]=tblRegister[[#This Row],[Annual carrying cost]])*(ROW(tblRegister[Annual carrying cost])&lt;ROW(tblRegister[[#This Row],[Annual carrying cost]])))+1)</f>
        <v>23</v>
      </c>
      <c r="P20"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20" s="28" t="s">
        <v>131</v>
      </c>
    </row>
    <row r="21" spans="2:17" x14ac:dyDescent="0.25">
      <c r="B21" s="28" t="s">
        <v>132</v>
      </c>
      <c r="C21" s="28" t="s">
        <v>133</v>
      </c>
      <c r="D21" s="28" t="s">
        <v>74</v>
      </c>
      <c r="E21" s="29">
        <v>160000</v>
      </c>
      <c r="F21" s="34">
        <v>0.012</v>
      </c>
      <c r="G21" s="29">
        <v>900000</v>
      </c>
      <c r="H21" s="35">
        <f>IF(tblRegister[[#This Row],[Item]]="","",tblRegister[[#This Row],[Avg units on hand]]*tblRegister[[#This Row],[Unit cost]])</f>
        <v>1920</v>
      </c>
      <c r="I21" s="35">
        <f>IF(tblRegister[[#This Row],[Item]]="","",tblRegister[[#This Row],[Avg inventory value]]*CarryRate)</f>
        <v>374.753337492202</v>
      </c>
      <c r="J21" s="36">
        <f>IF(tblRegister[[#This Row],[Item]]="","",tblRegister[[#This Row],[Unit cost]]*CarryRate)</f>
        <v>0.00234220835932626</v>
      </c>
      <c r="K21" s="35">
        <f>IF(tblRegister[[#This Row],[Item]]="","",tblRegister[[#This Row],[Annual usage]]*tblRegister[[#This Row],[Unit cost]])</f>
        <v>10800</v>
      </c>
      <c r="L21" s="37">
        <f>IF(tblRegister[[#This Row],[Item]]="","",IF(tblRegister[[#This Row],[Avg units on hand]]&gt;0,tblRegister[[#This Row],[Annual usage]]/tblRegister[[#This Row],[Avg units on hand]],""))</f>
        <v>5.625</v>
      </c>
      <c r="M21" s="35">
        <f>IF(tblRegister[[#This Row],[Item]]="","",IF(tblRegister[[#This Row],[Annual usage]]&gt;0,tblRegister[[#This Row],[Avg units on hand]]/tblRegister[[#This Row],[Annual usage]]*365,""))</f>
        <v>64.8888888888889</v>
      </c>
      <c r="N21" s="38" t="str">
        <f>IF(tblRegister[[#This Row],[Item]]="","",IF(tblRegister[[#This Row],[Avg units on hand]]=0,"",IF(tblRegister[[#This Row],[Annual usage]]=0,"Above target",IF(tblRegister[[#This Row],[Days of supply]]&lt;=TargetDOS,"On target",IF(tblRegister[[#This Row],[Days of supply]]&lt;=TargetDOS*1.05,"Near target","Above target")))))</f>
        <v>Above target</v>
      </c>
      <c r="O21" s="35">
        <f>IF(tblRegister[[#This Row],[Item]]="","",COUNTIF(tblRegister[Annual carrying cost],"&gt;"&amp;tblRegister[[#This Row],[Annual carrying cost]])+SUMPRODUCT((tblRegister[Annual carrying cost]=tblRegister[[#This Row],[Annual carrying cost]])*(ROW(tblRegister[Annual carrying cost])&lt;ROW(tblRegister[[#This Row],[Annual carrying cost]])))+1)</f>
        <v>24</v>
      </c>
      <c r="P21"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21" s="28" t="s">
        <v>99</v>
      </c>
    </row>
    <row r="22" spans="2:17" x14ac:dyDescent="0.25">
      <c r="B22" s="28" t="s">
        <v>134</v>
      </c>
      <c r="C22" s="28" t="s">
        <v>135</v>
      </c>
      <c r="D22" s="28" t="s">
        <v>76</v>
      </c>
      <c r="E22" s="29">
        <v>420</v>
      </c>
      <c r="F22" s="34">
        <v>96</v>
      </c>
      <c r="G22" s="29">
        <v>21000</v>
      </c>
      <c r="H22" s="35">
        <f>IF(tblRegister[[#This Row],[Item]]="","",tblRegister[[#This Row],[Avg units on hand]]*tblRegister[[#This Row],[Unit cost]])</f>
        <v>40320</v>
      </c>
      <c r="I22" s="35">
        <f>IF(tblRegister[[#This Row],[Item]]="","",tblRegister[[#This Row],[Avg inventory value]]*CarryRate)</f>
        <v>7869.82008733625</v>
      </c>
      <c r="J22" s="36">
        <f>IF(tblRegister[[#This Row],[Item]]="","",tblRegister[[#This Row],[Unit cost]]*CarryRate)</f>
        <v>18.7376668746101</v>
      </c>
      <c r="K22" s="35">
        <f>IF(tblRegister[[#This Row],[Item]]="","",tblRegister[[#This Row],[Annual usage]]*tblRegister[[#This Row],[Unit cost]])</f>
        <v>2016000</v>
      </c>
      <c r="L22" s="37">
        <f>IF(tblRegister[[#This Row],[Item]]="","",IF(tblRegister[[#This Row],[Avg units on hand]]&gt;0,tblRegister[[#This Row],[Annual usage]]/tblRegister[[#This Row],[Avg units on hand]],""))</f>
        <v>50</v>
      </c>
      <c r="M22" s="35">
        <f>IF(tblRegister[[#This Row],[Item]]="","",IF(tblRegister[[#This Row],[Annual usage]]&gt;0,tblRegister[[#This Row],[Avg units on hand]]/tblRegister[[#This Row],[Annual usage]]*365,""))</f>
        <v>7.3</v>
      </c>
      <c r="N22" s="38" t="str">
        <f>IF(tblRegister[[#This Row],[Item]]="","",IF(tblRegister[[#This Row],[Avg units on hand]]=0,"",IF(tblRegister[[#This Row],[Annual usage]]=0,"Above target",IF(tblRegister[[#This Row],[Days of supply]]&lt;=TargetDOS,"On target",IF(tblRegister[[#This Row],[Days of supply]]&lt;=TargetDOS*1.05,"Near target","Above target")))))</f>
        <v>On target</v>
      </c>
      <c r="O22" s="35">
        <f>IF(tblRegister[[#This Row],[Item]]="","",COUNTIF(tblRegister[Annual carrying cost],"&gt;"&amp;tblRegister[[#This Row],[Annual carrying cost]])+SUMPRODUCT((tblRegister[Annual carrying cost]=tblRegister[[#This Row],[Annual carrying cost]])*(ROW(tblRegister[Annual carrying cost])&lt;ROW(tblRegister[[#This Row],[Annual carrying cost]])))+1)</f>
        <v>7</v>
      </c>
      <c r="P22"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22" s="28" t="s">
        <v>99</v>
      </c>
    </row>
    <row r="23" spans="2:17" x14ac:dyDescent="0.25">
      <c r="B23" s="28" t="s">
        <v>136</v>
      </c>
      <c r="C23" s="28" t="s">
        <v>137</v>
      </c>
      <c r="D23" s="28" t="s">
        <v>76</v>
      </c>
      <c r="E23" s="29">
        <v>160</v>
      </c>
      <c r="F23" s="34">
        <v>410</v>
      </c>
      <c r="G23" s="29">
        <v>1900</v>
      </c>
      <c r="H23" s="35">
        <f>IF(tblRegister[[#This Row],[Item]]="","",tblRegister[[#This Row],[Avg units on hand]]*tblRegister[[#This Row],[Unit cost]])</f>
        <v>65600</v>
      </c>
      <c r="I23" s="35">
        <f>IF(tblRegister[[#This Row],[Item]]="","",tblRegister[[#This Row],[Avg inventory value]]*CarryRate)</f>
        <v>12804.0723643169</v>
      </c>
      <c r="J23" s="36">
        <f>IF(tblRegister[[#This Row],[Item]]="","",tblRegister[[#This Row],[Unit cost]]*CarryRate)</f>
        <v>80.0254522769807</v>
      </c>
      <c r="K23" s="35">
        <f>IF(tblRegister[[#This Row],[Item]]="","",tblRegister[[#This Row],[Annual usage]]*tblRegister[[#This Row],[Unit cost]])</f>
        <v>779000</v>
      </c>
      <c r="L23" s="37">
        <f>IF(tblRegister[[#This Row],[Item]]="","",IF(tblRegister[[#This Row],[Avg units on hand]]&gt;0,tblRegister[[#This Row],[Annual usage]]/tblRegister[[#This Row],[Avg units on hand]],""))</f>
        <v>11.875</v>
      </c>
      <c r="M23" s="35">
        <f>IF(tblRegister[[#This Row],[Item]]="","",IF(tblRegister[[#This Row],[Annual usage]]&gt;0,tblRegister[[#This Row],[Avg units on hand]]/tblRegister[[#This Row],[Annual usage]]*365,""))</f>
        <v>30.7368421052632</v>
      </c>
      <c r="N23" s="38" t="str">
        <f>IF(tblRegister[[#This Row],[Item]]="","",IF(tblRegister[[#This Row],[Avg units on hand]]=0,"",IF(tblRegister[[#This Row],[Annual usage]]=0,"Above target",IF(tblRegister[[#This Row],[Days of supply]]&lt;=TargetDOS,"On target",IF(tblRegister[[#This Row],[Days of supply]]&lt;=TargetDOS*1.05,"Near target","Above target")))))</f>
        <v>On target</v>
      </c>
      <c r="O23" s="35">
        <f>IF(tblRegister[[#This Row],[Item]]="","",COUNTIF(tblRegister[Annual carrying cost],"&gt;"&amp;tblRegister[[#This Row],[Annual carrying cost]])+SUMPRODUCT((tblRegister[Annual carrying cost]=tblRegister[[#This Row],[Annual carrying cost]])*(ROW(tblRegister[Annual carrying cost])&lt;ROW(tblRegister[[#This Row],[Annual carrying cost]])))+1)</f>
        <v>5</v>
      </c>
      <c r="P23"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23" s="28" t="s">
        <v>99</v>
      </c>
    </row>
    <row r="24" spans="2:17" x14ac:dyDescent="0.25">
      <c r="B24" s="28" t="s">
        <v>138</v>
      </c>
      <c r="C24" s="28" t="s">
        <v>139</v>
      </c>
      <c r="D24" s="28" t="s">
        <v>77</v>
      </c>
      <c r="E24" s="29">
        <v>1900</v>
      </c>
      <c r="F24" s="34">
        <v>128</v>
      </c>
      <c r="G24" s="29">
        <v>14500</v>
      </c>
      <c r="H24" s="35">
        <f>IF(tblRegister[[#This Row],[Item]]="","",tblRegister[[#This Row],[Avg units on hand]]*tblRegister[[#This Row],[Unit cost]])</f>
        <v>243200</v>
      </c>
      <c r="I24" s="35">
        <f>IF(tblRegister[[#This Row],[Item]]="","",tblRegister[[#This Row],[Avg inventory value]]*CarryRate)</f>
        <v>47468.7560823456</v>
      </c>
      <c r="J24" s="36">
        <f>IF(tblRegister[[#This Row],[Item]]="","",tblRegister[[#This Row],[Unit cost]]*CarryRate)</f>
        <v>24.9835558328135</v>
      </c>
      <c r="K24" s="35">
        <f>IF(tblRegister[[#This Row],[Item]]="","",tblRegister[[#This Row],[Annual usage]]*tblRegister[[#This Row],[Unit cost]])</f>
        <v>1856000</v>
      </c>
      <c r="L24" s="37">
        <f>IF(tblRegister[[#This Row],[Item]]="","",IF(tblRegister[[#This Row],[Avg units on hand]]&gt;0,tblRegister[[#This Row],[Annual usage]]/tblRegister[[#This Row],[Avg units on hand]],""))</f>
        <v>7.63157894736842</v>
      </c>
      <c r="M24" s="35">
        <f>IF(tblRegister[[#This Row],[Item]]="","",IF(tblRegister[[#This Row],[Annual usage]]&gt;0,tblRegister[[#This Row],[Avg units on hand]]/tblRegister[[#This Row],[Annual usage]]*365,""))</f>
        <v>47.8275862068966</v>
      </c>
      <c r="N24" s="38" t="str">
        <f>IF(tblRegister[[#This Row],[Item]]="","",IF(tblRegister[[#This Row],[Avg units on hand]]=0,"",IF(tblRegister[[#This Row],[Annual usage]]=0,"Above target",IF(tblRegister[[#This Row],[Days of supply]]&lt;=TargetDOS,"On target",IF(tblRegister[[#This Row],[Days of supply]]&lt;=TargetDOS*1.05,"Near target","Above target")))))</f>
        <v>On target</v>
      </c>
      <c r="O24" s="35">
        <f>IF(tblRegister[[#This Row],[Item]]="","",COUNTIF(tblRegister[Annual carrying cost],"&gt;"&amp;tblRegister[[#This Row],[Annual carrying cost]])+SUMPRODUCT((tblRegister[Annual carrying cost]=tblRegister[[#This Row],[Annual carrying cost]])*(ROW(tblRegister[Annual carrying cost])&lt;ROW(tblRegister[[#This Row],[Annual carrying cost]])))+1)</f>
        <v>1</v>
      </c>
      <c r="P24"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24" s="28" t="s">
        <v>99</v>
      </c>
    </row>
    <row r="25" spans="2:17" x14ac:dyDescent="0.25">
      <c r="B25" s="28" t="s">
        <v>140</v>
      </c>
      <c r="C25" s="28" t="s">
        <v>141</v>
      </c>
      <c r="D25" s="28" t="s">
        <v>77</v>
      </c>
      <c r="E25" s="29">
        <v>1050</v>
      </c>
      <c r="F25" s="34">
        <v>176</v>
      </c>
      <c r="G25" s="29">
        <v>5200</v>
      </c>
      <c r="H25" s="35">
        <f>IF(tblRegister[[#This Row],[Item]]="","",tblRegister[[#This Row],[Avg units on hand]]*tblRegister[[#This Row],[Unit cost]])</f>
        <v>184800</v>
      </c>
      <c r="I25" s="35">
        <f>IF(tblRegister[[#This Row],[Item]]="","",tblRegister[[#This Row],[Avg inventory value]]*CarryRate)</f>
        <v>36070.0087336245</v>
      </c>
      <c r="J25" s="36">
        <f>IF(tblRegister[[#This Row],[Item]]="","",tblRegister[[#This Row],[Unit cost]]*CarryRate)</f>
        <v>34.3523892701185</v>
      </c>
      <c r="K25" s="35">
        <f>IF(tblRegister[[#This Row],[Item]]="","",tblRegister[[#This Row],[Annual usage]]*tblRegister[[#This Row],[Unit cost]])</f>
        <v>915200</v>
      </c>
      <c r="L25" s="37">
        <f>IF(tblRegister[[#This Row],[Item]]="","",IF(tblRegister[[#This Row],[Avg units on hand]]&gt;0,tblRegister[[#This Row],[Annual usage]]/tblRegister[[#This Row],[Avg units on hand]],""))</f>
        <v>4.95238095238095</v>
      </c>
      <c r="M25" s="35">
        <f>IF(tblRegister[[#This Row],[Item]]="","",IF(tblRegister[[#This Row],[Annual usage]]&gt;0,tblRegister[[#This Row],[Avg units on hand]]/tblRegister[[#This Row],[Annual usage]]*365,""))</f>
        <v>73.7019230769231</v>
      </c>
      <c r="N25" s="38" t="str">
        <f>IF(tblRegister[[#This Row],[Item]]="","",IF(tblRegister[[#This Row],[Avg units on hand]]=0,"",IF(tblRegister[[#This Row],[Annual usage]]=0,"Above target",IF(tblRegister[[#This Row],[Days of supply]]&lt;=TargetDOS,"On target",IF(tblRegister[[#This Row],[Days of supply]]&lt;=TargetDOS*1.05,"Near target","Above target")))))</f>
        <v>Above target</v>
      </c>
      <c r="O25" s="35">
        <f>IF(tblRegister[[#This Row],[Item]]="","",COUNTIF(tblRegister[Annual carrying cost],"&gt;"&amp;tblRegister[[#This Row],[Annual carrying cost]])+SUMPRODUCT((tblRegister[Annual carrying cost]=tblRegister[[#This Row],[Annual carrying cost]])*(ROW(tblRegister[Annual carrying cost])&lt;ROW(tblRegister[[#This Row],[Annual carrying cost]])))+1)</f>
        <v>3</v>
      </c>
      <c r="P25"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25" s="28" t="s">
        <v>99</v>
      </c>
    </row>
    <row r="26" spans="2:17" x14ac:dyDescent="0.25">
      <c r="B26" s="28" t="s">
        <v>142</v>
      </c>
      <c r="C26" s="28" t="s">
        <v>143</v>
      </c>
      <c r="D26" s="28" t="s">
        <v>77</v>
      </c>
      <c r="E26" s="29">
        <v>210</v>
      </c>
      <c r="F26" s="34">
        <v>690</v>
      </c>
      <c r="G26" s="29">
        <v>1300</v>
      </c>
      <c r="H26" s="35">
        <f>IF(tblRegister[[#This Row],[Item]]="","",tblRegister[[#This Row],[Avg units on hand]]*tblRegister[[#This Row],[Unit cost]])</f>
        <v>144900</v>
      </c>
      <c r="I26" s="35">
        <f>IF(tblRegister[[#This Row],[Item]]="","",tblRegister[[#This Row],[Avg inventory value]]*CarryRate)</f>
        <v>28282.1659388646</v>
      </c>
      <c r="J26" s="36">
        <f>IF(tblRegister[[#This Row],[Item]]="","",tblRegister[[#This Row],[Unit cost]]*CarryRate)</f>
        <v>134.67698066126</v>
      </c>
      <c r="K26" s="35">
        <f>IF(tblRegister[[#This Row],[Item]]="","",tblRegister[[#This Row],[Annual usage]]*tblRegister[[#This Row],[Unit cost]])</f>
        <v>897000</v>
      </c>
      <c r="L26" s="37">
        <f>IF(tblRegister[[#This Row],[Item]]="","",IF(tblRegister[[#This Row],[Avg units on hand]]&gt;0,tblRegister[[#This Row],[Annual usage]]/tblRegister[[#This Row],[Avg units on hand]],""))</f>
        <v>6.19047619047619</v>
      </c>
      <c r="M26" s="35">
        <f>IF(tblRegister[[#This Row],[Item]]="","",IF(tblRegister[[#This Row],[Annual usage]]&gt;0,tblRegister[[#This Row],[Avg units on hand]]/tblRegister[[#This Row],[Annual usage]]*365,""))</f>
        <v>58.9615384615385</v>
      </c>
      <c r="N26" s="38" t="str">
        <f>IF(tblRegister[[#This Row],[Item]]="","",IF(tblRegister[[#This Row],[Avg units on hand]]=0,"",IF(tblRegister[[#This Row],[Annual usage]]=0,"Above target",IF(tblRegister[[#This Row],[Days of supply]]&lt;=TargetDOS,"On target",IF(tblRegister[[#This Row],[Days of supply]]&lt;=TargetDOS*1.05,"Near target","Above target")))))</f>
        <v>On target</v>
      </c>
      <c r="O26" s="35">
        <f>IF(tblRegister[[#This Row],[Item]]="","",COUNTIF(tblRegister[Annual carrying cost],"&gt;"&amp;tblRegister[[#This Row],[Annual carrying cost]])+SUMPRODUCT((tblRegister[Annual carrying cost]=tblRegister[[#This Row],[Annual carrying cost]])*(ROW(tblRegister[Annual carrying cost])&lt;ROW(tblRegister[[#This Row],[Annual carrying cost]])))+1)</f>
        <v>4</v>
      </c>
      <c r="P26"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26" s="28" t="s">
        <v>99</v>
      </c>
    </row>
    <row r="27" spans="2:17" x14ac:dyDescent="0.25">
      <c r="B27" s="28" t="s">
        <v>144</v>
      </c>
      <c r="C27" s="28" t="s">
        <v>145</v>
      </c>
      <c r="D27" s="28" t="s">
        <v>77</v>
      </c>
      <c r="E27" s="29">
        <v>190</v>
      </c>
      <c r="F27" s="34">
        <v>1240</v>
      </c>
      <c r="G27" s="29">
        <v>420</v>
      </c>
      <c r="H27" s="35">
        <f>IF(tblRegister[[#This Row],[Item]]="","",tblRegister[[#This Row],[Avg units on hand]]*tblRegister[[#This Row],[Unit cost]])</f>
        <v>235600</v>
      </c>
      <c r="I27" s="35">
        <f>IF(tblRegister[[#This Row],[Item]]="","",tblRegister[[#This Row],[Avg inventory value]]*CarryRate)</f>
        <v>45985.3574547723</v>
      </c>
      <c r="J27" s="36">
        <f>IF(tblRegister[[#This Row],[Item]]="","",tblRegister[[#This Row],[Unit cost]]*CarryRate)</f>
        <v>242.028197130381</v>
      </c>
      <c r="K27" s="35">
        <f>IF(tblRegister[[#This Row],[Item]]="","",tblRegister[[#This Row],[Annual usage]]*tblRegister[[#This Row],[Unit cost]])</f>
        <v>520800</v>
      </c>
      <c r="L27" s="37">
        <f>IF(tblRegister[[#This Row],[Item]]="","",IF(tblRegister[[#This Row],[Avg units on hand]]&gt;0,tblRegister[[#This Row],[Annual usage]]/tblRegister[[#This Row],[Avg units on hand]],""))</f>
        <v>2.21052631578947</v>
      </c>
      <c r="M27" s="35">
        <f>IF(tblRegister[[#This Row],[Item]]="","",IF(tblRegister[[#This Row],[Annual usage]]&gt;0,tblRegister[[#This Row],[Avg units on hand]]/tblRegister[[#This Row],[Annual usage]]*365,""))</f>
        <v>165.119047619048</v>
      </c>
      <c r="N27" s="38" t="str">
        <f>IF(tblRegister[[#This Row],[Item]]="","",IF(tblRegister[[#This Row],[Avg units on hand]]=0,"",IF(tblRegister[[#This Row],[Annual usage]]=0,"Above target",IF(tblRegister[[#This Row],[Days of supply]]&lt;=TargetDOS,"On target",IF(tblRegister[[#This Row],[Days of supply]]&lt;=TargetDOS*1.05,"Near target","Above target")))))</f>
        <v>Above target</v>
      </c>
      <c r="O27" s="35">
        <f>IF(tblRegister[[#This Row],[Item]]="","",COUNTIF(tblRegister[Annual carrying cost],"&gt;"&amp;tblRegister[[#This Row],[Annual carrying cost]])+SUMPRODUCT((tblRegister[Annual carrying cost]=tblRegister[[#This Row],[Annual carrying cost]])*(ROW(tblRegister[Annual carrying cost])&lt;ROW(tblRegister[[#This Row],[Annual carrying cost]])))+1)</f>
        <v>2</v>
      </c>
      <c r="P27"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27" s="28" t="s">
        <v>146</v>
      </c>
    </row>
    <row r="28" spans="2:17" x14ac:dyDescent="0.25">
      <c r="B28" s="28" t="s">
        <v>147</v>
      </c>
      <c r="C28" s="28" t="s">
        <v>148</v>
      </c>
      <c r="D28" s="28" t="s">
        <v>77</v>
      </c>
      <c r="E28" s="29">
        <v>760</v>
      </c>
      <c r="F28" s="34">
        <v>54</v>
      </c>
      <c r="G28" s="29">
        <v>2100</v>
      </c>
      <c r="H28" s="35">
        <f>IF(tblRegister[[#This Row],[Item]]="","",tblRegister[[#This Row],[Avg units on hand]]*tblRegister[[#This Row],[Unit cost]])</f>
        <v>41040</v>
      </c>
      <c r="I28" s="35">
        <f>IF(tblRegister[[#This Row],[Item]]="","",tblRegister[[#This Row],[Avg inventory value]]*CarryRate)</f>
        <v>8010.35258889582</v>
      </c>
      <c r="J28" s="36">
        <f>IF(tblRegister[[#This Row],[Item]]="","",tblRegister[[#This Row],[Unit cost]]*CarryRate)</f>
        <v>10.5399376169682</v>
      </c>
      <c r="K28" s="35">
        <f>IF(tblRegister[[#This Row],[Item]]="","",tblRegister[[#This Row],[Annual usage]]*tblRegister[[#This Row],[Unit cost]])</f>
        <v>113400</v>
      </c>
      <c r="L28" s="37">
        <f>IF(tblRegister[[#This Row],[Item]]="","",IF(tblRegister[[#This Row],[Avg units on hand]]&gt;0,tblRegister[[#This Row],[Annual usage]]/tblRegister[[#This Row],[Avg units on hand]],""))</f>
        <v>2.76315789473684</v>
      </c>
      <c r="M28" s="35">
        <f>IF(tblRegister[[#This Row],[Item]]="","",IF(tblRegister[[#This Row],[Annual usage]]&gt;0,tblRegister[[#This Row],[Avg units on hand]]/tblRegister[[#This Row],[Annual usage]]*365,""))</f>
        <v>132.095238095238</v>
      </c>
      <c r="N28" s="38" t="str">
        <f>IF(tblRegister[[#This Row],[Item]]="","",IF(tblRegister[[#This Row],[Avg units on hand]]=0,"",IF(tblRegister[[#This Row],[Annual usage]]=0,"Above target",IF(tblRegister[[#This Row],[Days of supply]]&lt;=TargetDOS,"On target",IF(tblRegister[[#This Row],[Days of supply]]&lt;=TargetDOS*1.05,"Near target","Above target")))))</f>
        <v>Above target</v>
      </c>
      <c r="O28" s="35">
        <f>IF(tblRegister[[#This Row],[Item]]="","",COUNTIF(tblRegister[Annual carrying cost],"&gt;"&amp;tblRegister[[#This Row],[Annual carrying cost]])+SUMPRODUCT((tblRegister[Annual carrying cost]=tblRegister[[#This Row],[Annual carrying cost]])*(ROW(tblRegister[Annual carrying cost])&lt;ROW(tblRegister[[#This Row],[Annual carrying cost]])))+1)</f>
        <v>6</v>
      </c>
      <c r="P28"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28" s="28" t="s">
        <v>99</v>
      </c>
    </row>
    <row r="29" spans="2:17" x14ac:dyDescent="0.25">
      <c r="B29" s="28" t="s">
        <v>149</v>
      </c>
      <c r="C29" s="28" t="s">
        <v>150</v>
      </c>
      <c r="D29" s="28" t="s">
        <v>78</v>
      </c>
      <c r="E29" s="29">
        <v>12000</v>
      </c>
      <c r="F29" s="34">
        <v>0.85</v>
      </c>
      <c r="G29" s="29">
        <v>60000</v>
      </c>
      <c r="H29" s="35">
        <f>IF(tblRegister[[#This Row],[Item]]="","",tblRegister[[#This Row],[Avg units on hand]]*tblRegister[[#This Row],[Unit cost]])</f>
        <v>10200</v>
      </c>
      <c r="I29" s="35">
        <f>IF(tblRegister[[#This Row],[Item]]="","",tblRegister[[#This Row],[Avg inventory value]]*CarryRate)</f>
        <v>1990.87710542732</v>
      </c>
      <c r="J29" s="36">
        <f>IF(tblRegister[[#This Row],[Item]]="","",tblRegister[[#This Row],[Unit cost]]*CarryRate)</f>
        <v>0.165906425452277</v>
      </c>
      <c r="K29" s="35">
        <f>IF(tblRegister[[#This Row],[Item]]="","",tblRegister[[#This Row],[Annual usage]]*tblRegister[[#This Row],[Unit cost]])</f>
        <v>51000</v>
      </c>
      <c r="L29" s="37">
        <f>IF(tblRegister[[#This Row],[Item]]="","",IF(tblRegister[[#This Row],[Avg units on hand]]&gt;0,tblRegister[[#This Row],[Annual usage]]/tblRegister[[#This Row],[Avg units on hand]],""))</f>
        <v>5</v>
      </c>
      <c r="M29" s="35">
        <f>IF(tblRegister[[#This Row],[Item]]="","",IF(tblRegister[[#This Row],[Annual usage]]&gt;0,tblRegister[[#This Row],[Avg units on hand]]/tblRegister[[#This Row],[Annual usage]]*365,""))</f>
        <v>73</v>
      </c>
      <c r="N29" s="38" t="str">
        <f>IF(tblRegister[[#This Row],[Item]]="","",IF(tblRegister[[#This Row],[Avg units on hand]]=0,"",IF(tblRegister[[#This Row],[Annual usage]]=0,"Above target",IF(tblRegister[[#This Row],[Days of supply]]&lt;=TargetDOS,"On target",IF(tblRegister[[#This Row],[Days of supply]]&lt;=TargetDOS*1.05,"Near target","Above target")))))</f>
        <v>Above target</v>
      </c>
      <c r="O29" s="35">
        <f>IF(tblRegister[[#This Row],[Item]]="","",COUNTIF(tblRegister[Annual carrying cost],"&gt;"&amp;tblRegister[[#This Row],[Annual carrying cost]])+SUMPRODUCT((tblRegister[Annual carrying cost]=tblRegister[[#This Row],[Annual carrying cost]])*(ROW(tblRegister[Annual carrying cost])&lt;ROW(tblRegister[[#This Row],[Annual carrying cost]])))+1)</f>
        <v>20</v>
      </c>
      <c r="P29"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29" s="28" t="s">
        <v>99</v>
      </c>
    </row>
    <row r="30" spans="2:17" x14ac:dyDescent="0.25">
      <c r="B30" s="28" t="s">
        <v>151</v>
      </c>
      <c r="C30" s="28" t="s">
        <v>152</v>
      </c>
      <c r="D30" s="28" t="s">
        <v>79</v>
      </c>
      <c r="E30" s="29">
        <v>14</v>
      </c>
      <c r="F30" s="34">
        <v>2350</v>
      </c>
      <c r="G30" s="29">
        <v>6</v>
      </c>
      <c r="H30" s="35">
        <f>IF(tblRegister[[#This Row],[Item]]="","",tblRegister[[#This Row],[Avg units on hand]]*tblRegister[[#This Row],[Unit cost]])</f>
        <v>32900</v>
      </c>
      <c r="I30" s="35">
        <f>IF(tblRegister[[#This Row],[Item]]="","",tblRegister[[#This Row],[Avg inventory value]]*CarryRate)</f>
        <v>6421.55458515284</v>
      </c>
      <c r="J30" s="36">
        <f>IF(tblRegister[[#This Row],[Item]]="","",tblRegister[[#This Row],[Unit cost]]*CarryRate)</f>
        <v>458.68247036806</v>
      </c>
      <c r="K30" s="35">
        <f>IF(tblRegister[[#This Row],[Item]]="","",tblRegister[[#This Row],[Annual usage]]*tblRegister[[#This Row],[Unit cost]])</f>
        <v>14100</v>
      </c>
      <c r="L30" s="37">
        <f>IF(tblRegister[[#This Row],[Item]]="","",IF(tblRegister[[#This Row],[Avg units on hand]]&gt;0,tblRegister[[#This Row],[Annual usage]]/tblRegister[[#This Row],[Avg units on hand]],""))</f>
        <v>0.428571428571429</v>
      </c>
      <c r="M30" s="35">
        <f>IF(tblRegister[[#This Row],[Item]]="","",IF(tblRegister[[#This Row],[Annual usage]]&gt;0,tblRegister[[#This Row],[Avg units on hand]]/tblRegister[[#This Row],[Annual usage]]*365,""))</f>
        <v>851.666666666667</v>
      </c>
      <c r="N30" s="38" t="str">
        <f>IF(tblRegister[[#This Row],[Item]]="","",IF(tblRegister[[#This Row],[Avg units on hand]]=0,"",IF(tblRegister[[#This Row],[Annual usage]]=0,"Above target",IF(tblRegister[[#This Row],[Days of supply]]&lt;=TargetDOS,"On target",IF(tblRegister[[#This Row],[Days of supply]]&lt;=TargetDOS*1.05,"Near target","Above target")))))</f>
        <v>Above target</v>
      </c>
      <c r="O30" s="35">
        <f>IF(tblRegister[[#This Row],[Item]]="","",COUNTIF(tblRegister[Annual carrying cost],"&gt;"&amp;tblRegister[[#This Row],[Annual carrying cost]])+SUMPRODUCT((tblRegister[Annual carrying cost]=tblRegister[[#This Row],[Annual carrying cost]])*(ROW(tblRegister[Annual carrying cost])&lt;ROW(tblRegister[[#This Row],[Annual carrying cost]])))+1)</f>
        <v>10</v>
      </c>
      <c r="P30" s="39" t="str">
        <f>IF(tblRegister[[#This Row],[Item]]="","",IF(tblRegister[[#This Row],[Category]]="","Missing category",IF(tblRegister[[#This Row],[Avg units on hand]]="","Missing avg units on hand",IF(tblRegister[[#This Row],[Unit cost]]="","Missing unit cost",IF(tblRegister[[#This Row],[Annual usage]]="","Missing annual usage",IF(COUNTIF(tblCategories[Category],tblRegister[[#This Row],[Category]])=0,"Category not on Setup list",IF(COUNTIF(tblRegister[Item],tblRegister[[#This Row],[Item]])&gt;1,"Item listed twice",IF(tblRegister[[#This Row],[Unit cost]]=0,"Unit cost is 0","OK"))))))))</f>
        <v>OK</v>
      </c>
      <c r="Q30" s="28" t="s">
        <v>153</v>
      </c>
    </row>
  </sheetData>
  <mergeCells count="3">
    <mergeCell ref="A1:Q1"/>
    <mergeCell ref="B2:P2"/>
    <mergeCell ref="B4:Q4"/>
  </mergeCells>
  <conditionalFormatting sqref="I7:I530">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M7:M530">
    <cfRule type="expression" dxfId="3" priority="2" stopIfTrue="1">
      <formula>AND(ISNUMBER(M7),M7&lt;=(TargetDOS))</formula>
    </cfRule>
    <cfRule type="expression" dxfId="4" priority="3" stopIfTrue="1">
      <formula>AND(ISNUMBER(M7),M7&lt;=(TargetDOS)*(1+0.05))</formula>
    </cfRule>
    <cfRule type="expression" dxfId="5" priority="4">
      <formula>ISNUMBER(M7)</formula>
    </cfRule>
  </conditionalFormatting>
  <conditionalFormatting sqref="P7:P530">
    <cfRule type="expression" dxfId="3" priority="5">
      <formula>$P7="OK"</formula>
    </cfRule>
    <cfRule type="expression" dxfId="1" priority="6">
      <formula>AND($P7&lt;&gt;"",$P7&lt;&gt;"OK")</formula>
    </cfRule>
  </conditionalFormatting>
  <dataValidations count="7">
    <dataValidation type="textLength" allowBlank="1" showInputMessage="1" showErrorMessage="1" errorTitle="Check this entry" error="Text up to 40 characters." promptTitle="Item" prompt="Text up to 40 characters." sqref="B7:B530">
      <formula1>0</formula1>
      <formula2>40</formula2>
    </dataValidation>
    <dataValidation type="textLength" allowBlank="1" showInputMessage="1" showErrorMessage="1" errorTitle="Check this entry" error="Text up to 80 characters." promptTitle="Description" prompt="Text up to 80 characters." sqref="C7:C530">
      <formula1>0</formula1>
      <formula2>80</formula2>
    </dataValidation>
    <dataValidation type="list" allowBlank="1" showInputMessage="1" showErrorMessage="1" errorTitle="Check this entry" error="Pick from the list (edit the list on Setup: Categories)." promptTitle="Category" prompt="Pick from the list (edit the list on Setup: Categories)." sqref="D7:D530">
      <formula1>Categories</formula1>
    </dataValidation>
    <dataValidation type="decimal" allowBlank="1" showInputMessage="1" showErrorMessage="1" errorTitle="Check this entry" error="Enter a number of at least 0." promptTitle="Avg units on hand" prompt="Average stock over the year in units (average of month-end balances), not a single count. Enter a number of at least 0." sqref="E7:E530">
      <formula1>0</formula1>
      <formula2>10000000000.0</formula2>
    </dataValidation>
    <dataValidation type="decimal" allowBlank="1" showInputMessage="1" showErrorMessage="1" errorTitle="Check this entry" error="Enter a number of at least 0." promptTitle="Unit cost" prompt="Standard or average cost per unit, the basis your balance sheet uses. Enter a number of at least 0." sqref="F7:F530">
      <formula1>0</formula1>
      <formula2>1000000000.0</formula2>
    </dataValidation>
    <dataValidation type="decimal" allowBlank="1" showInputMessage="1" showErrorMessage="1" errorTitle="Check this entry" error="Enter a number of at least 0." promptTitle="Annual usage" prompt="Units issued, consumed or sold in the last 12 months. Enter a number of at least 0." sqref="G7:G530">
      <formula1>0</formula1>
      <formula2>1000000000000.0</formula2>
    </dataValidation>
    <dataValidation type="textLength" allowBlank="1" showInputMessage="1" showErrorMessage="1" errorTitle="Check this entry" error="Text up to 255 characters." promptTitle="Notes" prompt="Text up to 255 characters." sqref="Q7:Q530">
      <formula1>0</formula1>
      <formula2>255</formula2>
    </dataValidation>
  </dataValidations>
  <hyperlinks>
    <hyperlink ref="Q2" r:id="rId1" tooltip="Free manufacturing calculators and templates"/>
  </hyperlinks>
  <pageMargins left="0.4" right="0.4" top="0.7" bottom="0.65" header="0.3" footer="0.3"/>
  <pageSetup fitToHeight="0" orientation="landscape"/>
  <headerFooter>
    <oddHeader>&amp;L&amp;8MFG Calcs - Inventory Carrying Cost&amp;R&amp;8&amp;A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I7:I530</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3B64D8"/>
    <pageSetUpPr fitToPage="1"/>
  </sheetPr>
  <dimension ref="A1:I18"/>
  <sheetViews>
    <sheetView workbookViewId="0">
      <pane xSplit="1" ySplit="6" topLeftCell="B7" activePane="bottomRight" state="frozen"/>
      <selection pane="topRight" activeCell="B1" sqref="B1"/>
      <selection pane="bottomLeft" activeCell="A7" sqref="A7"/>
      <selection pane="bottomRight"/>
    </sheetView>
  </sheetViews>
  <sheetFormatPr defaultRowHeight="15"/>
  <cols>
    <col min="1" max="1" width="2.7109375" customWidth="1"/>
    <col min="2" max="2" width="40.7109375" customWidth="1"/>
    <col min="3" max="3" width="14.7109375" customWidth="1"/>
    <col min="4" max="4" width="16.7109375" customWidth="1"/>
    <col min="5" max="6" width="12.7109375" customWidth="1"/>
    <col min="7" max="7" width="10.7109375" customWidth="1"/>
    <col min="8" max="8" width="16.7109375" customWidth="1"/>
    <col min="9" max="9" width="44.7109375" customWidth="1"/>
  </cols>
  <sheetData>
    <row r="1" spans="1:9" ht="30" customHeight="1">
      <c r="A1" s="1" t="s">
        <v>0</v>
      </c>
      <c r="B1" s="1"/>
      <c r="C1" s="1"/>
      <c r="D1" s="1"/>
      <c r="E1" s="1"/>
      <c r="F1" s="1"/>
      <c r="G1" s="1"/>
      <c r="H1" s="1"/>
      <c r="I1" s="1"/>
    </row>
    <row r="2" spans="1:9" ht="21" customHeight="1">
      <c r="B2" s="2" t="s">
        <v>22</v>
      </c>
      <c r="C2" s="2"/>
      <c r="D2" s="2"/>
      <c r="E2" s="2"/>
      <c r="F2" s="2"/>
      <c r="G2" s="2"/>
      <c r="H2" s="2"/>
      <c r="I2" s="3" t="s">
        <v>2</v>
      </c>
    </row>
    <row r="3" spans="1:9" ht="6" customHeight="1"/>
    <row r="4" spans="1:9" ht="41.64" customHeight="1">
      <c r="B4" s="32" t="s">
        <v>161</v>
      </c>
      <c r="C4" s="32"/>
      <c r="D4" s="32"/>
      <c r="E4" s="32"/>
      <c r="F4" s="32"/>
      <c r="G4" s="32"/>
      <c r="H4" s="32"/>
      <c r="I4" s="32"/>
    </row>
    <row r="5" spans="1:9" ht="14" customHeight="1">
      <c r="B5" s="33"/>
      <c r="C5" s="33"/>
      <c r="D5" s="33"/>
      <c r="E5" s="33" t="str">
        <f>Currency&amp;"/year"</f>
        <v>EUR/year</v>
      </c>
      <c r="F5" s="33" t="str">
        <f>Currency&amp;"/year"</f>
        <v>EUR/year</v>
      </c>
      <c r="G5" s="33"/>
      <c r="H5" s="33"/>
      <c r="I5" s="33"/>
    </row>
    <row r="6" spans="1:9" ht="32" customHeight="1">
      <c r="B6" s="31" t="s">
        <v>154</v>
      </c>
      <c r="C6" s="31" t="s">
        <v>155</v>
      </c>
      <c r="D6" s="31" t="s">
        <v>156</v>
      </c>
      <c r="E6" s="31" t="s">
        <v>157</v>
      </c>
      <c r="F6" s="31" t="s">
        <v>158</v>
      </c>
      <c r="G6" s="31" t="s">
        <v>159</v>
      </c>
      <c r="H6" s="31" t="s">
        <v>93</v>
      </c>
      <c r="I6" s="31" t="s">
        <v>160</v>
      </c>
    </row>
    <row r="7" spans="1:9">
      <c r="B7" s="28" t="s">
        <v>162</v>
      </c>
      <c r="C7" s="28" t="s">
        <v>163</v>
      </c>
      <c r="D7" s="40">
        <v>0.08500000000000001</v>
      </c>
      <c r="E7" s="29"/>
      <c r="F7" s="35">
        <f>IF(tblComponents[[#This Row],[Component]]="","",IF(tblComponents[[#This Row],[Basis]]="% of value",tblComponents[[#This Row],[Rate]]*AvgValue,tblComponents[[#This Row],[Annual amount]]))</f>
        <v>109004</v>
      </c>
      <c r="G7" s="41">
        <f>IF(tblComponents[[#This Row],[Component]]="","",IF(AvgValue&gt;0,tblComponents[[#This Row],[Annual cost]]/AvgValue,""))</f>
        <v>0.085</v>
      </c>
      <c r="H7" s="39" t="str">
        <f>IF(tblComponents[[#This Row],[Component]]="","",IF(tblComponents[[#This Row],[Basis]]="","Missing basis",IF(AND(tblComponents[[#This Row],[Basis]]="% of value",tblComponents[[#This Row],[Rate]]=""),"Missing rate",IF(AND(tblComponents[[#This Row],[Basis]]="Annual amount",tblComponents[[#This Row],[Annual amount]]=""),"Missing amount","OK"))))</f>
        <v>OK</v>
      </c>
      <c r="I7" s="42" t="s">
        <v>164</v>
      </c>
    </row>
    <row r="8" spans="1:9">
      <c r="B8" s="28" t="s">
        <v>165</v>
      </c>
      <c r="C8" s="28" t="s">
        <v>157</v>
      </c>
      <c r="D8" s="40"/>
      <c r="E8" s="29">
        <v>58000</v>
      </c>
      <c r="F8" s="35">
        <f>IF(tblComponents[[#This Row],[Component]]="","",IF(tblComponents[[#This Row],[Basis]]="% of value",tblComponents[[#This Row],[Rate]]*AvgValue,tblComponents[[#This Row],[Annual amount]]))</f>
        <v>58000</v>
      </c>
      <c r="G8" s="41">
        <f>IF(tblComponents[[#This Row],[Component]]="","",IF(AvgValue&gt;0,tblComponents[[#This Row],[Annual cost]]/AvgValue,""))</f>
        <v>0.045227698066126</v>
      </c>
      <c r="H8" s="39" t="str">
        <f>IF(tblComponents[[#This Row],[Component]]="","",IF(tblComponents[[#This Row],[Basis]]="","Missing basis",IF(AND(tblComponents[[#This Row],[Basis]]="% of value",tblComponents[[#This Row],[Rate]]=""),"Missing rate",IF(AND(tblComponents[[#This Row],[Basis]]="Annual amount",tblComponents[[#This Row],[Annual amount]]=""),"Missing amount","OK"))))</f>
        <v>OK</v>
      </c>
      <c r="I8" s="42" t="s">
        <v>166</v>
      </c>
    </row>
    <row r="9" spans="1:9">
      <c r="B9" s="28" t="s">
        <v>167</v>
      </c>
      <c r="C9" s="28" t="s">
        <v>157</v>
      </c>
      <c r="D9" s="40"/>
      <c r="E9" s="29">
        <v>31000</v>
      </c>
      <c r="F9" s="35">
        <f>IF(tblComponents[[#This Row],[Component]]="","",IF(tblComponents[[#This Row],[Basis]]="% of value",tblComponents[[#This Row],[Rate]]*AvgValue,tblComponents[[#This Row],[Annual amount]]))</f>
        <v>31000</v>
      </c>
      <c r="G9" s="41">
        <f>IF(tblComponents[[#This Row],[Component]]="","",IF(AvgValue&gt;0,tblComponents[[#This Row],[Annual cost]]/AvgValue,""))</f>
        <v>0.0241734248284467</v>
      </c>
      <c r="H9" s="39" t="str">
        <f>IF(tblComponents[[#This Row],[Component]]="","",IF(tblComponents[[#This Row],[Basis]]="","Missing basis",IF(AND(tblComponents[[#This Row],[Basis]]="% of value",tblComponents[[#This Row],[Rate]]=""),"Missing rate",IF(AND(tblComponents[[#This Row],[Basis]]="Annual amount",tblComponents[[#This Row],[Annual amount]]=""),"Missing amount","OK"))))</f>
        <v>OK</v>
      </c>
      <c r="I9" s="42" t="s">
        <v>168</v>
      </c>
    </row>
    <row r="10" spans="1:9">
      <c r="B10" s="28" t="s">
        <v>169</v>
      </c>
      <c r="C10" s="28" t="s">
        <v>157</v>
      </c>
      <c r="D10" s="40"/>
      <c r="E10" s="29">
        <v>4600</v>
      </c>
      <c r="F10" s="35">
        <f>IF(tblComponents[[#This Row],[Component]]="","",IF(tblComponents[[#This Row],[Basis]]="% of value",tblComponents[[#This Row],[Rate]]*AvgValue,tblComponents[[#This Row],[Annual amount]]))</f>
        <v>4600</v>
      </c>
      <c r="G10" s="41">
        <f>IF(tblComponents[[#This Row],[Component]]="","",IF(AvgValue&gt;0,tblComponents[[#This Row],[Annual cost]]/AvgValue,""))</f>
        <v>0.00358702432938241</v>
      </c>
      <c r="H10" s="39" t="str">
        <f>IF(tblComponents[[#This Row],[Component]]="","",IF(tblComponents[[#This Row],[Basis]]="","Missing basis",IF(AND(tblComponents[[#This Row],[Basis]]="% of value",tblComponents[[#This Row],[Rate]]=""),"Missing rate",IF(AND(tblComponents[[#This Row],[Basis]]="Annual amount",tblComponents[[#This Row],[Annual amount]]=""),"Missing amount","OK"))))</f>
        <v>OK</v>
      </c>
      <c r="I10" s="42" t="s">
        <v>170</v>
      </c>
    </row>
    <row r="11" spans="1:9">
      <c r="B11" s="28" t="s">
        <v>171</v>
      </c>
      <c r="C11" s="28" t="s">
        <v>157</v>
      </c>
      <c r="D11" s="40"/>
      <c r="E11" s="29">
        <v>38500</v>
      </c>
      <c r="F11" s="35">
        <f>IF(tblComponents[[#This Row],[Component]]="","",IF(tblComponents[[#This Row],[Basis]]="% of value",tblComponents[[#This Row],[Rate]]*AvgValue,tblComponents[[#This Row],[Annual amount]]))</f>
        <v>38500</v>
      </c>
      <c r="G11" s="41">
        <f>IF(tblComponents[[#This Row],[Component]]="","",IF(AvgValue&gt;0,tblComponents[[#This Row],[Annual cost]]/AvgValue,""))</f>
        <v>0.0300218340611354</v>
      </c>
      <c r="H11" s="39" t="str">
        <f>IF(tblComponents[[#This Row],[Component]]="","",IF(tblComponents[[#This Row],[Basis]]="","Missing basis",IF(AND(tblComponents[[#This Row],[Basis]]="% of value",tblComponents[[#This Row],[Rate]]=""),"Missing rate",IF(AND(tblComponents[[#This Row],[Basis]]="Annual amount",tblComponents[[#This Row],[Annual amount]]=""),"Missing amount","OK"))))</f>
        <v>OK</v>
      </c>
      <c r="I11" s="42" t="s">
        <v>172</v>
      </c>
    </row>
    <row r="12" spans="1:9">
      <c r="B12" s="28" t="s">
        <v>173</v>
      </c>
      <c r="C12" s="28" t="s">
        <v>157</v>
      </c>
      <c r="D12" s="40"/>
      <c r="E12" s="29">
        <v>9200</v>
      </c>
      <c r="F12" s="35">
        <f>IF(tblComponents[[#This Row],[Component]]="","",IF(tblComponents[[#This Row],[Basis]]="% of value",tblComponents[[#This Row],[Rate]]*AvgValue,tblComponents[[#This Row],[Annual amount]]))</f>
        <v>9200</v>
      </c>
      <c r="G12" s="41">
        <f>IF(tblComponents[[#This Row],[Component]]="","",IF(AvgValue&gt;0,tblComponents[[#This Row],[Annual cost]]/AvgValue,""))</f>
        <v>0.00717404865876482</v>
      </c>
      <c r="H12" s="39" t="str">
        <f>IF(tblComponents[[#This Row],[Component]]="","",IF(tblComponents[[#This Row],[Basis]]="","Missing basis",IF(AND(tblComponents[[#This Row],[Basis]]="% of value",tblComponents[[#This Row],[Rate]]=""),"Missing rate",IF(AND(tblComponents[[#This Row],[Basis]]="Annual amount",tblComponents[[#This Row],[Annual amount]]=""),"Missing amount","OK"))))</f>
        <v>OK</v>
      </c>
      <c r="I12" s="42" t="s">
        <v>174</v>
      </c>
    </row>
    <row r="13" spans="1:9">
      <c r="B13" s="28" t="s">
        <v>175</v>
      </c>
      <c r="C13" s="28" t="s">
        <v>163</v>
      </c>
      <c r="D13" s="40">
        <v>0</v>
      </c>
      <c r="E13" s="29"/>
      <c r="F13" s="35">
        <f>IF(tblComponents[[#This Row],[Component]]="","",IF(tblComponents[[#This Row],[Basis]]="% of value",tblComponents[[#This Row],[Rate]]*AvgValue,tblComponents[[#This Row],[Annual amount]]))</f>
        <v>0</v>
      </c>
      <c r="G13" s="41">
        <f>IF(tblComponents[[#This Row],[Component]]="","",IF(AvgValue&gt;0,tblComponents[[#This Row],[Annual cost]]/AvgValue,""))</f>
        <v>0</v>
      </c>
      <c r="H13" s="39" t="str">
        <f>IF(tblComponents[[#This Row],[Component]]="","",IF(tblComponents[[#This Row],[Basis]]="","Missing basis",IF(AND(tblComponents[[#This Row],[Basis]]="% of value",tblComponents[[#This Row],[Rate]]=""),"Missing rate",IF(AND(tblComponents[[#This Row],[Basis]]="Annual amount",tblComponents[[#This Row],[Annual amount]]=""),"Missing amount","OK"))))</f>
        <v>OK</v>
      </c>
      <c r="I13" s="42" t="s">
        <v>176</v>
      </c>
    </row>
    <row r="15" spans="1:9">
      <c r="B15" s="30" t="s">
        <v>177</v>
      </c>
      <c r="C15" s="30"/>
      <c r="D15" s="30"/>
    </row>
    <row r="16" spans="1:9">
      <c r="B16" s="27" t="s">
        <v>178</v>
      </c>
      <c r="C16" s="35">
        <f>SUM(tblRegister[Avg inventory value])</f>
        <v>1282400</v>
      </c>
      <c r="D16" s="7" t="str">
        <f>Currency</f>
        <v>EUR</v>
      </c>
    </row>
    <row r="17" spans="2:4">
      <c r="B17" s="27" t="s">
        <v>179</v>
      </c>
      <c r="C17" s="35">
        <f>SUM(tblComponents[Annual cost])</f>
        <v>250304</v>
      </c>
      <c r="D17" s="7" t="str">
        <f>Currency&amp;"/year"</f>
        <v>EUR/year</v>
      </c>
    </row>
    <row r="18" spans="2:4">
      <c r="B18" s="17" t="s">
        <v>180</v>
      </c>
      <c r="C18" s="43">
        <f>IF((AvgValue)=0,0,(CarryCostTotal)/(AvgValue))</f>
        <v>0.195184029943855</v>
      </c>
      <c r="D18" s="7" t="s">
        <v>181</v>
      </c>
    </row>
  </sheetData>
  <mergeCells count="4">
    <mergeCell ref="A1:I1"/>
    <mergeCell ref="B2:H2"/>
    <mergeCell ref="B4:I4"/>
    <mergeCell ref="B15:D15"/>
  </mergeCells>
  <conditionalFormatting sqref="H7:H513">
    <cfRule type="expression" dxfId="3" priority="1">
      <formula>$H7="OK"</formula>
    </cfRule>
    <cfRule type="expression" dxfId="1" priority="2">
      <formula>AND($H7&lt;&gt;"",$H7&lt;&gt;"OK")</formula>
    </cfRule>
  </conditionalFormatting>
  <dataValidations count="5">
    <dataValidation type="textLength" allowBlank="1" showInputMessage="1" showErrorMessage="1" errorTitle="Check this entry" error="Text up to 60 characters." promptTitle="Component" prompt="Text up to 60 characters." sqref="B7:B513">
      <formula1>0</formula1>
      <formula2>60</formula2>
    </dataValidation>
    <dataValidation type="list" allowBlank="1" showInputMessage="1" showErrorMessage="1" errorTitle="Check this entry" error="Pick one of: % of value, Annual amount." promptTitle="Basis" prompt="% of value for cost of capital (and taxes charged on value); Annual amount for costs you can read from the ledger. Pick one of: % of value, Annual amount." sqref="C7:C513">
      <formula1>"% of value,Annual amount"</formula1>
    </dataValidation>
    <dataValidation type="decimal" allowBlank="1" showInputMessage="1" showErrorMessage="1" errorTitle="Check this entry" error="Enter a percentage from 0% to 100% (type 85% or 0.85)." promptTitle="Rate" prompt="Annual rate on inventory value. Used when Basis is % of value. Enter a percentage from 0% to 100% (type 85% or 0.85)." sqref="D7:D513">
      <formula1>0</formula1>
      <formula2>1</formula2>
    </dataValidation>
    <dataValidation type="decimal" allowBlank="1" showInputMessage="1" showErrorMessage="1" errorTitle="Check this entry" error="Enter a number of at least 0." promptTitle="Annual amount" prompt="Annual cost from your ledger. Used when Basis is Annual amount. Enter a number of at least 0." sqref="E7:E513">
      <formula1>0</formula1>
      <formula2>1000000000000.0</formula2>
    </dataValidation>
    <dataValidation type="textLength" allowBlank="1" showInputMessage="1" showErrorMessage="1" errorTitle="Check this entry" error="Text up to 160 characters." promptTitle="Source" prompt="Text up to 160 characters." sqref="I7:I513">
      <formula1>0</formula1>
      <formula2>160</formula2>
    </dataValidation>
  </dataValidations>
  <hyperlinks>
    <hyperlink ref="I2" r:id="rId1" tooltip="Free manufacturing calculators and templates"/>
  </hyperlinks>
  <pageMargins left="0.4" right="0.4" top="0.7" bottom="0.65" header="0.3" footer="0.3"/>
  <pageSetup fitToHeight="0" orientation="landscape"/>
  <headerFooter>
    <oddHeader>&amp;L&amp;8MFG Calcs - Inventory Carrying Cost&amp;R&amp;8&amp;A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sheetPr>
    <tabColor rgb="FF1BA37A"/>
    <pageSetUpPr fitToPage="1"/>
  </sheetPr>
  <dimension ref="A1:L67"/>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c r="B4" s="44" t="str">
        <f>"Showing "&amp;COUNTA(tblRegister[Item])&amp;" items for "&amp;CompanyName&amp;". Carrying cost = average inventory value x the rate built on the Rate Builder sheet."</f>
        <v>Showing 24 items for Linden Controls (example). Carrying cost = average inventory value x the rate built on the Rate Builder sheet.</v>
      </c>
      <c r="C4" s="44"/>
      <c r="D4" s="44"/>
      <c r="E4" s="44"/>
      <c r="F4" s="44"/>
      <c r="G4" s="44"/>
      <c r="H4" s="44"/>
      <c r="I4" s="44"/>
      <c r="J4" s="44"/>
      <c r="K4" s="44"/>
      <c r="L4" s="44"/>
    </row>
    <row r="6" spans="1:12" ht="18" customHeight="1">
      <c r="B6" s="45" t="str">
        <f>"AVERAGE INVENTORY VALUE ("&amp;Currency&amp;")"</f>
        <v>AVERAGE INVENTORY VALUE (EUR)</v>
      </c>
      <c r="C6" s="45"/>
      <c r="D6" s="45" t="s">
        <v>182</v>
      </c>
      <c r="E6" s="45"/>
      <c r="F6" s="45"/>
      <c r="G6" s="45" t="str">
        <f>"ANNUAL CARRYING COST ("&amp;Currency&amp;")"</f>
        <v>ANNUAL CARRYING COST (EUR)</v>
      </c>
      <c r="H6" s="45"/>
      <c r="I6" s="45"/>
      <c r="J6" s="45" t="s">
        <v>183</v>
      </c>
      <c r="K6" s="45"/>
      <c r="L6" s="45"/>
    </row>
    <row r="7" spans="1:12" ht="21" customHeight="1">
      <c r="B7" s="46">
        <f>SUM(tblRegister[Avg inventory value])</f>
        <v>1282400</v>
      </c>
      <c r="C7" s="46"/>
      <c r="D7" s="47">
        <f>CarryRate</f>
        <v>0.195184029943855</v>
      </c>
      <c r="E7" s="47"/>
      <c r="F7" s="47"/>
      <c r="G7" s="46">
        <f>SUM(tblRegister[Annual carrying cost])</f>
        <v>250304</v>
      </c>
      <c r="H7" s="46"/>
      <c r="I7" s="46"/>
      <c r="J7" s="47">
        <f>IF((SUM(tblRegister[Annual carrying cost]))=0,"",(SUMIFS(tblRegister[Annual carrying cost],tblRegister[Days of supply status],"Above target"))/(SUM(tblRegister[Annual carrying cost])))</f>
        <v>0.516944791016843</v>
      </c>
      <c r="K7" s="47"/>
      <c r="L7" s="47"/>
    </row>
    <row r="8" spans="1:12" ht="21" customHeight="1">
      <c r="B8" s="46"/>
      <c r="C8" s="46"/>
      <c r="D8" s="47"/>
      <c r="E8" s="47"/>
      <c r="F8" s="47"/>
      <c r="G8" s="46"/>
      <c r="H8" s="46"/>
      <c r="I8" s="46"/>
      <c r="J8" s="47"/>
      <c r="K8" s="47"/>
      <c r="L8" s="47"/>
    </row>
    <row r="9" spans="1:12">
      <c r="B9" s="48" t="s">
        <v>184</v>
      </c>
      <c r="C9" s="48"/>
      <c r="D9" s="48" t="s">
        <v>185</v>
      </c>
      <c r="E9" s="48"/>
      <c r="F9" s="48"/>
      <c r="G9" s="49">
        <f>HoldingBudget</f>
        <v>240000</v>
      </c>
      <c r="H9" s="49"/>
      <c r="I9" s="49"/>
      <c r="J9" s="48" t="s">
        <v>186</v>
      </c>
      <c r="K9" s="48"/>
      <c r="L9" s="48"/>
    </row>
    <row r="10" spans="1:12" ht="18" customHeight="1">
      <c r="B10" s="50"/>
      <c r="C10" s="50"/>
      <c r="D10" s="50"/>
      <c r="E10" s="50"/>
      <c r="F10" s="50"/>
      <c r="G10" s="50" t="str">
        <f>IF(NOT(ISNUMBER(KpiCost)),"No data",IF(KpiCost&lt;=(HoldingBudget),"On target",IF(KpiCost&lt;=(HoldingBudget)*(1+0.05),"Near target","Above target")))</f>
        <v>Near target</v>
      </c>
      <c r="H10" s="50"/>
      <c r="I10" s="50"/>
      <c r="J10" s="50"/>
      <c r="K10" s="50"/>
      <c r="L10" s="50"/>
    </row>
    <row r="29" spans="2:12">
      <c r="B29" s="30" t="s">
        <v>187</v>
      </c>
      <c r="C29" s="30"/>
      <c r="D29" s="30"/>
      <c r="E29" s="30"/>
      <c r="F29" s="30"/>
      <c r="G29" s="30"/>
      <c r="H29" s="30"/>
      <c r="I29" s="30"/>
      <c r="J29" s="30"/>
      <c r="K29" s="30"/>
      <c r="L29" s="30"/>
    </row>
    <row r="30" spans="2:12" ht="32" customHeight="1">
      <c r="B30" s="51" t="s">
        <v>188</v>
      </c>
      <c r="C30" s="31" t="s">
        <v>80</v>
      </c>
      <c r="D30" s="31" t="s">
        <v>81</v>
      </c>
      <c r="E30" s="31"/>
      <c r="F30" s="31" t="s">
        <v>62</v>
      </c>
      <c r="G30" s="31"/>
      <c r="H30" s="31" t="s">
        <v>189</v>
      </c>
      <c r="I30" s="31" t="s">
        <v>86</v>
      </c>
      <c r="J30" s="31" t="s">
        <v>90</v>
      </c>
      <c r="K30" s="31" t="s">
        <v>91</v>
      </c>
      <c r="L30" s="31"/>
    </row>
    <row r="31" spans="2:12" ht="14" customHeight="1">
      <c r="B31" s="33"/>
      <c r="C31" s="33"/>
      <c r="D31" s="33"/>
      <c r="E31" s="33"/>
      <c r="F31" s="33"/>
      <c r="G31" s="33"/>
      <c r="H31" s="33" t="str">
        <f>Currency</f>
        <v>EUR</v>
      </c>
      <c r="I31" s="33" t="str">
        <f>Currency&amp;"/year"</f>
        <v>EUR/year</v>
      </c>
      <c r="J31" s="33" t="s">
        <v>69</v>
      </c>
      <c r="K31" s="33"/>
      <c r="L31" s="33"/>
    </row>
    <row r="32" spans="2:12">
      <c r="B32" s="52" t="s">
        <v>190</v>
      </c>
      <c r="C32" s="53" t="str">
        <f>IFERROR(INDEX(tblRegister[Item],MATCH(1,tblRegister[Cost rank],0)),"")</f>
        <v>FG-C100</v>
      </c>
      <c r="D32" s="53" t="str">
        <f>IFERROR(INDEX(tblRegister[Description],MATCH(1,tblRegister[Cost rank],0)),"")</f>
        <v>Controller C100</v>
      </c>
      <c r="E32" s="53"/>
      <c r="F32" s="53" t="str">
        <f>IFERROR(INDEX(tblRegister[Category],MATCH(1,tblRegister[Cost rank],0)),"")</f>
        <v>Finished goods</v>
      </c>
      <c r="G32" s="53"/>
      <c r="H32" s="35">
        <f>IFERROR(INDEX(tblRegister[Avg inventory value],MATCH(1,tblRegister[Cost rank],0)),"")</f>
        <v>243200</v>
      </c>
      <c r="I32" s="35">
        <f>IFERROR(INDEX(tblRegister[Annual carrying cost],MATCH(1,tblRegister[Cost rank],0)),"")</f>
        <v>47468.7560823456</v>
      </c>
      <c r="J32" s="35">
        <f>IFERROR(INDEX(tblRegister[Days of supply],MATCH(1,tblRegister[Cost rank],0)),"")</f>
        <v>47.8275862068966</v>
      </c>
      <c r="K32" s="38" t="str">
        <f>IFERROR(INDEX(tblRegister[Days of supply status],MATCH(1,tblRegister[Cost rank],0)),"")</f>
        <v>On target</v>
      </c>
      <c r="L32" s="38"/>
    </row>
    <row r="33" spans="2:12">
      <c r="B33" s="52" t="s">
        <v>191</v>
      </c>
      <c r="C33" s="53" t="str">
        <f>IFERROR(INDEX(tblRegister[Item],MATCH(2,tblRegister[Cost rank],0)),"")</f>
        <v>FG-P20</v>
      </c>
      <c r="D33" s="53" t="str">
        <f>IFERROR(INDEX(tblRegister[Description],MATCH(2,tblRegister[Cost rank],0)),"")</f>
        <v>Control panel P20, stainless</v>
      </c>
      <c r="E33" s="53"/>
      <c r="F33" s="53" t="str">
        <f>IFERROR(INDEX(tblRegister[Category],MATCH(2,tblRegister[Cost rank],0)),"")</f>
        <v>Finished goods</v>
      </c>
      <c r="G33" s="53"/>
      <c r="H33" s="35">
        <f>IFERROR(INDEX(tblRegister[Avg inventory value],MATCH(2,tblRegister[Cost rank],0)),"")</f>
        <v>235600</v>
      </c>
      <c r="I33" s="35">
        <f>IFERROR(INDEX(tblRegister[Annual carrying cost],MATCH(2,tblRegister[Cost rank],0)),"")</f>
        <v>45985.3574547723</v>
      </c>
      <c r="J33" s="35">
        <f>IFERROR(INDEX(tblRegister[Days of supply],MATCH(2,tblRegister[Cost rank],0)),"")</f>
        <v>165.119047619048</v>
      </c>
      <c r="K33" s="38" t="str">
        <f>IFERROR(INDEX(tblRegister[Days of supply status],MATCH(2,tblRegister[Cost rank],0)),"")</f>
        <v>Above target</v>
      </c>
      <c r="L33" s="38"/>
    </row>
    <row r="34" spans="2:12">
      <c r="B34" s="52" t="s">
        <v>192</v>
      </c>
      <c r="C34" s="53" t="str">
        <f>IFERROR(INDEX(tblRegister[Item],MATCH(3,tblRegister[Cost rank],0)),"")</f>
        <v>FG-C200</v>
      </c>
      <c r="D34" s="53" t="str">
        <f>IFERROR(INDEX(tblRegister[Description],MATCH(3,tblRegister[Cost rank],0)),"")</f>
        <v>Controller C200</v>
      </c>
      <c r="E34" s="53"/>
      <c r="F34" s="53" t="str">
        <f>IFERROR(INDEX(tblRegister[Category],MATCH(3,tblRegister[Cost rank],0)),"")</f>
        <v>Finished goods</v>
      </c>
      <c r="G34" s="53"/>
      <c r="H34" s="35">
        <f>IFERROR(INDEX(tblRegister[Avg inventory value],MATCH(3,tblRegister[Cost rank],0)),"")</f>
        <v>184800</v>
      </c>
      <c r="I34" s="35">
        <f>IFERROR(INDEX(tblRegister[Annual carrying cost],MATCH(3,tblRegister[Cost rank],0)),"")</f>
        <v>36070.0087336245</v>
      </c>
      <c r="J34" s="35">
        <f>IFERROR(INDEX(tblRegister[Days of supply],MATCH(3,tblRegister[Cost rank],0)),"")</f>
        <v>73.7019230769231</v>
      </c>
      <c r="K34" s="38" t="str">
        <f>IFERROR(INDEX(tblRegister[Days of supply status],MATCH(3,tblRegister[Cost rank],0)),"")</f>
        <v>Above target</v>
      </c>
      <c r="L34" s="38"/>
    </row>
    <row r="35" spans="2:12">
      <c r="B35" s="52" t="s">
        <v>193</v>
      </c>
      <c r="C35" s="53" t="str">
        <f>IFERROR(INDEX(tblRegister[Item],MATCH(4,tblRegister[Cost rank],0)),"")</f>
        <v>FG-P10</v>
      </c>
      <c r="D35" s="53" t="str">
        <f>IFERROR(INDEX(tblRegister[Description],MATCH(4,tblRegister[Cost rank],0)),"")</f>
        <v>Control panel P10</v>
      </c>
      <c r="E35" s="53"/>
      <c r="F35" s="53" t="str">
        <f>IFERROR(INDEX(tblRegister[Category],MATCH(4,tblRegister[Cost rank],0)),"")</f>
        <v>Finished goods</v>
      </c>
      <c r="G35" s="53"/>
      <c r="H35" s="35">
        <f>IFERROR(INDEX(tblRegister[Avg inventory value],MATCH(4,tblRegister[Cost rank],0)),"")</f>
        <v>144900</v>
      </c>
      <c r="I35" s="35">
        <f>IFERROR(INDEX(tblRegister[Annual carrying cost],MATCH(4,tblRegister[Cost rank],0)),"")</f>
        <v>28282.1659388646</v>
      </c>
      <c r="J35" s="35">
        <f>IFERROR(INDEX(tblRegister[Days of supply],MATCH(4,tblRegister[Cost rank],0)),"")</f>
        <v>58.9615384615385</v>
      </c>
      <c r="K35" s="38" t="str">
        <f>IFERROR(INDEX(tblRegister[Days of supply status],MATCH(4,tblRegister[Cost rank],0)),"")</f>
        <v>On target</v>
      </c>
      <c r="L35" s="38"/>
    </row>
    <row r="36" spans="2:12">
      <c r="B36" s="52" t="s">
        <v>194</v>
      </c>
      <c r="C36" s="53" t="str">
        <f>IFERROR(INDEX(tblRegister[Item],MATCH(5,tblRegister[Cost rank],0)),"")</f>
        <v>WIP-PNL</v>
      </c>
      <c r="D36" s="53" t="str">
        <f>IFERROR(INDEX(tblRegister[Description],MATCH(5,tblRegister[Cost rank],0)),"")</f>
        <v>Panels in test</v>
      </c>
      <c r="E36" s="53"/>
      <c r="F36" s="53" t="str">
        <f>IFERROR(INDEX(tblRegister[Category],MATCH(5,tblRegister[Cost rank],0)),"")</f>
        <v>Work in progress</v>
      </c>
      <c r="G36" s="53"/>
      <c r="H36" s="35">
        <f>IFERROR(INDEX(tblRegister[Avg inventory value],MATCH(5,tblRegister[Cost rank],0)),"")</f>
        <v>65600</v>
      </c>
      <c r="I36" s="35">
        <f>IFERROR(INDEX(tblRegister[Annual carrying cost],MATCH(5,tblRegister[Cost rank],0)),"")</f>
        <v>12804.0723643169</v>
      </c>
      <c r="J36" s="35">
        <f>IFERROR(INDEX(tblRegister[Days of supply],MATCH(5,tblRegister[Cost rank],0)),"")</f>
        <v>30.7368421052632</v>
      </c>
      <c r="K36" s="38" t="str">
        <f>IFERROR(INDEX(tblRegister[Days of supply status],MATCH(5,tblRegister[Cost rank],0)),"")</f>
        <v>On target</v>
      </c>
      <c r="L36" s="38"/>
    </row>
    <row r="37" spans="2:12">
      <c r="B37" s="52" t="s">
        <v>195</v>
      </c>
      <c r="C37" s="53" t="str">
        <f>IFERROR(INDEX(tblRegister[Item],MATCH(6,tblRegister[Cost rank],0)),"")</f>
        <v>FG-SPK</v>
      </c>
      <c r="D37" s="53" t="str">
        <f>IFERROR(INDEX(tblRegister[Description],MATCH(6,tblRegister[Cost rank],0)),"")</f>
        <v>Service kit</v>
      </c>
      <c r="E37" s="53"/>
      <c r="F37" s="53" t="str">
        <f>IFERROR(INDEX(tblRegister[Category],MATCH(6,tblRegister[Cost rank],0)),"")</f>
        <v>Finished goods</v>
      </c>
      <c r="G37" s="53"/>
      <c r="H37" s="35">
        <f>IFERROR(INDEX(tblRegister[Avg inventory value],MATCH(6,tblRegister[Cost rank],0)),"")</f>
        <v>41040</v>
      </c>
      <c r="I37" s="35">
        <f>IFERROR(INDEX(tblRegister[Annual carrying cost],MATCH(6,tblRegister[Cost rank],0)),"")</f>
        <v>8010.35258889582</v>
      </c>
      <c r="J37" s="35">
        <f>IFERROR(INDEX(tblRegister[Days of supply],MATCH(6,tblRegister[Cost rank],0)),"")</f>
        <v>132.095238095238</v>
      </c>
      <c r="K37" s="38" t="str">
        <f>IFERROR(INDEX(tblRegister[Days of supply status],MATCH(6,tblRegister[Cost rank],0)),"")</f>
        <v>Above target</v>
      </c>
      <c r="L37" s="38"/>
    </row>
    <row r="38" spans="2:12">
      <c r="B38" s="52" t="s">
        <v>196</v>
      </c>
      <c r="C38" s="53" t="str">
        <f>IFERROR(INDEX(tblRegister[Item],MATCH(7,tblRegister[Cost rank],0)),"")</f>
        <v>WIP-CTL</v>
      </c>
      <c r="D38" s="53" t="str">
        <f>IFERROR(INDEX(tblRegister[Description],MATCH(7,tblRegister[Cost rank],0)),"")</f>
        <v>Controllers in assembly</v>
      </c>
      <c r="E38" s="53"/>
      <c r="F38" s="53" t="str">
        <f>IFERROR(INDEX(tblRegister[Category],MATCH(7,tblRegister[Cost rank],0)),"")</f>
        <v>Work in progress</v>
      </c>
      <c r="G38" s="53"/>
      <c r="H38" s="35">
        <f>IFERROR(INDEX(tblRegister[Avg inventory value],MATCH(7,tblRegister[Cost rank],0)),"")</f>
        <v>40320</v>
      </c>
      <c r="I38" s="35">
        <f>IFERROR(INDEX(tblRegister[Annual carrying cost],MATCH(7,tblRegister[Cost rank],0)),"")</f>
        <v>7869.82008733625</v>
      </c>
      <c r="J38" s="35">
        <f>IFERROR(INDEX(tblRegister[Days of supply],MATCH(7,tblRegister[Cost rank],0)),"")</f>
        <v>7.3</v>
      </c>
      <c r="K38" s="38" t="str">
        <f>IFERROR(INDEX(tblRegister[Days of supply status],MATCH(7,tblRegister[Cost rank],0)),"")</f>
        <v>On target</v>
      </c>
      <c r="L38" s="38"/>
    </row>
    <row r="39" spans="2:12">
      <c r="B39" s="52" t="s">
        <v>197</v>
      </c>
      <c r="C39" s="53" t="str">
        <f>IFERROR(INDEX(tblRegister[Item],MATCH(8,tblRegister[Cost rank],0)),"")</f>
        <v>LCD-7</v>
      </c>
      <c r="D39" s="53" t="str">
        <f>IFERROR(INDEX(tblRegister[Description],MATCH(8,tblRegister[Cost rank],0)),"")</f>
        <v>Display, 7 inch</v>
      </c>
      <c r="E39" s="53"/>
      <c r="F39" s="53" t="str">
        <f>IFERROR(INDEX(tblRegister[Category],MATCH(8,tblRegister[Cost rank],0)),"")</f>
        <v>Purchased parts</v>
      </c>
      <c r="G39" s="53"/>
      <c r="H39" s="35">
        <f>IFERROR(INDEX(tblRegister[Avg inventory value],MATCH(8,tblRegister[Cost rank],0)),"")</f>
        <v>34200</v>
      </c>
      <c r="I39" s="35">
        <f>IFERROR(INDEX(tblRegister[Annual carrying cost],MATCH(8,tblRegister[Cost rank],0)),"")</f>
        <v>6675.29382407985</v>
      </c>
      <c r="J39" s="35">
        <f>IFERROR(INDEX(tblRegister[Days of supply],MATCH(8,tblRegister[Cost rank],0)),"")</f>
        <v>68.4375</v>
      </c>
      <c r="K39" s="38" t="str">
        <f>IFERROR(INDEX(tblRegister[Days of supply status],MATCH(8,tblRegister[Cost rank],0)),"")</f>
        <v>Above target</v>
      </c>
      <c r="L39" s="38"/>
    </row>
    <row r="40" spans="2:12">
      <c r="B40" s="52" t="s">
        <v>198</v>
      </c>
      <c r="C40" s="53" t="str">
        <f>IFERROR(INDEX(tblRegister[Item],MATCH(9,tblRegister[Cost rank],0)),"")</f>
        <v>SHT-2</v>
      </c>
      <c r="D40" s="53" t="str">
        <f>IFERROR(INDEX(tblRegister[Description],MATCH(9,tblRegister[Cost rank],0)),"")</f>
        <v>Steel sheet, 2 mm</v>
      </c>
      <c r="E40" s="53"/>
      <c r="F40" s="53" t="str">
        <f>IFERROR(INDEX(tblRegister[Category],MATCH(9,tblRegister[Cost rank],0)),"")</f>
        <v>Raw material</v>
      </c>
      <c r="G40" s="53"/>
      <c r="H40" s="35">
        <f>IFERROR(INDEX(tblRegister[Avg inventory value],MATCH(9,tblRegister[Cost rank],0)),"")</f>
        <v>34200</v>
      </c>
      <c r="I40" s="35">
        <f>IFERROR(INDEX(tblRegister[Annual carrying cost],MATCH(9,tblRegister[Cost rank],0)),"")</f>
        <v>6675.29382407985</v>
      </c>
      <c r="J40" s="35">
        <f>IFERROR(INDEX(tblRegister[Days of supply],MATCH(9,tblRegister[Cost rank],0)),"")</f>
        <v>54.75</v>
      </c>
      <c r="K40" s="38" t="str">
        <f>IFERROR(INDEX(tblRegister[Days of supply status],MATCH(9,tblRegister[Cost rank],0)),"")</f>
        <v>On target</v>
      </c>
      <c r="L40" s="38"/>
    </row>
    <row r="41" spans="2:12">
      <c r="B41" s="52" t="s">
        <v>199</v>
      </c>
      <c r="C41" s="53" t="str">
        <f>IFERROR(INDEX(tblRegister[Item],MATCH(10,tblRegister[Cost rank],0)),"")</f>
        <v>MRO-DRV</v>
      </c>
      <c r="D41" s="53" t="str">
        <f>IFERROR(INDEX(tblRegister[Description],MATCH(10,tblRegister[Cost rank],0)),"")</f>
        <v>Spare drives and motors</v>
      </c>
      <c r="E41" s="53"/>
      <c r="F41" s="53" t="str">
        <f>IFERROR(INDEX(tblRegister[Category],MATCH(10,tblRegister[Cost rank],0)),"")</f>
        <v>MRO spares</v>
      </c>
      <c r="G41" s="53"/>
      <c r="H41" s="35">
        <f>IFERROR(INDEX(tblRegister[Avg inventory value],MATCH(10,tblRegister[Cost rank],0)),"")</f>
        <v>32900</v>
      </c>
      <c r="I41" s="35">
        <f>IFERROR(INDEX(tblRegister[Annual carrying cost],MATCH(10,tblRegister[Cost rank],0)),"")</f>
        <v>6421.55458515284</v>
      </c>
      <c r="J41" s="35">
        <f>IFERROR(INDEX(tblRegister[Days of supply],MATCH(10,tblRegister[Cost rank],0)),"")</f>
        <v>851.666666666667</v>
      </c>
      <c r="K41" s="38" t="str">
        <f>IFERROR(INDEX(tblRegister[Days of supply status],MATCH(10,tblRegister[Cost rank],0)),"")</f>
        <v>Above target</v>
      </c>
      <c r="L41" s="38"/>
    </row>
    <row r="43" spans="2:12">
      <c r="B43" s="30" t="s">
        <v>200</v>
      </c>
      <c r="C43" s="30"/>
      <c r="D43" s="30"/>
      <c r="E43" s="30"/>
      <c r="F43" s="30"/>
      <c r="G43" s="30"/>
      <c r="H43" s="30"/>
      <c r="I43" s="30"/>
      <c r="J43" s="30"/>
    </row>
    <row r="44" spans="2:12" ht="32" customHeight="1">
      <c r="B44" s="51" t="s">
        <v>62</v>
      </c>
      <c r="C44" s="31" t="s">
        <v>201</v>
      </c>
      <c r="D44" s="31" t="s">
        <v>189</v>
      </c>
      <c r="E44" s="31" t="s">
        <v>86</v>
      </c>
      <c r="F44" s="31" t="s">
        <v>202</v>
      </c>
      <c r="G44" s="31" t="s">
        <v>203</v>
      </c>
      <c r="H44" s="31" t="s">
        <v>89</v>
      </c>
      <c r="I44" s="31" t="s">
        <v>90</v>
      </c>
      <c r="J44" s="31" t="s">
        <v>204</v>
      </c>
    </row>
    <row r="45" spans="2:12" ht="14" customHeight="1">
      <c r="B45" s="33"/>
      <c r="C45" s="33"/>
      <c r="D45" s="33" t="str">
        <f>Currency</f>
        <v>EUR</v>
      </c>
      <c r="E45" s="33" t="str">
        <f>Currency&amp;"/year"</f>
        <v>EUR/year</v>
      </c>
      <c r="F45" s="33" t="str">
        <f>Currency&amp;"/year"</f>
        <v>EUR/year</v>
      </c>
      <c r="G45" s="33" t="str">
        <f>Currency&amp;"/year"</f>
        <v>EUR/year</v>
      </c>
      <c r="H45" s="33" t="s">
        <v>96</v>
      </c>
      <c r="I45" s="33" t="s">
        <v>69</v>
      </c>
      <c r="J45" s="33"/>
    </row>
    <row r="46" spans="2:12">
      <c r="B46" s="52" t="str">
        <f>IFERROR(INDEX(tblCategories[Category],1)&amp;"","")</f>
        <v>Raw material</v>
      </c>
      <c r="C46" s="35">
        <f>IF($B$46="","",COUNTIFS(tblRegister[Category],$B$46))</f>
        <v>3</v>
      </c>
      <c r="D46" s="35">
        <f>IF($B$46="","",SUMIFS(tblRegister[Avg inventory value],tblRegister[Category],$B$46))</f>
        <v>39960</v>
      </c>
      <c r="E46" s="35">
        <f>IF($B$46="","",SUMIFS(tblRegister[Annual carrying cost],tblRegister[Category],$B$46))</f>
        <v>7799.55383655646</v>
      </c>
      <c r="F46" s="35">
        <f>IF($B$46="","",SUMIFS(tblRegister[Annual carrying cost],tblRegister[Category],$B$46,tblRegister[Days of supply status],"&lt;&gt;Above target"))</f>
        <v>6675.29382407985</v>
      </c>
      <c r="G46" s="35">
        <f>IF($B$46="","",SUMIFS(tblRegister[Annual carrying cost],tblRegister[Category],$B$46,tblRegister[Days of supply status],"Above target"))</f>
        <v>1124.26001247661</v>
      </c>
      <c r="H46" s="37">
        <f>IF($B$46="","",IF((SUMIFS(tblRegister[Avg inventory value],tblRegister[Category],$B$46))=0,"",(SUMIFS(tblRegister[Annual usage value],tblRegister[Category],$B$46))/(SUMIFS(tblRegister[Avg inventory value],tblRegister[Category],$B$46))))</f>
        <v>6.33633633633634</v>
      </c>
      <c r="I46" s="35">
        <f>IF($B$46="","",IF((SUMIFS(tblRegister[Annual usage value],tblRegister[Category],$B$46))=0,"",(SUMIFS(tblRegister[Avg inventory value],tblRegister[Category],$B$46)*365)/(SUMIFS(tblRegister[Annual usage value],tblRegister[Category],$B$46))))</f>
        <v>57.6042654028436</v>
      </c>
      <c r="J46" s="35">
        <f>IF($B$46="","",COUNTIFS(tblRegister[Category],$B$46,tblRegister[Days of supply status],"Above target"))</f>
        <v>2</v>
      </c>
    </row>
    <row r="47" spans="2:12">
      <c r="B47" s="52" t="str">
        <f>IFERROR(INDEX(tblCategories[Category],2)&amp;"","")</f>
        <v>Purchased parts</v>
      </c>
      <c r="C47" s="35">
        <f>IF($B$47="","",COUNTIFS(tblRegister[Category],$B$47))</f>
        <v>12</v>
      </c>
      <c r="D47" s="35">
        <f>IF($B$47="","",SUMIFS(tblRegister[Avg inventory value],tblRegister[Category],$B$47))</f>
        <v>243880</v>
      </c>
      <c r="E47" s="35">
        <f>IF($B$47="","",SUMIFS(tblRegister[Annual carrying cost],tblRegister[Category],$B$47))</f>
        <v>47601.4812227074</v>
      </c>
      <c r="F47" s="35">
        <f>IF($B$47="","",SUMIFS(tblRegister[Annual carrying cost],tblRegister[Category],$B$47,tblRegister[Days of supply status],"&lt;&gt;Above target"))</f>
        <v>17810.5427323768</v>
      </c>
      <c r="G47" s="35">
        <f>IF($B$47="","",SUMIFS(tblRegister[Annual carrying cost],tblRegister[Category],$B$47,tblRegister[Days of supply status],"Above target"))</f>
        <v>29790.9384903306</v>
      </c>
      <c r="H47" s="37">
        <f>IF($B$47="","",IF((SUMIFS(tblRegister[Avg inventory value],tblRegister[Category],$B$47))=0,"",(SUMIFS(tblRegister[Annual usage value],tblRegister[Category],$B$47))/(SUMIFS(tblRegister[Avg inventory value],tblRegister[Category],$B$47))))</f>
        <v>5.6567574216828</v>
      </c>
      <c r="I47" s="35">
        <f>IF($B$47="","",IF((SUMIFS(tblRegister[Annual usage value],tblRegister[Category],$B$47))=0,"",(SUMIFS(tblRegister[Avg inventory value],tblRegister[Category],$B$47)*365)/(SUMIFS(tblRegister[Annual usage value],tblRegister[Category],$B$47))))</f>
        <v>64.5245982443805</v>
      </c>
      <c r="J47" s="35">
        <f>IF($B$47="","",COUNTIFS(tblRegister[Category],$B$47,tblRegister[Days of supply status],"Above target"))</f>
        <v>7</v>
      </c>
    </row>
    <row r="48" spans="2:12">
      <c r="B48" s="52" t="str">
        <f>IFERROR(INDEX(tblCategories[Category],3)&amp;"","")</f>
        <v>Work in progress</v>
      </c>
      <c r="C48" s="35">
        <f>IF($B$48="","",COUNTIFS(tblRegister[Category],$B$48))</f>
        <v>2</v>
      </c>
      <c r="D48" s="35">
        <f>IF($B$48="","",SUMIFS(tblRegister[Avg inventory value],tblRegister[Category],$B$48))</f>
        <v>105920</v>
      </c>
      <c r="E48" s="35">
        <f>IF($B$48="","",SUMIFS(tblRegister[Annual carrying cost],tblRegister[Category],$B$48))</f>
        <v>20673.8924516532</v>
      </c>
      <c r="F48" s="35">
        <f>IF($B$48="","",SUMIFS(tblRegister[Annual carrying cost],tblRegister[Category],$B$48,tblRegister[Days of supply status],"&lt;&gt;Above target"))</f>
        <v>20673.8924516532</v>
      </c>
      <c r="G48" s="35">
        <f>IF($B$48="","",SUMIFS(tblRegister[Annual carrying cost],tblRegister[Category],$B$48,tblRegister[Days of supply status],"Above target"))</f>
        <v>0</v>
      </c>
      <c r="H48" s="37">
        <f>IF($B$48="","",IF((SUMIFS(tblRegister[Avg inventory value],tblRegister[Category],$B$48))=0,"",(SUMIFS(tblRegister[Annual usage value],tblRegister[Category],$B$48))/(SUMIFS(tblRegister[Avg inventory value],tblRegister[Category],$B$48))))</f>
        <v>26.3878398791541</v>
      </c>
      <c r="I48" s="35">
        <f>IF($B$48="","",IF((SUMIFS(tblRegister[Annual usage value],tblRegister[Category],$B$48))=0,"",(SUMIFS(tblRegister[Avg inventory value],tblRegister[Category],$B$48)*365)/(SUMIFS(tblRegister[Annual usage value],tblRegister[Category],$B$48))))</f>
        <v>13.8321288014311</v>
      </c>
      <c r="J48" s="35">
        <f>IF($B$48="","",COUNTIFS(tblRegister[Category],$B$48,tblRegister[Days of supply status],"Above target"))</f>
        <v>0</v>
      </c>
    </row>
    <row r="49" spans="2:10">
      <c r="B49" s="52" t="str">
        <f>IFERROR(INDEX(tblCategories[Category],4)&amp;"","")</f>
        <v>Finished goods</v>
      </c>
      <c r="C49" s="35">
        <f>IF($B$49="","",COUNTIFS(tblRegister[Category],$B$49))</f>
        <v>5</v>
      </c>
      <c r="D49" s="35">
        <f>IF($B$49="","",SUMIFS(tblRegister[Avg inventory value],tblRegister[Category],$B$49))</f>
        <v>849540</v>
      </c>
      <c r="E49" s="35">
        <f>IF($B$49="","",SUMIFS(tblRegister[Annual carrying cost],tblRegister[Category],$B$49))</f>
        <v>165816.640798503</v>
      </c>
      <c r="F49" s="35">
        <f>IF($B$49="","",SUMIFS(tblRegister[Annual carrying cost],tblRegister[Category],$B$49,tblRegister[Days of supply status],"&lt;&gt;Above target"))</f>
        <v>75750.9220212102</v>
      </c>
      <c r="G49" s="35">
        <f>IF($B$49="","",SUMIFS(tblRegister[Annual carrying cost],tblRegister[Category],$B$49,tblRegister[Days of supply status],"Above target"))</f>
        <v>90065.7187772926</v>
      </c>
      <c r="H49" s="37">
        <f>IF($B$49="","",IF((SUMIFS(tblRegister[Avg inventory value],tblRegister[Category],$B$49))=0,"",(SUMIFS(tblRegister[Annual usage value],tblRegister[Category],$B$49))/(SUMIFS(tblRegister[Avg inventory value],tblRegister[Category],$B$49))))</f>
        <v>5.06438778633143</v>
      </c>
      <c r="I49" s="35">
        <f>IF($B$49="","",IF((SUMIFS(tblRegister[Annual usage value],tblRegister[Category],$B$49))=0,"",(SUMIFS(tblRegister[Avg inventory value],tblRegister[Category],$B$49)*365)/(SUMIFS(tblRegister[Annual usage value],tblRegister[Category],$B$49))))</f>
        <v>72.0718901078468</v>
      </c>
      <c r="J49" s="35">
        <f>IF($B$49="","",COUNTIFS(tblRegister[Category],$B$49,tblRegister[Days of supply status],"Above target"))</f>
        <v>3</v>
      </c>
    </row>
    <row r="50" spans="2:10">
      <c r="B50" s="52" t="str">
        <f>IFERROR(INDEX(tblCategories[Category],5)&amp;"","")</f>
        <v>Packaging</v>
      </c>
      <c r="C50" s="35">
        <f>IF($B$50="","",COUNTIFS(tblRegister[Category],$B$50))</f>
        <v>1</v>
      </c>
      <c r="D50" s="35">
        <f>IF($B$50="","",SUMIFS(tblRegister[Avg inventory value],tblRegister[Category],$B$50))</f>
        <v>10200</v>
      </c>
      <c r="E50" s="35">
        <f>IF($B$50="","",SUMIFS(tblRegister[Annual carrying cost],tblRegister[Category],$B$50))</f>
        <v>1990.87710542732</v>
      </c>
      <c r="F50" s="35">
        <f>IF($B$50="","",SUMIFS(tblRegister[Annual carrying cost],tblRegister[Category],$B$50,tblRegister[Days of supply status],"&lt;&gt;Above target"))</f>
        <v>0</v>
      </c>
      <c r="G50" s="35">
        <f>IF($B$50="","",SUMIFS(tblRegister[Annual carrying cost],tblRegister[Category],$B$50,tblRegister[Days of supply status],"Above target"))</f>
        <v>1990.87710542732</v>
      </c>
      <c r="H50" s="37">
        <f>IF($B$50="","",IF((SUMIFS(tblRegister[Avg inventory value],tblRegister[Category],$B$50))=0,"",(SUMIFS(tblRegister[Annual usage value],tblRegister[Category],$B$50))/(SUMIFS(tblRegister[Avg inventory value],tblRegister[Category],$B$50))))</f>
        <v>5</v>
      </c>
      <c r="I50" s="35">
        <f>IF($B$50="","",IF((SUMIFS(tblRegister[Annual usage value],tblRegister[Category],$B$50))=0,"",(SUMIFS(tblRegister[Avg inventory value],tblRegister[Category],$B$50)*365)/(SUMIFS(tblRegister[Annual usage value],tblRegister[Category],$B$50))))</f>
        <v>73</v>
      </c>
      <c r="J50" s="35">
        <f>IF($B$50="","",COUNTIFS(tblRegister[Category],$B$50,tblRegister[Days of supply status],"Above target"))</f>
        <v>1</v>
      </c>
    </row>
    <row r="51" spans="2:10">
      <c r="B51" s="52" t="str">
        <f>IFERROR(INDEX(tblCategories[Category],6)&amp;"","")</f>
        <v>MRO spares</v>
      </c>
      <c r="C51" s="35">
        <f>IF($B$51="","",COUNTIFS(tblRegister[Category],$B$51))</f>
        <v>1</v>
      </c>
      <c r="D51" s="35">
        <f>IF($B$51="","",SUMIFS(tblRegister[Avg inventory value],tblRegister[Category],$B$51))</f>
        <v>32900</v>
      </c>
      <c r="E51" s="35">
        <f>IF($B$51="","",SUMIFS(tblRegister[Annual carrying cost],tblRegister[Category],$B$51))</f>
        <v>6421.55458515284</v>
      </c>
      <c r="F51" s="35">
        <f>IF($B$51="","",SUMIFS(tblRegister[Annual carrying cost],tblRegister[Category],$B$51,tblRegister[Days of supply status],"&lt;&gt;Above target"))</f>
        <v>0</v>
      </c>
      <c r="G51" s="35">
        <f>IF($B$51="","",SUMIFS(tblRegister[Annual carrying cost],tblRegister[Category],$B$51,tblRegister[Days of supply status],"Above target"))</f>
        <v>6421.55458515284</v>
      </c>
      <c r="H51" s="37">
        <f>IF($B$51="","",IF((SUMIFS(tblRegister[Avg inventory value],tblRegister[Category],$B$51))=0,"",(SUMIFS(tblRegister[Annual usage value],tblRegister[Category],$B$51))/(SUMIFS(tblRegister[Avg inventory value],tblRegister[Category],$B$51))))</f>
        <v>0.428571428571429</v>
      </c>
      <c r="I51" s="35">
        <f>IF($B$51="","",IF((SUMIFS(tblRegister[Annual usage value],tblRegister[Category],$B$51))=0,"",(SUMIFS(tblRegister[Avg inventory value],tblRegister[Category],$B$51)*365)/(SUMIFS(tblRegister[Annual usage value],tblRegister[Category],$B$51))))</f>
        <v>851.666666666667</v>
      </c>
      <c r="J51" s="35">
        <f>IF($B$51="","",COUNTIFS(tblRegister[Category],$B$51,tblRegister[Days of supply status],"Above target"))</f>
        <v>1</v>
      </c>
    </row>
    <row r="52" spans="2:10">
      <c r="B52" s="54" t="s">
        <v>205</v>
      </c>
      <c r="D52" s="55">
        <f>SUM($D$46:$D$51)</f>
        <v>1282400</v>
      </c>
      <c r="E52" s="55">
        <f>SUM($E$46:$E$51)</f>
        <v>250304</v>
      </c>
      <c r="F52" s="55">
        <f>SUM($F$46:$F$51)</f>
        <v>120910.65102932</v>
      </c>
      <c r="G52" s="55">
        <f>SUM($G$46:$G$51)</f>
        <v>129393.34897068</v>
      </c>
    </row>
    <row r="54" spans="2:10">
      <c r="B54" s="30" t="s">
        <v>206</v>
      </c>
      <c r="C54" s="30"/>
      <c r="D54" s="30"/>
      <c r="E54" s="30"/>
    </row>
    <row r="55" spans="2:10" ht="32" customHeight="1">
      <c r="B55" s="51" t="s">
        <v>154</v>
      </c>
      <c r="C55" s="31" t="s">
        <v>158</v>
      </c>
      <c r="D55" s="31" t="s">
        <v>159</v>
      </c>
      <c r="E55" s="31" t="s">
        <v>207</v>
      </c>
    </row>
    <row r="56" spans="2:10" ht="14" customHeight="1">
      <c r="B56" s="33"/>
      <c r="C56" s="33" t="str">
        <f>Currency&amp;"/year"</f>
        <v>EUR/year</v>
      </c>
      <c r="D56" s="33"/>
      <c r="E56" s="33"/>
    </row>
    <row r="57" spans="2:10">
      <c r="B57" s="52" t="str">
        <f>IFERROR(INDEX(tblComponents[Component],1)&amp;"","")</f>
        <v>Cost of capital</v>
      </c>
      <c r="C57" s="35">
        <f>IF($B$57="","",SUMIFS(tblComponents[Annual cost],tblComponents[Component],$B$57))</f>
        <v>109004</v>
      </c>
      <c r="D57" s="41">
        <f>IF($B$57="","",IF((AvgValue)=0,"",(SUMIFS(tblComponents[Annual cost],tblComponents[Component],$B$57))/(AvgValue)))</f>
        <v>0.085</v>
      </c>
      <c r="E57" s="56">
        <f>IF($B$57="","",IF((CarryCostTotal)=0,"",(SUMIFS(tblComponents[Annual cost],tblComponents[Component],$B$57))/(CarryCostTotal)))</f>
        <v>0.43548644847865</v>
      </c>
    </row>
    <row r="58" spans="2:10">
      <c r="B58" s="52" t="str">
        <f>IFERROR(INDEX(tblComponents[Component],2)&amp;"","")</f>
        <v>Storage space</v>
      </c>
      <c r="C58" s="35">
        <f>IF($B$58="","",SUMIFS(tblComponents[Annual cost],tblComponents[Component],$B$58))</f>
        <v>58000</v>
      </c>
      <c r="D58" s="41">
        <f>IF($B$58="","",IF((AvgValue)=0,"",(SUMIFS(tblComponents[Annual cost],tblComponents[Component],$B$58))/(AvgValue)))</f>
        <v>0.045227698066126</v>
      </c>
      <c r="E58" s="56">
        <f>IF($B$58="","",IF((CarryCostTotal)=0,"",(SUMIFS(tblComponents[Annual cost],tblComponents[Component],$B$58))/(CarryCostTotal)))</f>
        <v>0.231718230631552</v>
      </c>
    </row>
    <row r="59" spans="2:10">
      <c r="B59" s="52" t="str">
        <f>IFERROR(INDEX(tblComponents[Component],3)&amp;"","")</f>
        <v>Handling and stock control</v>
      </c>
      <c r="C59" s="35">
        <f>IF($B$59="","",SUMIFS(tblComponents[Annual cost],tblComponents[Component],$B$59))</f>
        <v>31000</v>
      </c>
      <c r="D59" s="41">
        <f>IF($B$59="","",IF((AvgValue)=0,"",(SUMIFS(tblComponents[Annual cost],tblComponents[Component],$B$59))/(AvgValue)))</f>
        <v>0.0241734248284467</v>
      </c>
      <c r="E59" s="56">
        <f>IF($B$59="","",IF((CarryCostTotal)=0,"",(SUMIFS(tblComponents[Annual cost],tblComponents[Component],$B$59))/(CarryCostTotal)))</f>
        <v>0.123849399130657</v>
      </c>
    </row>
    <row r="60" spans="2:10">
      <c r="B60" s="52" t="str">
        <f>IFERROR(INDEX(tblComponents[Component],4)&amp;"","")</f>
        <v>Insurance on stock</v>
      </c>
      <c r="C60" s="35">
        <f>IF($B$60="","",SUMIFS(tblComponents[Annual cost],tblComponents[Component],$B$60))</f>
        <v>4600</v>
      </c>
      <c r="D60" s="41">
        <f>IF($B$60="","",IF((AvgValue)=0,"",(SUMIFS(tblComponents[Annual cost],tblComponents[Component],$B$60))/(AvgValue)))</f>
        <v>0.00358702432938241</v>
      </c>
      <c r="E60" s="56">
        <f>IF($B$60="","",IF((CarryCostTotal)=0,"",(SUMIFS(tblComponents[Annual cost],tblComponents[Component],$B$60))/(CarryCostTotal)))</f>
        <v>0.0183776527742265</v>
      </c>
    </row>
    <row r="61" spans="2:10">
      <c r="B61" s="52" t="str">
        <f>IFERROR(INDEX(tblComponents[Component],5)&amp;"","")</f>
        <v>Obsolescence write-downs</v>
      </c>
      <c r="C61" s="35">
        <f>IF($B$61="","",SUMIFS(tblComponents[Annual cost],tblComponents[Component],$B$61))</f>
        <v>38500</v>
      </c>
      <c r="D61" s="41">
        <f>IF($B$61="","",IF((AvgValue)=0,"",(SUMIFS(tblComponents[Annual cost],tblComponents[Component],$B$61))/(AvgValue)))</f>
        <v>0.0300218340611354</v>
      </c>
      <c r="E61" s="56">
        <f>IF($B$61="","",IF((CarryCostTotal)=0,"",(SUMIFS(tblComponents[Annual cost],tblComponents[Component],$B$61))/(CarryCostTotal)))</f>
        <v>0.153812963436461</v>
      </c>
    </row>
    <row r="62" spans="2:10">
      <c r="B62" s="52" t="str">
        <f>IFERROR(INDEX(tblComponents[Component],6)&amp;"","")</f>
        <v>Shrinkage and damage</v>
      </c>
      <c r="C62" s="35">
        <f>IF($B$62="","",SUMIFS(tblComponents[Annual cost],tblComponents[Component],$B$62))</f>
        <v>9200</v>
      </c>
      <c r="D62" s="41">
        <f>IF($B$62="","",IF((AvgValue)=0,"",(SUMIFS(tblComponents[Annual cost],tblComponents[Component],$B$62))/(AvgValue)))</f>
        <v>0.00717404865876482</v>
      </c>
      <c r="E62" s="56">
        <f>IF($B$62="","",IF((CarryCostTotal)=0,"",(SUMIFS(tblComponents[Annual cost],tblComponents[Component],$B$62))/(CarryCostTotal)))</f>
        <v>0.0367553055484531</v>
      </c>
    </row>
    <row r="63" spans="2:10">
      <c r="B63" s="52" t="str">
        <f>IFERROR(INDEX(tblComponents[Component],7)&amp;"","")</f>
        <v>Taxes on inventory</v>
      </c>
      <c r="C63" s="35">
        <f>IF($B$63="","",SUMIFS(tblComponents[Annual cost],tblComponents[Component],$B$63))</f>
        <v>0</v>
      </c>
      <c r="D63" s="41">
        <f>IF($B$63="","",IF((AvgValue)=0,"",(SUMIFS(tblComponents[Annual cost],tblComponents[Component],$B$63))/(AvgValue)))</f>
        <v>0</v>
      </c>
      <c r="E63" s="56">
        <f>IF($B$63="","",IF((CarryCostTotal)=0,"",(SUMIFS(tblComponents[Annual cost],tblComponents[Component],$B$63))/(CarryCostTotal)))</f>
        <v>0</v>
      </c>
    </row>
    <row r="64" spans="2:10">
      <c r="B64" s="54" t="s">
        <v>205</v>
      </c>
      <c r="C64" s="55">
        <f>SUM($C$57:$C$63)</f>
        <v>250304</v>
      </c>
      <c r="D64" s="57">
        <f>SUM($D$57:$D$63)</f>
        <v>0.195184029943855</v>
      </c>
    </row>
    <row r="65" spans="2:12" ht="8" customHeight="1"/>
    <row r="66" spans="2:12" ht="26.76" customHeight="1">
      <c r="B66" s="21" t="s">
        <v>208</v>
      </c>
      <c r="C66" s="21"/>
      <c r="D66" s="21"/>
      <c r="E66" s="21"/>
      <c r="F66" s="21"/>
      <c r="G66" s="21"/>
      <c r="H66" s="21"/>
      <c r="I66" s="21"/>
      <c r="J66" s="21"/>
      <c r="K66" s="21"/>
      <c r="L66" s="21"/>
    </row>
    <row r="67" spans="2:12">
      <c r="B67" s="58">
        <f>IF(OR(COUNTA(tblCategories[Category])&gt;6,COUNTA(tblComponents[Component])&gt;7),"Lists are longer than the Dashboard blocks: some categories or components are not shown.","")</f>
        <v/>
      </c>
      <c r="C67" s="58"/>
      <c r="D67" s="58"/>
      <c r="E67" s="58"/>
      <c r="F67" s="58"/>
      <c r="G67" s="58"/>
      <c r="H67" s="58"/>
      <c r="I67" s="58"/>
      <c r="J67" s="58"/>
      <c r="K67" s="58"/>
      <c r="L67" s="58"/>
    </row>
  </sheetData>
  <sheetProtection sheet="1" formatColumns="0" formatRows="0"/>
  <mergeCells count="61">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L29"/>
    <mergeCell ref="D30:E30"/>
    <mergeCell ref="F30:G30"/>
    <mergeCell ref="K30:L30"/>
    <mergeCell ref="D31:E31"/>
    <mergeCell ref="F31:G31"/>
    <mergeCell ref="K31:L31"/>
    <mergeCell ref="D32:E32"/>
    <mergeCell ref="D33:E33"/>
    <mergeCell ref="D34:E34"/>
    <mergeCell ref="D35:E35"/>
    <mergeCell ref="D36:E36"/>
    <mergeCell ref="D37:E37"/>
    <mergeCell ref="D38:E38"/>
    <mergeCell ref="D39:E39"/>
    <mergeCell ref="D40:E40"/>
    <mergeCell ref="D41:E41"/>
    <mergeCell ref="F32:G32"/>
    <mergeCell ref="F33:G33"/>
    <mergeCell ref="F34:G34"/>
    <mergeCell ref="F35:G35"/>
    <mergeCell ref="F36:G36"/>
    <mergeCell ref="F37:G37"/>
    <mergeCell ref="F38:G38"/>
    <mergeCell ref="F39:G39"/>
    <mergeCell ref="F40:G40"/>
    <mergeCell ref="F41:G41"/>
    <mergeCell ref="K32:L32"/>
    <mergeCell ref="K33:L33"/>
    <mergeCell ref="K34:L34"/>
    <mergeCell ref="K35:L35"/>
    <mergeCell ref="K36:L36"/>
    <mergeCell ref="K37:L37"/>
    <mergeCell ref="K38:L38"/>
    <mergeCell ref="K39:L39"/>
    <mergeCell ref="K40:L40"/>
    <mergeCell ref="K41:L41"/>
    <mergeCell ref="B43:J43"/>
    <mergeCell ref="B54:E54"/>
    <mergeCell ref="B66:L66"/>
    <mergeCell ref="B67:L67"/>
  </mergeCells>
  <conditionalFormatting sqref="G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I46:I51">
    <cfRule type="expression" dxfId="3" priority="41" stopIfTrue="1">
      <formula>AND(ISNUMBER(I46),I46&lt;=(TargetDOS))</formula>
    </cfRule>
    <cfRule type="expression" dxfId="4" priority="42" stopIfTrue="1">
      <formula>AND(ISNUMBER(I46),I46&lt;=(TargetDOS)*(1+0.05))</formula>
    </cfRule>
    <cfRule type="expression" dxfId="5" priority="43">
      <formula>ISNUMBER(I46)</formula>
    </cfRule>
  </conditionalFormatting>
  <conditionalFormatting sqref="K32:K4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Inventory Carrying Cost&amp;R&amp;8&amp;A</oddHeader>
    <oddFooter>&amp;L&amp;8mfgcalcs.com - free manufacturing templates&amp;R&amp;8Page &amp;P of &amp;N</oddFooter>
  </headerFooter>
  <rowBreaks count="2" manualBreakCount="2">
    <brk id="28" max="16383" man="1"/>
    <brk id="53" max="16383" man="1"/>
  </rowBreaks>
  <drawing r:id="rId2"/>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60"/>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209</v>
      </c>
      <c r="C4" s="8"/>
      <c r="D4" s="8"/>
    </row>
    <row r="5" spans="1:4" ht="5" customHeight="1"/>
    <row r="6" spans="1:4" ht="69" customHeight="1">
      <c r="B6" s="10" t="s">
        <v>210</v>
      </c>
      <c r="C6" s="10"/>
      <c r="D6" s="10"/>
    </row>
    <row r="8" spans="1:4" ht="21" customHeight="1">
      <c r="B8" s="8" t="s">
        <v>211</v>
      </c>
      <c r="C8" s="8"/>
      <c r="D8" s="8"/>
    </row>
    <row r="9" spans="1:4" ht="5" customHeight="1"/>
    <row r="10" spans="1:4" ht="20" customHeight="1">
      <c r="B10" s="51" t="s">
        <v>212</v>
      </c>
      <c r="C10" s="51" t="s">
        <v>213</v>
      </c>
      <c r="D10" s="31" t="s">
        <v>214</v>
      </c>
    </row>
    <row r="11" spans="1:4" ht="17.2" customHeight="1">
      <c r="B11" s="59" t="s">
        <v>215</v>
      </c>
      <c r="C11" s="60" t="s">
        <v>216</v>
      </c>
      <c r="D11" s="61" t="s">
        <v>217</v>
      </c>
    </row>
    <row r="12" spans="1:4" ht="30.4" customHeight="1">
      <c r="B12" s="59" t="s">
        <v>218</v>
      </c>
      <c r="C12" s="60" t="s">
        <v>219</v>
      </c>
      <c r="D12" s="61" t="s">
        <v>220</v>
      </c>
    </row>
    <row r="13" spans="1:4" ht="17.2" customHeight="1">
      <c r="B13" s="59" t="s">
        <v>159</v>
      </c>
      <c r="C13" s="60" t="s">
        <v>221</v>
      </c>
      <c r="D13" s="61" t="s">
        <v>222</v>
      </c>
    </row>
    <row r="14" spans="1:4" ht="17.2" customHeight="1">
      <c r="B14" s="59" t="s">
        <v>180</v>
      </c>
      <c r="C14" s="60" t="s">
        <v>223</v>
      </c>
      <c r="D14" s="61" t="s">
        <v>222</v>
      </c>
    </row>
    <row r="15" spans="1:4" ht="30.4" customHeight="1">
      <c r="B15" s="59" t="s">
        <v>86</v>
      </c>
      <c r="C15" s="60" t="s">
        <v>224</v>
      </c>
      <c r="D15" s="61" t="s">
        <v>220</v>
      </c>
    </row>
    <row r="16" spans="1:4" ht="30.4" customHeight="1">
      <c r="B16" s="59" t="s">
        <v>87</v>
      </c>
      <c r="C16" s="60" t="s">
        <v>225</v>
      </c>
      <c r="D16" s="61" t="s">
        <v>226</v>
      </c>
    </row>
    <row r="17" spans="2:4" ht="17.2" customHeight="1">
      <c r="B17" s="59" t="s">
        <v>88</v>
      </c>
      <c r="C17" s="60" t="s">
        <v>227</v>
      </c>
      <c r="D17" s="61" t="s">
        <v>220</v>
      </c>
    </row>
    <row r="18" spans="2:4" ht="17.2" customHeight="1">
      <c r="B18" s="59" t="s">
        <v>89</v>
      </c>
      <c r="C18" s="60" t="s">
        <v>228</v>
      </c>
      <c r="D18" s="61" t="s">
        <v>96</v>
      </c>
    </row>
    <row r="19" spans="2:4" ht="17.2" customHeight="1">
      <c r="B19" s="59" t="s">
        <v>90</v>
      </c>
      <c r="C19" s="60" t="s">
        <v>229</v>
      </c>
      <c r="D19" s="61" t="s">
        <v>69</v>
      </c>
    </row>
    <row r="20" spans="2:4" ht="30.4" customHeight="1">
      <c r="B20" s="59" t="s">
        <v>91</v>
      </c>
      <c r="C20" s="60" t="s">
        <v>230</v>
      </c>
      <c r="D20" s="61" t="s">
        <v>231</v>
      </c>
    </row>
    <row r="21" spans="2:4" ht="30.4" customHeight="1">
      <c r="B21" s="59" t="s">
        <v>232</v>
      </c>
      <c r="C21" s="60" t="s">
        <v>233</v>
      </c>
      <c r="D21" s="61" t="s">
        <v>234</v>
      </c>
    </row>
    <row r="22" spans="2:4" ht="30.4" customHeight="1">
      <c r="B22" s="59" t="s">
        <v>235</v>
      </c>
      <c r="C22" s="60" t="s">
        <v>236</v>
      </c>
      <c r="D22" s="61" t="s">
        <v>231</v>
      </c>
    </row>
    <row r="23" spans="2:4" ht="30.4" customHeight="1">
      <c r="B23" s="59" t="s">
        <v>237</v>
      </c>
      <c r="C23" s="60" t="s">
        <v>238</v>
      </c>
      <c r="D23" s="61" t="s">
        <v>231</v>
      </c>
    </row>
    <row r="25" spans="2:4" ht="21" customHeight="1">
      <c r="B25" s="8" t="s">
        <v>239</v>
      </c>
      <c r="C25" s="8"/>
      <c r="D25" s="8"/>
    </row>
    <row r="26" spans="2:4" ht="5" customHeight="1"/>
    <row r="27" spans="2:4" ht="29.4" customHeight="1">
      <c r="B27" s="26" t="s">
        <v>55</v>
      </c>
      <c r="C27" s="10" t="s">
        <v>240</v>
      </c>
      <c r="D27" s="10"/>
    </row>
    <row r="28" spans="2:4" ht="29.4" customHeight="1">
      <c r="B28" s="26" t="s">
        <v>55</v>
      </c>
      <c r="C28" s="10" t="s">
        <v>241</v>
      </c>
      <c r="D28" s="10"/>
    </row>
    <row r="29" spans="2:4" ht="16.2" customHeight="1">
      <c r="B29" s="26" t="s">
        <v>55</v>
      </c>
      <c r="C29" s="10" t="s">
        <v>242</v>
      </c>
      <c r="D29" s="10"/>
    </row>
    <row r="30" spans="2:4" ht="16.2" customHeight="1">
      <c r="B30" s="26" t="s">
        <v>55</v>
      </c>
      <c r="C30" s="10" t="s">
        <v>243</v>
      </c>
      <c r="D30" s="10"/>
    </row>
    <row r="32" spans="2:4" ht="21" customHeight="1">
      <c r="B32" s="8" t="s">
        <v>244</v>
      </c>
      <c r="C32" s="8"/>
      <c r="D32" s="8"/>
    </row>
    <row r="33" spans="2:4" ht="5" customHeight="1"/>
    <row r="34" spans="2:4" ht="29.4" customHeight="1">
      <c r="B34" s="26" t="s">
        <v>55</v>
      </c>
      <c r="C34" s="10" t="s">
        <v>245</v>
      </c>
      <c r="D34" s="10"/>
    </row>
    <row r="35" spans="2:4" ht="29.4" customHeight="1">
      <c r="B35" s="26" t="s">
        <v>55</v>
      </c>
      <c r="C35" s="10" t="s">
        <v>246</v>
      </c>
      <c r="D35" s="10"/>
    </row>
    <row r="36" spans="2:4" ht="16.2" customHeight="1">
      <c r="B36" s="26" t="s">
        <v>55</v>
      </c>
      <c r="C36" s="10" t="s">
        <v>247</v>
      </c>
      <c r="D36" s="10"/>
    </row>
    <row r="37" spans="2:4" ht="29.4" customHeight="1">
      <c r="B37" s="26" t="s">
        <v>55</v>
      </c>
      <c r="C37" s="10" t="s">
        <v>248</v>
      </c>
      <c r="D37" s="10"/>
    </row>
    <row r="39" spans="2:4" ht="21" customHeight="1">
      <c r="B39" s="8" t="s">
        <v>249</v>
      </c>
      <c r="C39" s="8"/>
      <c r="D39" s="8"/>
    </row>
    <row r="40" spans="2:4" ht="5" customHeight="1"/>
    <row r="41" spans="2:4" ht="69" customHeight="1">
      <c r="B41" s="10" t="s">
        <v>250</v>
      </c>
      <c r="C41" s="10"/>
      <c r="D41" s="10"/>
    </row>
    <row r="42" spans="2:4">
      <c r="B42" s="24" t="s">
        <v>251</v>
      </c>
      <c r="C42" s="24"/>
      <c r="D42" s="24"/>
    </row>
    <row r="44" spans="2:4" ht="21" customHeight="1">
      <c r="B44" s="8" t="s">
        <v>42</v>
      </c>
      <c r="C44" s="8"/>
      <c r="D44" s="8"/>
    </row>
    <row r="45" spans="2:4" ht="5" customHeight="1"/>
    <row r="46" spans="2:4" ht="42.6" customHeight="1">
      <c r="B46" s="10" t="s">
        <v>252</v>
      </c>
      <c r="C46" s="10"/>
      <c r="D46" s="10"/>
    </row>
    <row r="48" spans="2:4" ht="21" customHeight="1">
      <c r="B48" s="8" t="s">
        <v>253</v>
      </c>
      <c r="C48" s="8"/>
      <c r="D48" s="8"/>
    </row>
    <row r="49" spans="2:4" ht="5" customHeight="1"/>
    <row r="50" spans="2:4" ht="29.4" customHeight="1">
      <c r="B50" s="26" t="s">
        <v>55</v>
      </c>
      <c r="C50" s="10" t="s">
        <v>254</v>
      </c>
      <c r="D50" s="10"/>
    </row>
    <row r="51" spans="2:4" ht="29.4" customHeight="1">
      <c r="B51" s="26" t="s">
        <v>55</v>
      </c>
      <c r="C51" s="10" t="s">
        <v>255</v>
      </c>
      <c r="D51" s="10"/>
    </row>
    <row r="52" spans="2:4" ht="29.4" customHeight="1">
      <c r="B52" s="26" t="s">
        <v>55</v>
      </c>
      <c r="C52" s="10" t="s">
        <v>256</v>
      </c>
      <c r="D52" s="10"/>
    </row>
    <row r="53" spans="2:4">
      <c r="B53" s="21" t="s">
        <v>257</v>
      </c>
      <c r="C53" s="21"/>
      <c r="D53" s="21"/>
    </row>
    <row r="55" spans="2:4" ht="21" customHeight="1">
      <c r="B55" s="8" t="s">
        <v>258</v>
      </c>
      <c r="C55" s="8"/>
      <c r="D55" s="8"/>
    </row>
    <row r="56" spans="2:4" ht="5" customHeight="1"/>
    <row r="57" spans="2:4">
      <c r="B57" s="51" t="s">
        <v>50</v>
      </c>
      <c r="C57" s="51" t="s">
        <v>259</v>
      </c>
      <c r="D57" s="31" t="s">
        <v>260</v>
      </c>
    </row>
    <row r="58" spans="2:4" ht="16.2" customHeight="1">
      <c r="B58" s="62" t="s">
        <v>261</v>
      </c>
      <c r="C58" s="63" t="s">
        <v>262</v>
      </c>
      <c r="D58" s="64" t="s">
        <v>263</v>
      </c>
    </row>
    <row r="60" spans="2:4">
      <c r="B60" s="21" t="s">
        <v>61</v>
      </c>
      <c r="C60" s="21"/>
      <c r="D60" s="21"/>
    </row>
  </sheetData>
  <sheetProtection sheet="1" formatColumns="0" formatRows="0"/>
  <mergeCells count="27">
    <mergeCell ref="A1:D1"/>
    <mergeCell ref="B2:C2"/>
    <mergeCell ref="B4:D4"/>
    <mergeCell ref="B6:D6"/>
    <mergeCell ref="B8:D8"/>
    <mergeCell ref="B25:D25"/>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B53:D53"/>
    <mergeCell ref="B55:D55"/>
    <mergeCell ref="B60:D60"/>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Inventory Carrying Cost&amp;R&amp;8&amp;A</oddHeader>
    <oddFooter>&amp;L&amp;8mfgcalcs.com - free manufacturing templates&amp;R&amp;8Page &amp;P of &amp;N</oddFooter>
  </headerFooter>
  <rowBreaks count="2" manualBreakCount="2">
    <brk id="24" max="16383" man="1"/>
    <brk id="54"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Q72"/>
  <sheetViews>
    <sheetView showGridLines="0" workbookViewId="0"/>
  </sheetViews>
  <sheetFormatPr defaultRowHeight="15"/>
  <cols>
    <col min="1" max="1" width="2.7109375" customWidth="1"/>
    <col min="2" max="19" width="12.7109375" customWidth="1"/>
  </cols>
  <sheetData>
    <row r="1" spans="1:17" ht="30" customHeight="1">
      <c r="A1" s="1" t="s">
        <v>0</v>
      </c>
      <c r="B1" s="1"/>
      <c r="C1" s="1"/>
      <c r="D1" s="1"/>
      <c r="E1" s="1"/>
      <c r="F1" s="1"/>
      <c r="G1" s="1"/>
      <c r="H1" s="1"/>
      <c r="I1" s="1"/>
      <c r="J1" s="1"/>
      <c r="K1" s="1"/>
      <c r="L1" s="1"/>
      <c r="M1" s="1"/>
      <c r="N1" s="1"/>
      <c r="O1" s="1"/>
      <c r="P1" s="1"/>
      <c r="Q1" s="1"/>
    </row>
    <row r="2" spans="1:17" ht="21" customHeight="1">
      <c r="B2" s="2" t="s">
        <v>28</v>
      </c>
      <c r="C2" s="2"/>
      <c r="D2" s="2"/>
      <c r="E2" s="2"/>
      <c r="F2" s="2"/>
      <c r="G2" s="2"/>
      <c r="H2" s="2"/>
      <c r="I2" s="2"/>
      <c r="J2" s="2"/>
      <c r="K2" s="2"/>
      <c r="L2" s="2"/>
      <c r="M2" s="2"/>
      <c r="N2" s="2"/>
      <c r="O2" s="2"/>
      <c r="P2" s="2"/>
      <c r="Q2" s="3" t="s">
        <v>2</v>
      </c>
    </row>
    <row r="3" spans="1:17" ht="6" customHeight="1"/>
    <row r="4" spans="1:17" ht="30" customHeight="1">
      <c r="B4" s="65" t="s">
        <v>264</v>
      </c>
      <c r="C4" s="65"/>
      <c r="D4" s="22" t="str">
        <f>IF(COUNTIF($K$11:$K$28,"PASS")=18,"PASS","FAIL")</f>
        <v>PASS</v>
      </c>
      <c r="E4" s="22"/>
      <c r="F4" s="23" t="str">
        <f>COUNTIF($K$11:$K$28,"PASS")&amp;" of 18 checks pass"</f>
        <v>18 of 18 checks pass</v>
      </c>
      <c r="G4" s="23"/>
      <c r="H4" s="23"/>
      <c r="I4" s="23"/>
      <c r="J4" s="23"/>
    </row>
    <row r="6" spans="1:17" ht="29.4" customHeight="1">
      <c r="B6" s="10" t="s">
        <v>265</v>
      </c>
      <c r="C6" s="10"/>
      <c r="D6" s="10"/>
      <c r="E6" s="10"/>
      <c r="F6" s="10"/>
      <c r="G6" s="10"/>
      <c r="H6" s="10"/>
      <c r="I6" s="10"/>
      <c r="J6" s="10"/>
      <c r="K6" s="10"/>
      <c r="L6" s="10"/>
    </row>
    <row r="8" spans="1:17" ht="21" customHeight="1">
      <c r="B8" s="8" t="s">
        <v>266</v>
      </c>
      <c r="C8" s="8"/>
      <c r="D8" s="8"/>
      <c r="E8" s="8"/>
      <c r="F8" s="8"/>
      <c r="G8" s="8"/>
      <c r="H8" s="8"/>
      <c r="I8" s="8"/>
      <c r="J8" s="8"/>
      <c r="K8" s="8"/>
      <c r="L8" s="8"/>
    </row>
    <row r="9" spans="1:17" ht="5" customHeight="1"/>
    <row r="10" spans="1:17" ht="30" customHeight="1">
      <c r="B10" s="31" t="s">
        <v>267</v>
      </c>
      <c r="C10" s="51" t="s">
        <v>93</v>
      </c>
      <c r="D10" s="51"/>
      <c r="E10" s="51"/>
      <c r="F10" s="51"/>
      <c r="G10" s="31" t="s">
        <v>268</v>
      </c>
      <c r="H10" s="31" t="s">
        <v>269</v>
      </c>
      <c r="I10" s="31" t="s">
        <v>270</v>
      </c>
      <c r="J10" s="31" t="s">
        <v>271</v>
      </c>
      <c r="K10" s="31" t="s">
        <v>272</v>
      </c>
    </row>
    <row r="11" spans="1:17" ht="16.2" customHeight="1">
      <c r="B11" s="66">
        <v>1</v>
      </c>
      <c r="C11" s="63" t="s">
        <v>180</v>
      </c>
      <c r="D11" s="63"/>
      <c r="E11" s="63"/>
      <c r="F11" s="63"/>
      <c r="G11" s="67">
        <v>0.2524390243902439</v>
      </c>
      <c r="H11" s="41">
        <f>$E$58</f>
        <v>0.252439024390244</v>
      </c>
      <c r="I11" s="68">
        <f>IF(AND(ISNUMBER($G$11),ISNUMBER($H$11)),ABS($H$11-$G$11),"")</f>
        <v>0</v>
      </c>
      <c r="J11" s="69">
        <v>1E-09</v>
      </c>
      <c r="K11" s="38" t="str">
        <f>IF(AND(ISNUMBER($G$11),ISNUMBER($H$11)),IF(ABS($H$11-$G$11)&lt;=$J$11,"PASS","FAIL"),"FAIL")</f>
        <v>PASS</v>
      </c>
    </row>
    <row r="12" spans="1:17" ht="16.2" customHeight="1">
      <c r="B12" s="66">
        <v>2</v>
      </c>
      <c r="C12" s="63" t="s">
        <v>273</v>
      </c>
      <c r="D12" s="63"/>
      <c r="E12" s="63"/>
      <c r="F12" s="63"/>
      <c r="G12" s="70">
        <v>25625</v>
      </c>
      <c r="H12" s="71">
        <f>$F$51</f>
        <v>25625</v>
      </c>
      <c r="I12" s="68">
        <f>IF(AND(ISNUMBER($G$12),ISNUMBER($H$12)),ABS($H$12-$G$12),"")</f>
        <v>0</v>
      </c>
      <c r="J12" s="69">
        <v>1E-09</v>
      </c>
      <c r="K12" s="38" t="str">
        <f>IF(AND(ISNUMBER($G$12),ISNUMBER($H$12)),IF(ABS($H$12-$G$12)&lt;=$J$12,"PASS","FAIL"),"FAIL")</f>
        <v>PASS</v>
      </c>
    </row>
    <row r="13" spans="1:17" ht="16.2" customHeight="1">
      <c r="B13" s="66">
        <v>3</v>
      </c>
      <c r="C13" s="63" t="s">
        <v>274</v>
      </c>
      <c r="D13" s="63"/>
      <c r="E13" s="63"/>
      <c r="F13" s="63"/>
      <c r="G13" s="67">
        <v>0.002439024390243902</v>
      </c>
      <c r="H13" s="41">
        <f>$G$52</f>
        <v>0.0024390243902439</v>
      </c>
      <c r="I13" s="68">
        <f>IF(AND(ISNUMBER($G$13),ISNUMBER($H$13)),ABS($H$13-$G$13),"")</f>
        <v>0</v>
      </c>
      <c r="J13" s="69">
        <v>1E-09</v>
      </c>
      <c r="K13" s="38" t="str">
        <f>IF(AND(ISNUMBER($G$13),ISNUMBER($H$13)),IF(ABS($H$13-$G$13)&lt;=$J$13,"PASS","FAIL"),"FAIL")</f>
        <v>PASS</v>
      </c>
    </row>
    <row r="14" spans="1:17" ht="16.2" customHeight="1">
      <c r="B14" s="66">
        <v>4</v>
      </c>
      <c r="C14" s="63" t="s">
        <v>275</v>
      </c>
      <c r="D14" s="63"/>
      <c r="E14" s="63"/>
      <c r="F14" s="63"/>
      <c r="G14" s="62" t="s">
        <v>276</v>
      </c>
      <c r="H14" s="53" t="str">
        <f>$H$53</f>
        <v>Missing amount</v>
      </c>
      <c r="I14" s="53"/>
      <c r="J14" s="64" t="s">
        <v>277</v>
      </c>
      <c r="K14" s="38" t="str">
        <f>IF($H$14&amp;""=$G$14&amp;"","PASS","FAIL")</f>
        <v>PASS</v>
      </c>
    </row>
    <row r="15" spans="1:17" ht="16.2" customHeight="1">
      <c r="B15" s="66">
        <v>5</v>
      </c>
      <c r="C15" s="63" t="s">
        <v>278</v>
      </c>
      <c r="D15" s="63"/>
      <c r="E15" s="63"/>
      <c r="F15" s="63"/>
      <c r="G15" s="70">
        <v>90000</v>
      </c>
      <c r="H15" s="71">
        <f>$H$44</f>
        <v>90000</v>
      </c>
      <c r="I15" s="68">
        <f>IF(AND(ISNUMBER($G$15),ISNUMBER($H$15)),ABS($H$15-$G$15),"")</f>
        <v>0</v>
      </c>
      <c r="J15" s="69">
        <v>1E-09</v>
      </c>
      <c r="K15" s="38" t="str">
        <f>IF(AND(ISNUMBER($G$15),ISNUMBER($H$15)),IF(ABS($H$15-$G$15)&lt;=$J$15,"PASS","FAIL"),"FAIL")</f>
        <v>PASS</v>
      </c>
    </row>
    <row r="16" spans="1:17" ht="16.2" customHeight="1">
      <c r="B16" s="66">
        <v>6</v>
      </c>
      <c r="C16" s="63" t="s">
        <v>279</v>
      </c>
      <c r="D16" s="63"/>
      <c r="E16" s="63"/>
      <c r="F16" s="63"/>
      <c r="G16" s="70">
        <v>22719.51219512195</v>
      </c>
      <c r="H16" s="71">
        <f>$I$44</f>
        <v>22719.512195122</v>
      </c>
      <c r="I16" s="68">
        <f>IF(AND(ISNUMBER($G$16),ISNUMBER($H$16)),ABS($H$16-$G$16),"")</f>
        <v>0</v>
      </c>
      <c r="J16" s="69">
        <v>1E-09</v>
      </c>
      <c r="K16" s="38" t="str">
        <f>IF(AND(ISNUMBER($G$16),ISNUMBER($H$16)),IF(ABS($H$16-$G$16)&lt;=$J$16,"PASS","FAIL"),"FAIL")</f>
        <v>PASS</v>
      </c>
    </row>
    <row r="17" spans="2:12" ht="16.2" customHeight="1">
      <c r="B17" s="66">
        <v>7</v>
      </c>
      <c r="C17" s="63" t="s">
        <v>280</v>
      </c>
      <c r="D17" s="63"/>
      <c r="E17" s="63"/>
      <c r="F17" s="63"/>
      <c r="G17" s="72">
        <v>11.35975609756098</v>
      </c>
      <c r="H17" s="36">
        <f>$J$44</f>
        <v>11.359756097561</v>
      </c>
      <c r="I17" s="68">
        <f>IF(AND(ISNUMBER($G$17),ISNUMBER($H$17)),ABS($H$17-$G$17),"")</f>
        <v>0</v>
      </c>
      <c r="J17" s="69">
        <v>1E-09</v>
      </c>
      <c r="K17" s="38" t="str">
        <f>IF(AND(ISNUMBER($G$17),ISNUMBER($H$17)),IF(ABS($H$17-$G$17)&lt;=$J$17,"PASS","FAIL"),"FAIL")</f>
        <v>PASS</v>
      </c>
    </row>
    <row r="18" spans="2:12" ht="16.2" customHeight="1">
      <c r="B18" s="66">
        <v>8</v>
      </c>
      <c r="C18" s="63" t="s">
        <v>281</v>
      </c>
      <c r="D18" s="63"/>
      <c r="E18" s="63"/>
      <c r="F18" s="63"/>
      <c r="G18" s="70">
        <v>6</v>
      </c>
      <c r="H18" s="71">
        <f>$L$44</f>
        <v>6</v>
      </c>
      <c r="I18" s="68">
        <f>IF(AND(ISNUMBER($G$18),ISNUMBER($H$18)),ABS($H$18-$G$18),"")</f>
        <v>0</v>
      </c>
      <c r="J18" s="69">
        <v>1E-09</v>
      </c>
      <c r="K18" s="38" t="str">
        <f>IF(AND(ISNUMBER($G$18),ISNUMBER($H$18)),IF(ABS($H$18-$G$18)&lt;=$J$18,"PASS","FAIL"),"FAIL")</f>
        <v>PASS</v>
      </c>
    </row>
    <row r="19" spans="2:12" ht="16.2" customHeight="1">
      <c r="B19" s="66">
        <v>9</v>
      </c>
      <c r="C19" s="63" t="s">
        <v>282</v>
      </c>
      <c r="D19" s="63"/>
      <c r="E19" s="63"/>
      <c r="F19" s="63"/>
      <c r="G19" s="70">
        <v>60.83333333333333</v>
      </c>
      <c r="H19" s="71">
        <f>$M$44</f>
        <v>60.8333333333333</v>
      </c>
      <c r="I19" s="68">
        <f>IF(AND(ISNUMBER($G$19),ISNUMBER($H$19)),ABS($H$19-$G$19),"")</f>
        <v>0</v>
      </c>
      <c r="J19" s="69">
        <v>1E-09</v>
      </c>
      <c r="K19" s="38" t="str">
        <f>IF(AND(ISNUMBER($G$19),ISNUMBER($H$19)),IF(ABS($H$19-$G$19)&lt;=$J$19,"PASS","FAIL"),"FAIL")</f>
        <v>PASS</v>
      </c>
    </row>
    <row r="20" spans="2:12" ht="16.2" customHeight="1">
      <c r="B20" s="66">
        <v>10</v>
      </c>
      <c r="C20" s="63" t="s">
        <v>283</v>
      </c>
      <c r="D20" s="63"/>
      <c r="E20" s="63"/>
      <c r="F20" s="63"/>
      <c r="G20" s="62" t="s">
        <v>284</v>
      </c>
      <c r="H20" s="53" t="str">
        <f>$N$44</f>
        <v>Near target</v>
      </c>
      <c r="I20" s="53"/>
      <c r="J20" s="64" t="s">
        <v>277</v>
      </c>
      <c r="K20" s="38" t="str">
        <f>IF($H$20&amp;""=$G$20&amp;"","PASS","FAIL")</f>
        <v>PASS</v>
      </c>
    </row>
    <row r="21" spans="2:12" ht="16.2" customHeight="1">
      <c r="B21" s="66">
        <v>11</v>
      </c>
      <c r="C21" s="63" t="s">
        <v>285</v>
      </c>
      <c r="D21" s="63"/>
      <c r="E21" s="63"/>
      <c r="F21" s="63"/>
      <c r="G21" s="62" t="s">
        <v>99</v>
      </c>
      <c r="H21" s="53">
        <f>$M$45</f>
        <v/>
      </c>
      <c r="I21" s="53"/>
      <c r="J21" s="64" t="s">
        <v>277</v>
      </c>
      <c r="K21" s="38" t="str">
        <f>IF($H$21&amp;""=$G$21&amp;"","PASS","FAIL")</f>
        <v>PASS</v>
      </c>
    </row>
    <row r="22" spans="2:12" ht="16.2" customHeight="1">
      <c r="B22" s="66">
        <v>12</v>
      </c>
      <c r="C22" s="63" t="s">
        <v>286</v>
      </c>
      <c r="D22" s="63"/>
      <c r="E22" s="63"/>
      <c r="F22" s="63"/>
      <c r="G22" s="62" t="s">
        <v>203</v>
      </c>
      <c r="H22" s="53" t="str">
        <f>$N$45</f>
        <v>Above target</v>
      </c>
      <c r="I22" s="53"/>
      <c r="J22" s="64" t="s">
        <v>277</v>
      </c>
      <c r="K22" s="38" t="str">
        <f>IF($H$22&amp;""=$G$22&amp;"","PASS","FAIL")</f>
        <v>PASS</v>
      </c>
    </row>
    <row r="23" spans="2:12" ht="16.2" customHeight="1">
      <c r="B23" s="66">
        <v>13</v>
      </c>
      <c r="C23" s="63" t="s">
        <v>287</v>
      </c>
      <c r="D23" s="63"/>
      <c r="E23" s="63"/>
      <c r="F23" s="63"/>
      <c r="G23" s="62" t="s">
        <v>288</v>
      </c>
      <c r="H23" s="53" t="str">
        <f>$P$46</f>
        <v>Category not on Setup list</v>
      </c>
      <c r="I23" s="53"/>
      <c r="J23" s="64" t="s">
        <v>277</v>
      </c>
      <c r="K23" s="38" t="str">
        <f>IF($H$23&amp;""=$G$23&amp;"","PASS","FAIL")</f>
        <v>PASS</v>
      </c>
    </row>
    <row r="24" spans="2:12" ht="16.2" customHeight="1">
      <c r="B24" s="66">
        <v>14</v>
      </c>
      <c r="C24" s="63" t="s">
        <v>289</v>
      </c>
      <c r="D24" s="63"/>
      <c r="E24" s="63"/>
      <c r="F24" s="63"/>
      <c r="G24" s="73">
        <v>2</v>
      </c>
      <c r="H24" s="35">
        <f>$O$45</f>
        <v>2</v>
      </c>
      <c r="I24" s="68">
        <f>IF(AND(ISNUMBER($G$24),ISNUMBER($H$24)),ABS($H$24-$G$24),"")</f>
        <v>0</v>
      </c>
      <c r="J24" s="69">
        <v>1E-09</v>
      </c>
      <c r="K24" s="38" t="str">
        <f>IF(AND(ISNUMBER($G$24),ISNUMBER($H$24)),IF(ABS($H$24-$G$24)&lt;=$J$24,"PASS","FAIL"),"FAIL")</f>
        <v>PASS</v>
      </c>
    </row>
    <row r="25" spans="2:12" ht="16.2" customHeight="1">
      <c r="B25" s="66">
        <v>15</v>
      </c>
      <c r="C25" s="63" t="s">
        <v>290</v>
      </c>
      <c r="D25" s="63"/>
      <c r="E25" s="63"/>
      <c r="F25" s="63"/>
      <c r="G25" s="70">
        <v>25875</v>
      </c>
      <c r="H25" s="71">
        <f>SUM(tblVerifyRegister[Annual carrying cost])</f>
        <v>25875</v>
      </c>
      <c r="I25" s="68">
        <f>IF(AND(ISNUMBER($G$25),ISNUMBER($H$25)),ABS($H$25-$G$25),"")</f>
        <v>0</v>
      </c>
      <c r="J25" s="69">
        <v>1E-09</v>
      </c>
      <c r="K25" s="38" t="str">
        <f>IF(AND(ISNUMBER($G$25),ISNUMBER($H$25)),IF(ABS($H$25-$G$25)&lt;=$J$25,"PASS","FAIL"),"FAIL")</f>
        <v>PASS</v>
      </c>
    </row>
    <row r="26" spans="2:12" ht="16.2" customHeight="1">
      <c r="B26" s="66">
        <v>16</v>
      </c>
      <c r="C26" s="63" t="s">
        <v>291</v>
      </c>
      <c r="D26" s="63"/>
      <c r="E26" s="63"/>
      <c r="F26" s="63"/>
      <c r="G26" s="67">
        <v>0.1170731707317073</v>
      </c>
      <c r="H26" s="41">
        <f>IF((SUM(tblVerifyRegister[Annual carrying cost]))=0,"",(SUMIFS(tblVerifyRegister[Annual carrying cost],tblVerifyRegister[Days of supply status],"Above target"))/(SUM(tblVerifyRegister[Annual carrying cost])))</f>
        <v>0.117073170731707</v>
      </c>
      <c r="I26" s="68">
        <f>IF(AND(ISNUMBER($G$26),ISNUMBER($H$26)),ABS($H$26-$G$26),"")</f>
        <v>0</v>
      </c>
      <c r="J26" s="69">
        <v>1E-09</v>
      </c>
      <c r="K26" s="38" t="str">
        <f>IF(AND(ISNUMBER($G$26),ISNUMBER($H$26)),IF(ABS($H$26-$G$26)&lt;=$J$26,"PASS","FAIL"),"FAIL")</f>
        <v>PASS</v>
      </c>
    </row>
    <row r="27" spans="2:12" ht="16.2" customHeight="1">
      <c r="B27" s="66">
        <v>17</v>
      </c>
      <c r="C27" s="63" t="s">
        <v>292</v>
      </c>
      <c r="D27" s="63"/>
      <c r="E27" s="63"/>
      <c r="F27" s="63"/>
      <c r="G27" s="62" t="s">
        <v>293</v>
      </c>
      <c r="H27" s="53" t="str">
        <f>$C$63</f>
        <v>T-A</v>
      </c>
      <c r="I27" s="53"/>
      <c r="J27" s="64" t="s">
        <v>277</v>
      </c>
      <c r="K27" s="38" t="str">
        <f>IF($H$27&amp;""=$G$27&amp;"","PASS","FAIL")</f>
        <v>PASS</v>
      </c>
    </row>
    <row r="28" spans="2:12" ht="16.2" customHeight="1">
      <c r="B28" s="66">
        <v>18</v>
      </c>
      <c r="C28" s="63" t="s">
        <v>294</v>
      </c>
      <c r="D28" s="63"/>
      <c r="E28" s="63"/>
      <c r="F28" s="63"/>
      <c r="G28" s="70">
        <v>3029.268292682927</v>
      </c>
      <c r="H28" s="71">
        <f>$I$64</f>
        <v>3029.26829268293</v>
      </c>
      <c r="I28" s="68">
        <f>IF(AND(ISNUMBER($G$28),ISNUMBER($H$28)),ABS($H$28-$G$28),"")</f>
        <v>0</v>
      </c>
      <c r="J28" s="69">
        <v>1E-09</v>
      </c>
      <c r="K28" s="38" t="str">
        <f>IF(AND(ISNUMBER($G$28),ISNUMBER($H$28)),IF(ABS($H$28-$G$28)&lt;=$J$28,"PASS","FAIL"),"FAIL")</f>
        <v>PASS</v>
      </c>
    </row>
    <row r="30" spans="2:12" ht="21" customHeight="1">
      <c r="B30" s="8" t="s">
        <v>295</v>
      </c>
      <c r="C30" s="8"/>
      <c r="D30" s="8"/>
      <c r="E30" s="8"/>
      <c r="F30" s="8"/>
      <c r="G30" s="8"/>
      <c r="H30" s="8"/>
      <c r="I30" s="8"/>
      <c r="J30" s="8"/>
      <c r="K30" s="8"/>
      <c r="L30" s="8"/>
    </row>
    <row r="31" spans="2:12" ht="5" customHeight="1"/>
    <row r="32" spans="2:12">
      <c r="B32" s="21" t="s">
        <v>296</v>
      </c>
      <c r="C32" s="21"/>
      <c r="D32" s="21"/>
      <c r="E32" s="21"/>
      <c r="F32" s="21"/>
      <c r="G32" s="21"/>
      <c r="H32" s="21"/>
      <c r="I32" s="21"/>
      <c r="J32" s="21"/>
      <c r="K32" s="21"/>
      <c r="L32" s="21"/>
    </row>
    <row r="33" spans="2:17">
      <c r="B33" s="30" t="s">
        <v>297</v>
      </c>
      <c r="C33" s="30"/>
      <c r="D33" s="30"/>
      <c r="E33" s="30"/>
      <c r="F33" s="30"/>
    </row>
    <row r="34" spans="2:17">
      <c r="B34" s="27" t="s">
        <v>68</v>
      </c>
      <c r="C34" s="27"/>
      <c r="D34" s="27"/>
      <c r="E34" s="73">
        <v>60</v>
      </c>
      <c r="F34" s="7"/>
    </row>
    <row r="36" spans="2:17">
      <c r="B36" s="30" t="s">
        <v>298</v>
      </c>
      <c r="C36" s="30"/>
      <c r="D36" s="30"/>
      <c r="E36" s="30"/>
      <c r="F36" s="30"/>
      <c r="G36" s="30"/>
      <c r="H36" s="30"/>
      <c r="I36" s="30"/>
      <c r="J36" s="30"/>
      <c r="K36" s="30"/>
      <c r="L36" s="30"/>
    </row>
    <row r="37" spans="2:17" ht="20" customHeight="1">
      <c r="B37" s="31" t="s">
        <v>62</v>
      </c>
    </row>
    <row r="38" spans="2:17">
      <c r="B38" s="62" t="s">
        <v>75</v>
      </c>
    </row>
    <row r="39" spans="2:17">
      <c r="B39" s="62" t="s">
        <v>77</v>
      </c>
    </row>
    <row r="41" spans="2:17">
      <c r="B41" s="30" t="s">
        <v>299</v>
      </c>
      <c r="C41" s="30"/>
      <c r="D41" s="30"/>
      <c r="E41" s="30"/>
      <c r="F41" s="30"/>
      <c r="G41" s="30"/>
      <c r="H41" s="30"/>
      <c r="I41" s="30"/>
      <c r="J41" s="30"/>
      <c r="K41" s="30"/>
      <c r="L41" s="30"/>
    </row>
    <row r="42" spans="2:17" ht="14" customHeight="1">
      <c r="B42" s="33"/>
      <c r="C42" s="33"/>
      <c r="D42" s="33"/>
      <c r="E42" s="33"/>
      <c r="F42" s="33" t="str">
        <f>Currency</f>
        <v>EUR</v>
      </c>
      <c r="G42" s="33"/>
      <c r="H42" s="33" t="str">
        <f>Currency</f>
        <v>EUR</v>
      </c>
      <c r="I42" s="33" t="str">
        <f>Currency&amp;"/year"</f>
        <v>EUR/year</v>
      </c>
      <c r="J42" s="33" t="str">
        <f>Currency&amp;"/unit/year"</f>
        <v>EUR/unit/year</v>
      </c>
      <c r="K42" s="33" t="str">
        <f>Currency&amp;"/year"</f>
        <v>EUR/year</v>
      </c>
      <c r="L42" s="33" t="s">
        <v>96</v>
      </c>
      <c r="M42" s="33" t="s">
        <v>69</v>
      </c>
      <c r="N42" s="33"/>
      <c r="O42" s="33"/>
      <c r="P42" s="33"/>
      <c r="Q42" s="33"/>
    </row>
    <row r="43" spans="2:17" ht="32" customHeight="1">
      <c r="B43" s="31" t="s">
        <v>80</v>
      </c>
      <c r="C43" s="31" t="s">
        <v>81</v>
      </c>
      <c r="D43" s="31" t="s">
        <v>62</v>
      </c>
      <c r="E43" s="31" t="s">
        <v>82</v>
      </c>
      <c r="F43" s="31" t="s">
        <v>83</v>
      </c>
      <c r="G43" s="31" t="s">
        <v>84</v>
      </c>
      <c r="H43" s="31" t="s">
        <v>85</v>
      </c>
      <c r="I43" s="31" t="s">
        <v>86</v>
      </c>
      <c r="J43" s="31" t="s">
        <v>87</v>
      </c>
      <c r="K43" s="31" t="s">
        <v>88</v>
      </c>
      <c r="L43" s="31" t="s">
        <v>89</v>
      </c>
      <c r="M43" s="31" t="s">
        <v>90</v>
      </c>
      <c r="N43" s="31" t="s">
        <v>91</v>
      </c>
      <c r="O43" s="31" t="s">
        <v>92</v>
      </c>
      <c r="P43" s="31" t="s">
        <v>93</v>
      </c>
      <c r="Q43" s="31" t="s">
        <v>94</v>
      </c>
    </row>
    <row r="44" spans="2:17">
      <c r="B44" s="62" t="s">
        <v>293</v>
      </c>
      <c r="C44" s="62" t="s">
        <v>300</v>
      </c>
      <c r="D44" s="62" t="s">
        <v>75</v>
      </c>
      <c r="E44" s="73">
        <v>2000</v>
      </c>
      <c r="F44" s="70">
        <v>45</v>
      </c>
      <c r="G44" s="73">
        <v>12000</v>
      </c>
      <c r="H44" s="35">
        <f>IF(tblVerifyRegister[[#This Row],[Item]]="","",tblVerifyRegister[[#This Row],[Avg units on hand]]*tblVerifyRegister[[#This Row],[Unit cost]])</f>
        <v>90000</v>
      </c>
      <c r="I44" s="35">
        <f>IF(tblVerifyRegister[[#This Row],[Item]]="","",tblVerifyRegister[[#This Row],[Avg inventory value]]*$E$58)</f>
        <v>22719.512195122</v>
      </c>
      <c r="J44" s="36">
        <f>IF(tblVerifyRegister[[#This Row],[Item]]="","",tblVerifyRegister[[#This Row],[Unit cost]]*$E$58)</f>
        <v>11.359756097561</v>
      </c>
      <c r="K44" s="35">
        <f>IF(tblVerifyRegister[[#This Row],[Item]]="","",tblVerifyRegister[[#This Row],[Annual usage]]*tblVerifyRegister[[#This Row],[Unit cost]])</f>
        <v>540000</v>
      </c>
      <c r="L44" s="37">
        <f>IF(tblVerifyRegister[[#This Row],[Item]]="","",IF(tblVerifyRegister[[#This Row],[Avg units on hand]]&gt;0,tblVerifyRegister[[#This Row],[Annual usage]]/tblVerifyRegister[[#This Row],[Avg units on hand]],""))</f>
        <v>6</v>
      </c>
      <c r="M44" s="35">
        <f>IF(tblVerifyRegister[[#This Row],[Item]]="","",IF(tblVerifyRegister[[#This Row],[Annual usage]]&gt;0,tblVerifyRegister[[#This Row],[Avg units on hand]]/tblVerifyRegister[[#This Row],[Annual usage]]*365,""))</f>
        <v>60.8333333333333</v>
      </c>
      <c r="N44" s="38" t="str">
        <f>IF(tblVerifyRegister[[#This Row],[Item]]="","",IF(tblVerifyRegister[[#This Row],[Avg units on hand]]=0,"",IF(tblVerifyRegister[[#This Row],[Annual usage]]=0,"Above target",IF(tblVerifyRegister[[#This Row],[Days of supply]]&lt;=$E$34,"On target",IF(tblVerifyRegister[[#This Row],[Days of supply]]&lt;=$E$34*1.05,"Near target","Above target")))))</f>
        <v>Near target</v>
      </c>
      <c r="O44" s="35">
        <f>IF(tblVerifyRegister[[#This Row],[Item]]="","",COUNTIF(tblVerifyRegister[Annual carrying cost],"&gt;"&amp;tblVerifyRegister[[#This Row],[Annual carrying cost]])+SUMPRODUCT((tblVerifyRegister[Annual carrying cost]=tblVerifyRegister[[#This Row],[Annual carrying cost]])*(ROW(tblVerifyRegister[Annual carrying cost])&lt;ROW(tblVerifyRegister[[#This Row],[Annual carrying cost]])))+1)</f>
        <v>1</v>
      </c>
      <c r="P44" s="39" t="str">
        <f>IF(tblVerifyRegister[[#This Row],[Item]]="","",IF(tblVerifyRegister[[#This Row],[Category]]="","Missing category",IF(tblVerifyRegister[[#This Row],[Avg units on hand]]="","Missing avg units on hand",IF(tblVerifyRegister[[#This Row],[Unit cost]]="","Missing unit cost",IF(tblVerifyRegister[[#This Row],[Annual usage]]="","Missing annual usage",IF(COUNTIF(tblVerifyCategories[Category],tblVerifyRegister[[#This Row],[Category]])=0,"Category not on Setup list",IF(COUNTIF(tblVerifyRegister[Item],tblVerifyRegister[[#This Row],[Item]])&gt;1,"Item listed twice",IF(tblVerifyRegister[[#This Row],[Unit cost]]=0,"Unit cost is 0","OK"))))))))</f>
        <v>OK</v>
      </c>
      <c r="Q44" s="62" t="s">
        <v>99</v>
      </c>
    </row>
    <row r="45" spans="2:17">
      <c r="B45" s="62" t="s">
        <v>301</v>
      </c>
      <c r="C45" s="62" t="s">
        <v>302</v>
      </c>
      <c r="D45" s="62" t="s">
        <v>77</v>
      </c>
      <c r="E45" s="73">
        <v>400</v>
      </c>
      <c r="F45" s="70">
        <v>30</v>
      </c>
      <c r="G45" s="73">
        <v>0</v>
      </c>
      <c r="H45" s="35">
        <f>IF(tblVerifyRegister[[#This Row],[Item]]="","",tblVerifyRegister[[#This Row],[Avg units on hand]]*tblVerifyRegister[[#This Row],[Unit cost]])</f>
        <v>12000</v>
      </c>
      <c r="I45" s="35">
        <f>IF(tblVerifyRegister[[#This Row],[Item]]="","",tblVerifyRegister[[#This Row],[Avg inventory value]]*$E$58)</f>
        <v>3029.26829268293</v>
      </c>
      <c r="J45" s="36">
        <f>IF(tblVerifyRegister[[#This Row],[Item]]="","",tblVerifyRegister[[#This Row],[Unit cost]]*$E$58)</f>
        <v>7.57317073170732</v>
      </c>
      <c r="K45" s="35">
        <f>IF(tblVerifyRegister[[#This Row],[Item]]="","",tblVerifyRegister[[#This Row],[Annual usage]]*tblVerifyRegister[[#This Row],[Unit cost]])</f>
        <v>0</v>
      </c>
      <c r="L45" s="37">
        <f>IF(tblVerifyRegister[[#This Row],[Item]]="","",IF(tblVerifyRegister[[#This Row],[Avg units on hand]]&gt;0,tblVerifyRegister[[#This Row],[Annual usage]]/tblVerifyRegister[[#This Row],[Avg units on hand]],""))</f>
        <v>0</v>
      </c>
      <c r="M45" s="35">
        <f>IF(tblVerifyRegister[[#This Row],[Item]]="","",IF(tblVerifyRegister[[#This Row],[Annual usage]]&gt;0,tblVerifyRegister[[#This Row],[Avg units on hand]]/tblVerifyRegister[[#This Row],[Annual usage]]*365,""))</f>
        <v/>
      </c>
      <c r="N45" s="38" t="str">
        <f>IF(tblVerifyRegister[[#This Row],[Item]]="","",IF(tblVerifyRegister[[#This Row],[Avg units on hand]]=0,"",IF(tblVerifyRegister[[#This Row],[Annual usage]]=0,"Above target",IF(tblVerifyRegister[[#This Row],[Days of supply]]&lt;=$E$34,"On target",IF(tblVerifyRegister[[#This Row],[Days of supply]]&lt;=$E$34*1.05,"Near target","Above target")))))</f>
        <v>Above target</v>
      </c>
      <c r="O45" s="35">
        <f>IF(tblVerifyRegister[[#This Row],[Item]]="","",COUNTIF(tblVerifyRegister[Annual carrying cost],"&gt;"&amp;tblVerifyRegister[[#This Row],[Annual carrying cost]])+SUMPRODUCT((tblVerifyRegister[Annual carrying cost]=tblVerifyRegister[[#This Row],[Annual carrying cost]])*(ROW(tblVerifyRegister[Annual carrying cost])&lt;ROW(tblVerifyRegister[[#This Row],[Annual carrying cost]])))+1)</f>
        <v>2</v>
      </c>
      <c r="P45" s="39" t="str">
        <f>IF(tblVerifyRegister[[#This Row],[Item]]="","",IF(tblVerifyRegister[[#This Row],[Category]]="","Missing category",IF(tblVerifyRegister[[#This Row],[Avg units on hand]]="","Missing avg units on hand",IF(tblVerifyRegister[[#This Row],[Unit cost]]="","Missing unit cost",IF(tblVerifyRegister[[#This Row],[Annual usage]]="","Missing annual usage",IF(COUNTIF(tblVerifyCategories[Category],tblVerifyRegister[[#This Row],[Category]])=0,"Category not on Setup list",IF(COUNTIF(tblVerifyRegister[Item],tblVerifyRegister[[#This Row],[Item]])&gt;1,"Item listed twice",IF(tblVerifyRegister[[#This Row],[Unit cost]]=0,"Unit cost is 0","OK"))))))))</f>
        <v>OK</v>
      </c>
      <c r="Q45" s="62" t="s">
        <v>99</v>
      </c>
    </row>
    <row r="46" spans="2:17">
      <c r="B46" s="62" t="s">
        <v>303</v>
      </c>
      <c r="C46" s="62" t="s">
        <v>304</v>
      </c>
      <c r="D46" s="62" t="s">
        <v>305</v>
      </c>
      <c r="E46" s="73">
        <v>100</v>
      </c>
      <c r="F46" s="70">
        <v>5</v>
      </c>
      <c r="G46" s="73">
        <v>1000</v>
      </c>
      <c r="H46" s="35">
        <f>IF(tblVerifyRegister[[#This Row],[Item]]="","",tblVerifyRegister[[#This Row],[Avg units on hand]]*tblVerifyRegister[[#This Row],[Unit cost]])</f>
        <v>500</v>
      </c>
      <c r="I46" s="35">
        <f>IF(tblVerifyRegister[[#This Row],[Item]]="","",tblVerifyRegister[[#This Row],[Avg inventory value]]*$E$58)</f>
        <v>126.219512195122</v>
      </c>
      <c r="J46" s="36">
        <f>IF(tblVerifyRegister[[#This Row],[Item]]="","",tblVerifyRegister[[#This Row],[Unit cost]]*$E$58)</f>
        <v>1.26219512195122</v>
      </c>
      <c r="K46" s="35">
        <f>IF(tblVerifyRegister[[#This Row],[Item]]="","",tblVerifyRegister[[#This Row],[Annual usage]]*tblVerifyRegister[[#This Row],[Unit cost]])</f>
        <v>5000</v>
      </c>
      <c r="L46" s="37">
        <f>IF(tblVerifyRegister[[#This Row],[Item]]="","",IF(tblVerifyRegister[[#This Row],[Avg units on hand]]&gt;0,tblVerifyRegister[[#This Row],[Annual usage]]/tblVerifyRegister[[#This Row],[Avg units on hand]],""))</f>
        <v>10</v>
      </c>
      <c r="M46" s="35">
        <f>IF(tblVerifyRegister[[#This Row],[Item]]="","",IF(tblVerifyRegister[[#This Row],[Annual usage]]&gt;0,tblVerifyRegister[[#This Row],[Avg units on hand]]/tblVerifyRegister[[#This Row],[Annual usage]]*365,""))</f>
        <v>36.5</v>
      </c>
      <c r="N46" s="38" t="str">
        <f>IF(tblVerifyRegister[[#This Row],[Item]]="","",IF(tblVerifyRegister[[#This Row],[Avg units on hand]]=0,"",IF(tblVerifyRegister[[#This Row],[Annual usage]]=0,"Above target",IF(tblVerifyRegister[[#This Row],[Days of supply]]&lt;=$E$34,"On target",IF(tblVerifyRegister[[#This Row],[Days of supply]]&lt;=$E$34*1.05,"Near target","Above target")))))</f>
        <v>On target</v>
      </c>
      <c r="O46" s="35">
        <f>IF(tblVerifyRegister[[#This Row],[Item]]="","",COUNTIF(tblVerifyRegister[Annual carrying cost],"&gt;"&amp;tblVerifyRegister[[#This Row],[Annual carrying cost]])+SUMPRODUCT((tblVerifyRegister[Annual carrying cost]=tblVerifyRegister[[#This Row],[Annual carrying cost]])*(ROW(tblVerifyRegister[Annual carrying cost])&lt;ROW(tblVerifyRegister[[#This Row],[Annual carrying cost]])))+1)</f>
        <v>3</v>
      </c>
      <c r="P46" s="39" t="str">
        <f>IF(tblVerifyRegister[[#This Row],[Item]]="","",IF(tblVerifyRegister[[#This Row],[Category]]="","Missing category",IF(tblVerifyRegister[[#This Row],[Avg units on hand]]="","Missing avg units on hand",IF(tblVerifyRegister[[#This Row],[Unit cost]]="","Missing unit cost",IF(tblVerifyRegister[[#This Row],[Annual usage]]="","Missing annual usage",IF(COUNTIF(tblVerifyCategories[Category],tblVerifyRegister[[#This Row],[Category]])=0,"Category not on Setup list",IF(COUNTIF(tblVerifyRegister[Item],tblVerifyRegister[[#This Row],[Item]])&gt;1,"Item listed twice",IF(tblVerifyRegister[[#This Row],[Unit cost]]=0,"Unit cost is 0","OK"))))))))</f>
        <v>Category not on Setup list</v>
      </c>
      <c r="Q46" s="62" t="s">
        <v>99</v>
      </c>
    </row>
    <row r="48" spans="2:17">
      <c r="B48" s="30" t="s">
        <v>306</v>
      </c>
      <c r="C48" s="30"/>
      <c r="D48" s="30"/>
      <c r="E48" s="30"/>
      <c r="F48" s="30"/>
      <c r="G48" s="30"/>
      <c r="H48" s="30"/>
      <c r="I48" s="30"/>
      <c r="J48" s="30"/>
      <c r="K48" s="30"/>
      <c r="L48" s="30"/>
    </row>
    <row r="49" spans="2:12" ht="14" customHeight="1">
      <c r="B49" s="33"/>
      <c r="C49" s="33"/>
      <c r="D49" s="33"/>
      <c r="E49" s="33" t="str">
        <f>Currency&amp;"/year"</f>
        <v>EUR/year</v>
      </c>
      <c r="F49" s="33" t="str">
        <f>Currency&amp;"/year"</f>
        <v>EUR/year</v>
      </c>
      <c r="G49" s="33"/>
      <c r="H49" s="33"/>
      <c r="I49" s="33"/>
    </row>
    <row r="50" spans="2:12" ht="32" customHeight="1">
      <c r="B50" s="31" t="s">
        <v>154</v>
      </c>
      <c r="C50" s="31" t="s">
        <v>155</v>
      </c>
      <c r="D50" s="31" t="s">
        <v>156</v>
      </c>
      <c r="E50" s="31" t="s">
        <v>157</v>
      </c>
      <c r="F50" s="31" t="s">
        <v>158</v>
      </c>
      <c r="G50" s="31" t="s">
        <v>159</v>
      </c>
      <c r="H50" s="31" t="s">
        <v>93</v>
      </c>
      <c r="I50" s="31" t="s">
        <v>160</v>
      </c>
    </row>
    <row r="51" spans="2:12">
      <c r="B51" s="62" t="s">
        <v>307</v>
      </c>
      <c r="C51" s="62" t="s">
        <v>163</v>
      </c>
      <c r="D51" s="74">
        <v>0.25</v>
      </c>
      <c r="E51" s="73"/>
      <c r="F51" s="35">
        <f>IF(tblVerifyComponents[[#This Row],[Component]]="","",IF(tblVerifyComponents[[#This Row],[Basis]]="% of value",tblVerifyComponents[[#This Row],[Rate]]*$E$56,tblVerifyComponents[[#This Row],[Annual amount]]))</f>
        <v>25625</v>
      </c>
      <c r="G51" s="41">
        <f>IF(tblVerifyComponents[[#This Row],[Component]]="","",IF($E$56&gt;0,tblVerifyComponents[[#This Row],[Annual cost]]/$E$56,""))</f>
        <v>0.25</v>
      </c>
      <c r="H51" s="39" t="str">
        <f>IF(tblVerifyComponents[[#This Row],[Component]]="","",IF(tblVerifyComponents[[#This Row],[Basis]]="","Missing basis",IF(AND(tblVerifyComponents[[#This Row],[Basis]]="% of value",tblVerifyComponents[[#This Row],[Rate]]=""),"Missing rate",IF(AND(tblVerifyComponents[[#This Row],[Basis]]="Annual amount",tblVerifyComponents[[#This Row],[Annual amount]]=""),"Missing amount","OK"))))</f>
        <v>OK</v>
      </c>
      <c r="I51" s="62" t="s">
        <v>308</v>
      </c>
    </row>
    <row r="52" spans="2:12">
      <c r="B52" s="62" t="s">
        <v>309</v>
      </c>
      <c r="C52" s="62" t="s">
        <v>157</v>
      </c>
      <c r="D52" s="74"/>
      <c r="E52" s="73">
        <v>250</v>
      </c>
      <c r="F52" s="35">
        <f>IF(tblVerifyComponents[[#This Row],[Component]]="","",IF(tblVerifyComponents[[#This Row],[Basis]]="% of value",tblVerifyComponents[[#This Row],[Rate]]*$E$56,tblVerifyComponents[[#This Row],[Annual amount]]))</f>
        <v>250</v>
      </c>
      <c r="G52" s="41">
        <f>IF(tblVerifyComponents[[#This Row],[Component]]="","",IF($E$56&gt;0,tblVerifyComponents[[#This Row],[Annual cost]]/$E$56,""))</f>
        <v>0.0024390243902439</v>
      </c>
      <c r="H52" s="39" t="str">
        <f>IF(tblVerifyComponents[[#This Row],[Component]]="","",IF(tblVerifyComponents[[#This Row],[Basis]]="","Missing basis",IF(AND(tblVerifyComponents[[#This Row],[Basis]]="% of value",tblVerifyComponents[[#This Row],[Rate]]=""),"Missing rate",IF(AND(tblVerifyComponents[[#This Row],[Basis]]="Annual amount",tblVerifyComponents[[#This Row],[Annual amount]]=""),"Missing amount","OK"))))</f>
        <v>OK</v>
      </c>
      <c r="I52" s="62" t="s">
        <v>308</v>
      </c>
    </row>
    <row r="53" spans="2:12">
      <c r="B53" s="62" t="s">
        <v>310</v>
      </c>
      <c r="C53" s="62" t="s">
        <v>157</v>
      </c>
      <c r="D53" s="74"/>
      <c r="E53" s="73"/>
      <c r="F53" s="35">
        <f>IF(tblVerifyComponents[[#This Row],[Component]]="","",IF(tblVerifyComponents[[#This Row],[Basis]]="% of value",tblVerifyComponents[[#This Row],[Rate]]*$E$56,tblVerifyComponents[[#This Row],[Annual amount]]))</f>
        <v>0</v>
      </c>
      <c r="G53" s="41">
        <f>IF(tblVerifyComponents[[#This Row],[Component]]="","",IF($E$56&gt;0,tblVerifyComponents[[#This Row],[Annual cost]]/$E$56,""))</f>
        <v>0</v>
      </c>
      <c r="H53" s="39" t="str">
        <f>IF(tblVerifyComponents[[#This Row],[Component]]="","",IF(tblVerifyComponents[[#This Row],[Basis]]="","Missing basis",IF(AND(tblVerifyComponents[[#This Row],[Basis]]="% of value",tblVerifyComponents[[#This Row],[Rate]]=""),"Missing rate",IF(AND(tblVerifyComponents[[#This Row],[Basis]]="Annual amount",tblVerifyComponents[[#This Row],[Annual amount]]=""),"Missing amount","OK"))))</f>
        <v>Missing amount</v>
      </c>
      <c r="I53" s="62" t="s">
        <v>311</v>
      </c>
    </row>
    <row r="55" spans="2:12">
      <c r="B55" s="30" t="s">
        <v>312</v>
      </c>
      <c r="C55" s="30"/>
      <c r="D55" s="30"/>
      <c r="E55" s="30"/>
      <c r="F55" s="30"/>
      <c r="G55" s="30"/>
      <c r="H55" s="30"/>
      <c r="I55" s="30"/>
      <c r="J55" s="30"/>
      <c r="K55" s="30"/>
      <c r="L55" s="30"/>
    </row>
    <row r="56" spans="2:12">
      <c r="B56" s="27" t="s">
        <v>178</v>
      </c>
      <c r="C56" s="27"/>
      <c r="D56" s="27"/>
      <c r="E56" s="35">
        <f>SUM(tblVerifyRegister[Avg inventory value])</f>
        <v>102500</v>
      </c>
      <c r="F56" s="7" t="str">
        <f>Currency</f>
        <v>EUR</v>
      </c>
    </row>
    <row r="57" spans="2:12">
      <c r="B57" s="27" t="s">
        <v>179</v>
      </c>
      <c r="C57" s="27"/>
      <c r="D57" s="27"/>
      <c r="E57" s="35">
        <f>SUM(tblVerifyComponents[Annual cost])</f>
        <v>25875</v>
      </c>
      <c r="F57" s="7" t="str">
        <f>Currency&amp;"/year"</f>
        <v>EUR/year</v>
      </c>
    </row>
    <row r="58" spans="2:12">
      <c r="B58" s="17" t="s">
        <v>180</v>
      </c>
      <c r="C58" s="17"/>
      <c r="D58" s="17"/>
      <c r="E58" s="43">
        <f>IF(($E$56)=0,0,($E$57)/($E$56))</f>
        <v>0.252439024390244</v>
      </c>
      <c r="F58" s="7" t="s">
        <v>181</v>
      </c>
    </row>
    <row r="60" spans="2:12">
      <c r="B60" s="30" t="s">
        <v>313</v>
      </c>
      <c r="C60" s="30"/>
      <c r="D60" s="30"/>
      <c r="E60" s="30"/>
      <c r="F60" s="30"/>
      <c r="G60" s="30"/>
      <c r="H60" s="30"/>
      <c r="I60" s="30"/>
      <c r="J60" s="30"/>
      <c r="K60" s="30"/>
      <c r="L60" s="30"/>
    </row>
    <row r="61" spans="2:12" ht="32" customHeight="1">
      <c r="B61" s="51" t="s">
        <v>188</v>
      </c>
      <c r="C61" s="31" t="s">
        <v>80</v>
      </c>
      <c r="D61" s="31" t="s">
        <v>81</v>
      </c>
      <c r="E61" s="31"/>
      <c r="F61" s="31" t="s">
        <v>62</v>
      </c>
      <c r="G61" s="31"/>
      <c r="H61" s="31" t="s">
        <v>189</v>
      </c>
      <c r="I61" s="31" t="s">
        <v>86</v>
      </c>
      <c r="J61" s="31" t="s">
        <v>90</v>
      </c>
      <c r="K61" s="31" t="s">
        <v>91</v>
      </c>
      <c r="L61" s="31"/>
    </row>
    <row r="62" spans="2:12" ht="14" customHeight="1">
      <c r="B62" s="33"/>
      <c r="C62" s="33"/>
      <c r="D62" s="33"/>
      <c r="E62" s="33"/>
      <c r="F62" s="33"/>
      <c r="G62" s="33"/>
      <c r="H62" s="33" t="str">
        <f>Currency</f>
        <v>EUR</v>
      </c>
      <c r="I62" s="33" t="str">
        <f>Currency&amp;"/year"</f>
        <v>EUR/year</v>
      </c>
      <c r="J62" s="33" t="s">
        <v>69</v>
      </c>
      <c r="K62" s="33"/>
      <c r="L62" s="33"/>
    </row>
    <row r="63" spans="2:12">
      <c r="B63" s="52" t="s">
        <v>190</v>
      </c>
      <c r="C63" s="53" t="str">
        <f>IFERROR(INDEX(tblVerifyRegister[Item],MATCH(1,tblVerifyRegister[Cost rank],0)),"")</f>
        <v>T-A</v>
      </c>
      <c r="D63" s="53" t="str">
        <f>IFERROR(INDEX(tblVerifyRegister[Description],MATCH(1,tblVerifyRegister[Cost rank],0)),"")</f>
        <v>Calculator example</v>
      </c>
      <c r="E63" s="53"/>
      <c r="F63" s="53" t="str">
        <f>IFERROR(INDEX(tblVerifyRegister[Category],MATCH(1,tblVerifyRegister[Cost rank],0)),"")</f>
        <v>Purchased parts</v>
      </c>
      <c r="G63" s="53"/>
      <c r="H63" s="35">
        <f>IFERROR(INDEX(tblVerifyRegister[Avg inventory value],MATCH(1,tblVerifyRegister[Cost rank],0)),"")</f>
        <v>90000</v>
      </c>
      <c r="I63" s="35">
        <f>IFERROR(INDEX(tblVerifyRegister[Annual carrying cost],MATCH(1,tblVerifyRegister[Cost rank],0)),"")</f>
        <v>22719.512195122</v>
      </c>
      <c r="J63" s="35">
        <f>IFERROR(INDEX(tblVerifyRegister[Days of supply],MATCH(1,tblVerifyRegister[Cost rank],0)),"")</f>
        <v>60.8333333333333</v>
      </c>
      <c r="K63" s="38" t="str">
        <f>IFERROR(INDEX(tblVerifyRegister[Days of supply status],MATCH(1,tblVerifyRegister[Cost rank],0)),"")</f>
        <v>Near target</v>
      </c>
      <c r="L63" s="38"/>
    </row>
    <row r="64" spans="2:12">
      <c r="B64" s="52" t="s">
        <v>191</v>
      </c>
      <c r="C64" s="53" t="str">
        <f>IFERROR(INDEX(tblVerifyRegister[Item],MATCH(2,tblVerifyRegister[Cost rank],0)),"")</f>
        <v>T-B</v>
      </c>
      <c r="D64" s="53" t="str">
        <f>IFERROR(INDEX(tblVerifyRegister[Description],MATCH(2,tblVerifyRegister[Cost rank],0)),"")</f>
        <v>No usage</v>
      </c>
      <c r="E64" s="53"/>
      <c r="F64" s="53" t="str">
        <f>IFERROR(INDEX(tblVerifyRegister[Category],MATCH(2,tblVerifyRegister[Cost rank],0)),"")</f>
        <v>Finished goods</v>
      </c>
      <c r="G64" s="53"/>
      <c r="H64" s="35">
        <f>IFERROR(INDEX(tblVerifyRegister[Avg inventory value],MATCH(2,tblVerifyRegister[Cost rank],0)),"")</f>
        <v>12000</v>
      </c>
      <c r="I64" s="35">
        <f>IFERROR(INDEX(tblVerifyRegister[Annual carrying cost],MATCH(2,tblVerifyRegister[Cost rank],0)),"")</f>
        <v>3029.26829268293</v>
      </c>
      <c r="J64" s="35">
        <f>IFERROR(INDEX(tblVerifyRegister[Days of supply],MATCH(2,tblVerifyRegister[Cost rank],0)),"")</f>
        <v/>
      </c>
      <c r="K64" s="38" t="str">
        <f>IFERROR(INDEX(tblVerifyRegister[Days of supply status],MATCH(2,tblVerifyRegister[Cost rank],0)),"")</f>
        <v>Above target</v>
      </c>
      <c r="L64" s="38"/>
    </row>
    <row r="65" spans="2:12">
      <c r="B65" s="52" t="s">
        <v>192</v>
      </c>
      <c r="C65" s="53" t="str">
        <f>IFERROR(INDEX(tblVerifyRegister[Item],MATCH(3,tblVerifyRegister[Cost rank],0)),"")</f>
        <v>T-C</v>
      </c>
      <c r="D65" s="53" t="str">
        <f>IFERROR(INDEX(tblVerifyRegister[Description],MATCH(3,tblVerifyRegister[Cost rank],0)),"")</f>
        <v>Category typo</v>
      </c>
      <c r="E65" s="53"/>
      <c r="F65" s="53" t="str">
        <f>IFERROR(INDEX(tblVerifyRegister[Category],MATCH(3,tblVerifyRegister[Cost rank],0)),"")</f>
        <v>Finished good</v>
      </c>
      <c r="G65" s="53"/>
      <c r="H65" s="35">
        <f>IFERROR(INDEX(tblVerifyRegister[Avg inventory value],MATCH(3,tblVerifyRegister[Cost rank],0)),"")</f>
        <v>500</v>
      </c>
      <c r="I65" s="35">
        <f>IFERROR(INDEX(tblVerifyRegister[Annual carrying cost],MATCH(3,tblVerifyRegister[Cost rank],0)),"")</f>
        <v>126.219512195122</v>
      </c>
      <c r="J65" s="35">
        <f>IFERROR(INDEX(tblVerifyRegister[Days of supply],MATCH(3,tblVerifyRegister[Cost rank],0)),"")</f>
        <v>36.5</v>
      </c>
      <c r="K65" s="38" t="str">
        <f>IFERROR(INDEX(tblVerifyRegister[Days of supply status],MATCH(3,tblVerifyRegister[Cost rank],0)),"")</f>
        <v>On target</v>
      </c>
      <c r="L65" s="38"/>
    </row>
    <row r="66" spans="2:12">
      <c r="B66" s="52" t="s">
        <v>193</v>
      </c>
      <c r="C66" s="53">
        <f>IFERROR(INDEX(tblVerifyRegister[Item],MATCH(4,tblVerifyRegister[Cost rank],0)),"")</f>
        <v/>
      </c>
      <c r="D66" s="53">
        <f>IFERROR(INDEX(tblVerifyRegister[Description],MATCH(4,tblVerifyRegister[Cost rank],0)),"")</f>
        <v/>
      </c>
      <c r="E66" s="53"/>
      <c r="F66" s="53">
        <f>IFERROR(INDEX(tblVerifyRegister[Category],MATCH(4,tblVerifyRegister[Cost rank],0)),"")</f>
        <v/>
      </c>
      <c r="G66" s="53"/>
      <c r="H66" s="35">
        <f>IFERROR(INDEX(tblVerifyRegister[Avg inventory value],MATCH(4,tblVerifyRegister[Cost rank],0)),"")</f>
        <v/>
      </c>
      <c r="I66" s="35">
        <f>IFERROR(INDEX(tblVerifyRegister[Annual carrying cost],MATCH(4,tblVerifyRegister[Cost rank],0)),"")</f>
        <v/>
      </c>
      <c r="J66" s="35">
        <f>IFERROR(INDEX(tblVerifyRegister[Days of supply],MATCH(4,tblVerifyRegister[Cost rank],0)),"")</f>
        <v/>
      </c>
      <c r="K66" s="38">
        <f>IFERROR(INDEX(tblVerifyRegister[Days of supply status],MATCH(4,tblVerifyRegister[Cost rank],0)),"")</f>
        <v/>
      </c>
      <c r="L66" s="38"/>
    </row>
    <row r="67" spans="2:12">
      <c r="B67" s="52" t="s">
        <v>194</v>
      </c>
      <c r="C67" s="53">
        <f>IFERROR(INDEX(tblVerifyRegister[Item],MATCH(5,tblVerifyRegister[Cost rank],0)),"")</f>
        <v/>
      </c>
      <c r="D67" s="53">
        <f>IFERROR(INDEX(tblVerifyRegister[Description],MATCH(5,tblVerifyRegister[Cost rank],0)),"")</f>
        <v/>
      </c>
      <c r="E67" s="53"/>
      <c r="F67" s="53">
        <f>IFERROR(INDEX(tblVerifyRegister[Category],MATCH(5,tblVerifyRegister[Cost rank],0)),"")</f>
        <v/>
      </c>
      <c r="G67" s="53"/>
      <c r="H67" s="35">
        <f>IFERROR(INDEX(tblVerifyRegister[Avg inventory value],MATCH(5,tblVerifyRegister[Cost rank],0)),"")</f>
        <v/>
      </c>
      <c r="I67" s="35">
        <f>IFERROR(INDEX(tblVerifyRegister[Annual carrying cost],MATCH(5,tblVerifyRegister[Cost rank],0)),"")</f>
        <v/>
      </c>
      <c r="J67" s="35">
        <f>IFERROR(INDEX(tblVerifyRegister[Days of supply],MATCH(5,tblVerifyRegister[Cost rank],0)),"")</f>
        <v/>
      </c>
      <c r="K67" s="38">
        <f>IFERROR(INDEX(tblVerifyRegister[Days of supply status],MATCH(5,tblVerifyRegister[Cost rank],0)),"")</f>
        <v/>
      </c>
      <c r="L67" s="38"/>
    </row>
    <row r="68" spans="2:12">
      <c r="B68" s="52" t="s">
        <v>195</v>
      </c>
      <c r="C68" s="53">
        <f>IFERROR(INDEX(tblVerifyRegister[Item],MATCH(6,tblVerifyRegister[Cost rank],0)),"")</f>
        <v/>
      </c>
      <c r="D68" s="53">
        <f>IFERROR(INDEX(tblVerifyRegister[Description],MATCH(6,tblVerifyRegister[Cost rank],0)),"")</f>
        <v/>
      </c>
      <c r="E68" s="53"/>
      <c r="F68" s="53">
        <f>IFERROR(INDEX(tblVerifyRegister[Category],MATCH(6,tblVerifyRegister[Cost rank],0)),"")</f>
        <v/>
      </c>
      <c r="G68" s="53"/>
      <c r="H68" s="35">
        <f>IFERROR(INDEX(tblVerifyRegister[Avg inventory value],MATCH(6,tblVerifyRegister[Cost rank],0)),"")</f>
        <v/>
      </c>
      <c r="I68" s="35">
        <f>IFERROR(INDEX(tblVerifyRegister[Annual carrying cost],MATCH(6,tblVerifyRegister[Cost rank],0)),"")</f>
        <v/>
      </c>
      <c r="J68" s="35">
        <f>IFERROR(INDEX(tblVerifyRegister[Days of supply],MATCH(6,tblVerifyRegister[Cost rank],0)),"")</f>
        <v/>
      </c>
      <c r="K68" s="38">
        <f>IFERROR(INDEX(tblVerifyRegister[Days of supply status],MATCH(6,tblVerifyRegister[Cost rank],0)),"")</f>
        <v/>
      </c>
      <c r="L68" s="38"/>
    </row>
    <row r="69" spans="2:12">
      <c r="B69" s="52" t="s">
        <v>196</v>
      </c>
      <c r="C69" s="53">
        <f>IFERROR(INDEX(tblVerifyRegister[Item],MATCH(7,tblVerifyRegister[Cost rank],0)),"")</f>
        <v/>
      </c>
      <c r="D69" s="53">
        <f>IFERROR(INDEX(tblVerifyRegister[Description],MATCH(7,tblVerifyRegister[Cost rank],0)),"")</f>
        <v/>
      </c>
      <c r="E69" s="53"/>
      <c r="F69" s="53">
        <f>IFERROR(INDEX(tblVerifyRegister[Category],MATCH(7,tblVerifyRegister[Cost rank],0)),"")</f>
        <v/>
      </c>
      <c r="G69" s="53"/>
      <c r="H69" s="35">
        <f>IFERROR(INDEX(tblVerifyRegister[Avg inventory value],MATCH(7,tblVerifyRegister[Cost rank],0)),"")</f>
        <v/>
      </c>
      <c r="I69" s="35">
        <f>IFERROR(INDEX(tblVerifyRegister[Annual carrying cost],MATCH(7,tblVerifyRegister[Cost rank],0)),"")</f>
        <v/>
      </c>
      <c r="J69" s="35">
        <f>IFERROR(INDEX(tblVerifyRegister[Days of supply],MATCH(7,tblVerifyRegister[Cost rank],0)),"")</f>
        <v/>
      </c>
      <c r="K69" s="38">
        <f>IFERROR(INDEX(tblVerifyRegister[Days of supply status],MATCH(7,tblVerifyRegister[Cost rank],0)),"")</f>
        <v/>
      </c>
      <c r="L69" s="38"/>
    </row>
    <row r="70" spans="2:12">
      <c r="B70" s="52" t="s">
        <v>197</v>
      </c>
      <c r="C70" s="53">
        <f>IFERROR(INDEX(tblVerifyRegister[Item],MATCH(8,tblVerifyRegister[Cost rank],0)),"")</f>
        <v/>
      </c>
      <c r="D70" s="53">
        <f>IFERROR(INDEX(tblVerifyRegister[Description],MATCH(8,tblVerifyRegister[Cost rank],0)),"")</f>
        <v/>
      </c>
      <c r="E70" s="53"/>
      <c r="F70" s="53">
        <f>IFERROR(INDEX(tblVerifyRegister[Category],MATCH(8,tblVerifyRegister[Cost rank],0)),"")</f>
        <v/>
      </c>
      <c r="G70" s="53"/>
      <c r="H70" s="35">
        <f>IFERROR(INDEX(tblVerifyRegister[Avg inventory value],MATCH(8,tblVerifyRegister[Cost rank],0)),"")</f>
        <v/>
      </c>
      <c r="I70" s="35">
        <f>IFERROR(INDEX(tblVerifyRegister[Annual carrying cost],MATCH(8,tblVerifyRegister[Cost rank],0)),"")</f>
        <v/>
      </c>
      <c r="J70" s="35">
        <f>IFERROR(INDEX(tblVerifyRegister[Days of supply],MATCH(8,tblVerifyRegister[Cost rank],0)),"")</f>
        <v/>
      </c>
      <c r="K70" s="38">
        <f>IFERROR(INDEX(tblVerifyRegister[Days of supply status],MATCH(8,tblVerifyRegister[Cost rank],0)),"")</f>
        <v/>
      </c>
      <c r="L70" s="38"/>
    </row>
    <row r="71" spans="2:12">
      <c r="B71" s="52" t="s">
        <v>198</v>
      </c>
      <c r="C71" s="53">
        <f>IFERROR(INDEX(tblVerifyRegister[Item],MATCH(9,tblVerifyRegister[Cost rank],0)),"")</f>
        <v/>
      </c>
      <c r="D71" s="53">
        <f>IFERROR(INDEX(tblVerifyRegister[Description],MATCH(9,tblVerifyRegister[Cost rank],0)),"")</f>
        <v/>
      </c>
      <c r="E71" s="53"/>
      <c r="F71" s="53">
        <f>IFERROR(INDEX(tblVerifyRegister[Category],MATCH(9,tblVerifyRegister[Cost rank],0)),"")</f>
        <v/>
      </c>
      <c r="G71" s="53"/>
      <c r="H71" s="35">
        <f>IFERROR(INDEX(tblVerifyRegister[Avg inventory value],MATCH(9,tblVerifyRegister[Cost rank],0)),"")</f>
        <v/>
      </c>
      <c r="I71" s="35">
        <f>IFERROR(INDEX(tblVerifyRegister[Annual carrying cost],MATCH(9,tblVerifyRegister[Cost rank],0)),"")</f>
        <v/>
      </c>
      <c r="J71" s="35">
        <f>IFERROR(INDEX(tblVerifyRegister[Days of supply],MATCH(9,tblVerifyRegister[Cost rank],0)),"")</f>
        <v/>
      </c>
      <c r="K71" s="38">
        <f>IFERROR(INDEX(tblVerifyRegister[Days of supply status],MATCH(9,tblVerifyRegister[Cost rank],0)),"")</f>
        <v/>
      </c>
      <c r="L71" s="38"/>
    </row>
    <row r="72" spans="2:12">
      <c r="B72" s="52" t="s">
        <v>199</v>
      </c>
      <c r="C72" s="53">
        <f>IFERROR(INDEX(tblVerifyRegister[Item],MATCH(10,tblVerifyRegister[Cost rank],0)),"")</f>
        <v/>
      </c>
      <c r="D72" s="53">
        <f>IFERROR(INDEX(tblVerifyRegister[Description],MATCH(10,tblVerifyRegister[Cost rank],0)),"")</f>
        <v/>
      </c>
      <c r="E72" s="53"/>
      <c r="F72" s="53">
        <f>IFERROR(INDEX(tblVerifyRegister[Category],MATCH(10,tblVerifyRegister[Cost rank],0)),"")</f>
        <v/>
      </c>
      <c r="G72" s="53"/>
      <c r="H72" s="35">
        <f>IFERROR(INDEX(tblVerifyRegister[Avg inventory value],MATCH(10,tblVerifyRegister[Cost rank],0)),"")</f>
        <v/>
      </c>
      <c r="I72" s="35">
        <f>IFERROR(INDEX(tblVerifyRegister[Annual carrying cost],MATCH(10,tblVerifyRegister[Cost rank],0)),"")</f>
        <v/>
      </c>
      <c r="J72" s="35">
        <f>IFERROR(INDEX(tblVerifyRegister[Days of supply],MATCH(10,tblVerifyRegister[Cost rank],0)),"")</f>
        <v/>
      </c>
      <c r="K72" s="38">
        <f>IFERROR(INDEX(tblVerifyRegister[Days of supply status],MATCH(10,tblVerifyRegister[Cost rank],0)),"")</f>
        <v/>
      </c>
      <c r="L72" s="38"/>
    </row>
  </sheetData>
  <sheetProtection sheet="1" formatColumns="0" formatRows="0"/>
  <mergeCells count="74">
    <mergeCell ref="A1:Q1"/>
    <mergeCell ref="B2:P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B30:L30"/>
    <mergeCell ref="B32:L32"/>
    <mergeCell ref="B33:F33"/>
    <mergeCell ref="B34:D34"/>
    <mergeCell ref="B36:L36"/>
    <mergeCell ref="B41:L41"/>
    <mergeCell ref="B48:L48"/>
    <mergeCell ref="B55:L55"/>
    <mergeCell ref="B56:D56"/>
    <mergeCell ref="B57:D57"/>
    <mergeCell ref="B58:D58"/>
    <mergeCell ref="B60:L60"/>
    <mergeCell ref="D61:E61"/>
    <mergeCell ref="F61:G61"/>
    <mergeCell ref="K61:L61"/>
    <mergeCell ref="D62:E62"/>
    <mergeCell ref="F62:G62"/>
    <mergeCell ref="K62:L62"/>
    <mergeCell ref="D63:E63"/>
    <mergeCell ref="D64:E64"/>
    <mergeCell ref="D65:E65"/>
    <mergeCell ref="D66:E66"/>
    <mergeCell ref="D67:E67"/>
    <mergeCell ref="D68:E68"/>
    <mergeCell ref="D69:E69"/>
    <mergeCell ref="D70:E70"/>
    <mergeCell ref="D71:E71"/>
    <mergeCell ref="D72:E72"/>
    <mergeCell ref="F63:G63"/>
    <mergeCell ref="F64:G64"/>
    <mergeCell ref="F65:G65"/>
    <mergeCell ref="F66:G66"/>
    <mergeCell ref="F67:G67"/>
    <mergeCell ref="F68:G68"/>
    <mergeCell ref="F69:G69"/>
    <mergeCell ref="F70:G70"/>
    <mergeCell ref="F71:G71"/>
    <mergeCell ref="F72:G72"/>
    <mergeCell ref="K63:L63"/>
    <mergeCell ref="K64:L64"/>
    <mergeCell ref="K65:L65"/>
    <mergeCell ref="K66:L66"/>
    <mergeCell ref="K67:L67"/>
    <mergeCell ref="K68:L68"/>
    <mergeCell ref="K69:L69"/>
    <mergeCell ref="K70:L70"/>
    <mergeCell ref="K71:L71"/>
    <mergeCell ref="K72:L72"/>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H51:H53">
    <cfRule type="expression" dxfId="3" priority="43">
      <formula>$H51="OK"</formula>
    </cfRule>
    <cfRule type="expression" dxfId="1" priority="44">
      <formula>AND($H51&lt;&gt;"",$H51&lt;&gt;"OK")</formula>
    </cfRule>
  </conditionalFormatting>
  <conditionalFormatting sqref="K11:K2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63:K72">
    <cfRule type="cellIs" dxfId="0" priority="45" operator="equal">
      <formula>"On target"</formula>
    </cfRule>
    <cfRule type="cellIs" dxfId="0" priority="46" operator="equal">
      <formula>"PASS"</formula>
    </cfRule>
    <cfRule type="cellIs" dxfId="0" priority="47" operator="equal">
      <formula>"OK"</formula>
    </cfRule>
    <cfRule type="cellIs" dxfId="0" priority="48" operator="equal">
      <formula>"Within limits"</formula>
    </cfRule>
    <cfRule type="cellIs" dxfId="0" priority="49" operator="equal">
      <formula>"Under capacity"</formula>
    </cfRule>
    <cfRule type="cellIs" dxfId="0" priority="50" operator="equal">
      <formula>"Complete"</formula>
    </cfRule>
    <cfRule type="cellIs" dxfId="0" priority="51" operator="equal">
      <formula>"Yes"</formula>
    </cfRule>
    <cfRule type="cellIs" dxfId="1" priority="52" operator="equal">
      <formula>"Near target"</formula>
    </cfRule>
    <cfRule type="cellIs" dxfId="1" priority="53" operator="equal">
      <formula>"Check"</formula>
    </cfRule>
    <cfRule type="cellIs" dxfId="1" priority="54" operator="equal">
      <formula>"Due soon"</formula>
    </cfRule>
    <cfRule type="cellIs" dxfId="1" priority="55" operator="equal">
      <formula>"Near capacity"</formula>
    </cfRule>
    <cfRule type="cellIs" dxfId="1" priority="56" operator="equal">
      <formula>"In progress"</formula>
    </cfRule>
    <cfRule type="cellIs" dxfId="1" priority="57" operator="equal">
      <formula>"Partial"</formula>
    </cfRule>
    <cfRule type="cellIs" dxfId="2" priority="58" operator="equal">
      <formula>"Below target"</formula>
    </cfRule>
    <cfRule type="cellIs" dxfId="2" priority="59" operator="equal">
      <formula>"Above target"</formula>
    </cfRule>
    <cfRule type="cellIs" dxfId="2" priority="60" operator="equal">
      <formula>"FAIL"</formula>
    </cfRule>
    <cfRule type="cellIs" dxfId="2" priority="61" operator="equal">
      <formula>"Over capacity"</formula>
    </cfRule>
    <cfRule type="cellIs" dxfId="2" priority="62" operator="equal">
      <formula>"Overdue"</formula>
    </cfRule>
    <cfRule type="cellIs" dxfId="2" priority="63" operator="equal">
      <formula>"Out of limits"</formula>
    </cfRule>
    <cfRule type="cellIs" dxfId="2" priority="64" operator="equal">
      <formula>"No"</formula>
    </cfRule>
  </conditionalFormatting>
  <conditionalFormatting sqref="P44:P46">
    <cfRule type="expression" dxfId="3" priority="41">
      <formula>$P44="OK"</formula>
    </cfRule>
    <cfRule type="expression" dxfId="1" priority="42">
      <formula>AND($P44&lt;&gt;"",$P44&lt;&gt;"OK")</formula>
    </cfRule>
  </conditionalFormatting>
  <hyperlinks>
    <hyperlink ref="Q2" r:id="rId1" tooltip="Free manufacturing calculators and templates"/>
  </hyperlinks>
  <printOptions horizontalCentered="1"/>
  <pageMargins left="0.4" right="0.4" top="0.7" bottom="0.65" header="0.3" footer="0.3"/>
  <pageSetup fitToHeight="0" orientation="landscape"/>
  <headerFooter>
    <oddHeader>&amp;L&amp;8MFG Calcs - Inventory Carrying Cost&amp;R&amp;8&amp;A</oddHeader>
    <oddFooter>&amp;L&amp;8mfgcalcs.com - free manufacturing templates&amp;R&amp;8Page &amp;P of &amp;N</oddFooter>
  </headerFooter>
  <rowBreaks count="1" manualBreakCount="1">
    <brk id="40"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23</vt:i4>
      </vt:variant>
    </vt:vector>
  </HeadingPairs>
  <TitlesOfParts>
    <vt:vector size="30" baseType="lpstr">
      <vt:lpstr>Start Here</vt:lpstr>
      <vt:lpstr>Setup</vt:lpstr>
      <vt:lpstr>Inventory Register</vt:lpstr>
      <vt:lpstr>Rate Builder</vt:lpstr>
      <vt:lpstr>Dashboard</vt:lpstr>
      <vt:lpstr>Method</vt:lpstr>
      <vt:lpstr>Verify</vt:lpstr>
      <vt:lpstr>AvgValue</vt:lpstr>
      <vt:lpstr>CarryCostTotal</vt:lpstr>
      <vt:lpstr>CarryRate</vt:lpstr>
      <vt:lpstr>CompanyName</vt:lpstr>
      <vt:lpstr>Currency</vt:lpstr>
      <vt:lpstr>HoldingBudget</vt:lpstr>
      <vt:lpstr>KpiAbove</vt:lpstr>
      <vt:lpstr>KpiCost</vt:lpstr>
      <vt:lpstr>KpiRate</vt:lpstr>
      <vt:lpstr>KpiValue</vt:lpstr>
      <vt:lpstr>Dashboard!Print_Area</vt:lpstr>
      <vt:lpstr>'Inventory Register'!Print_Area</vt:lpstr>
      <vt:lpstr>Method!Print_Area</vt:lpstr>
      <vt:lpstr>'Rate Builder'!Print_Area</vt:lpstr>
      <vt:lpstr>Setup!Print_Area</vt:lpstr>
      <vt:lpstr>'Start Here'!Print_Area</vt:lpstr>
      <vt:lpstr>Verify!Print_Area</vt:lpstr>
      <vt:lpstr>'Inventory Register'!Print_Titles</vt:lpstr>
      <vt:lpstr>Method!Print_Titles</vt:lpstr>
      <vt:lpstr>'Rate Builder'!Print_Titles</vt:lpstr>
      <vt:lpstr>SelfCheck</vt:lpstr>
      <vt:lpstr>SelfCheckSummary</vt:lpstr>
      <vt:lpstr>TargetDOS</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Carrying Cost - free Excel template from MFG Calcs</dc:title>
  <dc:subject>Build your carrying-cost rate from your own numbers and see, item by item, what holding inventory costs per year and where that cost sits.</dc:subject>
  <dc:creator>MFG Calcs</dc:creator>
  <cp:keywords>inventory carrying cost, holding cost, carrying cost rate, inventory turns, days of supply, EOQ holding cost, slow moving inventory</cp:keywords>
  <dc:description>https://www.mfgcalcs.com/templates/inventory-carrying-cost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inventory-carrying-cost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https://www.mfgcalcs.com/templates/inventory-carrying-cost</vt:lpwstr>
  </property>
  <property fmtid="{D5CDD505-2E9C-101B-9397-08002B2CF9AE}" pid="7" name="Template sheet roles">
    <vt:lpwstr>Start Here=start;Setup=setup;Inventory Register=work;Rate Builder=work;Dashboard=dashboard;Method=method;Verify=verify</vt:lpwstr>
  </property>
</Properties>
</file>