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Quote Builder" sheetId="3" r:id="rId3"/>
    <sheet name="Quote" sheetId="4" r:id="rId4"/>
    <sheet name="Method" sheetId="5" r:id="rId5"/>
    <sheet name="Verify" sheetId="6" r:id="rId6"/>
  </sheets>
  <definedNames>
    <definedName name="Allowance">'Quote Builder'!$C$26</definedName>
    <definedName name="BlankKg">'Quote Builder'!$C$29</definedName>
    <definedName name="BlankLb">'Quote Builder'!$C$30</definedName>
    <definedName name="BlankLen">'Quote Builder'!$C$25</definedName>
    <definedName name="BlankVol">'Quote Builder'!$C$28</definedName>
    <definedName name="CapGood">'Quote Builder'!$C$129</definedName>
    <definedName name="CapMinus">'Quote Builder'!$C$132</definedName>
    <definedName name="CapNeeds">'Quote Builder'!$C$130</definedName>
    <definedName name="CapQty">'Quote Builder'!$C$122</definedName>
    <definedName name="CapRun">'Quote Builder'!$C$127</definedName>
    <definedName name="CapStarted">'Quote Builder'!$C$128</definedName>
    <definedName name="CapToStart">'Quote Builder'!$C$131</definedName>
    <definedName name="CapVerdict">'Quote Builder'!$C$133</definedName>
    <definedName name="CoAddress1">Setup!$C$7</definedName>
    <definedName name="CoAddress2">Setup!$C$8</definedName>
    <definedName name="CoEmail">Setup!$C$10</definedName>
    <definedName name="CoName">Setup!$C$6</definedName>
    <definedName name="ConCycle">'Quote Builder'!$C$126</definedName>
    <definedName name="ConOp">'Quote Builder'!$C$124</definedName>
    <definedName name="ConSetup">'Quote Builder'!$C$125</definedName>
    <definedName name="Contact">'Quote Builder'!$C$11</definedName>
    <definedName name="CoPhone">Setup!$C$9</definedName>
    <definedName name="Currency">Setup!$C$14</definedName>
    <definedName name="Customer">'Quote Builder'!$C$10</definedName>
    <definedName name="CycleMin">'Quote Builder'!$C$49</definedName>
    <definedName name="DelTerms">Setup!$C$17</definedName>
    <definedName name="Density">'Quote Builder'!$C$27</definedName>
    <definedName name="DiaW">'Quote Builder'!$C$23</definedName>
    <definedName name="DimUnit">'Quote Builder'!$C$22</definedName>
    <definedName name="FPY">Setup!$C$26</definedName>
    <definedName name="HoursPerDay">Setup!$C$28</definedName>
    <definedName name="Margin">Setup!$C$25</definedName>
    <definedName name="MatCheck">'Quote Builder'!$C$33</definedName>
    <definedName name="MatCost">'Quote Builder'!$C$32</definedName>
    <definedName name="Material">'Quote Builder'!$C$20</definedName>
    <definedName name="Materials">tblMaterials[Material]</definedName>
    <definedName name="MatLead">'Quote Builder'!$C$71</definedName>
    <definedName name="MatMarkup">Setup!$C$23</definedName>
    <definedName name="OpenHours">'Quote Builder'!$C$123</definedName>
    <definedName name="OspDays">'Quote Builder'!$C$73</definedName>
    <definedName name="OspMarkup">Setup!$C$24</definedName>
    <definedName name="Overhead">Setup!$C$22</definedName>
    <definedName name="PartDesc">'Quote Builder'!$C$15</definedName>
    <definedName name="PartNo">'Quote Builder'!$C$13</definedName>
    <definedName name="PartRev">'Quote Builder'!$C$14</definedName>
    <definedName name="PayTerms">Setup!$C$16</definedName>
    <definedName name="PreparedBy">'Quote Builder'!$C$16</definedName>
    <definedName name="PriceKg">'Quote Builder'!$C$31</definedName>
    <definedName name="_xlnm.Print_Area" localSheetId="4">Method!$A$1:$D$65</definedName>
    <definedName name="_xlnm.Print_Area" localSheetId="2">'Quote Builder'!$A$1:$K$133</definedName>
    <definedName name="_xlnm.Print_Area" localSheetId="3">Quote!$A$4:$G$40</definedName>
    <definedName name="_xlnm.Print_Area" localSheetId="1">Setup!$A$1:$F$50</definedName>
    <definedName name="_xlnm.Print_Area" localSheetId="0">'Start Here'!$A$1:$F$57</definedName>
    <definedName name="_xlnm.Print_Area" localSheetId="5">Verify!$A$1:$L$128</definedName>
    <definedName name="_xlnm.Print_Titles" localSheetId="4">Method!$1:$2</definedName>
    <definedName name="QueueShip">'Quote Builder'!$C$72</definedName>
    <definedName name="QuoteDate">'Quote Builder'!$C$9</definedName>
    <definedName name="QuoteNo">'Quote Builder'!$C$8</definedName>
    <definedName name="RFQRef">'Quote Builder'!$C$12</definedName>
    <definedName name="RoundStep">Setup!$C$27</definedName>
    <definedName name="RunCost">'Quote Builder'!$C$47</definedName>
    <definedName name="SelfCheck">Verify!$D$4</definedName>
    <definedName name="SelfCheckSummary">Verify!$F$4</definedName>
    <definedName name="SetupCost">'Quote Builder'!$C$46</definedName>
    <definedName name="SetupHours">'Quote Builder'!$C$48</definedName>
    <definedName name="Shape">'Quote Builder'!$C$21</definedName>
    <definedName name="Terms">Setup!$C$18</definedName>
    <definedName name="Thick">'Quote Builder'!$C$24</definedName>
    <definedName name="ToolingAmort">'Quote Builder'!$C$67</definedName>
    <definedName name="Uptime">Setup!$C$29</definedName>
    <definedName name="Validity">Setup!$C$15</definedName>
    <definedName name="WorkCentres">tblWorkCentres[Work centre]</definedName>
  </definedNames>
  <calcPr calcId="124519" fullCalcOnLoad="1"/>
</workbook>
</file>

<file path=xl/sharedStrings.xml><?xml version="1.0" encoding="utf-8"?>
<sst xmlns="http://schemas.openxmlformats.org/spreadsheetml/2006/main" count="677" uniqueCount="384">
  <si>
    <t>Job Shop Quote</t>
  </si>
  <si>
    <t>Read this first: what the workbook does and how to use it.</t>
  </si>
  <si>
    <t>mfgcalcs.com</t>
  </si>
  <si>
    <t>Turn an RFQ into a priced, customer-ready quote with quantity breaks, lead times and a capacity check.</t>
  </si>
  <si>
    <t>For: Estimators, owners and sales engineers in machine shops, fabrication shops and contract manufacturers.</t>
  </si>
  <si>
    <t>Version 1.0.0  ·  updated 15 October 2026</t>
  </si>
  <si>
    <t>Quick start</t>
  </si>
  <si>
    <t>1.</t>
  </si>
  <si>
    <t>On Setup, enter your company details, currency, terms, costing defaults, work-centre rates and material prices.</t>
  </si>
  <si>
    <t>2.</t>
  </si>
  <si>
    <t>On Quote Builder, fill in the RFQ details, the material and blank size, and up to five quantity breaks.</t>
  </si>
  <si>
    <t>3.</t>
  </si>
  <si>
    <t>List the routing (operation, work centre, setup hours, cycle minutes), any outside processing and any tooling or one-off charges.</t>
  </si>
  <si>
    <t>4.</t>
  </si>
  <si>
    <t>Read the price per unit, margin and lead time for each break; run the capacity check against the hours you have open.</t>
  </si>
  <si>
    <t>5.</t>
  </si>
  <si>
    <t>Print or save the Quote sheet as PDF and send it.</t>
  </si>
  <si>
    <t>What is in this workbook</t>
  </si>
  <si>
    <t>Start Here</t>
  </si>
  <si>
    <t>Setup</t>
  </si>
  <si>
    <t>Your company, currency, terms, costing defaults, and the work-centre rates and materials every quote uses.</t>
  </si>
  <si>
    <t>Quote Builder</t>
  </si>
  <si>
    <t>Everything that sets the price: RFQ, material, routing, outside processing, tooling, quantity breaks.</t>
  </si>
  <si>
    <t>Quote</t>
  </si>
  <si>
    <t>The customer-facing quotation. Print it or save it as PDF; it fills itself from the Quote Builder.</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</si>
  <si>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</si>
  <si>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</si>
  <si>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</si>
  <si>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</si>
  <si>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</si>
  <si>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</si>
  <si>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</si>
  <si>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</si>
  <si>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</si>
  <si>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</si>
  <si>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</si>
  <si>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</si>
  <si>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</si>
  <si>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</si>
  <si>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</si>
  <si>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</si>
  <si>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</si>
  <si>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</si>
  <si>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</si>
  <si>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</si>
  <si>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Job Shop Quotable Capacity Calculator on mfgcalcs.com</t>
  </si>
  <si>
    <t>Latest version</t>
  </si>
  <si>
    <t>mfgcalcs.com/templates/job-shop-quote</t>
  </si>
  <si>
    <t>More free templates</t>
  </si>
  <si>
    <t>mfgcalcs.com/templates</t>
  </si>
  <si>
    <t>Version</t>
  </si>
  <si>
    <t>1.0.0 (updated 15 October 2026)</t>
  </si>
  <si>
    <t>About the example data</t>
  </si>
  <si>
    <t>Every number already in this workbook is example data for Northfield Precision, a fictional business invented for this template, so the dashboard and charts show something meaningful on day one. The example quotes a turned and milled aluminium pump coupling for a fictional customer; all rates and prices are invented for the example. To start with your own data, overwrite the yellow cells.</t>
  </si>
  <si>
    <t>Good to know</t>
  </si>
  <si>
    <t>•</t>
  </si>
  <si>
    <t>Sheets Start Here, Quote,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</si>
  <si>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</si>
  <si>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</si>
  <si>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</si>
  <si>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The Quote sheet prints without the MFG Calcs band at the top; its page footer keeps a small mfgcalcs.com credit, which you can change in Page Layout &gt; Header &amp; Footer after unprotecting the sheet.</t>
  </si>
  <si>
    <t>Free from MFG Calcs - keep this credit when you share it.</t>
  </si>
  <si>
    <t>Engineering estimates for planning and improvement work. Verify the results against your own process, data and standards before you rely on them.</t>
  </si>
  <si>
    <t>Work centre</t>
  </si>
  <si>
    <t>Rate per hour</t>
  </si>
  <si>
    <t>Notes</t>
  </si>
  <si>
    <t>Material</t>
  </si>
  <si>
    <t>Density (g/cm3)</t>
  </si>
  <si>
    <t>Price</t>
  </si>
  <si>
    <t>Per</t>
  </si>
  <si>
    <t>Your company (printed on the quote)</t>
  </si>
  <si>
    <t>Company name</t>
  </si>
  <si>
    <t>Northfield Precision (example)</t>
  </si>
  <si>
    <t>Address line 1</t>
  </si>
  <si>
    <t>Unit 4, Mill Lane Industrial Estate</t>
  </si>
  <si>
    <t>Address line 2</t>
  </si>
  <si>
    <t>Northfield, NF1 2AB</t>
  </si>
  <si>
    <t>Phone</t>
  </si>
  <si>
    <t>+1 555 0142</t>
  </si>
  <si>
    <t>Email</t>
  </si>
  <si>
    <t>quotes@example.com</t>
  </si>
  <si>
    <t>Commercial terms</t>
  </si>
  <si>
    <t>Currency label</t>
  </si>
  <si>
    <t>USD</t>
  </si>
  <si>
    <t>Quote valid for</t>
  </si>
  <si>
    <t>days</t>
  </si>
  <si>
    <t>Payment terms</t>
  </si>
  <si>
    <t>Net 30 days from invoice</t>
  </si>
  <si>
    <t>Delivery terms</t>
  </si>
  <si>
    <t>Ex works, packed for road freight</t>
  </si>
  <si>
    <t>Standard terms (printed on the quote)</t>
  </si>
  <si>
    <t>Prices are per part in the currency shown and exclude sales taxes and freight unless stated. Lead times are working days from receipt of order and approved drawings. Charges billed separately are invoiced with the first delivery. Replace this example text with your own terms of sale.</t>
  </si>
  <si>
    <t>Costing defaults</t>
  </si>
  <si>
    <t>Shop overhead on machine and labour cost</t>
  </si>
  <si>
    <t>Markup on material</t>
  </si>
  <si>
    <t>Markup on outside processing</t>
  </si>
  <si>
    <t>Target margin on price</t>
  </si>
  <si>
    <t>First-pass yield</t>
  </si>
  <si>
    <t>Round unit prices up to the nearest</t>
  </si>
  <si>
    <t>Scheduled hours per working day</t>
  </si>
  <si>
    <t>h/day</t>
  </si>
  <si>
    <t>Uptime of scheduled hours</t>
  </si>
  <si>
    <t>Work centres and material prices</t>
  </si>
  <si>
    <t>Work centres (example rates)</t>
  </si>
  <si>
    <t>Saw</t>
  </si>
  <si>
    <t>Bandsaw, includes operator</t>
  </si>
  <si>
    <t>CNC lathe</t>
  </si>
  <si>
    <t>2-axis lathe with bar feed</t>
  </si>
  <si>
    <t>CNC mill 3-axis</t>
  </si>
  <si>
    <t>Vertical machining centre</t>
  </si>
  <si>
    <t>CNC mill 5-axis</t>
  </si>
  <si>
    <t>5-axis machining centre</t>
  </si>
  <si>
    <t>Deburr bench</t>
  </si>
  <si>
    <t>Manual deburr and wash</t>
  </si>
  <si>
    <t>Inspection</t>
  </si>
  <si>
    <t>CMM and bench inspection</t>
  </si>
  <si>
    <t>Materials (example prices)</t>
  </si>
  <si>
    <t>Aluminium 6082-T6</t>
  </si>
  <si>
    <t>kg</t>
  </si>
  <si>
    <t>Example price; use your supplier's quote</t>
  </si>
  <si>
    <t>Steel 1045</t>
  </si>
  <si>
    <t>Stainless 304</t>
  </si>
  <si>
    <t>Brass C360</t>
  </si>
  <si>
    <t>lb</t>
  </si>
  <si>
    <t>Example price per pound</t>
  </si>
  <si>
    <t>Acetal (POM)</t>
  </si>
  <si>
    <t>Operation</t>
  </si>
  <si>
    <t>Op</t>
  </si>
  <si>
    <t>Setup (h)</t>
  </si>
  <si>
    <t>Cycle (min/part)</t>
  </si>
  <si>
    <t>Rate</t>
  </si>
  <si>
    <t>Setup cost</t>
  </si>
  <si>
    <t>Run cost</t>
  </si>
  <si>
    <t>Check</t>
  </si>
  <si>
    <t>Process</t>
  </si>
  <si>
    <t>Supplier</t>
  </si>
  <si>
    <t>Price per part</t>
  </si>
  <si>
    <t>Lot charge</t>
  </si>
  <si>
    <t>Lead time (days)</t>
  </si>
  <si>
    <t>Item</t>
  </si>
  <si>
    <t>Cost</t>
  </si>
  <si>
    <t>Billing</t>
  </si>
  <si>
    <t>Quote line</t>
  </si>
  <si>
    <t>Example quote for Northfield Precision (fictional). Overwrite the yellow cells with your RFQ; edit or delete the example table rows. Blue cells calculate. The Quote sheet prints from here.</t>
  </si>
  <si>
    <t>RFQ details</t>
  </si>
  <si>
    <t>Quote number</t>
  </si>
  <si>
    <t>Q-2026-0142</t>
  </si>
  <si>
    <t>Quote date</t>
  </si>
  <si>
    <t>Customer</t>
  </si>
  <si>
    <t>Halden Pump Systems (example)</t>
  </si>
  <si>
    <t>Attention</t>
  </si>
  <si>
    <t>Purchasing</t>
  </si>
  <si>
    <t>Customer RFQ reference</t>
  </si>
  <si>
    <t>RFQ-88213</t>
  </si>
  <si>
    <t>Part number</t>
  </si>
  <si>
    <t>HP-2207-14</t>
  </si>
  <si>
    <t>Drawing revision</t>
  </si>
  <si>
    <t>C</t>
  </si>
  <si>
    <t>Part description</t>
  </si>
  <si>
    <t>Pump shaft coupling, turned and milled, clear anodised</t>
  </si>
  <si>
    <t>Prepared by</t>
  </si>
  <si>
    <t>Estimating</t>
  </si>
  <si>
    <t>Material and blank</t>
  </si>
  <si>
    <t>Stock shape</t>
  </si>
  <si>
    <t>Round bar</t>
  </si>
  <si>
    <t>Dimensions in</t>
  </si>
  <si>
    <t>mm</t>
  </si>
  <si>
    <t>Diameter (round) or width</t>
  </si>
  <si>
    <t>Thickness (rectangular only)</t>
  </si>
  <si>
    <t>Blank length, incl. cut-off and facing</t>
  </si>
  <si>
    <t>Material allowance (bar ends, kerf)</t>
  </si>
  <si>
    <t>Density</t>
  </si>
  <si>
    <t>g/cm3</t>
  </si>
  <si>
    <t>Blank volume</t>
  </si>
  <si>
    <t>cm3</t>
  </si>
  <si>
    <t>Blank mass</t>
  </si>
  <si>
    <t>Material price</t>
  </si>
  <si>
    <t>Material cost per blank</t>
  </si>
  <si>
    <t>Material check</t>
  </si>
  <si>
    <t>Routing (one row per operation)</t>
  </si>
  <si>
    <t>Saw blank from bar</t>
  </si>
  <si>
    <t>Saw 82 mm blanks</t>
  </si>
  <si>
    <t>Turn OD, face, bore</t>
  </si>
  <si>
    <t>Soft jaws</t>
  </si>
  <si>
    <t>Mill flats and cross holes</t>
  </si>
  <si>
    <t>4-up fixture</t>
  </si>
  <si>
    <t>Deburr and wash</t>
  </si>
  <si>
    <t/>
  </si>
  <si>
    <t>Inspect</t>
  </si>
  <si>
    <t>First article plus 1 in 10</t>
  </si>
  <si>
    <t>Routing totals</t>
  </si>
  <si>
    <t>Setup cost per batch</t>
  </si>
  <si>
    <t>Run cost per part started</t>
  </si>
  <si>
    <t>Setup hours per batch</t>
  </si>
  <si>
    <t>h</t>
  </si>
  <si>
    <t>Cycle time per part, all operations</t>
  </si>
  <si>
    <t>min/part</t>
  </si>
  <si>
    <t>Outside processing (bought-in operations)</t>
  </si>
  <si>
    <t>working days</t>
  </si>
  <si>
    <t>Clear anodise (Type II)</t>
  </si>
  <si>
    <t>Example Finishers</t>
  </si>
  <si>
    <t>Minimum lot</t>
  </si>
  <si>
    <t>Laser part marking</t>
  </si>
  <si>
    <t>Example Marking</t>
  </si>
  <si>
    <t>Tooling and one-off charges</t>
  </si>
  <si>
    <t>CNC programming and prove-out</t>
  </si>
  <si>
    <t>Amortise</t>
  </si>
  <si>
    <t>About 4 h</t>
  </si>
  <si>
    <t>First article inspection report</t>
  </si>
  <si>
    <t>Bill separately</t>
  </si>
  <si>
    <t>Full report</t>
  </si>
  <si>
    <t>Tooling total</t>
  </si>
  <si>
    <t>Tooling and NRE to amortise</t>
  </si>
  <si>
    <t>Lead time inputs</t>
  </si>
  <si>
    <t>Material lead time</t>
  </si>
  <si>
    <t>Queue, packing and shipping</t>
  </si>
  <si>
    <t>Outside processing (sum of rows)</t>
  </si>
  <si>
    <t>Price by quantity break</t>
  </si>
  <si>
    <t>Quantity (good parts)</t>
  </si>
  <si>
    <t>Unit</t>
  </si>
  <si>
    <t>Parts to start (yield)</t>
  </si>
  <si>
    <t>parts</t>
  </si>
  <si>
    <t>Material markup</t>
  </si>
  <si>
    <t>Machining and labour</t>
  </si>
  <si>
    <t>Setup, spread over the quantity</t>
  </si>
  <si>
    <t>Tooling and NRE, amortised</t>
  </si>
  <si>
    <t>Outside processing</t>
  </si>
  <si>
    <t>Outside processing markup</t>
  </si>
  <si>
    <t>Shop overhead</t>
  </si>
  <si>
    <t>Total cost per part</t>
  </si>
  <si>
    <t>Unit price</t>
  </si>
  <si>
    <t>Extended price</t>
  </si>
  <si>
    <t>Margin achieved</t>
  </si>
  <si>
    <t>% of price</t>
  </si>
  <si>
    <t>Production hours</t>
  </si>
  <si>
    <t>Lead time</t>
  </si>
  <si>
    <t>Chart data: cost per part by group</t>
  </si>
  <si>
    <t>Quantity</t>
  </si>
  <si>
    <t>Material incl. markup</t>
  </si>
  <si>
    <t>Setup, tooling and NRE</t>
  </si>
  <si>
    <t>Outside processing incl. markup</t>
  </si>
  <si>
    <t>Capacity check on the constraint operation</t>
  </si>
  <si>
    <t>Can the open machine hours before the requested date make the order? The constraint is the routing operation with the longest cycle. Same model as the live Job Shop Quotable Capacity calculator.</t>
  </si>
  <si>
    <t>Order quantity to check</t>
  </si>
  <si>
    <t>good parts</t>
  </si>
  <si>
    <t>Open hours on the constraint</t>
  </si>
  <si>
    <t>Constraint operation</t>
  </si>
  <si>
    <t>Its setup</t>
  </si>
  <si>
    <t>Its cycle</t>
  </si>
  <si>
    <t>Run hours after downtime and setup</t>
  </si>
  <si>
    <t>Parts that can be started</t>
  </si>
  <si>
    <t>Quotable good parts</t>
  </si>
  <si>
    <t>Open hours the order needs</t>
  </si>
  <si>
    <t>Parts to start for the order</t>
  </si>
  <si>
    <t>Capacity minus order</t>
  </si>
  <si>
    <t>Verdict</t>
  </si>
  <si>
    <t>Your logo here
(Insert &gt; Pictures, then drag it onto this box)</t>
  </si>
  <si>
    <t>QUOTATION</t>
  </si>
  <si>
    <t>To</t>
  </si>
  <si>
    <t>Date</t>
  </si>
  <si>
    <t>Your reference</t>
  </si>
  <si>
    <t>Valid until</t>
  </si>
  <si>
    <t>Description</t>
  </si>
  <si>
    <t>Delivery after order</t>
  </si>
  <si>
    <t>Charges billed separately</t>
  </si>
  <si>
    <t>Terms</t>
  </si>
  <si>
    <t>Payment</t>
  </si>
  <si>
    <t>Delivery</t>
  </si>
  <si>
    <t>Validity</t>
  </si>
  <si>
    <t>Acceptance</t>
  </si>
  <si>
    <t>Accepted for and on behalf of</t>
  </si>
  <si>
    <t>Name and position</t>
  </si>
  <si>
    <t>Signature and date</t>
  </si>
  <si>
    <t>Purchase order number</t>
  </si>
  <si>
    <t>What this workbook calculates</t>
  </si>
  <si>
    <t>The price of each quantity break is built up line by line from the routing, the material and the bought-in costs, then marked up to the target margin on price and rounded up to your price step. Setup and one-off charges are fixed per batch, so they spread over the quantity; material and run time scale with the parts you must start, which is the quantity divided by first-pass yield.</t>
  </si>
  <si>
    <t>Calculations</t>
  </si>
  <si>
    <t>How it is calculated</t>
  </si>
  <si>
    <t>Units</t>
  </si>
  <si>
    <t>Round bar: pi x (diameter / 2)^2 x length. Rectangular: width x thickness x length. Converted to cm3 (mm3 x 0.001, or in3 x 16.387064).</t>
  </si>
  <si>
    <t>Volume x density / 1000. Pounds = kg / 0.45359237 (exact).</t>
  </si>
  <si>
    <t>kg, lb</t>
  </si>
  <si>
    <t>Material price per kg</t>
  </si>
  <si>
    <t>From the Materials list; a price per lb is divided by 0.45359237.</t>
  </si>
  <si>
    <t>currency/kg</t>
  </si>
  <si>
    <t>Blank mass x price per kg x (1 + material allowance).</t>
  </si>
  <si>
    <t>currency</t>
  </si>
  <si>
    <t>Parts to start</t>
  </si>
  <si>
    <t>CEILING(quantity / first-pass yield): scrapped parts are remade, so they consume material and run time.</t>
  </si>
  <si>
    <t>Material per part</t>
  </si>
  <si>
    <t>Material cost per blank x parts to start / quantity.</t>
  </si>
  <si>
    <t>currency/part</t>
  </si>
  <si>
    <t>Setup cost per batch = sum of setup hours x work-centre rate; run cost per part started = sum of cycle minutes / 60 x rate; setup hours and cycle minutes summed over the operations.</t>
  </si>
  <si>
    <t>currency, h, min</t>
  </si>
  <si>
    <t>Machining and labour per part</t>
  </si>
  <si>
    <t>Run cost per part started x parts to start / quantity.</t>
  </si>
  <si>
    <t>Setup per part</t>
  </si>
  <si>
    <t>Setup cost per batch / quantity.</t>
  </si>
  <si>
    <t>Tooling and NRE per part</t>
  </si>
  <si>
    <t>Tooling and NRE to amortise (rows billed 'Amortise') / quantity. Rows billed separately are printed as their own lines on the Quote instead.</t>
  </si>
  <si>
    <t>Outside processing per part</t>
  </si>
  <si>
    <t>For each outside process, the larger of its lot charge and price per part x quantity; summed, / quantity.</t>
  </si>
  <si>
    <t>Markups</t>
  </si>
  <si>
    <t>Material per part x material markup; outside processing per part x outside processing markup.</t>
  </si>
  <si>
    <t>(Setup + machining and labour per part) x overhead %. Set 0% if your rates are fully burdened.</t>
  </si>
  <si>
    <t>Material + material markup + machining + setup + tooling + outside processing + its markup + overhead.</t>
  </si>
  <si>
    <t>CEILING(total cost / (1 - target margin), rounding step). Margin is on price: 25% margin = 33.3% markup on cost.</t>
  </si>
  <si>
    <t>(Unit price - total cost) / unit price; slightly above target because of rounding up.</t>
  </si>
  <si>
    <t>%</t>
  </si>
  <si>
    <t>Material lead + CEILING(production hours / (scheduled hours per day x uptime)) + sum of outside processing lead times + queue, packing and shipping. Production hours = total setup hours + parts to start x total cycle minutes / 60.</t>
  </si>
  <si>
    <t>Capacity check</t>
  </si>
  <si>
    <t>Same as the live calculator: run hours = MAX(0, open hours x uptime - setup); parts started = run hours x 60 / cycle; quotable good parts = FLOOR(parts started x yield); hours the order needs = (setup + quantity / yield x cycle / 60) / uptime; parts to start = CEILING(quantity / yield).</t>
  </si>
  <si>
    <t>parts, h</t>
  </si>
  <si>
    <t>Assumptions</t>
  </si>
  <si>
    <t>Operations run one after another with no overlap; production hours add up across the routing (a conservative lead time).</t>
  </si>
  <si>
    <t>Every operation runs the parts started; scrap is found at the end and remade inside the same batch.</t>
  </si>
  <si>
    <t>Outside processing is charged on the quoted quantity, not on parts started.</t>
  </si>
  <si>
    <t>Work-centre rates are what you charge per hour of that resource; overhead is added on top only if you set it.</t>
  </si>
  <si>
    <t>Limitations</t>
  </si>
  <si>
    <t>Queue time between operations is not modelled; put it in 'Queue, packing and shipping'.</t>
  </si>
  <si>
    <t>Material is costed per blank; nesting several parts per bar length or per plate is not modelled.</t>
  </si>
  <si>
    <t>The capacity check looks at one constraint operation only; a second near-constraint can still delay the order.</t>
  </si>
  <si>
    <t>No taxes, duties, freight, currency conversion or payment discounts are calculated.</t>
  </si>
  <si>
    <t>Agreement with the live calculator</t>
  </si>
  <si>
    <t>The live Job Shop Quotable Capacity calculator (job-shop-quote) answers a different question from most of this workbook: how many good parts can be promised from the machine hours open before an RFQ's due date. The capacity check block reproduces it exactly (same six inputs, same formulas), and the build checks it against the calculator's engine for the calculator's own example (80 open hours, 82% uptime, 3 h setup, 6.5 min cycle, 96% yield, 600 parts: 554 quotable good parts, 86.2 hours needed). Intentional difference: the calculator has no price; the cost and price build-up here is this template's own model.</t>
  </si>
  <si>
    <t>Open the Job Shop Quotable Capacity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</si>
  <si>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</si>
  <si>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</si>
  <si>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Shop costing practice: setup amortised per batch, run cost per part, margin on price (see the MFG Calcs Machine Hour Rate calculator for building a work-centre rate).</t>
  </si>
  <si>
    <t>Unit conversions: 1 lb = 0.45359237 kg and 1 in = 2.54 cm exactly (international yard and pound agreement, 1959).</t>
  </si>
  <si>
    <t>MFG Calcs Job Shop Quotable Capacity calculator (job-shop-quote): the capacity check model.</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</si>
  <si>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</si>
  <si>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</si>
  <si>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</si>
  <si>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</si>
  <si>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</si>
  <si>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</si>
  <si>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</si>
  <si>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</si>
  <si>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</si>
  <si>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</si>
  <si>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</si>
  <si>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</si>
  <si>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</si>
  <si>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</si>
  <si>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</si>
  <si>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Blank mass (kg)</t>
  </si>
  <si>
    <t>Routing row 2: run cost per part</t>
  </si>
  <si>
    <t>Tooling row 3: quote line number</t>
  </si>
  <si>
    <t>Qty 25: outside processing per part</t>
  </si>
  <si>
    <t>Qty 25: total cost per part</t>
  </si>
  <si>
    <t>Qty 25: unit price</t>
  </si>
  <si>
    <t>Qty 25: lead time (working days)</t>
  </si>
  <si>
    <t>Qty 250: outside processing per part</t>
  </si>
  <si>
    <t>Qty 250: total cost per part</t>
  </si>
  <si>
    <t>Qty 250: unit price</t>
  </si>
  <si>
    <t>Qty 250: lead time (working days)</t>
  </si>
  <si>
    <t>Qty 1000: outside processing per part</t>
  </si>
  <si>
    <t>Qty 1000: total cost per part</t>
  </si>
  <si>
    <t>Qty 1000: unit price</t>
  </si>
  <si>
    <t>Qty 1000: lead time (working days)</t>
  </si>
  <si>
    <t>Capacity: run hours</t>
  </si>
  <si>
    <t>Capacity: quotable good parts</t>
  </si>
  <si>
    <t>Capacity: open hours the order needs</t>
  </si>
  <si>
    <t>Capacity: parts to start</t>
  </si>
  <si>
    <t>Capacity: verdict</t>
  </si>
  <si>
    <t>Over capacity</t>
  </si>
  <si>
    <t>exact</t>
  </si>
  <si>
    <t>Fixed test inputs</t>
  </si>
  <si>
    <t>White cells are fixed test inputs; blue cells are the workbook's formulas evaluated on them.</t>
  </si>
  <si>
    <t>Parameters</t>
  </si>
  <si>
    <t>Price rounding step</t>
  </si>
  <si>
    <t>Scheduled hours per day</t>
  </si>
  <si>
    <t>Uptime</t>
  </si>
  <si>
    <t>Test table: Routing</t>
  </si>
  <si>
    <t>Test table: Outside</t>
  </si>
  <si>
    <t>Test table: Tooling</t>
  </si>
  <si>
    <t>Test routing totals (same formulas, over the test routing)</t>
  </si>
  <si>
    <t>Test tooling total</t>
  </si>
  <si>
    <t>Test material and blank</t>
  </si>
  <si>
    <t>Test lead-time inputs</t>
  </si>
  <si>
    <t>Test price build-up (same formulas as the Quote Builder)</t>
  </si>
  <si>
    <t>Test capacity check (the live calculator's example: 80 h, 3 h setup, 6.5 min cycle, 600 parts; uptime and yield from the parameters)</t>
  </si>
  <si>
    <t>Calculator example</t>
  </si>
</sst>
</file>

<file path=xl/styles.xml><?xml version="1.0" encoding="utf-8"?>
<styleSheet xmlns="http://schemas.openxmlformats.org/spreadsheetml/2006/main">
  <numFmts count="9">
    <numFmt numFmtId="164" formatCode="#,##0"/>
    <numFmt numFmtId="165" formatCode="0.0%"/>
    <numFmt numFmtId="166" formatCode="#,##0.00"/>
    <numFmt numFmtId="167" formatCode="#,##0.0"/>
    <numFmt numFmtId="168" formatCode="d mmm yyyy"/>
    <numFmt numFmtId="169" formatCode="#,##0.000"/>
    <numFmt numFmtId="170" formatCode="#,##0.0000"/>
    <numFmt numFmtId="171" formatCode="+#,##0;-#,##0;0"/>
    <numFmt numFmtId="172"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20"/>
      <color rgb="FF14386C"/>
      <name val="Calibri"/>
      <family val="2"/>
      <scheme val="minor"/>
    </font>
    <font>
      <b/>
      <sz val="9"/>
      <color rgb="FF4A5361"/>
      <name val="Calibri"/>
      <family val="2"/>
      <scheme val="minor"/>
    </font>
  </fonts>
  <fills count="9">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s>
  <borders count="9">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thin">
        <color rgb="FFD6DBE3"/>
      </top>
      <bottom style="thin">
        <color rgb="FFD6DBE3"/>
      </bottom>
      <diagonal/>
    </border>
    <border>
      <left/>
      <right/>
      <top/>
      <bottom style="thin">
        <color rgb="FFD6DBE3"/>
      </bottom>
      <diagonal/>
    </border>
  </borders>
  <cellStyleXfs count="1">
    <xf numFmtId="0" fontId="0" fillId="0" borderId="0"/>
  </cellStyleXfs>
  <cellXfs count="8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0" fillId="3" borderId="2" xfId="0" applyFont="1" applyFill="1" applyBorder="1" applyAlignment="1" applyProtection="1">
      <alignment vertical="top" wrapText="1"/>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168" fontId="10" fillId="3" borderId="2" xfId="0" applyNumberFormat="1" applyFont="1" applyFill="1" applyBorder="1" applyAlignment="1" applyProtection="1">
      <alignment horizontal="left" vertical="center"/>
      <protection locked="0"/>
    </xf>
    <xf numFmtId="166"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70" fontId="9" fillId="4" borderId="3" xfId="0" applyNumberFormat="1" applyFont="1" applyFill="1" applyBorder="1" applyAlignment="1">
      <alignment vertical="center"/>
    </xf>
    <xf numFmtId="0" fontId="10" fillId="4" borderId="3" xfId="0" applyFont="1" applyFill="1" applyBorder="1" applyAlignment="1">
      <alignment vertical="center"/>
    </xf>
    <xf numFmtId="170" fontId="10" fillId="4" borderId="3" xfId="0" applyNumberFormat="1" applyFont="1" applyFill="1" applyBorder="1" applyAlignment="1">
      <alignment vertical="center"/>
    </xf>
    <xf numFmtId="0" fontId="21" fillId="4" borderId="3" xfId="0" applyFont="1" applyFill="1" applyBorder="1" applyAlignment="1">
      <alignment vertical="center"/>
    </xf>
    <xf numFmtId="164" fontId="10" fillId="4" borderId="3" xfId="0" applyNumberFormat="1" applyFont="1" applyFill="1" applyBorder="1" applyAlignment="1">
      <alignment vertical="center"/>
    </xf>
    <xf numFmtId="0" fontId="19" fillId="2" borderId="5" xfId="0" applyFont="1" applyFill="1" applyBorder="1" applyAlignment="1">
      <alignment horizontal="left" vertical="center" wrapText="1"/>
    </xf>
    <xf numFmtId="164" fontId="10" fillId="3" borderId="2" xfId="0" applyNumberFormat="1" applyFont="1" applyFill="1" applyBorder="1" applyAlignment="1" applyProtection="1">
      <alignment horizontal="center" vertical="center"/>
      <protection locked="0"/>
    </xf>
    <xf numFmtId="166" fontId="9" fillId="4" borderId="6" xfId="0" applyNumberFormat="1" applyFont="1" applyFill="1" applyBorder="1" applyAlignment="1">
      <alignment vertical="center"/>
    </xf>
    <xf numFmtId="166" fontId="15" fillId="4" borderId="3" xfId="0" applyNumberFormat="1" applyFont="1" applyFill="1" applyBorder="1" applyAlignment="1">
      <alignment horizontal="center" vertical="center"/>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4" fontId="9" fillId="0" borderId="7" xfId="0" applyNumberFormat="1" applyFont="1" applyBorder="1" applyAlignment="1">
      <alignment horizontal="center" vertical="center"/>
    </xf>
    <xf numFmtId="171" fontId="9" fillId="4" borderId="3" xfId="0" applyNumberFormat="1" applyFont="1" applyFill="1" applyBorder="1" applyAlignment="1">
      <alignment vertical="center"/>
    </xf>
    <xf numFmtId="0" fontId="9" fillId="4" borderId="3" xfId="0" applyFont="1" applyFill="1" applyBorder="1" applyAlignment="1">
      <alignment vertical="center"/>
    </xf>
    <xf numFmtId="0" fontId="7" fillId="0" borderId="7" xfId="0" applyFont="1" applyBorder="1" applyAlignment="1">
      <alignment horizontal="center" vertical="center" wrapText="1"/>
    </xf>
    <xf numFmtId="0" fontId="22" fillId="0" borderId="0" xfId="0" applyFont="1" applyAlignment="1">
      <alignment horizontal="right" vertical="center"/>
    </xf>
    <xf numFmtId="0" fontId="9" fillId="0" borderId="0" xfId="0" applyFont="1" applyAlignment="1">
      <alignment horizontal="right" vertical="center"/>
    </xf>
    <xf numFmtId="0" fontId="10" fillId="0" borderId="0" xfId="0" applyFont="1" applyAlignment="1">
      <alignment horizontal="right" vertical="center"/>
    </xf>
    <xf numFmtId="0" fontId="23" fillId="0" borderId="0" xfId="0" applyFont="1" applyAlignment="1">
      <alignment vertical="center"/>
    </xf>
    <xf numFmtId="0" fontId="10" fillId="0" borderId="8" xfId="0" applyFont="1" applyBorder="1" applyAlignment="1">
      <alignment vertical="center"/>
    </xf>
    <xf numFmtId="0" fontId="10" fillId="0" borderId="8" xfId="0" applyFont="1" applyBorder="1" applyAlignment="1">
      <alignment horizontal="left" vertical="center"/>
    </xf>
    <xf numFmtId="168" fontId="10" fillId="0" borderId="8" xfId="0" applyNumberFormat="1" applyFont="1" applyBorder="1" applyAlignment="1">
      <alignment horizontal="left" vertical="center"/>
    </xf>
    <xf numFmtId="0" fontId="19" fillId="2" borderId="0" xfId="0" applyFont="1" applyFill="1" applyAlignment="1">
      <alignment horizontal="center" vertical="center" wrapText="1"/>
    </xf>
    <xf numFmtId="164" fontId="10" fillId="0" borderId="7" xfId="0" applyNumberFormat="1" applyFont="1" applyBorder="1" applyAlignment="1">
      <alignment horizontal="center" vertical="center"/>
    </xf>
    <xf numFmtId="166" fontId="10" fillId="0" borderId="7" xfId="0" applyNumberFormat="1" applyFont="1" applyBorder="1" applyAlignment="1">
      <alignment vertical="center"/>
    </xf>
    <xf numFmtId="0" fontId="10" fillId="0" borderId="7" xfId="0" applyFont="1" applyBorder="1" applyAlignment="1">
      <alignment horizontal="center" vertical="center"/>
    </xf>
    <xf numFmtId="0" fontId="10" fillId="0" borderId="7" xfId="0" applyFont="1" applyBorder="1" applyAlignment="1">
      <alignment vertical="center"/>
    </xf>
    <xf numFmtId="0" fontId="10" fillId="0" borderId="7" xfId="0" applyFont="1" applyBorder="1" applyAlignment="1">
      <alignment horizontal="right" vertical="center"/>
    </xf>
    <xf numFmtId="0" fontId="18" fillId="0" borderId="0" xfId="0" applyFont="1" applyAlignment="1">
      <alignment vertical="center"/>
    </xf>
    <xf numFmtId="0" fontId="23" fillId="0" borderId="0" xfId="0" applyFont="1" applyAlignment="1"/>
    <xf numFmtId="0" fontId="9" fillId="0" borderId="7" xfId="0" applyFont="1" applyBorder="1" applyAlignment="1">
      <alignment vertical="top" wrapText="1"/>
    </xf>
    <xf numFmtId="0" fontId="10" fillId="0" borderId="7" xfId="0" applyFont="1" applyBorder="1" applyAlignment="1">
      <alignment vertical="top" wrapText="1"/>
    </xf>
    <xf numFmtId="0" fontId="10" fillId="0" borderId="7" xfId="0" applyFont="1" applyBorder="1" applyAlignment="1">
      <alignment horizontal="center" vertical="top"/>
    </xf>
    <xf numFmtId="0" fontId="10" fillId="0" borderId="7" xfId="0" applyFont="1" applyBorder="1" applyAlignment="1">
      <alignment vertical="center" wrapText="1"/>
    </xf>
    <xf numFmtId="0" fontId="8" fillId="0" borderId="0" xfId="0" applyFont="1" applyAlignment="1">
      <alignment vertical="center"/>
    </xf>
    <xf numFmtId="169" fontId="10" fillId="0" borderId="7"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7" xfId="0" applyNumberFormat="1" applyFont="1" applyBorder="1" applyAlignment="1">
      <alignment vertical="center"/>
    </xf>
    <xf numFmtId="0" fontId="10" fillId="4" borderId="3" xfId="0" applyFont="1" applyFill="1" applyBorder="1" applyAlignment="1">
      <alignment horizontal="center" vertical="center"/>
    </xf>
    <xf numFmtId="170" fontId="10" fillId="0" borderId="7" xfId="0" applyNumberFormat="1" applyFont="1" applyBorder="1" applyAlignment="1">
      <alignment vertical="center"/>
    </xf>
    <xf numFmtId="164" fontId="10" fillId="0" borderId="7" xfId="0" applyNumberFormat="1" applyFont="1" applyBorder="1" applyAlignment="1">
      <alignment vertical="center"/>
    </xf>
    <xf numFmtId="165" fontId="10" fillId="0" borderId="7" xfId="0" applyNumberFormat="1" applyFont="1" applyBorder="1" applyAlignment="1">
      <alignment vertical="center"/>
    </xf>
    <xf numFmtId="167" fontId="10" fillId="0" borderId="7"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 price and cost by quantity</a:t>
            </a:r>
          </a:p>
        </c:rich>
      </c:tx>
      <c:layout/>
    </c:title>
    <c:plotArea>
      <c:layout/>
      <c:barChart>
        <c:barDir val="col"/>
        <c:grouping val="clustered"/>
        <c:ser>
          <c:idx val="0"/>
          <c:order val="0"/>
          <c:tx>
            <c:v>Unit price</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numRef>
              <c:f>'Quote Builder'!$D$95:$H$95</c:f>
              <c:numCache>
                <c:formatCode>General</c:formatCode>
                <c:ptCount val="5"/>
                <c:pt idx="0">
                  <c:v>25</c:v>
                </c:pt>
                <c:pt idx="1">
                  <c:v>100</c:v>
                </c:pt>
                <c:pt idx="2">
                  <c:v>250</c:v>
                </c:pt>
                <c:pt idx="3">
                  <c:v>500</c:v>
                </c:pt>
                <c:pt idx="4">
                  <c:v>1000</c:v>
                </c:pt>
              </c:numCache>
            </c:numRef>
          </c:cat>
          <c:val>
            <c:numRef>
              <c:f>'Quote Builder'!$D$88:$H$88</c:f>
              <c:numCache>
                <c:formatCode>General</c:formatCode>
                <c:ptCount val="5"/>
                <c:pt idx="0">
                  <c:v>83.38</c:v>
                </c:pt>
                <c:pt idx="1">
                  <c:v>42.32</c:v>
                </c:pt>
                <c:pt idx="2">
                  <c:v>34.74</c:v>
                </c:pt>
                <c:pt idx="3">
                  <c:v>32.53</c:v>
                </c:pt>
                <c:pt idx="4">
                  <c:v>31.45</c:v>
                </c:pt>
              </c:numCache>
            </c:numRef>
          </c:val>
        </c:ser>
        <c:gapWidth val="60"/>
        <c:overlap val="-10"/>
        <c:axId val="50010001"/>
        <c:axId val="50010002"/>
      </c:barChart>
      <c:lineChart>
        <c:grouping val="standard"/>
        <c:ser>
          <c:idx val="1"/>
          <c:order val="1"/>
          <c:tx>
            <c:v>Cost per part</c:v>
          </c:tx>
          <c:spPr>
            <a:ln w="28575">
              <a:solidFill>
                <a:srgbClr val="E8702A"/>
              </a:solidFill>
            </a:ln>
          </c:spPr>
          <c:marker>
            <c:symbol val="circle"/>
            <c:size val="5"/>
            <c:spPr>
              <a:solidFill>
                <a:srgbClr val="E8702A"/>
              </a:solidFill>
              <a:ln>
                <a:solidFill>
                  <a:srgbClr val="E8702A"/>
                </a:solidFill>
              </a:ln>
            </c:spPr>
          </c:marker>
          <c:cat>
            <c:numRef>
              <c:f>'Quote Builder'!$D$95:$H$95</c:f>
              <c:numCache>
                <c:formatCode>General</c:formatCode>
                <c:ptCount val="5"/>
                <c:pt idx="0">
                  <c:v>25</c:v>
                </c:pt>
                <c:pt idx="1">
                  <c:v>100</c:v>
                </c:pt>
                <c:pt idx="2">
                  <c:v>250</c:v>
                </c:pt>
                <c:pt idx="3">
                  <c:v>500</c:v>
                </c:pt>
                <c:pt idx="4">
                  <c:v>1000</c:v>
                </c:pt>
              </c:numCache>
            </c:numRef>
          </c:cat>
          <c:val>
            <c:numRef>
              <c:f>'Quote Builder'!$D$87:$H$87</c:f>
              <c:numCache>
                <c:formatCode>General</c:formatCode>
                <c:ptCount val="5"/>
                <c:pt idx="0">
                  <c:v>62.5312730321864</c:v>
                </c:pt>
                <c:pt idx="1">
                  <c:v>31.7356821146257</c:v>
                </c:pt>
                <c:pt idx="2">
                  <c:v>26.0495639311135</c:v>
                </c:pt>
                <c:pt idx="3">
                  <c:v>24.3925245366095</c:v>
                </c:pt>
                <c:pt idx="4">
                  <c:v>23.5846495366095</c:v>
                </c:pt>
              </c:numCache>
            </c:numRef>
          </c:val>
        </c:ser>
        <c:marker val="1"/>
        <c:axId val="50010001"/>
        <c:axId val="50010002"/>
      </c:lineChart>
      <c:catAx>
        <c:axId val="5001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per part goes</a:t>
            </a:r>
          </a:p>
        </c:rich>
      </c:tx>
      <c:layout/>
    </c:title>
    <c:plotArea>
      <c:layout/>
      <c:barChart>
        <c:barDir val="col"/>
        <c:grouping val="stacked"/>
        <c:ser>
          <c:idx val="0"/>
          <c:order val="0"/>
          <c:tx>
            <c:v>Material</c:v>
          </c:tx>
          <c:spPr>
            <a:solidFill>
              <a:srgbClr val="3B64D8"/>
            </a:solidFill>
            <a:ln w="9525">
              <a:solidFill>
                <a:srgbClr val="FFFFFF"/>
              </a:solidFill>
            </a:ln>
          </c:spPr>
          <c:cat>
            <c:numRef>
              <c:f>'Quote Builder'!$D$95:$H$95</c:f>
              <c:numCache>
                <c:formatCode>General</c:formatCode>
                <c:ptCount val="5"/>
                <c:pt idx="0">
                  <c:v>25</c:v>
                </c:pt>
                <c:pt idx="1">
                  <c:v>100</c:v>
                </c:pt>
                <c:pt idx="2">
                  <c:v>250</c:v>
                </c:pt>
                <c:pt idx="3">
                  <c:v>500</c:v>
                </c:pt>
                <c:pt idx="4">
                  <c:v>1000</c:v>
                </c:pt>
              </c:numCache>
            </c:numRef>
          </c:cat>
          <c:val>
            <c:numRef>
              <c:f>'Quote Builder'!$D$96:$H$96</c:f>
              <c:numCache>
                <c:formatCode>General</c:formatCode>
                <c:ptCount val="5"/>
                <c:pt idx="0">
                  <c:v>3.90432303218638</c:v>
                </c:pt>
                <c:pt idx="1">
                  <c:v>3.79586961462565</c:v>
                </c:pt>
                <c:pt idx="2">
                  <c:v>3.7741789311135</c:v>
                </c:pt>
                <c:pt idx="3">
                  <c:v>3.76694870327612</c:v>
                </c:pt>
                <c:pt idx="4">
                  <c:v>3.76694870327612</c:v>
                </c:pt>
              </c:numCache>
            </c:numRef>
          </c:val>
        </c:ser>
        <c:ser>
          <c:idx val="1"/>
          <c:order val="1"/>
          <c:tx>
            <c:v>Machining and labour</c:v>
          </c:tx>
          <c:spPr>
            <a:solidFill>
              <a:srgbClr val="E8702A"/>
            </a:solidFill>
            <a:ln w="9525">
              <a:solidFill>
                <a:srgbClr val="FFFFFF"/>
              </a:solidFill>
            </a:ln>
          </c:spPr>
          <c:cat>
            <c:numRef>
              <c:f>'Quote Builder'!$D$95:$H$95</c:f>
              <c:numCache>
                <c:formatCode>General</c:formatCode>
                <c:ptCount val="5"/>
                <c:pt idx="0">
                  <c:v>25</c:v>
                </c:pt>
                <c:pt idx="1">
                  <c:v>100</c:v>
                </c:pt>
                <c:pt idx="2">
                  <c:v>250</c:v>
                </c:pt>
                <c:pt idx="3">
                  <c:v>500</c:v>
                </c:pt>
                <c:pt idx="4">
                  <c:v>1000</c:v>
                </c:pt>
              </c:numCache>
            </c:numRef>
          </c:cat>
          <c:val>
            <c:numRef>
              <c:f>'Quote Builder'!$D$97:$H$97</c:f>
              <c:numCache>
                <c:formatCode>General</c:formatCode>
                <c:ptCount val="5"/>
                <c:pt idx="0">
                  <c:v>15.993</c:v>
                </c:pt>
                <c:pt idx="1">
                  <c:v>15.54875</c:v>
                </c:pt>
                <c:pt idx="2">
                  <c:v>15.4599</c:v>
                </c:pt>
                <c:pt idx="3">
                  <c:v>15.4302833333333</c:v>
                </c:pt>
                <c:pt idx="4">
                  <c:v>15.4302833333333</c:v>
                </c:pt>
              </c:numCache>
            </c:numRef>
          </c:val>
        </c:ser>
        <c:ser>
          <c:idx val="2"/>
          <c:order val="2"/>
          <c:tx>
            <c:v>Setup, tooling, NRE</c:v>
          </c:tx>
          <c:spPr>
            <a:solidFill>
              <a:srgbClr val="1BA37A"/>
            </a:solidFill>
            <a:ln w="9525">
              <a:solidFill>
                <a:srgbClr val="FFFFFF"/>
              </a:solidFill>
            </a:ln>
          </c:spPr>
          <c:cat>
            <c:numRef>
              <c:f>'Quote Builder'!$D$95:$H$95</c:f>
              <c:numCache>
                <c:formatCode>General</c:formatCode>
                <c:ptCount val="5"/>
                <c:pt idx="0">
                  <c:v>25</c:v>
                </c:pt>
                <c:pt idx="1">
                  <c:v>100</c:v>
                </c:pt>
                <c:pt idx="2">
                  <c:v>250</c:v>
                </c:pt>
                <c:pt idx="3">
                  <c:v>500</c:v>
                </c:pt>
                <c:pt idx="4">
                  <c:v>1000</c:v>
                </c:pt>
              </c:numCache>
            </c:numRef>
          </c:cat>
          <c:val>
            <c:numRef>
              <c:f>'Quote Builder'!$D$98:$H$98</c:f>
              <c:numCache>
                <c:formatCode>General</c:formatCode>
                <c:ptCount val="5"/>
                <c:pt idx="0">
                  <c:v>30.5</c:v>
                </c:pt>
                <c:pt idx="1">
                  <c:v>7.625</c:v>
                </c:pt>
                <c:pt idx="2">
                  <c:v>3.05</c:v>
                </c:pt>
                <c:pt idx="3">
                  <c:v>1.525</c:v>
                </c:pt>
                <c:pt idx="4">
                  <c:v>0.7625</c:v>
                </c:pt>
              </c:numCache>
            </c:numRef>
          </c:val>
        </c:ser>
        <c:ser>
          <c:idx val="3"/>
          <c:order val="3"/>
          <c:tx>
            <c:v>Outside processing</c:v>
          </c:tx>
          <c:spPr>
            <a:solidFill>
              <a:srgbClr val="E0A100"/>
            </a:solidFill>
            <a:ln w="9525">
              <a:solidFill>
                <a:srgbClr val="FFFFFF"/>
              </a:solidFill>
            </a:ln>
          </c:spPr>
          <c:cat>
            <c:numRef>
              <c:f>'Quote Builder'!$D$95:$H$95</c:f>
              <c:numCache>
                <c:formatCode>General</c:formatCode>
                <c:ptCount val="5"/>
                <c:pt idx="0">
                  <c:v>25</c:v>
                </c:pt>
                <c:pt idx="1">
                  <c:v>100</c:v>
                </c:pt>
                <c:pt idx="2">
                  <c:v>250</c:v>
                </c:pt>
                <c:pt idx="3">
                  <c:v>500</c:v>
                </c:pt>
                <c:pt idx="4">
                  <c:v>1000</c:v>
                </c:pt>
              </c:numCache>
            </c:numRef>
          </c:cat>
          <c:val>
            <c:numRef>
              <c:f>'Quote Builder'!$D$99:$H$99</c:f>
              <c:numCache>
                <c:formatCode>General</c:formatCode>
                <c:ptCount val="5"/>
                <c:pt idx="0">
                  <c:v>7.92</c:v>
                </c:pt>
                <c:pt idx="1">
                  <c:v>1.98</c:v>
                </c:pt>
                <c:pt idx="2">
                  <c:v>1.265</c:v>
                </c:pt>
                <c:pt idx="3">
                  <c:v>1.265</c:v>
                </c:pt>
                <c:pt idx="4">
                  <c:v>1.265</c:v>
                </c:pt>
              </c:numCache>
            </c:numRef>
          </c:val>
        </c:ser>
        <c:ser>
          <c:idx val="4"/>
          <c:order val="4"/>
          <c:tx>
            <c:v>Overhead</c:v>
          </c:tx>
          <c:spPr>
            <a:solidFill>
              <a:srgbClr val="D0558A"/>
            </a:solidFill>
            <a:ln w="9525">
              <a:solidFill>
                <a:srgbClr val="FFFFFF"/>
              </a:solidFill>
            </a:ln>
          </c:spPr>
          <c:cat>
            <c:numRef>
              <c:f>'Quote Builder'!$D$95:$H$95</c:f>
              <c:numCache>
                <c:formatCode>General</c:formatCode>
                <c:ptCount val="5"/>
                <c:pt idx="0">
                  <c:v>25</c:v>
                </c:pt>
                <c:pt idx="1">
                  <c:v>100</c:v>
                </c:pt>
                <c:pt idx="2">
                  <c:v>250</c:v>
                </c:pt>
                <c:pt idx="3">
                  <c:v>500</c:v>
                </c:pt>
                <c:pt idx="4">
                  <c:v>1000</c:v>
                </c:pt>
              </c:numCache>
            </c:numRef>
          </c:cat>
          <c:val>
            <c:numRef>
              <c:f>'Quote Builder'!$D$100:$H$100</c:f>
              <c:numCache>
                <c:formatCode>General</c:formatCode>
                <c:ptCount val="5"/>
                <c:pt idx="0">
                  <c:v>4.21395</c:v>
                </c:pt>
                <c:pt idx="1">
                  <c:v>2.7860625</c:v>
                </c:pt>
                <c:pt idx="2">
                  <c:v>2.500485</c:v>
                </c:pt>
                <c:pt idx="3">
                  <c:v>2.4052925</c:v>
                </c:pt>
                <c:pt idx="4">
                  <c:v>2.3599175</c:v>
                </c:pt>
              </c:numCache>
            </c:numRef>
          </c:val>
        </c:ser>
        <c:gapWidth val="60"/>
        <c:overlap val="100"/>
        <c:axId val="50020001"/>
        <c:axId val="50020002"/>
      </c:barChart>
      <c:catAx>
        <c:axId val="5002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101</xdr:row>
      <xdr:rowOff>38100</xdr:rowOff>
    </xdr:from>
    <xdr:to>
      <xdr:col>4</xdr:col>
      <xdr:colOff>876300</xdr:colOff>
      <xdr:row>116</xdr:row>
      <xdr:rowOff>152400</xdr:rowOff>
    </xdr:to>
    <xdr:graphicFrame macro="">
      <xdr:nvGraphicFramePr>
        <xdr:cNvPr id="2" name="Chart 1" descr="Column chart of the unit price at each quantity break with the total cost per part as a line, showing setup and one-off costs spreading over larger quantiti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101</xdr:row>
      <xdr:rowOff>38100</xdr:rowOff>
    </xdr:from>
    <xdr:to>
      <xdr:col>10</xdr:col>
      <xdr:colOff>1609725</xdr:colOff>
      <xdr:row>116</xdr:row>
      <xdr:rowOff>152400</xdr:rowOff>
    </xdr:to>
    <xdr:graphicFrame macro="">
      <xdr:nvGraphicFramePr>
        <xdr:cNvPr id="3" name="Chart 2" descr="Stacked column chart of cost per part at each quantity break, split into material, machining, one-off costs, outside processing and overhea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WorkCentres" displayName="tblWorkCentres" ref="B35:D41" totalsRowShown="0">
  <autoFilter ref="B35:D41"/>
  <tableColumns count="3">
    <tableColumn id="1" name="Work centre"/>
    <tableColumn id="2" name="Rate per hour"/>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Materials" displayName="tblMaterials" ref="B45:F50" totalsRowShown="0">
  <autoFilter ref="B45:F50"/>
  <tableColumns count="5">
    <tableColumn id="1" name="Material"/>
    <tableColumn id="2" name="Density (g/cm3)"/>
    <tableColumn id="3" name="Price"/>
    <tableColumn id="4" name="Per"/>
    <tableColumn id="5" name="Notes"/>
  </tableColumns>
  <tableStyleInfo name="TableStyleLight1" showFirstColumn="0" showLastColumn="0" showRowStripes="0" showColumnStripes="0"/>
</table>
</file>

<file path=xl/tables/table3.xml><?xml version="1.0" encoding="utf-8"?>
<table xmlns="http://schemas.openxmlformats.org/spreadsheetml/2006/main" id="3" name="tblRouting" displayName="tblRouting" ref="B38:K43" totalsRowShown="0">
  <autoFilter ref="B38:K43"/>
  <tableColumns count="10">
    <tableColumn id="1" name="Operation"/>
    <tableColumn id="2" name="Op"/>
    <tableColumn id="3" name="Work centre"/>
    <tableColumn id="4" name="Setup (h)"/>
    <tableColumn id="5" name="Cycle (min/part)"/>
    <tableColumn id="6" name="Rate">
      <calculatedColumnFormula>IF(tblRouting[[#This Row],[Operation]]="","",IFERROR(INDEX(tblWorkCentres[Rate per hour],MATCH(tblRouting[[#This Row],[Work centre]],tblWorkCentres[Work centre],0)),""))</calculatedColumnFormula>
    </tableColumn>
    <tableColumn id="7" name="Setup cost">
      <calculatedColumnFormula>IF(tblRouting[[#This Row],[Operation]]="","",IF(tblRouting[[#This Row],[Rate]]="","",tblRouting[[#This Row],[Setup (h)]]*tblRouting[[#This Row],[Rate]]))</calculatedColumnFormula>
    </tableColumn>
    <tableColumn id="8" name="Run cost">
      <calculatedColumnFormula>IF(tblRouting[[#This Row],[Operation]]="","",IF(tblRouting[[#This Row],[Rate]]="","",tblRouting[[#This Row],[Cycle (min/part)]]/60*tblRouting[[#This Row],[Rate]]))</calculatedColumnFormula>
    </tableColumn>
    <tableColumn id="9" name="Check">
      <calculatedColumnFormula>IF(tblRouting[[#This Row],[Operation]]="","",IF(tblRouting[[#This Row],[Work centre]]="","Missing work centre",IF(tblRouting[[#This Row],[Rate]]="","Work centre not on Setup list","OK")))</calculatedColumnFormula>
    </tableColumn>
    <tableColumn id="10" name="Notes"/>
  </tableColumns>
  <tableStyleInfo name="TableStyleLight1" showFirstColumn="0" showLastColumn="0" showRowStripes="0" showColumnStripes="0"/>
</table>
</file>

<file path=xl/tables/table4.xml><?xml version="1.0" encoding="utf-8"?>
<table xmlns="http://schemas.openxmlformats.org/spreadsheetml/2006/main" id="4" name="tblOutside" displayName="tblOutside" ref="B54:G56" totalsRowShown="0">
  <autoFilter ref="B54:G56"/>
  <tableColumns count="6">
    <tableColumn id="1" name="Process"/>
    <tableColumn id="2" name="Supplier"/>
    <tableColumn id="3" name="Price per part"/>
    <tableColumn id="4" name="Lot charge"/>
    <tableColumn id="5" name="Lead time (days)"/>
    <tableColumn id="6" name="Notes"/>
  </tableColumns>
  <tableStyleInfo name="TableStyleLight1" showFirstColumn="0" showLastColumn="0" showRowStripes="0" showColumnStripes="0"/>
</table>
</file>

<file path=xl/tables/table5.xml><?xml version="1.0" encoding="utf-8"?>
<table xmlns="http://schemas.openxmlformats.org/spreadsheetml/2006/main" id="5" name="tblTooling" displayName="tblTooling" ref="B61:F64" totalsRowShown="0">
  <autoFilter ref="B61:F64"/>
  <tableColumns count="5">
    <tableColumn id="1" name="Item"/>
    <tableColumn id="2" name="Cost"/>
    <tableColumn id="3" name="Billing"/>
    <tableColumn id="4" name="Quote line">
      <calculatedColumnFormula>IF(tblTooling[[#This Row],[Item]]="","",IF(tblTooling[[#This Row],[Billing]]="Bill separately",SUMPRODUCT((tblTooling[Billing]="Bill separately")*(ROW(tblTooling[Billing])&lt;=ROW(tblTooling[[#This Row],[Billing]]))),""))</calculatedColumnFormula>
    </tableColumn>
    <tableColumn id="5" name="Notes"/>
  </tableColumns>
  <tableStyleInfo name="TableStyleLight1" showFirstColumn="0" showLastColumn="0" showRowStripes="0" showColumnStripes="0"/>
</table>
</file>

<file path=xl/tables/table6.xml><?xml version="1.0" encoding="utf-8"?>
<table xmlns="http://schemas.openxmlformats.org/spreadsheetml/2006/main" id="6" name="tblVerifyRouting" displayName="tblVerifyRouting" ref="B48:K53" totalsRowShown="0">
  <tableColumns count="10">
    <tableColumn id="1" name="Operation"/>
    <tableColumn id="2" name="Op"/>
    <tableColumn id="3" name="Work centre"/>
    <tableColumn id="4" name="Setup (h)"/>
    <tableColumn id="5" name="Cycle (min/part)"/>
    <tableColumn id="6" name="Rate"/>
    <tableColumn id="7" name="Setup cost">
      <calculatedColumnFormula>IF(tblVerifyRouting[[#This Row],[Operation]]="","",IF(tblVerifyRouting[[#This Row],[Rate]]="","",tblVerifyRouting[[#This Row],[Setup (h)]]*tblVerifyRouting[[#This Row],[Rate]]))</calculatedColumnFormula>
    </tableColumn>
    <tableColumn id="8" name="Run cost">
      <calculatedColumnFormula>IF(tblVerifyRouting[[#This Row],[Operation]]="","",IF(tblVerifyRouting[[#This Row],[Rate]]="","",tblVerifyRouting[[#This Row],[Cycle (min/part)]]/60*tblVerifyRouting[[#This Row],[Rate]]))</calculatedColumnFormula>
    </tableColumn>
    <tableColumn id="9" name="Check">
      <calculatedColumnFormula>IF(tblVerifyRouting[[#This Row],[Operation]]="","",IF(tblVerifyRouting[[#This Row],[Work centre]]="","Missing work centre",IF(tblVerifyRouting[[#This Row],[Rate]]="","Work centre not on Setup list","OK")))</calculatedColumnFormula>
    </tableColumn>
    <tableColumn id="10" name="Notes"/>
  </tableColumns>
  <tableStyleInfo name="TableStyleLight1" showFirstColumn="0" showLastColumn="0" showRowStripes="0" showColumnStripes="0"/>
</table>
</file>

<file path=xl/tables/table7.xml><?xml version="1.0" encoding="utf-8"?>
<table xmlns="http://schemas.openxmlformats.org/spreadsheetml/2006/main" id="7" name="tblVerifyOutside" displayName="tblVerifyOutside" ref="B57:G59" totalsRowShown="0">
  <tableColumns count="6">
    <tableColumn id="1" name="Process"/>
    <tableColumn id="2" name="Supplier"/>
    <tableColumn id="3" name="Price per part"/>
    <tableColumn id="4" name="Lot charge"/>
    <tableColumn id="5" name="Lead time (days)"/>
    <tableColumn id="6" name="Notes"/>
  </tableColumns>
  <tableStyleInfo name="TableStyleLight1" showFirstColumn="0" showLastColumn="0" showRowStripes="0" showColumnStripes="0"/>
</table>
</file>

<file path=xl/tables/table8.xml><?xml version="1.0" encoding="utf-8"?>
<table xmlns="http://schemas.openxmlformats.org/spreadsheetml/2006/main" id="8" name="tblVerifyTooling" displayName="tblVerifyTooling" ref="B63:F66" totalsRowShown="0">
  <tableColumns count="5">
    <tableColumn id="1" name="Item"/>
    <tableColumn id="2" name="Cost"/>
    <tableColumn id="3" name="Billing"/>
    <tableColumn id="4" name="Quote line">
      <calculatedColumnFormula>IF(tblVerifyTooling[[#This Row],[Item]]="","",IF(tblVerifyTooling[[#This Row],[Billing]]="Bill separately",SUMPRODUCT((tblVerifyTooling[Billing]="Bill separately")*(ROW(tblVerifyTooling[Billing])&lt;=ROW(tblVerifyTooling[[#This Row],[Billing]]))),""))</calculatedColumnFormula>
    </tableColumn>
    <tableColumn id="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job-shop-quote" TargetMode="External"/><Relationship Id="rId2" Type="http://schemas.openxmlformats.org/officeDocument/2006/relationships/hyperlink" Target="https://www.mfgcalcs.com/calculators/contract-manufacturing-job-shop-quoting/job-shop-quote?utm_source=mfgcalcs-template&amp;utm_medium=xlsx&amp;utm_campaign=job-shop-quote" TargetMode="External"/><Relationship Id="rId3" Type="http://schemas.openxmlformats.org/officeDocument/2006/relationships/hyperlink" Target="https://www.mfgcalcs.com/templates/job-shop-quote?utm_source=mfgcalcs-template&amp;utm_medium=xlsx&amp;utm_campaign=job-shop-quote" TargetMode="External"/><Relationship Id="rId4" Type="http://schemas.openxmlformats.org/officeDocument/2006/relationships/hyperlink" Target="https://www.mfgcalcs.com/templates?utm_source=mfgcalcs-template&amp;utm_medium=xlsx&amp;utm_campaign=job-shop-quot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job-shop-quote"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job-shop-quote" TargetMode="External"/><Relationship Id="rId2" Type="http://schemas.openxmlformats.org/officeDocument/2006/relationships/drawing" Target="../drawings/drawing2.xml"/><Relationship Id="rId3" Type="http://schemas.openxmlformats.org/officeDocument/2006/relationships/table" Target="../tables/table3.xml"/><Relationship Id="rId4" Type="http://schemas.openxmlformats.org/officeDocument/2006/relationships/table" Target="../tables/table4.xml"/><Relationship Id="rId5"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job-shop-quo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job-shop-quote" TargetMode="External"/><Relationship Id="rId2" Type="http://schemas.openxmlformats.org/officeDocument/2006/relationships/hyperlink" Target="https://www.mfgcalcs.com/calculators/contract-manufacturing-job-shop-quoting/job-shop-quote?utm_source=mfgcalcs-template&amp;utm_medium=xlsx&amp;utm_campaign=job-shop-quo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job-shop-quote" TargetMode="External"/><Relationship Id="rId2" Type="http://schemas.openxmlformats.org/officeDocument/2006/relationships/table" Target="../tables/table6.xml"/><Relationship Id="rId3" Type="http://schemas.openxmlformats.org/officeDocument/2006/relationships/table" Target="../tables/table7.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21 of 21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4" spans="2:6" ht="29.4" customHeight="1">
      <c r="B54" s="26" t="s">
        <v>55</v>
      </c>
      <c r="C54" s="10" t="s">
        <v>60</v>
      </c>
      <c r="D54" s="10"/>
      <c r="E54" s="10"/>
      <c r="F54" s="10"/>
    </row>
    <row r="56" spans="2:6" ht="16.2" customHeight="1">
      <c r="B56" s="17" t="s">
        <v>61</v>
      </c>
      <c r="C56" s="17"/>
      <c r="D56" s="17"/>
      <c r="E56" s="17"/>
      <c r="F56" s="17"/>
    </row>
    <row r="57" spans="2:6" ht="26.76" customHeight="1">
      <c r="B57" s="21" t="s">
        <v>62</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C54:F54"/>
    <mergeCell ref="B56:F56"/>
    <mergeCell ref="B57:F57"/>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Quote Builder'!A1" tooltip="Go to Quote Builder" display="Quote Builder"/>
    <hyperlink ref="C23" location="Quote!A1" tooltip="Go to Quote" display="Quote"/>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Job Shop Quote&amp;R&amp;8&amp;A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50"/>
  <sheetViews>
    <sheetView showGridLines="0" workbookViewId="0"/>
  </sheetViews>
  <sheetFormatPr defaultRowHeight="15"/>
  <cols>
    <col min="1" max="1" width="2.7109375" customWidth="1"/>
    <col min="2" max="2" width="32.7109375" customWidth="1"/>
    <col min="3" max="3" width="14.7109375" customWidth="1"/>
    <col min="4" max="4" width="24.7109375" customWidth="1"/>
    <col min="5" max="5" width="8.7109375" customWidth="1"/>
    <col min="6" max="6" width="30.7109375" customWidth="1"/>
  </cols>
  <sheetData>
    <row r="1" spans="1:6" ht="30" customHeight="1">
      <c r="A1" s="1" t="s">
        <v>0</v>
      </c>
      <c r="B1" s="1"/>
      <c r="C1" s="1"/>
      <c r="D1" s="1"/>
      <c r="E1" s="1"/>
      <c r="F1" s="1"/>
    </row>
    <row r="2" spans="1:6" ht="32.4" customHeight="1">
      <c r="B2" s="2" t="s">
        <v>20</v>
      </c>
      <c r="C2" s="2"/>
      <c r="D2" s="2"/>
      <c r="E2" s="2"/>
      <c r="F2" s="3" t="s">
        <v>2</v>
      </c>
    </row>
    <row r="3" spans="1:6" ht="6" customHeight="1"/>
    <row r="4" spans="1:6" ht="21" customHeight="1">
      <c r="B4" s="8" t="s">
        <v>70</v>
      </c>
      <c r="C4" s="8"/>
      <c r="D4" s="8"/>
      <c r="E4" s="8"/>
      <c r="F4" s="8"/>
    </row>
    <row r="5" spans="1:6" ht="5" customHeight="1"/>
    <row r="6" spans="1:6">
      <c r="B6" s="27" t="s">
        <v>71</v>
      </c>
      <c r="C6" s="28" t="s">
        <v>72</v>
      </c>
      <c r="D6" s="28"/>
    </row>
    <row r="7" spans="1:6">
      <c r="B7" s="27" t="s">
        <v>73</v>
      </c>
      <c r="C7" s="28" t="s">
        <v>74</v>
      </c>
      <c r="D7" s="28"/>
    </row>
    <row r="8" spans="1:6">
      <c r="B8" s="27" t="s">
        <v>75</v>
      </c>
      <c r="C8" s="28" t="s">
        <v>76</v>
      </c>
      <c r="D8" s="28"/>
    </row>
    <row r="9" spans="1:6">
      <c r="B9" s="27" t="s">
        <v>77</v>
      </c>
      <c r="C9" s="28" t="s">
        <v>78</v>
      </c>
      <c r="D9" s="28"/>
    </row>
    <row r="10" spans="1:6">
      <c r="B10" s="27" t="s">
        <v>79</v>
      </c>
      <c r="C10" s="28" t="s">
        <v>80</v>
      </c>
      <c r="D10" s="28"/>
    </row>
    <row r="12" spans="1:6" ht="21" customHeight="1">
      <c r="B12" s="8" t="s">
        <v>81</v>
      </c>
      <c r="C12" s="8"/>
      <c r="D12" s="8"/>
      <c r="E12" s="8"/>
      <c r="F12" s="8"/>
    </row>
    <row r="13" spans="1:6" ht="5" customHeight="1"/>
    <row r="14" spans="1:6">
      <c r="B14" s="27" t="s">
        <v>82</v>
      </c>
      <c r="C14" s="28" t="s">
        <v>83</v>
      </c>
      <c r="D14" s="28"/>
    </row>
    <row r="15" spans="1:6">
      <c r="B15" s="27" t="s">
        <v>84</v>
      </c>
      <c r="C15" s="29">
        <v>30</v>
      </c>
      <c r="D15" s="7" t="s">
        <v>85</v>
      </c>
    </row>
    <row r="16" spans="1:6">
      <c r="B16" s="27" t="s">
        <v>86</v>
      </c>
      <c r="C16" s="28" t="s">
        <v>87</v>
      </c>
      <c r="D16" s="28"/>
    </row>
    <row r="17" spans="2:6">
      <c r="B17" s="27" t="s">
        <v>88</v>
      </c>
      <c r="C17" s="28" t="s">
        <v>89</v>
      </c>
      <c r="D17" s="28"/>
    </row>
    <row r="18" spans="2:6" ht="84.2" customHeight="1">
      <c r="B18" s="27" t="s">
        <v>90</v>
      </c>
      <c r="C18" s="30" t="s">
        <v>91</v>
      </c>
      <c r="D18" s="30"/>
    </row>
    <row r="20" spans="2:6" ht="21" customHeight="1">
      <c r="B20" s="8" t="s">
        <v>92</v>
      </c>
      <c r="C20" s="8"/>
      <c r="D20" s="8"/>
      <c r="E20" s="8"/>
      <c r="F20" s="8"/>
    </row>
    <row r="21" spans="2:6" ht="5" customHeight="1"/>
    <row r="22" spans="2:6">
      <c r="B22" s="27" t="s">
        <v>93</v>
      </c>
      <c r="C22" s="31">
        <v>0.15</v>
      </c>
      <c r="D22" s="7"/>
    </row>
    <row r="23" spans="2:6">
      <c r="B23" s="27" t="s">
        <v>94</v>
      </c>
      <c r="C23" s="31">
        <v>0.1</v>
      </c>
      <c r="D23" s="7"/>
    </row>
    <row r="24" spans="2:6">
      <c r="B24" s="27" t="s">
        <v>95</v>
      </c>
      <c r="C24" s="31">
        <v>0.1</v>
      </c>
      <c r="D24" s="7"/>
    </row>
    <row r="25" spans="2:6">
      <c r="B25" s="27" t="s">
        <v>96</v>
      </c>
      <c r="C25" s="31">
        <v>0.25</v>
      </c>
      <c r="D25" s="7"/>
    </row>
    <row r="26" spans="2:6">
      <c r="B26" s="27" t="s">
        <v>97</v>
      </c>
      <c r="C26" s="31">
        <v>0.96</v>
      </c>
      <c r="D26" s="7"/>
    </row>
    <row r="27" spans="2:6">
      <c r="B27" s="27" t="s">
        <v>98</v>
      </c>
      <c r="C27" s="32">
        <v>0.01</v>
      </c>
      <c r="D27" s="7" t="str">
        <f>Currency</f>
        <v>USD</v>
      </c>
    </row>
    <row r="28" spans="2:6">
      <c r="B28" s="27" t="s">
        <v>99</v>
      </c>
      <c r="C28" s="33">
        <v>16</v>
      </c>
      <c r="D28" s="7" t="s">
        <v>100</v>
      </c>
    </row>
    <row r="29" spans="2:6">
      <c r="B29" s="27" t="s">
        <v>101</v>
      </c>
      <c r="C29" s="31">
        <v>0.82</v>
      </c>
      <c r="D29" s="7"/>
    </row>
    <row r="31" spans="2:6" ht="21" customHeight="1">
      <c r="B31" s="8" t="s">
        <v>102</v>
      </c>
      <c r="C31" s="8"/>
      <c r="D31" s="8"/>
      <c r="E31" s="8"/>
      <c r="F31" s="8"/>
    </row>
    <row r="32" spans="2:6" ht="5" customHeight="1"/>
    <row r="33" spans="2:6">
      <c r="B33" s="34" t="s">
        <v>103</v>
      </c>
      <c r="C33" s="34"/>
      <c r="D33" s="34"/>
    </row>
    <row r="34" spans="2:6" ht="14" customHeight="1">
      <c r="B34" s="35"/>
      <c r="C34" s="35" t="str">
        <f>Currency&amp;"/h"</f>
        <v>USD/h</v>
      </c>
      <c r="D34" s="35"/>
    </row>
    <row r="35" spans="2:6" ht="20" customHeight="1">
      <c r="B35" s="36" t="s">
        <v>63</v>
      </c>
      <c r="C35" s="36" t="s">
        <v>64</v>
      </c>
      <c r="D35" s="36" t="s">
        <v>65</v>
      </c>
    </row>
    <row r="36" spans="2:6">
      <c r="B36" s="28" t="s">
        <v>104</v>
      </c>
      <c r="C36" s="32">
        <v>45</v>
      </c>
      <c r="D36" s="28" t="s">
        <v>105</v>
      </c>
    </row>
    <row r="37" spans="2:6">
      <c r="B37" s="28" t="s">
        <v>106</v>
      </c>
      <c r="C37" s="32">
        <v>85</v>
      </c>
      <c r="D37" s="28" t="s">
        <v>107</v>
      </c>
    </row>
    <row r="38" spans="2:6">
      <c r="B38" s="28" t="s">
        <v>108</v>
      </c>
      <c r="C38" s="32">
        <v>95</v>
      </c>
      <c r="D38" s="28" t="s">
        <v>109</v>
      </c>
    </row>
    <row r="39" spans="2:6">
      <c r="B39" s="28" t="s">
        <v>110</v>
      </c>
      <c r="C39" s="32">
        <v>140</v>
      </c>
      <c r="D39" s="28" t="s">
        <v>111</v>
      </c>
    </row>
    <row r="40" spans="2:6">
      <c r="B40" s="28" t="s">
        <v>112</v>
      </c>
      <c r="C40" s="32">
        <v>50</v>
      </c>
      <c r="D40" s="28" t="s">
        <v>113</v>
      </c>
    </row>
    <row r="41" spans="2:6">
      <c r="B41" s="28" t="s">
        <v>114</v>
      </c>
      <c r="C41" s="32">
        <v>90</v>
      </c>
      <c r="D41" s="28" t="s">
        <v>115</v>
      </c>
    </row>
    <row r="43" spans="2:6">
      <c r="B43" s="34" t="s">
        <v>116</v>
      </c>
      <c r="C43" s="34"/>
      <c r="D43" s="34"/>
      <c r="E43" s="34"/>
      <c r="F43" s="34"/>
    </row>
    <row r="44" spans="2:6" ht="14" customHeight="1">
      <c r="B44" s="35"/>
      <c r="C44" s="35"/>
      <c r="D44" s="35" t="str">
        <f>Currency</f>
        <v>USD</v>
      </c>
      <c r="E44" s="35"/>
      <c r="F44" s="35"/>
    </row>
    <row r="45" spans="2:6" ht="32" customHeight="1">
      <c r="B45" s="36" t="s">
        <v>66</v>
      </c>
      <c r="C45" s="36" t="s">
        <v>67</v>
      </c>
      <c r="D45" s="36" t="s">
        <v>68</v>
      </c>
      <c r="E45" s="36" t="s">
        <v>69</v>
      </c>
      <c r="F45" s="36" t="s">
        <v>65</v>
      </c>
    </row>
    <row r="46" spans="2:6">
      <c r="B46" s="28" t="s">
        <v>117</v>
      </c>
      <c r="C46" s="32">
        <v>2.7</v>
      </c>
      <c r="D46" s="32">
        <v>7.2</v>
      </c>
      <c r="E46" s="28" t="s">
        <v>118</v>
      </c>
      <c r="F46" s="28" t="s">
        <v>119</v>
      </c>
    </row>
    <row r="47" spans="2:6">
      <c r="B47" s="28" t="s">
        <v>120</v>
      </c>
      <c r="C47" s="32">
        <v>7.85</v>
      </c>
      <c r="D47" s="32">
        <v>2.4</v>
      </c>
      <c r="E47" s="28" t="s">
        <v>118</v>
      </c>
      <c r="F47" s="28" t="s">
        <v>119</v>
      </c>
    </row>
    <row r="48" spans="2:6">
      <c r="B48" s="28" t="s">
        <v>121</v>
      </c>
      <c r="C48" s="32">
        <v>7.93</v>
      </c>
      <c r="D48" s="32">
        <v>6.5</v>
      </c>
      <c r="E48" s="28" t="s">
        <v>118</v>
      </c>
      <c r="F48" s="28" t="s">
        <v>119</v>
      </c>
    </row>
    <row r="49" spans="2:6">
      <c r="B49" s="28" t="s">
        <v>122</v>
      </c>
      <c r="C49" s="32">
        <v>8.5</v>
      </c>
      <c r="D49" s="32">
        <v>4.45</v>
      </c>
      <c r="E49" s="28" t="s">
        <v>123</v>
      </c>
      <c r="F49" s="28" t="s">
        <v>124</v>
      </c>
    </row>
    <row r="50" spans="2:6">
      <c r="B50" s="28" t="s">
        <v>125</v>
      </c>
      <c r="C50" s="32">
        <v>1.41</v>
      </c>
      <c r="D50" s="32">
        <v>12</v>
      </c>
      <c r="E50" s="28" t="s">
        <v>118</v>
      </c>
      <c r="F50" s="28" t="s">
        <v>119</v>
      </c>
    </row>
  </sheetData>
  <mergeCells count="17">
    <mergeCell ref="A1:F1"/>
    <mergeCell ref="B2:E2"/>
    <mergeCell ref="B4:F4"/>
    <mergeCell ref="C6:D6"/>
    <mergeCell ref="C7:D7"/>
    <mergeCell ref="C8:D8"/>
    <mergeCell ref="C9:D9"/>
    <mergeCell ref="C10:D10"/>
    <mergeCell ref="B12:F12"/>
    <mergeCell ref="C14:D14"/>
    <mergeCell ref="C16:D16"/>
    <mergeCell ref="C17:D17"/>
    <mergeCell ref="C18:D18"/>
    <mergeCell ref="B20:F20"/>
    <mergeCell ref="B31:F31"/>
    <mergeCell ref="B33:D33"/>
    <mergeCell ref="B43:F43"/>
  </mergeCells>
  <dataValidations count="26">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80 characters." promptTitle="Address line 1" prompt="Text up to 80 characters." sqref="C7">
      <formula1>0</formula1>
      <formula2>80</formula2>
    </dataValidation>
    <dataValidation type="textLength" allowBlank="1" showInputMessage="1" showErrorMessage="1" errorTitle="Check this entry" error="Text up to 80 characters." promptTitle="Address line 2" prompt="Text up to 80 characters." sqref="C8">
      <formula1>0</formula1>
      <formula2>80</formula2>
    </dataValidation>
    <dataValidation type="textLength" allowBlank="1" showInputMessage="1" showErrorMessage="1" errorTitle="Check this entry" error="Text up to 40 characters." promptTitle="Phone" prompt="Text up to 40 characters." sqref="C9">
      <formula1>0</formula1>
      <formula2>40</formula2>
    </dataValidation>
    <dataValidation type="textLength" allowBlank="1" showInputMessage="1" showErrorMessage="1" errorTitle="Check this entry" error="Text up to 80 characters." promptTitle="Email" prompt="Text up to 80 characters." sqref="C10">
      <formula1>0</formula1>
      <formula2>80</formula2>
    </dataValidation>
    <dataValidation type="textLength" allowBlank="1" showInputMessage="1" showErrorMessage="1" errorTitle="Check this entry" error="Text up to 12 characters." promptTitle="Currency label" prompt="Text shown with every price, e.g. USD, INR, GBP, EUR, MXN. No exchange rate is applied. Text up to 12 characters." sqref="C14">
      <formula1>0</formula1>
      <formula2>12</formula2>
    </dataValidation>
    <dataValidation type="whole" allowBlank="1" showInputMessage="1" showErrorMessage="1" errorTitle="Check this entry" error="Enter a whole number from 1 to 365." promptTitle="Quote valid for" prompt="Enter a whole number from 1 to 365." sqref="C15">
      <formula1>1</formula1>
      <formula2>365</formula2>
    </dataValidation>
    <dataValidation type="textLength" allowBlank="1" showInputMessage="1" showErrorMessage="1" errorTitle="Check this entry" error="Text up to 120 characters." promptTitle="Payment terms" prompt="Text up to 120 characters." sqref="C16">
      <formula1>0</formula1>
      <formula2>120</formula2>
    </dataValidation>
    <dataValidation type="textLength" allowBlank="1" showInputMessage="1" showErrorMessage="1" errorTitle="Check this entry" error="Text up to 120 characters." promptTitle="Delivery terms" prompt="Text up to 120 characters." sqref="C17">
      <formula1>0</formula1>
      <formula2>120</formula2>
    </dataValidation>
    <dataValidation type="textLength" allowBlank="1" showInputMessage="1" showErrorMessage="1" errorTitle="Check this entry" error="Text up to 255 characters." promptTitle="Standard terms (printed on th..." prompt="Text up to 255 characters." sqref="C18">
      <formula1>0</formula1>
      <formula2>255</formula2>
    </dataValidation>
    <dataValidation type="decimal" allowBlank="1" showInputMessage="1" showErrorMessage="1" errorTitle="Check this entry" error="Enter a percentage from 0% to 500% (type 85% or 0.85)." promptTitle="Shop overhead on machine and ..." prompt="Set to 0% if your work-centre rates already include overhead (fully burdened rates). Enter a percentage from 0% to 500% (type 85% or 0.85)." sqref="C22">
      <formula1>0</formula1>
      <formula2>5</formula2>
    </dataValidation>
    <dataValidation type="decimal" allowBlank="1" showInputMessage="1" showErrorMessage="1" errorTitle="Check this entry" error="Enter a percentage from 0% to 500% (type 85% or 0.85)." promptTitle="Markup on material" prompt="Handling and stocking markup on raw material. Enter a percentage from 0% to 500% (type 85% or 0.85)." sqref="C23">
      <formula1>0</formula1>
      <formula2>5</formula2>
    </dataValidation>
    <dataValidation type="decimal" allowBlank="1" showInputMessage="1" showErrorMessage="1" errorTitle="Check this entry" error="Enter a percentage from 0% to 500% (type 85% or 0.85)." promptTitle="Markup on outside processing" prompt="Handling markup on bought-in processes (plating, heat treatment). Enter a percentage from 0% to 500% (type 85% or 0.85)." sqref="C24">
      <formula1>0</formula1>
      <formula2>5</formula2>
    </dataValidation>
    <dataValidation type="decimal" allowBlank="1" showInputMessage="1" showErrorMessage="1" errorTitle="Check this entry" error="Enter a percentage from 0% to 95% (type 85% or 0.85)." promptTitle="Target margin on price" prompt="Margin on selling price: price = cost / (1 - margin). 25% margin is a 33% markup on cost. Enter a percentage from 0% to 95% (type 85% or 0.85)." sqref="C25">
      <formula1>0</formula1>
      <formula2>0.95</formula2>
    </dataValidation>
    <dataValidation type="decimal" allowBlank="1" showInputMessage="1" showErrorMessage="1" errorTitle="Check this entry" error="Enter a percentage from 1% to 100% (type 85% or 0.85)." promptTitle="First-pass yield" prompt="Good parts / parts started on similar jobs. Scrap is remade, so material and run time are costed on parts started. Enter a percentage from 1% to 100% (type 85% or 0.85)." sqref="C26">
      <formula1>0.01</formula1>
      <formula2>1</formula2>
    </dataValidation>
    <dataValidation type="decimal" allowBlank="1" showInputMessage="1" showErrorMessage="1" errorTitle="Check this entry" error="Enter a number from 0.0001 to 1,000." promptTitle="Round unit prices up to the n..." prompt="Enter a number from 0.0001 to 1,000." sqref="C27">
      <formula1>0.0001</formula1>
      <formula2>1000</formula2>
    </dataValidation>
    <dataValidation type="decimal" allowBlank="1" showInputMessage="1" showErrorMessage="1" errorTitle="Check this entry" error="Enter a number from 1 to 24." promptTitle="Scheduled hours per working day" prompt="Hours the shop schedules per working day, e.g. 16 for two 8-hour shifts. Enter a number from 1 to 24." sqref="C28">
      <formula1>1</formula1>
      <formula2>24</formula2>
    </dataValidation>
    <dataValidation type="decimal" allowBlank="1" showInputMessage="1" showErrorMessage="1" errorTitle="Check this entry" error="Enter a percentage from 1% to 100% (type 85% or 0.85)." promptTitle="Uptime of scheduled hours" prompt="Hours worked (setups included) / scheduled hours, from your downtime records. Enter a percentage from 1% to 100% (type 85% or 0.85)." sqref="C29">
      <formula1>0.01</formula1>
      <formula2>1</formula2>
    </dataValidation>
    <dataValidation type="textLength" allowBlank="1" showInputMessage="1" showErrorMessage="1" errorTitle="Check this entry" error="Text up to 40 characters." promptTitle="Work centre" prompt="Text up to 40 characters." sqref="B36:B141">
      <formula1>0</formula1>
      <formula2>40</formula2>
    </dataValidation>
    <dataValidation type="decimal" allowBlank="1" showInputMessage="1" showErrorMessage="1" errorTitle="Check this entry" error="Enter a number from 0 to 100,000." promptTitle="Rate per hour" prompt="Your shop rate for this work centre: machine plus operator, with or without overhead (see Setup). Enter a number from 0 to 100,000." sqref="C36:C141">
      <formula1>0</formula1>
      <formula2>100000</formula2>
    </dataValidation>
    <dataValidation type="textLength" allowBlank="1" showInputMessage="1" showErrorMessage="1" errorTitle="Check this entry" error="Text up to 120 characters." promptTitle="Notes" prompt="Text up to 120 characters." sqref="D36:D141">
      <formula1>0</formula1>
      <formula2>120</formula2>
    </dataValidation>
    <dataValidation type="textLength" allowBlank="1" showInputMessage="1" showErrorMessage="1" errorTitle="Check this entry" error="Text up to 60 characters." promptTitle="Material" prompt="Text up to 60 characters." sqref="B46:B150">
      <formula1>0</formula1>
      <formula2>60</formula2>
    </dataValidation>
    <dataValidation type="decimal" allowBlank="1" showInputMessage="1" showErrorMessage="1" errorTitle="Check this entry" error="Enter a number from 0.1 to 25." promptTitle="Density (g/cm3)" prompt="Nominal density; check your supplier's data sheet. Enter a number from 0.1 to 25." sqref="C46:C150">
      <formula1>0.1</formula1>
      <formula2>25</formula2>
    </dataValidation>
    <dataValidation type="decimal" allowBlank="1" showInputMessage="1" showErrorMessage="1" errorTitle="Check this entry" error="Enter a number from 0 to 1,000,000." promptTitle="Price" prompt="Price per kg or per lb, as set in the Per column. Enter a number from 0 to 1,000,000." sqref="D46:D150">
      <formula1>0</formula1>
      <formula2>1000000.0</formula2>
    </dataValidation>
    <dataValidation type="list" allowBlank="1" showInputMessage="1" showErrorMessage="1" errorTitle="Check this entry" error="Pick one of: kg, lb." promptTitle="Per" prompt="Pick one of: kg, lb." sqref="E46:E150">
      <formula1>"kg,lb"</formula1>
    </dataValidation>
    <dataValidation type="textLength" allowBlank="1" showInputMessage="1" showErrorMessage="1" errorTitle="Check this entry" error="Text up to 120 characters." promptTitle="Notes" prompt="Text up to 120 characters." sqref="F46:F150">
      <formula1>0</formula1>
      <formula2>120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Job Shop Quote&amp;R&amp;8&amp;A</oddHeader>
    <oddFooter>&amp;L&amp;8mfgcalcs.com - free manufacturing templates&amp;R&amp;8Page &amp;P of &amp;N</oddFooter>
  </headerFooter>
  <rowBreaks count="1" manualBreakCount="1">
    <brk id="42"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K133"/>
  <sheetViews>
    <sheetView showGridLines="0" workbookViewId="0"/>
  </sheetViews>
  <sheetFormatPr defaultRowHeight="15"/>
  <cols>
    <col min="1" max="1" width="2.7109375" customWidth="1"/>
    <col min="2" max="2" width="34.7109375" customWidth="1"/>
    <col min="3" max="10" width="13.7109375" customWidth="1"/>
    <col min="11" max="11" width="24.7109375" customWidth="1"/>
  </cols>
  <sheetData>
    <row r="1" spans="1:11" ht="30" customHeight="1">
      <c r="A1" s="1" t="s">
        <v>0</v>
      </c>
      <c r="B1" s="1"/>
      <c r="C1" s="1"/>
      <c r="D1" s="1"/>
      <c r="E1" s="1"/>
      <c r="F1" s="1"/>
      <c r="G1" s="1"/>
      <c r="H1" s="1"/>
      <c r="I1" s="1"/>
      <c r="J1" s="1"/>
      <c r="K1" s="1"/>
    </row>
    <row r="2" spans="1:11" ht="21" customHeight="1">
      <c r="B2" s="2" t="s">
        <v>22</v>
      </c>
      <c r="C2" s="2"/>
      <c r="D2" s="2"/>
      <c r="E2" s="2"/>
      <c r="F2" s="2"/>
      <c r="G2" s="2"/>
      <c r="H2" s="2"/>
      <c r="I2" s="2"/>
      <c r="J2" s="2"/>
      <c r="K2" s="3" t="s">
        <v>2</v>
      </c>
    </row>
    <row r="3" spans="1:11" ht="6" customHeight="1"/>
    <row r="4" spans="1:11" ht="21" customHeight="1">
      <c r="B4" s="37" t="s">
        <v>143</v>
      </c>
      <c r="C4" s="37"/>
      <c r="D4" s="37"/>
      <c r="E4" s="37"/>
      <c r="F4" s="37"/>
      <c r="G4" s="37"/>
      <c r="H4" s="37"/>
      <c r="I4" s="37"/>
      <c r="J4" s="37"/>
      <c r="K4" s="37"/>
    </row>
    <row r="6" spans="1:11" ht="21" customHeight="1">
      <c r="B6" s="8" t="s">
        <v>144</v>
      </c>
      <c r="C6" s="8"/>
      <c r="D6" s="8"/>
      <c r="E6" s="8"/>
      <c r="F6" s="8"/>
      <c r="G6" s="8"/>
      <c r="H6" s="8"/>
      <c r="I6" s="8"/>
      <c r="J6" s="8"/>
      <c r="K6" s="8"/>
    </row>
    <row r="7" spans="1:11" ht="5" customHeight="1"/>
    <row r="8" spans="1:11">
      <c r="B8" s="27" t="s">
        <v>145</v>
      </c>
      <c r="C8" s="30" t="s">
        <v>146</v>
      </c>
      <c r="D8" s="30"/>
      <c r="E8" s="30"/>
      <c r="F8" s="30"/>
    </row>
    <row r="9" spans="1:11">
      <c r="B9" s="27" t="s">
        <v>147</v>
      </c>
      <c r="C9" s="38">
        <v>46307</v>
      </c>
      <c r="D9" s="38"/>
      <c r="E9" s="38"/>
      <c r="F9" s="38"/>
    </row>
    <row r="10" spans="1:11">
      <c r="B10" s="27" t="s">
        <v>148</v>
      </c>
      <c r="C10" s="30" t="s">
        <v>149</v>
      </c>
      <c r="D10" s="30"/>
      <c r="E10" s="30"/>
      <c r="F10" s="30"/>
    </row>
    <row r="11" spans="1:11">
      <c r="B11" s="27" t="s">
        <v>150</v>
      </c>
      <c r="C11" s="30" t="s">
        <v>151</v>
      </c>
      <c r="D11" s="30"/>
      <c r="E11" s="30"/>
      <c r="F11" s="30"/>
    </row>
    <row r="12" spans="1:11">
      <c r="B12" s="27" t="s">
        <v>152</v>
      </c>
      <c r="C12" s="30" t="s">
        <v>153</v>
      </c>
      <c r="D12" s="30"/>
      <c r="E12" s="30"/>
      <c r="F12" s="30"/>
    </row>
    <row r="13" spans="1:11">
      <c r="B13" s="27" t="s">
        <v>154</v>
      </c>
      <c r="C13" s="30" t="s">
        <v>155</v>
      </c>
      <c r="D13" s="30"/>
      <c r="E13" s="30"/>
      <c r="F13" s="30"/>
    </row>
    <row r="14" spans="1:11">
      <c r="B14" s="27" t="s">
        <v>156</v>
      </c>
      <c r="C14" s="30" t="s">
        <v>157</v>
      </c>
      <c r="D14" s="30"/>
      <c r="E14" s="30"/>
      <c r="F14" s="30"/>
    </row>
    <row r="15" spans="1:11">
      <c r="B15" s="27" t="s">
        <v>158</v>
      </c>
      <c r="C15" s="30" t="s">
        <v>159</v>
      </c>
      <c r="D15" s="30"/>
      <c r="E15" s="30"/>
      <c r="F15" s="30"/>
    </row>
    <row r="16" spans="1:11">
      <c r="B16" s="27" t="s">
        <v>160</v>
      </c>
      <c r="C16" s="30" t="s">
        <v>161</v>
      </c>
      <c r="D16" s="30"/>
      <c r="E16" s="30"/>
      <c r="F16" s="30"/>
    </row>
    <row r="18" spans="2:11" ht="21" customHeight="1">
      <c r="B18" s="8" t="s">
        <v>162</v>
      </c>
      <c r="C18" s="8"/>
      <c r="D18" s="8"/>
      <c r="E18" s="8"/>
      <c r="F18" s="8"/>
      <c r="G18" s="8"/>
      <c r="H18" s="8"/>
      <c r="I18" s="8"/>
      <c r="J18" s="8"/>
      <c r="K18" s="8"/>
    </row>
    <row r="19" spans="2:11" ht="5" customHeight="1"/>
    <row r="20" spans="2:11">
      <c r="B20" s="27" t="s">
        <v>66</v>
      </c>
      <c r="C20" s="28" t="s">
        <v>117</v>
      </c>
      <c r="D20" s="28"/>
    </row>
    <row r="21" spans="2:11">
      <c r="B21" s="27" t="s">
        <v>163</v>
      </c>
      <c r="C21" s="28" t="s">
        <v>164</v>
      </c>
      <c r="D21" s="28"/>
    </row>
    <row r="22" spans="2:11">
      <c r="B22" s="27" t="s">
        <v>165</v>
      </c>
      <c r="C22" s="28" t="s">
        <v>166</v>
      </c>
      <c r="D22" s="28"/>
    </row>
    <row r="23" spans="2:11">
      <c r="B23" s="27" t="s">
        <v>167</v>
      </c>
      <c r="C23" s="32">
        <v>50</v>
      </c>
      <c r="D23" s="7" t="str">
        <f>DimUnit</f>
        <v>mm</v>
      </c>
    </row>
    <row r="24" spans="2:11">
      <c r="B24" s="27" t="s">
        <v>168</v>
      </c>
      <c r="C24" s="32">
        <v>0</v>
      </c>
      <c r="D24" s="7" t="str">
        <f>DimUnit</f>
        <v>mm</v>
      </c>
    </row>
    <row r="25" spans="2:11">
      <c r="B25" s="27" t="s">
        <v>169</v>
      </c>
      <c r="C25" s="32">
        <v>82</v>
      </c>
      <c r="D25" s="7" t="str">
        <f>DimUnit</f>
        <v>mm</v>
      </c>
    </row>
    <row r="26" spans="2:11">
      <c r="B26" s="27" t="s">
        <v>170</v>
      </c>
      <c r="C26" s="31">
        <v>0.05</v>
      </c>
      <c r="D26" s="7"/>
    </row>
    <row r="27" spans="2:11">
      <c r="B27" s="27" t="s">
        <v>171</v>
      </c>
      <c r="C27" s="39">
        <f>IFERROR(INDEX(tblMaterials[Density (g/cm3)],MATCH(Material,tblMaterials[Material],0)),"")</f>
        <v>2.7</v>
      </c>
      <c r="D27" s="7" t="s">
        <v>172</v>
      </c>
    </row>
    <row r="28" spans="2:11">
      <c r="B28" s="27" t="s">
        <v>173</v>
      </c>
      <c r="C28" s="39">
        <f>IF(Shape="Round bar",PI()*(DiaW/2)^2*BlankLen,DiaW*Thick*BlankLen)*IF(DimUnit="in",16.387064,0.001)</f>
        <v>161.006623496477</v>
      </c>
      <c r="D28" s="7" t="s">
        <v>174</v>
      </c>
    </row>
    <row r="29" spans="2:11">
      <c r="B29" s="27" t="s">
        <v>175</v>
      </c>
      <c r="C29" s="40">
        <f>IF(Density="","",BlankVol*Density/1000)</f>
        <v>0.434717883440488</v>
      </c>
      <c r="D29" s="7" t="s">
        <v>118</v>
      </c>
    </row>
    <row r="30" spans="2:11">
      <c r="B30" s="27" t="s">
        <v>175</v>
      </c>
      <c r="C30" s="40">
        <f>IF(BlankKg="","",BlankKg/0.45359237)</f>
        <v>0.958388879955119</v>
      </c>
      <c r="D30" s="7" t="s">
        <v>123</v>
      </c>
    </row>
    <row r="31" spans="2:11">
      <c r="B31" s="27" t="s">
        <v>176</v>
      </c>
      <c r="C31" s="39">
        <f>IFERROR(INDEX(tblMaterials[Price],MATCH(Material,tblMaterials[Material],0))/IF(INDEX(tblMaterials[Per],MATCH(Material,tblMaterials[Material],0))="lb",0.45359237,1),"")</f>
        <v>7.2</v>
      </c>
      <c r="D31" s="7" t="str">
        <f>Currency&amp;"/kg"</f>
        <v>USD/kg</v>
      </c>
    </row>
    <row r="32" spans="2:11">
      <c r="B32" s="17" t="s">
        <v>177</v>
      </c>
      <c r="C32" s="41">
        <f>IF(OR(BlankKg="",PriceKg=""),"",BlankKg*PriceKg*(1+Allowance))</f>
        <v>3.28646719881009</v>
      </c>
      <c r="D32" s="7" t="str">
        <f>Currency</f>
        <v>USD</v>
      </c>
    </row>
    <row r="33" spans="2:11">
      <c r="B33" s="27" t="s">
        <v>178</v>
      </c>
      <c r="C33" s="42" t="str">
        <f>IF(Density="","Material not on Setup list",IF(AND(Shape&lt;&gt;"Round bar",Thick=0),"Enter a thickness",IF(BlankVol&lt;=0,"Blank size missing","OK")))</f>
        <v>OK</v>
      </c>
      <c r="D33" s="42"/>
    </row>
    <row r="35" spans="2:11" ht="21" customHeight="1">
      <c r="B35" s="8" t="s">
        <v>179</v>
      </c>
      <c r="C35" s="8"/>
      <c r="D35" s="8"/>
      <c r="E35" s="8"/>
      <c r="F35" s="8"/>
      <c r="G35" s="8"/>
      <c r="H35" s="8"/>
      <c r="I35" s="8"/>
      <c r="J35" s="8"/>
      <c r="K35" s="8"/>
    </row>
    <row r="36" spans="2:11" ht="5" customHeight="1"/>
    <row r="37" spans="2:11" ht="14" customHeight="1">
      <c r="B37" s="35"/>
      <c r="C37" s="35"/>
      <c r="D37" s="35"/>
      <c r="E37" s="35"/>
      <c r="F37" s="35"/>
      <c r="G37" s="35" t="str">
        <f>Currency&amp;"/h"</f>
        <v>USD/h</v>
      </c>
      <c r="H37" s="35" t="str">
        <f>Currency&amp;"/batch"</f>
        <v>USD/batch</v>
      </c>
      <c r="I37" s="35" t="str">
        <f>Currency&amp;"/part"</f>
        <v>USD/part</v>
      </c>
      <c r="J37" s="35"/>
      <c r="K37" s="35"/>
    </row>
    <row r="38" spans="2:11" ht="32" customHeight="1">
      <c r="B38" s="36" t="s">
        <v>126</v>
      </c>
      <c r="C38" s="36" t="s">
        <v>127</v>
      </c>
      <c r="D38" s="36" t="s">
        <v>63</v>
      </c>
      <c r="E38" s="36" t="s">
        <v>128</v>
      </c>
      <c r="F38" s="36" t="s">
        <v>129</v>
      </c>
      <c r="G38" s="36" t="s">
        <v>130</v>
      </c>
      <c r="H38" s="36" t="s">
        <v>131</v>
      </c>
      <c r="I38" s="36" t="s">
        <v>132</v>
      </c>
      <c r="J38" s="36" t="s">
        <v>133</v>
      </c>
      <c r="K38" s="36" t="s">
        <v>65</v>
      </c>
    </row>
    <row r="39" spans="2:11">
      <c r="B39" s="28" t="s">
        <v>180</v>
      </c>
      <c r="C39" s="29">
        <v>10</v>
      </c>
      <c r="D39" s="28" t="s">
        <v>104</v>
      </c>
      <c r="E39" s="32">
        <v>0.25</v>
      </c>
      <c r="F39" s="32">
        <v>1.5</v>
      </c>
      <c r="G39" s="39">
        <f>IF(tblRouting[[#This Row],[Operation]]="","",IFERROR(INDEX(tblWorkCentres[Rate per hour],MATCH(tblRouting[[#This Row],[Work centre]],tblWorkCentres[Work centre],0)),""))</f>
        <v>45</v>
      </c>
      <c r="H39" s="39">
        <f>IF(tblRouting[[#This Row],[Operation]]="","",IF(tblRouting[[#This Row],[Rate]]="","",tblRouting[[#This Row],[Setup (h)]]*tblRouting[[#This Row],[Rate]]))</f>
        <v>11.25</v>
      </c>
      <c r="I39" s="43">
        <f>IF(tblRouting[[#This Row],[Operation]]="","",IF(tblRouting[[#This Row],[Rate]]="","",tblRouting[[#This Row],[Cycle (min/part)]]/60*tblRouting[[#This Row],[Rate]]))</f>
        <v>1.125</v>
      </c>
      <c r="J39" s="44" t="str">
        <f>IF(tblRouting[[#This Row],[Operation]]="","",IF(tblRouting[[#This Row],[Work centre]]="","Missing work centre",IF(tblRouting[[#This Row],[Rate]]="","Work centre not on Setup list","OK")))</f>
        <v>OK</v>
      </c>
      <c r="K39" s="28" t="s">
        <v>181</v>
      </c>
    </row>
    <row r="40" spans="2:11">
      <c r="B40" s="28" t="s">
        <v>182</v>
      </c>
      <c r="C40" s="29">
        <v>20</v>
      </c>
      <c r="D40" s="28" t="s">
        <v>106</v>
      </c>
      <c r="E40" s="32">
        <v>1.5</v>
      </c>
      <c r="F40" s="32">
        <v>4.2</v>
      </c>
      <c r="G40" s="39">
        <f>IF(tblRouting[[#This Row],[Operation]]="","",IFERROR(INDEX(tblWorkCentres[Rate per hour],MATCH(tblRouting[[#This Row],[Work centre]],tblWorkCentres[Work centre],0)),""))</f>
        <v>85</v>
      </c>
      <c r="H40" s="39">
        <f>IF(tblRouting[[#This Row],[Operation]]="","",IF(tblRouting[[#This Row],[Rate]]="","",tblRouting[[#This Row],[Setup (h)]]*tblRouting[[#This Row],[Rate]]))</f>
        <v>127.5</v>
      </c>
      <c r="I40" s="43">
        <f>IF(tblRouting[[#This Row],[Operation]]="","",IF(tblRouting[[#This Row],[Rate]]="","",tblRouting[[#This Row],[Cycle (min/part)]]/60*tblRouting[[#This Row],[Rate]]))</f>
        <v>5.95</v>
      </c>
      <c r="J40" s="44" t="str">
        <f>IF(tblRouting[[#This Row],[Operation]]="","",IF(tblRouting[[#This Row],[Work centre]]="","Missing work centre",IF(tblRouting[[#This Row],[Rate]]="","Work centre not on Setup list","OK")))</f>
        <v>OK</v>
      </c>
      <c r="K40" s="28" t="s">
        <v>183</v>
      </c>
    </row>
    <row r="41" spans="2:11">
      <c r="B41" s="28" t="s">
        <v>184</v>
      </c>
      <c r="C41" s="29">
        <v>30</v>
      </c>
      <c r="D41" s="28" t="s">
        <v>108</v>
      </c>
      <c r="E41" s="32">
        <v>1.25</v>
      </c>
      <c r="F41" s="32">
        <v>3.6</v>
      </c>
      <c r="G41" s="39">
        <f>IF(tblRouting[[#This Row],[Operation]]="","",IFERROR(INDEX(tblWorkCentres[Rate per hour],MATCH(tblRouting[[#This Row],[Work centre]],tblWorkCentres[Work centre],0)),""))</f>
        <v>95</v>
      </c>
      <c r="H41" s="39">
        <f>IF(tblRouting[[#This Row],[Operation]]="","",IF(tblRouting[[#This Row],[Rate]]="","",tblRouting[[#This Row],[Setup (h)]]*tblRouting[[#This Row],[Rate]]))</f>
        <v>118.75</v>
      </c>
      <c r="I41" s="43">
        <f>IF(tblRouting[[#This Row],[Operation]]="","",IF(tblRouting[[#This Row],[Rate]]="","",tblRouting[[#This Row],[Cycle (min/part)]]/60*tblRouting[[#This Row],[Rate]]))</f>
        <v>5.7</v>
      </c>
      <c r="J41" s="44" t="str">
        <f>IF(tblRouting[[#This Row],[Operation]]="","",IF(tblRouting[[#This Row],[Work centre]]="","Missing work centre",IF(tblRouting[[#This Row],[Rate]]="","Work centre not on Setup list","OK")))</f>
        <v>OK</v>
      </c>
      <c r="K41" s="28" t="s">
        <v>185</v>
      </c>
    </row>
    <row r="42" spans="2:11">
      <c r="B42" s="28" t="s">
        <v>186</v>
      </c>
      <c r="C42" s="29">
        <v>40</v>
      </c>
      <c r="D42" s="28" t="s">
        <v>112</v>
      </c>
      <c r="E42" s="32">
        <v>0</v>
      </c>
      <c r="F42" s="32">
        <v>1</v>
      </c>
      <c r="G42" s="39">
        <f>IF(tblRouting[[#This Row],[Operation]]="","",IFERROR(INDEX(tblWorkCentres[Rate per hour],MATCH(tblRouting[[#This Row],[Work centre]],tblWorkCentres[Work centre],0)),""))</f>
        <v>50</v>
      </c>
      <c r="H42" s="39">
        <f>IF(tblRouting[[#This Row],[Operation]]="","",IF(tblRouting[[#This Row],[Rate]]="","",tblRouting[[#This Row],[Setup (h)]]*tblRouting[[#This Row],[Rate]]))</f>
        <v>0</v>
      </c>
      <c r="I42" s="43">
        <f>IF(tblRouting[[#This Row],[Operation]]="","",IF(tblRouting[[#This Row],[Rate]]="","",tblRouting[[#This Row],[Cycle (min/part)]]/60*tblRouting[[#This Row],[Rate]]))</f>
        <v>0.833333333333333</v>
      </c>
      <c r="J42" s="44" t="str">
        <f>IF(tblRouting[[#This Row],[Operation]]="","",IF(tblRouting[[#This Row],[Work centre]]="","Missing work centre",IF(tblRouting[[#This Row],[Rate]]="","Work centre not on Setup list","OK")))</f>
        <v>OK</v>
      </c>
      <c r="K42" s="28" t="s">
        <v>187</v>
      </c>
    </row>
    <row r="43" spans="2:11">
      <c r="B43" s="28" t="s">
        <v>188</v>
      </c>
      <c r="C43" s="29">
        <v>50</v>
      </c>
      <c r="D43" s="28" t="s">
        <v>114</v>
      </c>
      <c r="E43" s="32">
        <v>0.5</v>
      </c>
      <c r="F43" s="32">
        <v>0.8</v>
      </c>
      <c r="G43" s="39">
        <f>IF(tblRouting[[#This Row],[Operation]]="","",IFERROR(INDEX(tblWorkCentres[Rate per hour],MATCH(tblRouting[[#This Row],[Work centre]],tblWorkCentres[Work centre],0)),""))</f>
        <v>90</v>
      </c>
      <c r="H43" s="39">
        <f>IF(tblRouting[[#This Row],[Operation]]="","",IF(tblRouting[[#This Row],[Rate]]="","",tblRouting[[#This Row],[Setup (h)]]*tblRouting[[#This Row],[Rate]]))</f>
        <v>45</v>
      </c>
      <c r="I43" s="43">
        <f>IF(tblRouting[[#This Row],[Operation]]="","",IF(tblRouting[[#This Row],[Rate]]="","",tblRouting[[#This Row],[Cycle (min/part)]]/60*tblRouting[[#This Row],[Rate]]))</f>
        <v>1.2</v>
      </c>
      <c r="J43" s="44" t="str">
        <f>IF(tblRouting[[#This Row],[Operation]]="","",IF(tblRouting[[#This Row],[Work centre]]="","Missing work centre",IF(tblRouting[[#This Row],[Rate]]="","Work centre not on Setup list","OK")))</f>
        <v>OK</v>
      </c>
      <c r="K43" s="28" t="s">
        <v>189</v>
      </c>
    </row>
    <row r="45" spans="2:11">
      <c r="B45" s="34" t="s">
        <v>190</v>
      </c>
      <c r="C45" s="34"/>
      <c r="D45" s="34"/>
    </row>
    <row r="46" spans="2:11">
      <c r="B46" s="27" t="s">
        <v>191</v>
      </c>
      <c r="C46" s="39">
        <f>SUM(tblRouting[Setup cost])</f>
        <v>302.5</v>
      </c>
      <c r="D46" s="7" t="str">
        <f>Currency</f>
        <v>USD</v>
      </c>
    </row>
    <row r="47" spans="2:11">
      <c r="B47" s="27" t="s">
        <v>192</v>
      </c>
      <c r="C47" s="43">
        <f>SUM(tblRouting[Run cost])</f>
        <v>14.8083333333333</v>
      </c>
      <c r="D47" s="7" t="str">
        <f>Currency&amp;"/part"</f>
        <v>USD/part</v>
      </c>
    </row>
    <row r="48" spans="2:11">
      <c r="B48" s="27" t="s">
        <v>193</v>
      </c>
      <c r="C48" s="39">
        <f>SUM(tblRouting[Setup (h)])</f>
        <v>3.5</v>
      </c>
      <c r="D48" s="7" t="s">
        <v>194</v>
      </c>
    </row>
    <row r="49" spans="2:11">
      <c r="B49" s="27" t="s">
        <v>195</v>
      </c>
      <c r="C49" s="39">
        <f>SUM(tblRouting[Cycle (min/part)])</f>
        <v>11.1</v>
      </c>
      <c r="D49" s="7" t="s">
        <v>196</v>
      </c>
    </row>
    <row r="51" spans="2:11" ht="21" customHeight="1">
      <c r="B51" s="8" t="s">
        <v>197</v>
      </c>
      <c r="C51" s="8"/>
      <c r="D51" s="8"/>
      <c r="E51" s="8"/>
      <c r="F51" s="8"/>
      <c r="G51" s="8"/>
      <c r="H51" s="8"/>
      <c r="I51" s="8"/>
      <c r="J51" s="8"/>
      <c r="K51" s="8"/>
    </row>
    <row r="52" spans="2:11" ht="5" customHeight="1"/>
    <row r="53" spans="2:11" ht="14" customHeight="1">
      <c r="B53" s="35"/>
      <c r="C53" s="35"/>
      <c r="D53" s="35" t="str">
        <f>Currency&amp;"/part"</f>
        <v>USD/part</v>
      </c>
      <c r="E53" s="35" t="str">
        <f>Currency&amp;"/lot"</f>
        <v>USD/lot</v>
      </c>
      <c r="F53" s="35" t="s">
        <v>198</v>
      </c>
      <c r="G53" s="35"/>
    </row>
    <row r="54" spans="2:11" ht="32" customHeight="1">
      <c r="B54" s="36" t="s">
        <v>134</v>
      </c>
      <c r="C54" s="36" t="s">
        <v>135</v>
      </c>
      <c r="D54" s="36" t="s">
        <v>136</v>
      </c>
      <c r="E54" s="36" t="s">
        <v>137</v>
      </c>
      <c r="F54" s="36" t="s">
        <v>138</v>
      </c>
      <c r="G54" s="36" t="s">
        <v>65</v>
      </c>
    </row>
    <row r="55" spans="2:11">
      <c r="B55" s="28" t="s">
        <v>199</v>
      </c>
      <c r="C55" s="28" t="s">
        <v>200</v>
      </c>
      <c r="D55" s="32">
        <v>0.85</v>
      </c>
      <c r="E55" s="32">
        <v>120</v>
      </c>
      <c r="F55" s="29">
        <v>5</v>
      </c>
      <c r="G55" s="28" t="s">
        <v>201</v>
      </c>
    </row>
    <row r="56" spans="2:11">
      <c r="B56" s="28" t="s">
        <v>202</v>
      </c>
      <c r="C56" s="28" t="s">
        <v>203</v>
      </c>
      <c r="D56" s="32">
        <v>0.3</v>
      </c>
      <c r="E56" s="32">
        <v>60</v>
      </c>
      <c r="F56" s="29">
        <v>2</v>
      </c>
      <c r="G56" s="28" t="s">
        <v>187</v>
      </c>
    </row>
    <row r="58" spans="2:11" ht="21" customHeight="1">
      <c r="B58" s="8" t="s">
        <v>204</v>
      </c>
      <c r="C58" s="8"/>
      <c r="D58" s="8"/>
      <c r="E58" s="8"/>
      <c r="F58" s="8"/>
      <c r="G58" s="8"/>
      <c r="H58" s="8"/>
      <c r="I58" s="8"/>
      <c r="J58" s="8"/>
      <c r="K58" s="8"/>
    </row>
    <row r="59" spans="2:11" ht="5" customHeight="1"/>
    <row r="60" spans="2:11" ht="14" customHeight="1">
      <c r="B60" s="35"/>
      <c r="C60" s="35" t="str">
        <f>Currency</f>
        <v>USD</v>
      </c>
      <c r="D60" s="35"/>
      <c r="E60" s="35"/>
      <c r="F60" s="35"/>
    </row>
    <row r="61" spans="2:11" ht="20" customHeight="1">
      <c r="B61" s="36" t="s">
        <v>139</v>
      </c>
      <c r="C61" s="36" t="s">
        <v>140</v>
      </c>
      <c r="D61" s="36" t="s">
        <v>141</v>
      </c>
      <c r="E61" s="36" t="s">
        <v>142</v>
      </c>
      <c r="F61" s="36" t="s">
        <v>65</v>
      </c>
    </row>
    <row r="62" spans="2:11">
      <c r="B62" s="28" t="s">
        <v>205</v>
      </c>
      <c r="C62" s="32">
        <v>340</v>
      </c>
      <c r="D62" s="28" t="s">
        <v>206</v>
      </c>
      <c r="E62" s="45">
        <f>IF(tblTooling[[#This Row],[Item]]="","",IF(tblTooling[[#This Row],[Billing]]="Bill separately",SUMPRODUCT((tblTooling[Billing]="Bill separately")*(ROW(tblTooling[Billing])&lt;=ROW(tblTooling[[#This Row],[Billing]]))),""))</f>
        <v/>
      </c>
      <c r="F62" s="28" t="s">
        <v>207</v>
      </c>
    </row>
    <row r="63" spans="2:11">
      <c r="B63" s="28" t="s">
        <v>183</v>
      </c>
      <c r="C63" s="32">
        <v>120</v>
      </c>
      <c r="D63" s="28" t="s">
        <v>206</v>
      </c>
      <c r="E63" s="45">
        <f>IF(tblTooling[[#This Row],[Item]]="","",IF(tblTooling[[#This Row],[Billing]]="Bill separately",SUMPRODUCT((tblTooling[Billing]="Bill separately")*(ROW(tblTooling[Billing])&lt;=ROW(tblTooling[[#This Row],[Billing]]))),""))</f>
        <v/>
      </c>
      <c r="F63" s="28" t="s">
        <v>187</v>
      </c>
    </row>
    <row r="64" spans="2:11">
      <c r="B64" s="28" t="s">
        <v>208</v>
      </c>
      <c r="C64" s="32">
        <v>180</v>
      </c>
      <c r="D64" s="28" t="s">
        <v>209</v>
      </c>
      <c r="E64" s="45">
        <f>IF(tblTooling[[#This Row],[Item]]="","",IF(tblTooling[[#This Row],[Billing]]="Bill separately",SUMPRODUCT((tblTooling[Billing]="Bill separately")*(ROW(tblTooling[Billing])&lt;=ROW(tblTooling[[#This Row],[Billing]]))),""))</f>
        <v>1</v>
      </c>
      <c r="F64" s="28" t="s">
        <v>210</v>
      </c>
    </row>
    <row r="66" spans="2:11">
      <c r="B66" s="34" t="s">
        <v>211</v>
      </c>
      <c r="C66" s="34"/>
      <c r="D66" s="34"/>
    </row>
    <row r="67" spans="2:11">
      <c r="B67" s="27" t="s">
        <v>212</v>
      </c>
      <c r="C67" s="39">
        <f>SUMIFS(tblTooling[Cost],tblTooling[Billing],"Amortise")</f>
        <v>460</v>
      </c>
      <c r="D67" s="7" t="str">
        <f>Currency</f>
        <v>USD</v>
      </c>
    </row>
    <row r="69" spans="2:11" ht="21" customHeight="1">
      <c r="B69" s="8" t="s">
        <v>213</v>
      </c>
      <c r="C69" s="8"/>
      <c r="D69" s="8"/>
      <c r="E69" s="8"/>
      <c r="F69" s="8"/>
      <c r="G69" s="8"/>
      <c r="H69" s="8"/>
      <c r="I69" s="8"/>
      <c r="J69" s="8"/>
      <c r="K69" s="8"/>
    </row>
    <row r="70" spans="2:11" ht="5" customHeight="1"/>
    <row r="71" spans="2:11">
      <c r="B71" s="27" t="s">
        <v>214</v>
      </c>
      <c r="C71" s="29">
        <v>5</v>
      </c>
      <c r="D71" s="7" t="s">
        <v>198</v>
      </c>
    </row>
    <row r="72" spans="2:11">
      <c r="B72" s="27" t="s">
        <v>215</v>
      </c>
      <c r="C72" s="29">
        <v>3</v>
      </c>
      <c r="D72" s="7" t="s">
        <v>198</v>
      </c>
    </row>
    <row r="73" spans="2:11">
      <c r="B73" s="27" t="s">
        <v>216</v>
      </c>
      <c r="C73" s="45">
        <f>SUM(tblOutside[Lead time (days)])</f>
        <v>7</v>
      </c>
      <c r="D73" s="7" t="s">
        <v>198</v>
      </c>
    </row>
    <row r="75" spans="2:11" ht="21" customHeight="1">
      <c r="B75" s="8" t="s">
        <v>217</v>
      </c>
      <c r="C75" s="8"/>
      <c r="D75" s="8"/>
      <c r="E75" s="8"/>
      <c r="F75" s="8"/>
      <c r="G75" s="8"/>
      <c r="H75" s="8"/>
      <c r="I75" s="8"/>
      <c r="J75" s="8"/>
      <c r="K75" s="8"/>
    </row>
    <row r="76" spans="2:11" ht="5" customHeight="1"/>
    <row r="77" spans="2:11">
      <c r="B77" s="46" t="s">
        <v>218</v>
      </c>
      <c r="C77" s="36" t="s">
        <v>219</v>
      </c>
      <c r="D77" s="47">
        <v>25</v>
      </c>
      <c r="E77" s="47">
        <v>100</v>
      </c>
      <c r="F77" s="47">
        <v>250</v>
      </c>
      <c r="G77" s="47">
        <v>500</v>
      </c>
      <c r="H77" s="47">
        <v>1000</v>
      </c>
    </row>
    <row r="78" spans="2:11">
      <c r="B78" s="27" t="s">
        <v>220</v>
      </c>
      <c r="C78" s="7" t="s">
        <v>221</v>
      </c>
      <c r="D78" s="45">
        <f>CEILING($D$77/FPY,1)</f>
        <v>27</v>
      </c>
      <c r="E78" s="45">
        <f>CEILING($E$77/FPY,1)</f>
        <v>105</v>
      </c>
      <c r="F78" s="45">
        <f>CEILING($F$77/FPY,1)</f>
        <v>261</v>
      </c>
      <c r="G78" s="45">
        <f>CEILING($G$77/FPY,1)</f>
        <v>521</v>
      </c>
      <c r="H78" s="45">
        <f>CEILING($H$77/FPY,1)</f>
        <v>1042</v>
      </c>
    </row>
    <row r="79" spans="2:11">
      <c r="B79" s="27" t="s">
        <v>66</v>
      </c>
      <c r="C79" s="7" t="str">
        <f>Currency&amp;"/part"</f>
        <v>USD/part</v>
      </c>
      <c r="D79" s="39">
        <f>MatCost*$D$78/$D$77</f>
        <v>3.54938457471489</v>
      </c>
      <c r="E79" s="39">
        <f>MatCost*$E$78/$E$77</f>
        <v>3.45079055875059</v>
      </c>
      <c r="F79" s="39">
        <f>MatCost*$F$78/$F$77</f>
        <v>3.43107175555773</v>
      </c>
      <c r="G79" s="39">
        <f>MatCost*$G$78/$G$77</f>
        <v>3.42449882116011</v>
      </c>
      <c r="H79" s="39">
        <f>MatCost*$H$78/$H$77</f>
        <v>3.42449882116011</v>
      </c>
    </row>
    <row r="80" spans="2:11">
      <c r="B80" s="27" t="s">
        <v>222</v>
      </c>
      <c r="C80" s="7" t="str">
        <f>Currency&amp;"/part"</f>
        <v>USD/part</v>
      </c>
      <c r="D80" s="39">
        <f>$D$79*MatMarkup</f>
        <v>0.354938457471489</v>
      </c>
      <c r="E80" s="39">
        <f>$E$79*MatMarkup</f>
        <v>0.345079055875059</v>
      </c>
      <c r="F80" s="39">
        <f>$F$79*MatMarkup</f>
        <v>0.343107175555773</v>
      </c>
      <c r="G80" s="39">
        <f>$G$79*MatMarkup</f>
        <v>0.342449882116011</v>
      </c>
      <c r="H80" s="39">
        <f>$H$79*MatMarkup</f>
        <v>0.342449882116011</v>
      </c>
    </row>
    <row r="81" spans="2:8">
      <c r="B81" s="27" t="s">
        <v>223</v>
      </c>
      <c r="C81" s="7" t="str">
        <f>Currency&amp;"/part"</f>
        <v>USD/part</v>
      </c>
      <c r="D81" s="39">
        <f>RunCost*$D$78/$D$77</f>
        <v>15.993</v>
      </c>
      <c r="E81" s="39">
        <f>RunCost*$E$78/$E$77</f>
        <v>15.54875</v>
      </c>
      <c r="F81" s="39">
        <f>RunCost*$F$78/$F$77</f>
        <v>15.4599</v>
      </c>
      <c r="G81" s="39">
        <f>RunCost*$G$78/$G$77</f>
        <v>15.4302833333333</v>
      </c>
      <c r="H81" s="39">
        <f>RunCost*$H$78/$H$77</f>
        <v>15.4302833333333</v>
      </c>
    </row>
    <row r="82" spans="2:8">
      <c r="B82" s="27" t="s">
        <v>224</v>
      </c>
      <c r="C82" s="7" t="str">
        <f>Currency&amp;"/part"</f>
        <v>USD/part</v>
      </c>
      <c r="D82" s="39">
        <f>SetupCost/$D$77</f>
        <v>12.1</v>
      </c>
      <c r="E82" s="39">
        <f>SetupCost/$E$77</f>
        <v>3.025</v>
      </c>
      <c r="F82" s="39">
        <f>SetupCost/$F$77</f>
        <v>1.21</v>
      </c>
      <c r="G82" s="39">
        <f>SetupCost/$G$77</f>
        <v>0.605</v>
      </c>
      <c r="H82" s="39">
        <f>SetupCost/$H$77</f>
        <v>0.3025</v>
      </c>
    </row>
    <row r="83" spans="2:8">
      <c r="B83" s="27" t="s">
        <v>225</v>
      </c>
      <c r="C83" s="7" t="str">
        <f>Currency&amp;"/part"</f>
        <v>USD/part</v>
      </c>
      <c r="D83" s="39">
        <f>ToolingAmort/$D$77</f>
        <v>18.4</v>
      </c>
      <c r="E83" s="39">
        <f>ToolingAmort/$E$77</f>
        <v>4.6</v>
      </c>
      <c r="F83" s="39">
        <f>ToolingAmort/$F$77</f>
        <v>1.84</v>
      </c>
      <c r="G83" s="39">
        <f>ToolingAmort/$G$77</f>
        <v>0.92</v>
      </c>
      <c r="H83" s="39">
        <f>ToolingAmort/$H$77</f>
        <v>0.46</v>
      </c>
    </row>
    <row r="84" spans="2:8">
      <c r="B84" s="27" t="s">
        <v>226</v>
      </c>
      <c r="C84" s="7" t="str">
        <f>Currency&amp;"/part"</f>
        <v>USD/part</v>
      </c>
      <c r="D84" s="39">
        <f>(SUMPRODUCT((tblOutside[Lot charge]&gt;tblOutside[Price per part]*$D$77)*tblOutside[Lot charge])+SUMPRODUCT((tblOutside[Lot charge]&lt;=tblOutside[Price per part]*$D$77)*tblOutside[Price per part])*$D$77)/$D$77</f>
        <v>7.2</v>
      </c>
      <c r="E84" s="39">
        <f>(SUMPRODUCT((tblOutside[Lot charge]&gt;tblOutside[Price per part]*$E$77)*tblOutside[Lot charge])+SUMPRODUCT((tblOutside[Lot charge]&lt;=tblOutside[Price per part]*$E$77)*tblOutside[Price per part])*$E$77)/$E$77</f>
        <v>1.8</v>
      </c>
      <c r="F84" s="39">
        <f>(SUMPRODUCT((tblOutside[Lot charge]&gt;tblOutside[Price per part]*$F$77)*tblOutside[Lot charge])+SUMPRODUCT((tblOutside[Lot charge]&lt;=tblOutside[Price per part]*$F$77)*tblOutside[Price per part])*$F$77)/$F$77</f>
        <v>1.15</v>
      </c>
      <c r="G84" s="39">
        <f>(SUMPRODUCT((tblOutside[Lot charge]&gt;tblOutside[Price per part]*$G$77)*tblOutside[Lot charge])+SUMPRODUCT((tblOutside[Lot charge]&lt;=tblOutside[Price per part]*$G$77)*tblOutside[Price per part])*$G$77)/$G$77</f>
        <v>1.15</v>
      </c>
      <c r="H84" s="39">
        <f>(SUMPRODUCT((tblOutside[Lot charge]&gt;tblOutside[Price per part]*$H$77)*tblOutside[Lot charge])+SUMPRODUCT((tblOutside[Lot charge]&lt;=tblOutside[Price per part]*$H$77)*tblOutside[Price per part])*$H$77)/$H$77</f>
        <v>1.15</v>
      </c>
    </row>
    <row r="85" spans="2:8">
      <c r="B85" s="27" t="s">
        <v>227</v>
      </c>
      <c r="C85" s="7" t="str">
        <f>Currency&amp;"/part"</f>
        <v>USD/part</v>
      </c>
      <c r="D85" s="39">
        <f>$D$84*OspMarkup</f>
        <v>0.72</v>
      </c>
      <c r="E85" s="39">
        <f>$E$84*OspMarkup</f>
        <v>0.18</v>
      </c>
      <c r="F85" s="39">
        <f>$F$84*OspMarkup</f>
        <v>0.115</v>
      </c>
      <c r="G85" s="39">
        <f>$G$84*OspMarkup</f>
        <v>0.115</v>
      </c>
      <c r="H85" s="39">
        <f>$H$84*OspMarkup</f>
        <v>0.115</v>
      </c>
    </row>
    <row r="86" spans="2:8">
      <c r="B86" s="27" t="s">
        <v>228</v>
      </c>
      <c r="C86" s="7" t="str">
        <f>Currency&amp;"/part"</f>
        <v>USD/part</v>
      </c>
      <c r="D86" s="39">
        <f>($D$82+$D$81)*Overhead</f>
        <v>4.21395</v>
      </c>
      <c r="E86" s="39">
        <f>($E$82+$E$81)*Overhead</f>
        <v>2.7860625</v>
      </c>
      <c r="F86" s="39">
        <f>($F$82+$F$81)*Overhead</f>
        <v>2.500485</v>
      </c>
      <c r="G86" s="39">
        <f>($G$82+$G$81)*Overhead</f>
        <v>2.4052925</v>
      </c>
      <c r="H86" s="39">
        <f>($H$82+$H$81)*Overhead</f>
        <v>2.3599175</v>
      </c>
    </row>
    <row r="87" spans="2:8">
      <c r="B87" s="17" t="s">
        <v>229</v>
      </c>
      <c r="C87" s="7" t="str">
        <f>Currency&amp;"/part"</f>
        <v>USD/part</v>
      </c>
      <c r="D87" s="48">
        <f>$D$79+$D$80+$D$81+$D$82+$D$83+$D$84+$D$85+$D$86</f>
        <v>62.5312730321864</v>
      </c>
      <c r="E87" s="48">
        <f>$E$79+$E$80+$E$81+$E$82+$E$83+$E$84+$E$85+$E$86</f>
        <v>31.7356821146257</v>
      </c>
      <c r="F87" s="48">
        <f>$F$79+$F$80+$F$81+$F$82+$F$83+$F$84+$F$85+$F$86</f>
        <v>26.0495639311135</v>
      </c>
      <c r="G87" s="48">
        <f>$G$79+$G$80+$G$81+$G$82+$G$83+$G$84+$G$85+$G$86</f>
        <v>24.3925245366095</v>
      </c>
      <c r="H87" s="48">
        <f>$H$79+$H$80+$H$81+$H$82+$H$83+$H$84+$H$85+$H$86</f>
        <v>23.5846495366095</v>
      </c>
    </row>
    <row r="88" spans="2:8">
      <c r="B88" s="27" t="s">
        <v>230</v>
      </c>
      <c r="C88" s="7" t="str">
        <f>Currency&amp;"/part"</f>
        <v>USD/part</v>
      </c>
      <c r="D88" s="49">
        <f>CEILING($D$87/(1-Margin),RoundStep)</f>
        <v>83.38</v>
      </c>
      <c r="E88" s="49">
        <f>CEILING($E$87/(1-Margin),RoundStep)</f>
        <v>42.32</v>
      </c>
      <c r="F88" s="49">
        <f>CEILING($F$87/(1-Margin),RoundStep)</f>
        <v>34.74</v>
      </c>
      <c r="G88" s="49">
        <f>CEILING($G$87/(1-Margin),RoundStep)</f>
        <v>32.53</v>
      </c>
      <c r="H88" s="49">
        <f>CEILING($H$87/(1-Margin),RoundStep)</f>
        <v>31.45</v>
      </c>
    </row>
    <row r="89" spans="2:8">
      <c r="B89" s="27" t="s">
        <v>231</v>
      </c>
      <c r="C89" s="7" t="str">
        <f>Currency</f>
        <v>USD</v>
      </c>
      <c r="D89" s="39">
        <f>$D$88*$D$77</f>
        <v>2084.5</v>
      </c>
      <c r="E89" s="39">
        <f>$E$88*$E$77</f>
        <v>4232</v>
      </c>
      <c r="F89" s="39">
        <f>$F$88*$F$77</f>
        <v>8685</v>
      </c>
      <c r="G89" s="39">
        <f>$G$88*$G$77</f>
        <v>16265</v>
      </c>
      <c r="H89" s="39">
        <f>$H$88*$H$77</f>
        <v>31450</v>
      </c>
    </row>
    <row r="90" spans="2:8">
      <c r="B90" s="27" t="s">
        <v>232</v>
      </c>
      <c r="C90" s="7" t="s">
        <v>233</v>
      </c>
      <c r="D90" s="50">
        <f>($D$88-$D$87)/$D$88</f>
        <v>0.250044698582557</v>
      </c>
      <c r="E90" s="50">
        <f>($E$88-$E$87)/$E$88</f>
        <v>0.25010202942756</v>
      </c>
      <c r="F90" s="50">
        <f>($F$88-$F$87)/$F$88</f>
        <v>0.250156478666854</v>
      </c>
      <c r="G90" s="50">
        <f>($G$88-$G$87)/$G$88</f>
        <v>0.250152949996635</v>
      </c>
      <c r="H90" s="50">
        <f>($H$88-$H$87)/$H$88</f>
        <v>0.250090634765995</v>
      </c>
    </row>
    <row r="91" spans="2:8">
      <c r="B91" s="27" t="s">
        <v>234</v>
      </c>
      <c r="C91" s="7" t="s">
        <v>194</v>
      </c>
      <c r="D91" s="51">
        <f>SetupHours+$D$78*CycleMin/60</f>
        <v>8.495</v>
      </c>
      <c r="E91" s="51">
        <f>SetupHours+$E$78*CycleMin/60</f>
        <v>22.925</v>
      </c>
      <c r="F91" s="51">
        <f>SetupHours+$F$78*CycleMin/60</f>
        <v>51.785</v>
      </c>
      <c r="G91" s="51">
        <f>SetupHours+$G$78*CycleMin/60</f>
        <v>99.885</v>
      </c>
      <c r="H91" s="51">
        <f>SetupHours+$H$78*CycleMin/60</f>
        <v>196.27</v>
      </c>
    </row>
    <row r="92" spans="2:8">
      <c r="B92" s="27" t="s">
        <v>235</v>
      </c>
      <c r="C92" s="7" t="s">
        <v>198</v>
      </c>
      <c r="D92" s="52">
        <f>MatLead+CEILING($D$91/(HoursPerDay*Uptime),1)+OspDays+QueueShip</f>
        <v>16</v>
      </c>
      <c r="E92" s="52">
        <f>MatLead+CEILING($E$91/(HoursPerDay*Uptime),1)+OspDays+QueueShip</f>
        <v>17</v>
      </c>
      <c r="F92" s="52">
        <f>MatLead+CEILING($F$91/(HoursPerDay*Uptime),1)+OspDays+QueueShip</f>
        <v>19</v>
      </c>
      <c r="G92" s="52">
        <f>MatLead+CEILING($G$91/(HoursPerDay*Uptime),1)+OspDays+QueueShip</f>
        <v>23</v>
      </c>
      <c r="H92" s="52">
        <f>MatLead+CEILING($H$91/(HoursPerDay*Uptime),1)+OspDays+QueueShip</f>
        <v>30</v>
      </c>
    </row>
    <row r="94" spans="2:8">
      <c r="B94" s="46" t="s">
        <v>236</v>
      </c>
      <c r="C94" s="36" t="s">
        <v>219</v>
      </c>
      <c r="D94" s="53">
        <f>INDEX($D$77:$H$77,1)</f>
        <v>25</v>
      </c>
      <c r="E94" s="53">
        <f>INDEX($D$77:$H$77,2)</f>
        <v>100</v>
      </c>
      <c r="F94" s="53">
        <f>INDEX($D$77:$H$77,3)</f>
        <v>250</v>
      </c>
      <c r="G94" s="53">
        <f>INDEX($D$77:$H$77,4)</f>
        <v>500</v>
      </c>
      <c r="H94" s="53">
        <f>INDEX($D$77:$H$77,5)</f>
        <v>1000</v>
      </c>
    </row>
    <row r="95" spans="2:8">
      <c r="B95" s="27" t="s">
        <v>237</v>
      </c>
      <c r="C95" s="7" t="s">
        <v>221</v>
      </c>
      <c r="D95" s="45">
        <f>$D$77</f>
        <v>25</v>
      </c>
      <c r="E95" s="45">
        <f>$E$77</f>
        <v>100</v>
      </c>
      <c r="F95" s="45">
        <f>$F$77</f>
        <v>250</v>
      </c>
      <c r="G95" s="45">
        <f>$G$77</f>
        <v>500</v>
      </c>
      <c r="H95" s="45">
        <f>$H$77</f>
        <v>1000</v>
      </c>
    </row>
    <row r="96" spans="2:8">
      <c r="B96" s="27" t="s">
        <v>238</v>
      </c>
      <c r="C96" s="7" t="str">
        <f>Currency&amp;"/part"</f>
        <v>USD/part</v>
      </c>
      <c r="D96" s="39">
        <f>$D$79+$D$80</f>
        <v>3.90432303218638</v>
      </c>
      <c r="E96" s="39">
        <f>$E$79+$E$80</f>
        <v>3.79586961462565</v>
      </c>
      <c r="F96" s="39">
        <f>$F$79+$F$80</f>
        <v>3.7741789311135</v>
      </c>
      <c r="G96" s="39">
        <f>$G$79+$G$80</f>
        <v>3.76694870327612</v>
      </c>
      <c r="H96" s="39">
        <f>$H$79+$H$80</f>
        <v>3.76694870327612</v>
      </c>
    </row>
    <row r="97" spans="2:8">
      <c r="B97" s="27" t="s">
        <v>223</v>
      </c>
      <c r="C97" s="7" t="str">
        <f>Currency&amp;"/part"</f>
        <v>USD/part</v>
      </c>
      <c r="D97" s="39">
        <f>$D$81</f>
        <v>15.993</v>
      </c>
      <c r="E97" s="39">
        <f>$E$81</f>
        <v>15.54875</v>
      </c>
      <c r="F97" s="39">
        <f>$F$81</f>
        <v>15.4599</v>
      </c>
      <c r="G97" s="39">
        <f>$G$81</f>
        <v>15.4302833333333</v>
      </c>
      <c r="H97" s="39">
        <f>$H$81</f>
        <v>15.4302833333333</v>
      </c>
    </row>
    <row r="98" spans="2:8">
      <c r="B98" s="27" t="s">
        <v>239</v>
      </c>
      <c r="C98" s="7" t="str">
        <f>Currency&amp;"/part"</f>
        <v>USD/part</v>
      </c>
      <c r="D98" s="39">
        <f>$D$82+$D$83</f>
        <v>30.5</v>
      </c>
      <c r="E98" s="39">
        <f>$E$82+$E$83</f>
        <v>7.625</v>
      </c>
      <c r="F98" s="39">
        <f>$F$82+$F$83</f>
        <v>3.05</v>
      </c>
      <c r="G98" s="39">
        <f>$G$82+$G$83</f>
        <v>1.525</v>
      </c>
      <c r="H98" s="39">
        <f>$H$82+$H$83</f>
        <v>0.7625</v>
      </c>
    </row>
    <row r="99" spans="2:8">
      <c r="B99" s="27" t="s">
        <v>240</v>
      </c>
      <c r="C99" s="7" t="str">
        <f>Currency&amp;"/part"</f>
        <v>USD/part</v>
      </c>
      <c r="D99" s="39">
        <f>$D$84+$D$85</f>
        <v>7.92</v>
      </c>
      <c r="E99" s="39">
        <f>$E$84+$E$85</f>
        <v>1.98</v>
      </c>
      <c r="F99" s="39">
        <f>$F$84+$F$85</f>
        <v>1.265</v>
      </c>
      <c r="G99" s="39">
        <f>$G$84+$G$85</f>
        <v>1.265</v>
      </c>
      <c r="H99" s="39">
        <f>$H$84+$H$85</f>
        <v>1.265</v>
      </c>
    </row>
    <row r="100" spans="2:8">
      <c r="B100" s="27" t="s">
        <v>228</v>
      </c>
      <c r="C100" s="7" t="str">
        <f>Currency&amp;"/part"</f>
        <v>USD/part</v>
      </c>
      <c r="D100" s="39">
        <f>$D$86</f>
        <v>4.21395</v>
      </c>
      <c r="E100" s="39">
        <f>$E$86</f>
        <v>2.7860625</v>
      </c>
      <c r="F100" s="39">
        <f>$F$86</f>
        <v>2.500485</v>
      </c>
      <c r="G100" s="39">
        <f>$G$86</f>
        <v>2.4052925</v>
      </c>
      <c r="H100" s="39">
        <f>$H$86</f>
        <v>2.3599175</v>
      </c>
    </row>
    <row r="119" spans="2:11" ht="21" customHeight="1">
      <c r="B119" s="8" t="s">
        <v>241</v>
      </c>
      <c r="C119" s="8"/>
      <c r="D119" s="8"/>
      <c r="E119" s="8"/>
      <c r="F119" s="8"/>
      <c r="G119" s="8"/>
      <c r="H119" s="8"/>
      <c r="I119" s="8"/>
      <c r="J119" s="8"/>
      <c r="K119" s="8"/>
    </row>
    <row r="120" spans="2:11" ht="5" customHeight="1"/>
    <row r="121" spans="2:11">
      <c r="B121" s="21" t="s">
        <v>242</v>
      </c>
      <c r="C121" s="21"/>
      <c r="D121" s="21"/>
      <c r="E121" s="21"/>
      <c r="F121" s="21"/>
      <c r="G121" s="21"/>
      <c r="H121" s="21"/>
      <c r="I121" s="21"/>
      <c r="J121" s="21"/>
      <c r="K121" s="21"/>
    </row>
    <row r="122" spans="2:11">
      <c r="B122" s="27" t="s">
        <v>243</v>
      </c>
      <c r="C122" s="29">
        <v>250</v>
      </c>
      <c r="D122" s="7" t="s">
        <v>244</v>
      </c>
    </row>
    <row r="123" spans="2:11">
      <c r="B123" s="27" t="s">
        <v>245</v>
      </c>
      <c r="C123" s="33">
        <v>80</v>
      </c>
      <c r="D123" s="7" t="s">
        <v>194</v>
      </c>
    </row>
    <row r="124" spans="2:11">
      <c r="B124" s="27" t="s">
        <v>246</v>
      </c>
      <c r="C124" s="42" t="str">
        <f>IFERROR(INDEX(tblRouting[Operation],MATCH(MAX(tblRouting[Cycle (min/part)]),tblRouting[Cycle (min/part)],0)),"")</f>
        <v>Turn OD, face, bore</v>
      </c>
      <c r="D124" s="42"/>
    </row>
    <row r="125" spans="2:11">
      <c r="B125" s="27" t="s">
        <v>247</v>
      </c>
      <c r="C125" s="39">
        <f>IFERROR(INDEX(tblRouting[Setup (h)],MATCH(MAX(tblRouting[Cycle (min/part)]),tblRouting[Cycle (min/part)],0)),0)</f>
        <v>1.5</v>
      </c>
      <c r="D125" s="7" t="s">
        <v>194</v>
      </c>
    </row>
    <row r="126" spans="2:11">
      <c r="B126" s="27" t="s">
        <v>248</v>
      </c>
      <c r="C126" s="39">
        <f>IFERROR(INDEX(tblRouting[Cycle (min/part)],MATCH(MAX(tblRouting[Cycle (min/part)]),tblRouting[Cycle (min/part)],0)),0)</f>
        <v>4.2</v>
      </c>
      <c r="D126" s="7" t="s">
        <v>196</v>
      </c>
    </row>
    <row r="127" spans="2:11">
      <c r="B127" s="27" t="s">
        <v>249</v>
      </c>
      <c r="C127" s="51">
        <f>MAX(0,OpenHours*Uptime-ConSetup)</f>
        <v>64.1</v>
      </c>
      <c r="D127" s="7" t="s">
        <v>194</v>
      </c>
    </row>
    <row r="128" spans="2:11">
      <c r="B128" s="27" t="s">
        <v>250</v>
      </c>
      <c r="C128" s="51">
        <f>IF(ConCycle&gt;0,CapRun*60/ConCycle,"")</f>
        <v>915.714285714286</v>
      </c>
      <c r="D128" s="7" t="s">
        <v>221</v>
      </c>
    </row>
    <row r="129" spans="2:4">
      <c r="B129" s="17" t="s">
        <v>251</v>
      </c>
      <c r="C129" s="52">
        <f>IF(CapStarted="","",FLOOR(CapStarted*FPY,1))</f>
        <v>879</v>
      </c>
      <c r="D129" s="7" t="s">
        <v>221</v>
      </c>
    </row>
    <row r="130" spans="2:4">
      <c r="B130" s="27" t="s">
        <v>252</v>
      </c>
      <c r="C130" s="51">
        <f>(ConSetup+CapQty/FPY*ConCycle/60)/Uptime</f>
        <v>24.0599593495935</v>
      </c>
      <c r="D130" s="7" t="s">
        <v>194</v>
      </c>
    </row>
    <row r="131" spans="2:4">
      <c r="B131" s="27" t="s">
        <v>253</v>
      </c>
      <c r="C131" s="45">
        <f>CEILING(CapQty/FPY,1)</f>
        <v>261</v>
      </c>
      <c r="D131" s="7" t="s">
        <v>221</v>
      </c>
    </row>
    <row r="132" spans="2:4">
      <c r="B132" s="17" t="s">
        <v>254</v>
      </c>
      <c r="C132" s="54">
        <f>IF(CapGood="","",CapGood-CapQty)</f>
        <v>629</v>
      </c>
      <c r="D132" s="7" t="s">
        <v>221</v>
      </c>
    </row>
    <row r="133" spans="2:4">
      <c r="B133" s="17" t="s">
        <v>255</v>
      </c>
      <c r="C133" s="55" t="str">
        <f>IF(CapMinus="","",IF(CapMinus&gt;=0,"Under capacity","Over capacity"))</f>
        <v>Under capacity</v>
      </c>
      <c r="D133" s="55"/>
    </row>
  </sheetData>
  <mergeCells count="29">
    <mergeCell ref="A1:K1"/>
    <mergeCell ref="B2:J2"/>
    <mergeCell ref="B4:K4"/>
    <mergeCell ref="B6:K6"/>
    <mergeCell ref="C8:F8"/>
    <mergeCell ref="C9:F9"/>
    <mergeCell ref="C10:F10"/>
    <mergeCell ref="C11:F11"/>
    <mergeCell ref="C12:F12"/>
    <mergeCell ref="C13:F13"/>
    <mergeCell ref="C14:F14"/>
    <mergeCell ref="C15:F15"/>
    <mergeCell ref="C16:F16"/>
    <mergeCell ref="B18:K18"/>
    <mergeCell ref="C20:D20"/>
    <mergeCell ref="C21:D21"/>
    <mergeCell ref="C22:D22"/>
    <mergeCell ref="C33:D33"/>
    <mergeCell ref="B35:K35"/>
    <mergeCell ref="B45:D45"/>
    <mergeCell ref="B51:K51"/>
    <mergeCell ref="B58:K58"/>
    <mergeCell ref="B66:D66"/>
    <mergeCell ref="B69:K69"/>
    <mergeCell ref="B75:K75"/>
    <mergeCell ref="B119:K119"/>
    <mergeCell ref="B121:K121"/>
    <mergeCell ref="C124:D124"/>
    <mergeCell ref="C133:D133"/>
  </mergeCells>
  <conditionalFormatting sqref="C133">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C33">
    <cfRule type="expression" dxfId="3" priority="1">
      <formula>$C33="OK"</formula>
    </cfRule>
    <cfRule type="expression" dxfId="1" priority="2">
      <formula>AND($C33&lt;&gt;"",$C33&lt;&gt;"OK")</formula>
    </cfRule>
  </conditionalFormatting>
  <conditionalFormatting sqref="J39:J93">
    <cfRule type="expression" dxfId="3" priority="3">
      <formula>$J39="OK"</formula>
    </cfRule>
    <cfRule type="expression" dxfId="1" priority="4">
      <formula>AND($J39&lt;&gt;"",$J39&lt;&gt;"OK")</formula>
    </cfRule>
  </conditionalFormatting>
  <dataValidations count="41">
    <dataValidation type="textLength" allowBlank="1" showInputMessage="1" showErrorMessage="1" errorTitle="Check this entry" error="Text up to 40 characters." promptTitle="Quote number" prompt="Text up to 40 characters." sqref="C8">
      <formula1>0</formula1>
      <formula2>40</formula2>
    </dataValidation>
    <dataValidation type="date" allowBlank="1" showInputMessage="1" showErrorMessage="1" errorTitle="Check this entry" error="Enter a date between 01 Jan 2000 and 31 Dec 2100." promptTitle="Quote date" prompt="Enter a date between 01 Jan 2000 and 31 Dec 2100." sqref="C9">
      <formula1>36526</formula1>
      <formula2>73415</formula2>
    </dataValidation>
    <dataValidation type="textLength" allowBlank="1" showInputMessage="1" showErrorMessage="1" errorTitle="Check this entry" error="Text up to 80 characters." promptTitle="Customer" prompt="Text up to 80 characters." sqref="C10">
      <formula1>0</formula1>
      <formula2>80</formula2>
    </dataValidation>
    <dataValidation type="textLength" allowBlank="1" showInputMessage="1" showErrorMessage="1" errorTitle="Check this entry" error="Text up to 80 characters." promptTitle="Attention" prompt="Text up to 80 characters." sqref="C11">
      <formula1>0</formula1>
      <formula2>80</formula2>
    </dataValidation>
    <dataValidation type="textLength" allowBlank="1" showInputMessage="1" showErrorMessage="1" errorTitle="Check this entry" error="Text up to 40 characters." promptTitle="Customer RFQ reference" prompt="Text up to 40 characters." sqref="C12">
      <formula1>0</formula1>
      <formula2>40</formula2>
    </dataValidation>
    <dataValidation type="textLength" allowBlank="1" showInputMessage="1" showErrorMessage="1" errorTitle="Check this entry" error="Text up to 40 characters." promptTitle="Part number" prompt="Text up to 40 characters." sqref="C13">
      <formula1>0</formula1>
      <formula2>40</formula2>
    </dataValidation>
    <dataValidation type="textLength" allowBlank="1" showInputMessage="1" showErrorMessage="1" errorTitle="Check this entry" error="Text up to 10 characters." promptTitle="Drawing revision" prompt="Text up to 10 characters." sqref="C14">
      <formula1>0</formula1>
      <formula2>10</formula2>
    </dataValidation>
    <dataValidation type="textLength" allowBlank="1" showInputMessage="1" showErrorMessage="1" errorTitle="Check this entry" error="Text up to 120 characters." promptTitle="Part description" prompt="Text up to 120 characters." sqref="C15">
      <formula1>0</formula1>
      <formula2>120</formula2>
    </dataValidation>
    <dataValidation type="textLength" allowBlank="1" showInputMessage="1" showErrorMessage="1" errorTitle="Check this entry" error="Text up to 60 characters." promptTitle="Prepared by" prompt="Text up to 60 characters." sqref="C16">
      <formula1>0</formula1>
      <formula2>60</formula2>
    </dataValidation>
    <dataValidation type="list" allowBlank="1" showInputMessage="1" showErrorMessage="1" errorTitle="Check this entry" error="Pick from the list (edit the list on Setup: Materials)." promptTitle="Material" prompt="Pick from the list (edit the list on Setup: Materials)." sqref="C20">
      <formula1>Materials</formula1>
    </dataValidation>
    <dataValidation type="list" allowBlank="1" showInputMessage="1" showErrorMessage="1" errorTitle="Check this entry" error="Pick one of: Round bar, Rectangular bar or plate." promptTitle="Stock shape" prompt="Pick one of: Round bar, Rectangular bar or plate." sqref="C21">
      <formula1>"Round bar,Rectangular bar or plate"</formula1>
    </dataValidation>
    <dataValidation type="list" allowBlank="1" showInputMessage="1" showErrorMessage="1" errorTitle="Check this entry" error="Pick one of: mm, in." promptTitle="Dimensions in" prompt="Unit for diameter, width, thickness and length below. Pick one of: mm, in." sqref="C22">
      <formula1>"mm,in"</formula1>
    </dataValidation>
    <dataValidation type="decimal" allowBlank="1" showInputMessage="1" showErrorMessage="1" errorTitle="Check this entry" error="Enter a number from 0.001 to 10,000." promptTitle="Diameter (round) or width" prompt="Enter a number from 0.001 to 10,000." sqref="C23">
      <formula1>0.001</formula1>
      <formula2>10000</formula2>
    </dataValidation>
    <dataValidation type="decimal" allowBlank="1" showInputMessage="1" showErrorMessage="1" errorTitle="Check this entry" error="Enter a number from 0 to 10,000." promptTitle="Thickness (rectangular only)" prompt="Enter a number from 0 to 10,000." sqref="C24">
      <formula1>0</formula1>
      <formula2>10000</formula2>
    </dataValidation>
    <dataValidation type="decimal" allowBlank="1" showInputMessage="1" showErrorMessage="1" errorTitle="Check this entry" error="Enter a number from 0.001 to 100,000." promptTitle="Blank length, incl. cut-off a..." prompt="Enter a number from 0.001 to 100,000." sqref="C25">
      <formula1>0.001</formula1>
      <formula2>100000</formula2>
    </dataValidation>
    <dataValidation type="decimal" allowBlank="1" showInputMessage="1" showErrorMessage="1" errorTitle="Check this entry" error="Enter a percentage from 0% to 200% (type 85% or 0.85)." promptTitle="Material allowance (bar ends,..." prompt="Extra material bought per blank for bar ends, saw kerf and offcuts. Enter a percentage from 0% to 200% (type 85% or 0.85)." sqref="C26">
      <formula1>0</formula1>
      <formula2>2</formula2>
    </dataValidation>
    <dataValidation type="textLength" allowBlank="1" showInputMessage="1" showErrorMessage="1" errorTitle="Check this entry" error="Text up to 80 characters." promptTitle="Operation" prompt="Text up to 80 characters." sqref="B39:B93">
      <formula1>0</formula1>
      <formula2>80</formula2>
    </dataValidation>
    <dataValidation type="whole" allowBlank="1" showInputMessage="1" showErrorMessage="1" errorTitle="Check this entry" error="Enter a whole number from 0 to 9,999." promptTitle="Op" prompt="Operation number, e.g. 10, 20, 30. Enter a whole number from 0 to 9,999." sqref="C39:C93">
      <formula1>0</formula1>
      <formula2>9999</formula2>
    </dataValidation>
    <dataValidation type="list" allowBlank="1" showInputMessage="1" showErrorMessage="1" errorTitle="Check this entry" error="Pick from the list (edit the list on Setup: WorkCentres)." promptTitle="Work centre" prompt="Pick from the list (edit the list on Setup: WorkCentres)." sqref="D39:D93">
      <formula1>WorkCentres</formula1>
    </dataValidation>
    <dataValidation type="decimal" allowBlank="1" showInputMessage="1" showErrorMessage="1" errorTitle="Check this entry" error="Enter a number from 0 to 1,000." promptTitle="Setup (h)" prompt="Setup and first-off approval for this operation, per batch. Enter a number from 0 to 1,000." sqref="E39:E93">
      <formula1>0</formula1>
      <formula2>1000</formula2>
    </dataValidation>
    <dataValidation type="decimal" allowBlank="1" showInputMessage="1" showErrorMessage="1" errorTitle="Check this entry" error="Enter a number from 0 to 100,000." promptTitle="Cycle (min/part)" prompt="Run time per part at this operation, loading included. Enter a number from 0 to 100,000." sqref="F39:F93">
      <formula1>0</formula1>
      <formula2>100000</formula2>
    </dataValidation>
    <dataValidation type="textLength" allowBlank="1" showInputMessage="1" showErrorMessage="1" errorTitle="Check this entry" error="Text up to 120 characters." promptTitle="Notes" prompt="Text up to 120 characters." sqref="K39:K93">
      <formula1>0</formula1>
      <formula2>120</formula2>
    </dataValidation>
    <dataValidation type="textLength" allowBlank="1" showInputMessage="1" showErrorMessage="1" errorTitle="Check this entry" error="Text up to 80 characters." promptTitle="Process" prompt="Text up to 80 characters." sqref="B55:B76">
      <formula1>0</formula1>
      <formula2>80</formula2>
    </dataValidation>
    <dataValidation type="textLength" allowBlank="1" showInputMessage="1" showErrorMessage="1" errorTitle="Check this entry" error="Text up to 60 characters." promptTitle="Supplier" prompt="Text up to 60 characters." sqref="C55:C76">
      <formula1>0</formula1>
      <formula2>60</formula2>
    </dataValidation>
    <dataValidation type="decimal" allowBlank="1" showInputMessage="1" showErrorMessage="1" errorTitle="Check this entry" error="Enter a number from 0 to 1,000,000." promptTitle="Price per part" prompt="Enter a number from 0 to 1,000,000." sqref="D55:D76">
      <formula1>0</formula1>
      <formula2>1000000.0</formula2>
    </dataValidation>
    <dataValidation type="decimal" allowBlank="1" showInputMessage="1" showErrorMessage="1" errorTitle="Check this entry" error="Enter a number from 0 to 10,000,000." promptTitle="Lot charge" prompt="The supplier's minimum charge per lot. You pay the larger of this and price x quantity. Enter a number from 0 to 10,000,000." sqref="E55:E76">
      <formula1>0</formula1>
      <formula2>10000000.0</formula2>
    </dataValidation>
    <dataValidation type="whole" allowBlank="1" showInputMessage="1" showErrorMessage="1" errorTitle="Check this entry" error="Enter a whole number from 0 to 365." promptTitle="Lead time (days)" prompt="Enter a whole number from 0 to 365." sqref="F55:F76">
      <formula1>0</formula1>
      <formula2>365</formula2>
    </dataValidation>
    <dataValidation type="textLength" allowBlank="1" showInputMessage="1" showErrorMessage="1" errorTitle="Check this entry" error="Text up to 120 characters." promptTitle="Notes" prompt="Text up to 120 characters." sqref="G55:G76">
      <formula1>0</formula1>
      <formula2>120</formula2>
    </dataValidation>
    <dataValidation type="textLength" allowBlank="1" showInputMessage="1" showErrorMessage="1" errorTitle="Check this entry" error="Text up to 80 characters." promptTitle="Item" prompt="Text up to 80 characters." sqref="B62:B84">
      <formula1>0</formula1>
      <formula2>80</formula2>
    </dataValidation>
    <dataValidation type="decimal" allowBlank="1" showInputMessage="1" showErrorMessage="1" errorTitle="Check this entry" error="Enter a number from 0 to 10,000,000." promptTitle="Cost" prompt="Enter a number from 0 to 10,000,000." sqref="C62:C84">
      <formula1>0</formula1>
      <formula2>10000000.0</formula2>
    </dataValidation>
    <dataValidation type="list" allowBlank="1" showInputMessage="1" showErrorMessage="1" errorTitle="Check this entry" error="Pick one of: Amortise, Bill separately." promptTitle="Billing" prompt="Amortise spreads the cost over each quantity break; Bill separately prints it as its own line on the Quote. Pick one of: Amortise, Bill separately." sqref="D62:D84">
      <formula1>"Amortise,Bill separately"</formula1>
    </dataValidation>
    <dataValidation type="textLength" allowBlank="1" showInputMessage="1" showErrorMessage="1" errorTitle="Check this entry" error="Text up to 120 characters." promptTitle="Notes" prompt="Text up to 120 characters." sqref="F62:F84">
      <formula1>0</formula1>
      <formula2>120</formula2>
    </dataValidation>
    <dataValidation type="whole" allowBlank="1" showInputMessage="1" showErrorMessage="1" errorTitle="Check this entry" error="Enter a whole number from 0 to 365." promptTitle="Material lead time" prompt="Enter a whole number from 0 to 365." sqref="C71">
      <formula1>0</formula1>
      <formula2>365</formula2>
    </dataValidation>
    <dataValidation type="whole" allowBlank="1" showInputMessage="1" showErrorMessage="1" errorTitle="Check this entry" error="Enter a whole number from 0 to 365." promptTitle="Queue, packing and shipping" prompt="Enter a whole number from 0 to 365." sqref="C72">
      <formula1>0</formula1>
      <formula2>365</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D77">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E77">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F77">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G77">
      <formula1>1</formula1>
      <formula2>10000000</formula2>
    </dataValidation>
    <dataValidation type="whole" allowBlank="1" showInputMessage="1" showErrorMessage="1" errorTitle="Check this entry" error="Enter a whole number from 1 to 10,000,000." promptTitle="Quantity" prompt="Quantity of good parts for this price break. Enter a whole number from 1 to 10,000,000." sqref="H77">
      <formula1>1</formula1>
      <formula2>10000000</formula2>
    </dataValidation>
    <dataValidation type="whole" allowBlank="1" showInputMessage="1" showErrorMessage="1" errorTitle="Check this entry" error="Enter a whole number from 1 to 10,000,000." promptTitle="Order quantity to check" prompt="Enter a whole number from 1 to 10,000,000." sqref="C122">
      <formula1>1</formula1>
      <formula2>10000000</formula2>
    </dataValidation>
    <dataValidation type="decimal" allowBlank="1" showInputMessage="1" showErrorMessage="1" errorTitle="Check this entry" error="Enter a number from 0 to 100,000." promptTitle="Open hours on the constraint" prompt="Hours you can book on the constraint machine before the requested date, after the current backlog. Enter a number from 0 to 100,000." sqref="C123">
      <formula1>0</formula1>
      <formula2>100000</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Job Shop Quote&amp;R&amp;8&amp;A</oddHeader>
    <oddFooter>&amp;L&amp;8mfgcalcs.com - free manufacturing templates&amp;R&amp;8Page &amp;P of &amp;N</oddFooter>
  </headerFooter>
  <rowBreaks count="3" manualBreakCount="3">
    <brk id="34" max="16383" man="1"/>
    <brk id="68" max="16383" man="1"/>
    <brk id="101" max="16383" man="1"/>
  </rowBreaks>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G40"/>
  <sheetViews>
    <sheetView showGridLines="0" workbookViewId="0"/>
  </sheetViews>
  <sheetFormatPr defaultRowHeight="15"/>
  <cols>
    <col min="1" max="1" width="2.7109375" customWidth="1"/>
    <col min="2" max="7" width="16.7109375" customWidth="1"/>
  </cols>
  <sheetData>
    <row r="1" spans="1:7" ht="30" customHeight="1">
      <c r="A1" s="1" t="s">
        <v>0</v>
      </c>
      <c r="B1" s="1"/>
      <c r="C1" s="1"/>
      <c r="D1" s="1"/>
      <c r="E1" s="1"/>
      <c r="F1" s="1"/>
      <c r="G1" s="1"/>
    </row>
    <row r="2" spans="1:7" ht="21" customHeight="1">
      <c r="B2" s="2" t="s">
        <v>24</v>
      </c>
      <c r="C2" s="2"/>
      <c r="D2" s="2"/>
      <c r="E2" s="2"/>
      <c r="F2" s="2"/>
      <c r="G2" s="3" t="s">
        <v>2</v>
      </c>
    </row>
    <row r="3" spans="1:7" ht="6" customHeight="1"/>
    <row r="4" spans="1:7" ht="30" customHeight="1">
      <c r="B4" s="56" t="s">
        <v>256</v>
      </c>
      <c r="C4" s="56"/>
      <c r="D4" s="57" t="s">
        <v>257</v>
      </c>
      <c r="E4" s="57"/>
      <c r="F4" s="57"/>
      <c r="G4" s="57"/>
    </row>
    <row r="5" spans="1:7">
      <c r="B5" s="56"/>
      <c r="C5" s="56"/>
      <c r="D5" s="58" t="str">
        <f>CoName</f>
        <v>Northfield Precision (example)</v>
      </c>
      <c r="E5" s="58"/>
      <c r="F5" s="58"/>
      <c r="G5" s="58"/>
    </row>
    <row r="6" spans="1:7">
      <c r="B6" s="56"/>
      <c r="C6" s="56"/>
      <c r="D6" s="59" t="str">
        <f>CoAddress1&amp;", "&amp;CoAddress2</f>
        <v>Unit 4, Mill Lane Industrial Estate, Northfield, NF1 2AB</v>
      </c>
      <c r="E6" s="59"/>
      <c r="F6" s="59"/>
      <c r="G6" s="59"/>
    </row>
    <row r="7" spans="1:7">
      <c r="B7" s="56"/>
      <c r="C7" s="56"/>
      <c r="D7" s="59" t="str">
        <f>CoPhone&amp;"   "&amp;CoEmail</f>
        <v>+1 555 0142   quotes@example.com</v>
      </c>
      <c r="E7" s="59"/>
      <c r="F7" s="59"/>
      <c r="G7" s="59"/>
    </row>
    <row r="9" spans="1:7">
      <c r="B9" s="60" t="s">
        <v>258</v>
      </c>
      <c r="C9" s="61" t="str">
        <f>Customer</f>
        <v>Halden Pump Systems (example)</v>
      </c>
      <c r="D9" s="61"/>
      <c r="E9" s="60" t="s">
        <v>145</v>
      </c>
      <c r="F9" s="62" t="str">
        <f>QuoteNo</f>
        <v>Q-2026-0142</v>
      </c>
      <c r="G9" s="62"/>
    </row>
    <row r="10" spans="1:7">
      <c r="B10" s="60" t="s">
        <v>150</v>
      </c>
      <c r="C10" s="61" t="str">
        <f>Contact</f>
        <v>Purchasing</v>
      </c>
      <c r="D10" s="61"/>
      <c r="E10" s="60" t="s">
        <v>259</v>
      </c>
      <c r="F10" s="63">
        <f>QuoteDate</f>
        <v>46307</v>
      </c>
      <c r="G10" s="63"/>
    </row>
    <row r="11" spans="1:7">
      <c r="B11" s="60" t="s">
        <v>260</v>
      </c>
      <c r="C11" s="61" t="str">
        <f>RFQRef</f>
        <v>RFQ-88213</v>
      </c>
      <c r="D11" s="61"/>
      <c r="E11" s="60" t="s">
        <v>261</v>
      </c>
      <c r="F11" s="63">
        <f>QuoteDate+Validity</f>
        <v>46337</v>
      </c>
      <c r="G11" s="63"/>
    </row>
    <row r="12" spans="1:7">
      <c r="E12" s="60" t="s">
        <v>160</v>
      </c>
      <c r="F12" s="62" t="str">
        <f>PreparedBy</f>
        <v>Estimating</v>
      </c>
      <c r="G12" s="62"/>
    </row>
    <row r="13" spans="1:7" ht="8" customHeight="1"/>
    <row r="14" spans="1:7">
      <c r="B14" s="60" t="s">
        <v>154</v>
      </c>
      <c r="C14" s="61" t="str">
        <f>PartNo&amp;"  (rev "&amp;PartRev&amp;")"</f>
        <v>HP-2207-14  (rev C)</v>
      </c>
      <c r="D14" s="61"/>
      <c r="E14" s="61"/>
      <c r="F14" s="61"/>
      <c r="G14" s="61"/>
    </row>
    <row r="15" spans="1:7">
      <c r="B15" s="60" t="s">
        <v>262</v>
      </c>
      <c r="C15" s="61" t="str">
        <f>PartDesc</f>
        <v>Pump shaft coupling, turned and milled, clear anodised</v>
      </c>
      <c r="D15" s="61"/>
      <c r="E15" s="61"/>
      <c r="F15" s="61"/>
      <c r="G15" s="61"/>
    </row>
    <row r="16" spans="1:7">
      <c r="B16" s="60" t="s">
        <v>66</v>
      </c>
      <c r="C16" s="61" t="str">
        <f>Material</f>
        <v>Aluminium 6082-T6</v>
      </c>
      <c r="D16" s="61"/>
      <c r="E16" s="61"/>
      <c r="F16" s="61"/>
      <c r="G16" s="61"/>
    </row>
    <row r="17" spans="2:7" ht="10" customHeight="1"/>
    <row r="18" spans="2:7" ht="22" customHeight="1">
      <c r="B18" s="64" t="s">
        <v>237</v>
      </c>
      <c r="C18" s="64" t="str">
        <f>"Unit price ("&amp;Currency&amp;")"</f>
        <v>Unit price (USD)</v>
      </c>
      <c r="D18" s="64" t="str">
        <f>"Extended ("&amp;Currency&amp;")"</f>
        <v>Extended (USD)</v>
      </c>
      <c r="E18" s="64" t="s">
        <v>263</v>
      </c>
      <c r="F18" s="64"/>
      <c r="G18" s="64"/>
    </row>
    <row r="19" spans="2:7">
      <c r="B19" s="65">
        <f>INDEX('Quote Builder'!$D$77:$H$77,1)</f>
        <v>25</v>
      </c>
      <c r="C19" s="66">
        <f>INDEX('Quote Builder'!$D$88:$H$88,1)</f>
        <v>83.38</v>
      </c>
      <c r="D19" s="66">
        <f>INDEX('Quote Builder'!$D$89:$H$89,1)</f>
        <v>2084.5</v>
      </c>
      <c r="E19" s="67" t="str">
        <f>INDEX('Quote Builder'!$D$92:$H$92,1)&amp;" working days"</f>
        <v>16 working days</v>
      </c>
      <c r="F19" s="67"/>
      <c r="G19" s="67"/>
    </row>
    <row r="20" spans="2:7">
      <c r="B20" s="65">
        <f>INDEX('Quote Builder'!$D$77:$H$77,2)</f>
        <v>100</v>
      </c>
      <c r="C20" s="66">
        <f>INDEX('Quote Builder'!$D$88:$H$88,2)</f>
        <v>42.32</v>
      </c>
      <c r="D20" s="66">
        <f>INDEX('Quote Builder'!$D$89:$H$89,2)</f>
        <v>4232</v>
      </c>
      <c r="E20" s="67" t="str">
        <f>INDEX('Quote Builder'!$D$92:$H$92,2)&amp;" working days"</f>
        <v>17 working days</v>
      </c>
      <c r="F20" s="67"/>
      <c r="G20" s="67"/>
    </row>
    <row r="21" spans="2:7">
      <c r="B21" s="65">
        <f>INDEX('Quote Builder'!$D$77:$H$77,3)</f>
        <v>250</v>
      </c>
      <c r="C21" s="66">
        <f>INDEX('Quote Builder'!$D$88:$H$88,3)</f>
        <v>34.74</v>
      </c>
      <c r="D21" s="66">
        <f>INDEX('Quote Builder'!$D$89:$H$89,3)</f>
        <v>8685</v>
      </c>
      <c r="E21" s="67" t="str">
        <f>INDEX('Quote Builder'!$D$92:$H$92,3)&amp;" working days"</f>
        <v>19 working days</v>
      </c>
      <c r="F21" s="67"/>
      <c r="G21" s="67"/>
    </row>
    <row r="22" spans="2:7">
      <c r="B22" s="65">
        <f>INDEX('Quote Builder'!$D$77:$H$77,4)</f>
        <v>500</v>
      </c>
      <c r="C22" s="66">
        <f>INDEX('Quote Builder'!$D$88:$H$88,4)</f>
        <v>32.53</v>
      </c>
      <c r="D22" s="66">
        <f>INDEX('Quote Builder'!$D$89:$H$89,4)</f>
        <v>16265</v>
      </c>
      <c r="E22" s="67" t="str">
        <f>INDEX('Quote Builder'!$D$92:$H$92,4)&amp;" working days"</f>
        <v>23 working days</v>
      </c>
      <c r="F22" s="67"/>
      <c r="G22" s="67"/>
    </row>
    <row r="23" spans="2:7">
      <c r="B23" s="65">
        <f>INDEX('Quote Builder'!$D$77:$H$77,5)</f>
        <v>1000</v>
      </c>
      <c r="C23" s="66">
        <f>INDEX('Quote Builder'!$D$88:$H$88,5)</f>
        <v>31.45</v>
      </c>
      <c r="D23" s="66">
        <f>INDEX('Quote Builder'!$D$89:$H$89,5)</f>
        <v>31450</v>
      </c>
      <c r="E23" s="67" t="str">
        <f>INDEX('Quote Builder'!$D$92:$H$92,5)&amp;" working days"</f>
        <v>30 working days</v>
      </c>
      <c r="F23" s="67"/>
      <c r="G23" s="67"/>
    </row>
    <row r="24" spans="2:7" ht="10" customHeight="1"/>
    <row r="25" spans="2:7">
      <c r="B25" s="34" t="s">
        <v>264</v>
      </c>
    </row>
    <row r="26" spans="2:7">
      <c r="B26" s="68" t="str">
        <f>IFERROR(INDEX(tblTooling[Item],MATCH(1,tblTooling[Quote line],0)),"")</f>
        <v>First article inspection report</v>
      </c>
      <c r="C26" s="68"/>
      <c r="D26" s="68"/>
      <c r="E26" s="68"/>
      <c r="F26" s="69" t="str">
        <f>IF(IFERROR(INDEX(tblTooling[Item],MATCH(1,tblTooling[Quote line],0)),"")="","",Currency)</f>
        <v>USD</v>
      </c>
      <c r="G26" s="66">
        <f>IFERROR(INDEX(tblTooling[Cost],MATCH(1,tblTooling[Quote line],0)),"")</f>
        <v>180</v>
      </c>
    </row>
    <row r="27" spans="2:7">
      <c r="B27" s="68">
        <f>IFERROR(INDEX(tblTooling[Item],MATCH(2,tblTooling[Quote line],0)),"")</f>
        <v/>
      </c>
      <c r="C27" s="68"/>
      <c r="D27" s="68"/>
      <c r="E27" s="68"/>
      <c r="F27" s="69">
        <f>IF(IFERROR(INDEX(tblTooling[Item],MATCH(2,tblTooling[Quote line],0)),"")="","",Currency)</f>
        <v/>
      </c>
      <c r="G27" s="66">
        <f>IFERROR(INDEX(tblTooling[Cost],MATCH(2,tblTooling[Quote line],0)),"")</f>
        <v/>
      </c>
    </row>
    <row r="28" spans="2:7">
      <c r="B28" s="68">
        <f>IFERROR(INDEX(tblTooling[Item],MATCH(3,tblTooling[Quote line],0)),"")</f>
        <v/>
      </c>
      <c r="C28" s="68"/>
      <c r="D28" s="68"/>
      <c r="E28" s="68"/>
      <c r="F28" s="69">
        <f>IF(IFERROR(INDEX(tblTooling[Item],MATCH(3,tblTooling[Quote line],0)),"")="","",Currency)</f>
        <v/>
      </c>
      <c r="G28" s="66">
        <f>IFERROR(INDEX(tblTooling[Cost],MATCH(3,tblTooling[Quote line],0)),"")</f>
        <v/>
      </c>
    </row>
    <row r="29" spans="2:7">
      <c r="B29" s="70">
        <f>IF(COUNTIF(tblTooling[Quote line],"&gt;3")&gt;0,"More separately billed items are listed on the Quote Builder.","")</f>
        <v/>
      </c>
      <c r="C29" s="70"/>
      <c r="D29" s="70"/>
      <c r="E29" s="70"/>
      <c r="F29" s="70"/>
      <c r="G29" s="70"/>
    </row>
    <row r="30" spans="2:7">
      <c r="B30" s="34" t="s">
        <v>265</v>
      </c>
    </row>
    <row r="31" spans="2:7">
      <c r="B31" s="60" t="s">
        <v>266</v>
      </c>
      <c r="C31" s="61" t="str">
        <f>PayTerms</f>
        <v>Net 30 days from invoice</v>
      </c>
      <c r="D31" s="61"/>
      <c r="E31" s="61"/>
      <c r="F31" s="61"/>
      <c r="G31" s="61"/>
    </row>
    <row r="32" spans="2:7">
      <c r="B32" s="60" t="s">
        <v>267</v>
      </c>
      <c r="C32" s="61" t="str">
        <f>DelTerms</f>
        <v>Ex works, packed for road freight</v>
      </c>
      <c r="D32" s="61"/>
      <c r="E32" s="61"/>
      <c r="F32" s="61"/>
      <c r="G32" s="61"/>
    </row>
    <row r="33" spans="2:7">
      <c r="B33" s="60" t="s">
        <v>268</v>
      </c>
      <c r="C33" s="61" t="str">
        <f>"Valid for "&amp;Validity&amp;" days from the quote date."</f>
        <v>Valid for 30 days from the quote date.</v>
      </c>
      <c r="D33" s="61"/>
      <c r="E33" s="61"/>
      <c r="F33" s="61"/>
      <c r="G33" s="61"/>
    </row>
    <row r="34" spans="2:7" ht="42" customHeight="1">
      <c r="B34" s="10" t="str">
        <f>Terms</f>
        <v>Prices are per part in the currency shown and exclude sales taxes and freight unless stated. Lead times are working days from receipt of order and approved drawings. Charges billed separately are invoiced with the first delivery. Replace this example text with your own terms of sale.</v>
      </c>
      <c r="C34" s="10"/>
      <c r="D34" s="10"/>
      <c r="E34" s="10"/>
      <c r="F34" s="10"/>
      <c r="G34" s="10"/>
    </row>
    <row r="35" spans="2:7" ht="10" customHeight="1"/>
    <row r="36" spans="2:7">
      <c r="B36" s="34" t="s">
        <v>269</v>
      </c>
    </row>
    <row r="37" spans="2:7" ht="21" customHeight="1">
      <c r="B37" s="71" t="s">
        <v>270</v>
      </c>
      <c r="C37" s="71"/>
      <c r="D37" s="61"/>
      <c r="E37" s="61"/>
      <c r="F37" s="61"/>
      <c r="G37" s="61"/>
    </row>
    <row r="38" spans="2:7" ht="21" customHeight="1">
      <c r="B38" s="71" t="s">
        <v>271</v>
      </c>
      <c r="C38" s="71"/>
      <c r="D38" s="61"/>
      <c r="E38" s="61"/>
      <c r="F38" s="61"/>
      <c r="G38" s="61"/>
    </row>
    <row r="39" spans="2:7" ht="21" customHeight="1">
      <c r="B39" s="71" t="s">
        <v>272</v>
      </c>
      <c r="C39" s="71"/>
      <c r="D39" s="61"/>
      <c r="E39" s="61"/>
      <c r="F39" s="61"/>
      <c r="G39" s="61"/>
    </row>
    <row r="40" spans="2:7" ht="21" customHeight="1">
      <c r="B40" s="71" t="s">
        <v>273</v>
      </c>
      <c r="C40" s="71"/>
      <c r="D40" s="61"/>
      <c r="E40" s="61"/>
      <c r="F40" s="61"/>
      <c r="G40" s="61"/>
    </row>
  </sheetData>
  <sheetProtection sheet="1" formatColumns="0" formatRows="0"/>
  <mergeCells count="39">
    <mergeCell ref="A1:G1"/>
    <mergeCell ref="B2:F2"/>
    <mergeCell ref="B4:C7"/>
    <mergeCell ref="D4:G4"/>
    <mergeCell ref="D5:G5"/>
    <mergeCell ref="D6:G6"/>
    <mergeCell ref="D7:G7"/>
    <mergeCell ref="C9:D9"/>
    <mergeCell ref="F9:G9"/>
    <mergeCell ref="C10:D10"/>
    <mergeCell ref="F10:G10"/>
    <mergeCell ref="C11:D11"/>
    <mergeCell ref="F11:G11"/>
    <mergeCell ref="F12:G12"/>
    <mergeCell ref="C14:G14"/>
    <mergeCell ref="C15:G15"/>
    <mergeCell ref="C16:G16"/>
    <mergeCell ref="E18:G18"/>
    <mergeCell ref="E19:G19"/>
    <mergeCell ref="E20:G20"/>
    <mergeCell ref="E21:G21"/>
    <mergeCell ref="E22:G22"/>
    <mergeCell ref="E23:G23"/>
    <mergeCell ref="B26:E26"/>
    <mergeCell ref="B27:E27"/>
    <mergeCell ref="B28:E28"/>
    <mergeCell ref="B29:G29"/>
    <mergeCell ref="C31:G31"/>
    <mergeCell ref="C32:G32"/>
    <mergeCell ref="C33:G33"/>
    <mergeCell ref="B34:G34"/>
    <mergeCell ref="B37:C37"/>
    <mergeCell ref="D37:G37"/>
    <mergeCell ref="B38:C38"/>
    <mergeCell ref="D38:G38"/>
    <mergeCell ref="B39:C39"/>
    <mergeCell ref="D39:G39"/>
    <mergeCell ref="B40:C40"/>
    <mergeCell ref="D40:G40"/>
  </mergeCells>
  <hyperlinks>
    <hyperlink ref="G2" r:id="rId1" tooltip="Free manufacturing calculators and templates"/>
  </hyperlinks>
  <printOptions horizontalCentered="1"/>
  <pageMargins left="0.4" right="0.4" top="0.7" bottom="0.65" header="0.3" footer="0.3"/>
  <pageSetup fitToHeight="0" orientation="portrait"/>
  <headerFooter>
    <oddHeader>&amp;L&amp;8MFG Calcs - Job Shop Quote&amp;R&amp;8&amp;A</oddHeader>
    <oddFooter>&amp;L&amp;8mfgcalcs.com - free manufacturing templates&amp;R&amp;8Page &amp;P of &amp;N</oddFooter>
  </headerFooter>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274</v>
      </c>
      <c r="C4" s="8"/>
      <c r="D4" s="8"/>
    </row>
    <row r="5" spans="1:4" ht="5" customHeight="1"/>
    <row r="6" spans="1:4" ht="42.6" customHeight="1">
      <c r="B6" s="10" t="s">
        <v>275</v>
      </c>
      <c r="C6" s="10"/>
      <c r="D6" s="10"/>
    </row>
    <row r="8" spans="1:4" ht="21" customHeight="1">
      <c r="B8" s="8" t="s">
        <v>276</v>
      </c>
      <c r="C8" s="8"/>
      <c r="D8" s="8"/>
    </row>
    <row r="9" spans="1:4" ht="5" customHeight="1"/>
    <row r="10" spans="1:4" ht="20" customHeight="1">
      <c r="B10" s="46" t="s">
        <v>237</v>
      </c>
      <c r="C10" s="46" t="s">
        <v>277</v>
      </c>
      <c r="D10" s="36" t="s">
        <v>278</v>
      </c>
    </row>
    <row r="11" spans="1:4" ht="30.4" customHeight="1">
      <c r="B11" s="72" t="s">
        <v>173</v>
      </c>
      <c r="C11" s="73" t="s">
        <v>279</v>
      </c>
      <c r="D11" s="74" t="s">
        <v>174</v>
      </c>
    </row>
    <row r="12" spans="1:4" ht="17.2" customHeight="1">
      <c r="B12" s="72" t="s">
        <v>175</v>
      </c>
      <c r="C12" s="73" t="s">
        <v>280</v>
      </c>
      <c r="D12" s="74" t="s">
        <v>281</v>
      </c>
    </row>
    <row r="13" spans="1:4" ht="17.2" customHeight="1">
      <c r="B13" s="72" t="s">
        <v>282</v>
      </c>
      <c r="C13" s="73" t="s">
        <v>283</v>
      </c>
      <c r="D13" s="74" t="s">
        <v>284</v>
      </c>
    </row>
    <row r="14" spans="1:4" ht="17.2" customHeight="1">
      <c r="B14" s="72" t="s">
        <v>177</v>
      </c>
      <c r="C14" s="73" t="s">
        <v>285</v>
      </c>
      <c r="D14" s="74" t="s">
        <v>286</v>
      </c>
    </row>
    <row r="15" spans="1:4" ht="30.4" customHeight="1">
      <c r="B15" s="72" t="s">
        <v>287</v>
      </c>
      <c r="C15" s="73" t="s">
        <v>288</v>
      </c>
      <c r="D15" s="74" t="s">
        <v>221</v>
      </c>
    </row>
    <row r="16" spans="1:4" ht="17.2" customHeight="1">
      <c r="B16" s="72" t="s">
        <v>289</v>
      </c>
      <c r="C16" s="73" t="s">
        <v>290</v>
      </c>
      <c r="D16" s="74" t="s">
        <v>291</v>
      </c>
    </row>
    <row r="17" spans="2:4" ht="43.6" customHeight="1">
      <c r="B17" s="72" t="s">
        <v>190</v>
      </c>
      <c r="C17" s="73" t="s">
        <v>292</v>
      </c>
      <c r="D17" s="74" t="s">
        <v>293</v>
      </c>
    </row>
    <row r="18" spans="2:4" ht="17.2" customHeight="1">
      <c r="B18" s="72" t="s">
        <v>294</v>
      </c>
      <c r="C18" s="73" t="s">
        <v>295</v>
      </c>
      <c r="D18" s="74" t="s">
        <v>291</v>
      </c>
    </row>
    <row r="19" spans="2:4" ht="17.2" customHeight="1">
      <c r="B19" s="72" t="s">
        <v>296</v>
      </c>
      <c r="C19" s="73" t="s">
        <v>297</v>
      </c>
      <c r="D19" s="74" t="s">
        <v>291</v>
      </c>
    </row>
    <row r="20" spans="2:4" ht="30.4" customHeight="1">
      <c r="B20" s="72" t="s">
        <v>298</v>
      </c>
      <c r="C20" s="73" t="s">
        <v>299</v>
      </c>
      <c r="D20" s="74" t="s">
        <v>291</v>
      </c>
    </row>
    <row r="21" spans="2:4" ht="30.4" customHeight="1">
      <c r="B21" s="72" t="s">
        <v>300</v>
      </c>
      <c r="C21" s="73" t="s">
        <v>301</v>
      </c>
      <c r="D21" s="74" t="s">
        <v>291</v>
      </c>
    </row>
    <row r="22" spans="2:4" ht="30.4" customHeight="1">
      <c r="B22" s="72" t="s">
        <v>302</v>
      </c>
      <c r="C22" s="73" t="s">
        <v>303</v>
      </c>
      <c r="D22" s="74" t="s">
        <v>291</v>
      </c>
    </row>
    <row r="23" spans="2:4" ht="30.4" customHeight="1">
      <c r="B23" s="72" t="s">
        <v>228</v>
      </c>
      <c r="C23" s="73" t="s">
        <v>304</v>
      </c>
      <c r="D23" s="74" t="s">
        <v>291</v>
      </c>
    </row>
    <row r="24" spans="2:4" ht="30.4" customHeight="1">
      <c r="B24" s="72" t="s">
        <v>229</v>
      </c>
      <c r="C24" s="73" t="s">
        <v>305</v>
      </c>
      <c r="D24" s="74" t="s">
        <v>291</v>
      </c>
    </row>
    <row r="25" spans="2:4" ht="30.4" customHeight="1">
      <c r="B25" s="72" t="s">
        <v>230</v>
      </c>
      <c r="C25" s="73" t="s">
        <v>306</v>
      </c>
      <c r="D25" s="74" t="s">
        <v>291</v>
      </c>
    </row>
    <row r="26" spans="2:4" ht="30.4" customHeight="1">
      <c r="B26" s="72" t="s">
        <v>232</v>
      </c>
      <c r="C26" s="73" t="s">
        <v>307</v>
      </c>
      <c r="D26" s="74" t="s">
        <v>308</v>
      </c>
    </row>
    <row r="27" spans="2:4" ht="43.6" customHeight="1">
      <c r="B27" s="72" t="s">
        <v>235</v>
      </c>
      <c r="C27" s="73" t="s">
        <v>309</v>
      </c>
      <c r="D27" s="74" t="s">
        <v>198</v>
      </c>
    </row>
    <row r="28" spans="2:4" ht="56.8" customHeight="1">
      <c r="B28" s="72" t="s">
        <v>310</v>
      </c>
      <c r="C28" s="73" t="s">
        <v>311</v>
      </c>
      <c r="D28" s="74" t="s">
        <v>312</v>
      </c>
    </row>
    <row r="30" spans="2:4" ht="21" customHeight="1">
      <c r="B30" s="8" t="s">
        <v>313</v>
      </c>
      <c r="C30" s="8"/>
      <c r="D30" s="8"/>
    </row>
    <row r="31" spans="2:4" ht="5" customHeight="1"/>
    <row r="32" spans="2:4" ht="29.4" customHeight="1">
      <c r="B32" s="26" t="s">
        <v>55</v>
      </c>
      <c r="C32" s="10" t="s">
        <v>314</v>
      </c>
      <c r="D32" s="10"/>
    </row>
    <row r="33" spans="2:4" ht="16.2" customHeight="1">
      <c r="B33" s="26" t="s">
        <v>55</v>
      </c>
      <c r="C33" s="10" t="s">
        <v>315</v>
      </c>
      <c r="D33" s="10"/>
    </row>
    <row r="34" spans="2:4" ht="16.2" customHeight="1">
      <c r="B34" s="26" t="s">
        <v>55</v>
      </c>
      <c r="C34" s="10" t="s">
        <v>316</v>
      </c>
      <c r="D34" s="10"/>
    </row>
    <row r="35" spans="2:4" ht="29.4" customHeight="1">
      <c r="B35" s="26" t="s">
        <v>55</v>
      </c>
      <c r="C35" s="10" t="s">
        <v>317</v>
      </c>
      <c r="D35" s="10"/>
    </row>
    <row r="37" spans="2:4" ht="21" customHeight="1">
      <c r="B37" s="8" t="s">
        <v>318</v>
      </c>
      <c r="C37" s="8"/>
      <c r="D37" s="8"/>
    </row>
    <row r="38" spans="2:4" ht="5" customHeight="1"/>
    <row r="39" spans="2:4" ht="16.2" customHeight="1">
      <c r="B39" s="26" t="s">
        <v>55</v>
      </c>
      <c r="C39" s="10" t="s">
        <v>319</v>
      </c>
      <c r="D39" s="10"/>
    </row>
    <row r="40" spans="2:4" ht="16.2" customHeight="1">
      <c r="B40" s="26" t="s">
        <v>55</v>
      </c>
      <c r="C40" s="10" t="s">
        <v>320</v>
      </c>
      <c r="D40" s="10"/>
    </row>
    <row r="41" spans="2:4" ht="29.4" customHeight="1">
      <c r="B41" s="26" t="s">
        <v>55</v>
      </c>
      <c r="C41" s="10" t="s">
        <v>321</v>
      </c>
      <c r="D41" s="10"/>
    </row>
    <row r="42" spans="2:4" ht="16.2" customHeight="1">
      <c r="B42" s="26" t="s">
        <v>55</v>
      </c>
      <c r="C42" s="10" t="s">
        <v>322</v>
      </c>
      <c r="D42" s="10"/>
    </row>
    <row r="44" spans="2:4" ht="21" customHeight="1">
      <c r="B44" s="8" t="s">
        <v>323</v>
      </c>
      <c r="C44" s="8"/>
      <c r="D44" s="8"/>
    </row>
    <row r="45" spans="2:4" ht="5" customHeight="1"/>
    <row r="46" spans="2:4" ht="69" customHeight="1">
      <c r="B46" s="10" t="s">
        <v>324</v>
      </c>
      <c r="C46" s="10"/>
      <c r="D46" s="10"/>
    </row>
    <row r="47" spans="2:4">
      <c r="B47" s="24" t="s">
        <v>325</v>
      </c>
      <c r="C47" s="24"/>
      <c r="D47" s="24"/>
    </row>
    <row r="49" spans="2:4" ht="21" customHeight="1">
      <c r="B49" s="8" t="s">
        <v>42</v>
      </c>
      <c r="C49" s="8"/>
      <c r="D49" s="8"/>
    </row>
    <row r="50" spans="2:4" ht="5" customHeight="1"/>
    <row r="51" spans="2:4" ht="42.6" customHeight="1">
      <c r="B51" s="10" t="s">
        <v>326</v>
      </c>
      <c r="C51" s="10"/>
      <c r="D51" s="10"/>
    </row>
    <row r="53" spans="2:4" ht="21" customHeight="1">
      <c r="B53" s="8" t="s">
        <v>327</v>
      </c>
      <c r="C53" s="8"/>
      <c r="D53" s="8"/>
    </row>
    <row r="54" spans="2:4" ht="5" customHeight="1"/>
    <row r="55" spans="2:4" ht="29.4" customHeight="1">
      <c r="B55" s="26" t="s">
        <v>55</v>
      </c>
      <c r="C55" s="10" t="s">
        <v>328</v>
      </c>
      <c r="D55" s="10"/>
    </row>
    <row r="56" spans="2:4" ht="29.4" customHeight="1">
      <c r="B56" s="26" t="s">
        <v>55</v>
      </c>
      <c r="C56" s="10" t="s">
        <v>329</v>
      </c>
      <c r="D56" s="10"/>
    </row>
    <row r="57" spans="2:4" ht="16.2" customHeight="1">
      <c r="B57" s="26" t="s">
        <v>55</v>
      </c>
      <c r="C57" s="10" t="s">
        <v>330</v>
      </c>
      <c r="D57" s="10"/>
    </row>
    <row r="58" spans="2:4">
      <c r="B58" s="21" t="s">
        <v>331</v>
      </c>
      <c r="C58" s="21"/>
      <c r="D58" s="21"/>
    </row>
    <row r="60" spans="2:4" ht="21" customHeight="1">
      <c r="B60" s="8" t="s">
        <v>332</v>
      </c>
      <c r="C60" s="8"/>
      <c r="D60" s="8"/>
    </row>
    <row r="61" spans="2:4" ht="5" customHeight="1"/>
    <row r="62" spans="2:4">
      <c r="B62" s="46" t="s">
        <v>50</v>
      </c>
      <c r="C62" s="46" t="s">
        <v>333</v>
      </c>
      <c r="D62" s="36" t="s">
        <v>259</v>
      </c>
    </row>
    <row r="63" spans="2:4" ht="16.2" customHeight="1">
      <c r="B63" s="68" t="s">
        <v>334</v>
      </c>
      <c r="C63" s="75" t="s">
        <v>335</v>
      </c>
      <c r="D63" s="67" t="s">
        <v>336</v>
      </c>
    </row>
    <row r="65" spans="2:4">
      <c r="B65" s="21" t="s">
        <v>62</v>
      </c>
      <c r="C65" s="21"/>
      <c r="D65" s="21"/>
    </row>
  </sheetData>
  <sheetProtection sheet="1" formatColumns="0" formatRows="0"/>
  <mergeCells count="27">
    <mergeCell ref="A1:D1"/>
    <mergeCell ref="B2:C2"/>
    <mergeCell ref="B4:D4"/>
    <mergeCell ref="B6:D6"/>
    <mergeCell ref="B8:D8"/>
    <mergeCell ref="B30:D30"/>
    <mergeCell ref="C32:D32"/>
    <mergeCell ref="C33:D33"/>
    <mergeCell ref="C34:D34"/>
    <mergeCell ref="C35:D35"/>
    <mergeCell ref="B37:D37"/>
    <mergeCell ref="C39:D39"/>
    <mergeCell ref="C40:D40"/>
    <mergeCell ref="C41:D41"/>
    <mergeCell ref="C42:D42"/>
    <mergeCell ref="B44:D44"/>
    <mergeCell ref="B46:D46"/>
    <mergeCell ref="B47:D47"/>
    <mergeCell ref="B49:D49"/>
    <mergeCell ref="B51:D51"/>
    <mergeCell ref="B53:D53"/>
    <mergeCell ref="C55:D55"/>
    <mergeCell ref="C56:D56"/>
    <mergeCell ref="C57:D57"/>
    <mergeCell ref="B58:D58"/>
    <mergeCell ref="B60:D60"/>
    <mergeCell ref="B65:D65"/>
  </mergeCells>
  <hyperlinks>
    <hyperlink ref="D2" r:id="rId1" tooltip="Free manufacturing calculators and templates"/>
    <hyperlink ref="B47" r:id="rId2"/>
  </hyperlinks>
  <printOptions horizontalCentered="1"/>
  <pageMargins left="0.4" right="0.4" top="0.7" bottom="0.65" header="0.3" footer="0.3"/>
  <pageSetup fitToHeight="0" orientation="portrait"/>
  <headerFooter>
    <oddHeader>&amp;L&amp;8MFG Calcs - Job Shop Quote&amp;R&amp;8&amp;A</oddHeader>
    <oddFooter>&amp;L&amp;8mfgcalcs.com - free manufacturing templates&amp;R&amp;8Page &amp;P of &amp;N</oddFooter>
  </headerFooter>
  <rowBreaks count="2" manualBreakCount="2">
    <brk id="27" max="16383" man="1"/>
    <brk id="5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128"/>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76" t="s">
        <v>337</v>
      </c>
      <c r="C4" s="76"/>
      <c r="D4" s="22" t="str">
        <f>IF(COUNTIF($K$11:$K$31,"PASS")=21,"PASS","FAIL")</f>
        <v>PASS</v>
      </c>
      <c r="E4" s="22"/>
      <c r="F4" s="23" t="str">
        <f>COUNTIF($K$11:$K$31,"PASS")&amp;" of 21 checks pass"</f>
        <v>21 of 21 checks pass</v>
      </c>
      <c r="G4" s="23"/>
      <c r="H4" s="23"/>
      <c r="I4" s="23"/>
      <c r="J4" s="23"/>
    </row>
    <row r="6" spans="1:12" ht="29.4" customHeight="1">
      <c r="B6" s="10" t="s">
        <v>338</v>
      </c>
      <c r="C6" s="10"/>
      <c r="D6" s="10"/>
      <c r="E6" s="10"/>
      <c r="F6" s="10"/>
      <c r="G6" s="10"/>
      <c r="H6" s="10"/>
      <c r="I6" s="10"/>
      <c r="J6" s="10"/>
      <c r="K6" s="10"/>
      <c r="L6" s="10"/>
    </row>
    <row r="8" spans="1:12" ht="21" customHeight="1">
      <c r="B8" s="8" t="s">
        <v>339</v>
      </c>
      <c r="C8" s="8"/>
      <c r="D8" s="8"/>
      <c r="E8" s="8"/>
      <c r="F8" s="8"/>
      <c r="G8" s="8"/>
      <c r="H8" s="8"/>
      <c r="I8" s="8"/>
      <c r="J8" s="8"/>
      <c r="K8" s="8"/>
      <c r="L8" s="8"/>
    </row>
    <row r="9" spans="1:12" ht="5" customHeight="1"/>
    <row r="10" spans="1:12" ht="30" customHeight="1">
      <c r="B10" s="36" t="s">
        <v>340</v>
      </c>
      <c r="C10" s="46" t="s">
        <v>133</v>
      </c>
      <c r="D10" s="46"/>
      <c r="E10" s="46"/>
      <c r="F10" s="46"/>
      <c r="G10" s="36" t="s">
        <v>341</v>
      </c>
      <c r="H10" s="36" t="s">
        <v>342</v>
      </c>
      <c r="I10" s="36" t="s">
        <v>343</v>
      </c>
      <c r="J10" s="36" t="s">
        <v>344</v>
      </c>
      <c r="K10" s="36" t="s">
        <v>345</v>
      </c>
    </row>
    <row r="11" spans="1:12" ht="16.2" customHeight="1">
      <c r="B11" s="53">
        <v>1</v>
      </c>
      <c r="C11" s="75" t="s">
        <v>346</v>
      </c>
      <c r="D11" s="75"/>
      <c r="E11" s="75"/>
      <c r="F11" s="75"/>
      <c r="G11" s="77">
        <v>0.4347178834404877</v>
      </c>
      <c r="H11" s="40">
        <f>$E$87</f>
        <v>0.434717883440488</v>
      </c>
      <c r="I11" s="78">
        <f>IF(AND(ISNUMBER($G$11),ISNUMBER($H$11)),ABS($H$11-$G$11),"")</f>
        <v>0</v>
      </c>
      <c r="J11" s="79">
        <v>1E-09</v>
      </c>
      <c r="K11" s="80" t="str">
        <f>IF(AND(ISNUMBER($G$11),ISNUMBER($H$11)),IF(ABS($H$11-$G$11)&lt;=$J$11,"PASS","FAIL"),"FAIL")</f>
        <v>PASS</v>
      </c>
    </row>
    <row r="12" spans="1:12" ht="16.2" customHeight="1">
      <c r="B12" s="53">
        <v>2</v>
      </c>
      <c r="C12" s="75" t="s">
        <v>177</v>
      </c>
      <c r="D12" s="75"/>
      <c r="E12" s="75"/>
      <c r="F12" s="75"/>
      <c r="G12" s="81">
        <v>3.286467198810087</v>
      </c>
      <c r="H12" s="43">
        <f>$E$90</f>
        <v>3.28646719881009</v>
      </c>
      <c r="I12" s="78">
        <f>IF(AND(ISNUMBER($G$12),ISNUMBER($H$12)),ABS($H$12-$G$12),"")</f>
        <v>0</v>
      </c>
      <c r="J12" s="79">
        <v>1E-09</v>
      </c>
      <c r="K12" s="80" t="str">
        <f>IF(AND(ISNUMBER($G$12),ISNUMBER($H$12)),IF(ABS($H$12-$G$12)&lt;=$J$12,"PASS","FAIL"),"FAIL")</f>
        <v>PASS</v>
      </c>
    </row>
    <row r="13" spans="1:12" ht="16.2" customHeight="1">
      <c r="B13" s="53">
        <v>3</v>
      </c>
      <c r="C13" s="75" t="s">
        <v>347</v>
      </c>
      <c r="D13" s="75"/>
      <c r="E13" s="75"/>
      <c r="F13" s="75"/>
      <c r="G13" s="81">
        <v>5.95</v>
      </c>
      <c r="H13" s="43">
        <f>$I$50</f>
        <v>5.95</v>
      </c>
      <c r="I13" s="78">
        <f>IF(AND(ISNUMBER($G$13),ISNUMBER($H$13)),ABS($H$13-$G$13),"")</f>
        <v>0</v>
      </c>
      <c r="J13" s="79">
        <v>1E-09</v>
      </c>
      <c r="K13" s="80" t="str">
        <f>IF(AND(ISNUMBER($G$13),ISNUMBER($H$13)),IF(ABS($H$13-$G$13)&lt;=$J$13,"PASS","FAIL"),"FAIL")</f>
        <v>PASS</v>
      </c>
    </row>
    <row r="14" spans="1:12" ht="16.2" customHeight="1">
      <c r="B14" s="53">
        <v>4</v>
      </c>
      <c r="C14" s="75" t="s">
        <v>348</v>
      </c>
      <c r="D14" s="75"/>
      <c r="E14" s="75"/>
      <c r="F14" s="75"/>
      <c r="G14" s="82">
        <v>1</v>
      </c>
      <c r="H14" s="45">
        <f>$E$66</f>
        <v>1</v>
      </c>
      <c r="I14" s="78">
        <f>IF(AND(ISNUMBER($G$14),ISNUMBER($H$14)),ABS($H$14-$G$14),"")</f>
        <v>0</v>
      </c>
      <c r="J14" s="79">
        <v>1E-09</v>
      </c>
      <c r="K14" s="80" t="str">
        <f>IF(AND(ISNUMBER($G$14),ISNUMBER($H$14)),IF(ABS($H$14-$G$14)&lt;=$J$14,"PASS","FAIL"),"FAIL")</f>
        <v>PASS</v>
      </c>
    </row>
    <row r="15" spans="1:12" ht="16.2" customHeight="1">
      <c r="B15" s="53">
        <v>5</v>
      </c>
      <c r="C15" s="75" t="s">
        <v>349</v>
      </c>
      <c r="D15" s="75"/>
      <c r="E15" s="75"/>
      <c r="F15" s="75"/>
      <c r="G15" s="81">
        <v>7.2</v>
      </c>
      <c r="H15" s="43">
        <f>$F$106</f>
        <v>7.2</v>
      </c>
      <c r="I15" s="78">
        <f>IF(AND(ISNUMBER($G$15),ISNUMBER($H$15)),ABS($H$15-$G$15),"")</f>
        <v>0</v>
      </c>
      <c r="J15" s="79">
        <v>1E-09</v>
      </c>
      <c r="K15" s="80" t="str">
        <f>IF(AND(ISNUMBER($G$15),ISNUMBER($H$15)),IF(ABS($H$15-$G$15)&lt;=$J$15,"PASS","FAIL"),"FAIL")</f>
        <v>PASS</v>
      </c>
    </row>
    <row r="16" spans="1:12" ht="16.2" customHeight="1">
      <c r="B16" s="53">
        <v>6</v>
      </c>
      <c r="C16" s="75" t="s">
        <v>350</v>
      </c>
      <c r="D16" s="75"/>
      <c r="E16" s="75"/>
      <c r="F16" s="75"/>
      <c r="G16" s="81">
        <v>62.53127303218638</v>
      </c>
      <c r="H16" s="43">
        <f>$F$109</f>
        <v>62.5312730321864</v>
      </c>
      <c r="I16" s="78">
        <f>IF(AND(ISNUMBER($G$16),ISNUMBER($H$16)),ABS($H$16-$G$16),"")</f>
        <v>0</v>
      </c>
      <c r="J16" s="79">
        <v>1E-09</v>
      </c>
      <c r="K16" s="80" t="str">
        <f>IF(AND(ISNUMBER($G$16),ISNUMBER($H$16)),IF(ABS($H$16-$G$16)&lt;=$J$16,"PASS","FAIL"),"FAIL")</f>
        <v>PASS</v>
      </c>
    </row>
    <row r="17" spans="2:11" ht="16.2" customHeight="1">
      <c r="B17" s="53">
        <v>7</v>
      </c>
      <c r="C17" s="75" t="s">
        <v>351</v>
      </c>
      <c r="D17" s="75"/>
      <c r="E17" s="75"/>
      <c r="F17" s="75"/>
      <c r="G17" s="66">
        <v>83.38</v>
      </c>
      <c r="H17" s="39">
        <f>$F$110</f>
        <v>83.38</v>
      </c>
      <c r="I17" s="78">
        <f>IF(AND(ISNUMBER($G$17),ISNUMBER($H$17)),ABS($H$17-$G$17),"")</f>
        <v>0</v>
      </c>
      <c r="J17" s="79">
        <v>1E-09</v>
      </c>
      <c r="K17" s="80" t="str">
        <f>IF(AND(ISNUMBER($G$17),ISNUMBER($H$17)),IF(ABS($H$17-$G$17)&lt;=$J$17,"PASS","FAIL"),"FAIL")</f>
        <v>PASS</v>
      </c>
    </row>
    <row r="18" spans="2:11" ht="16.2" customHeight="1">
      <c r="B18" s="53">
        <v>8</v>
      </c>
      <c r="C18" s="75" t="s">
        <v>352</v>
      </c>
      <c r="D18" s="75"/>
      <c r="E18" s="75"/>
      <c r="F18" s="75"/>
      <c r="G18" s="82">
        <v>16</v>
      </c>
      <c r="H18" s="45">
        <f>$F$114</f>
        <v>16</v>
      </c>
      <c r="I18" s="78">
        <f>IF(AND(ISNUMBER($G$18),ISNUMBER($H$18)),ABS($H$18-$G$18),"")</f>
        <v>0</v>
      </c>
      <c r="J18" s="79">
        <v>1E-09</v>
      </c>
      <c r="K18" s="80" t="str">
        <f>IF(AND(ISNUMBER($G$18),ISNUMBER($H$18)),IF(ABS($H$18-$G$18)&lt;=$J$18,"PASS","FAIL"),"FAIL")</f>
        <v>PASS</v>
      </c>
    </row>
    <row r="19" spans="2:11" ht="16.2" customHeight="1">
      <c r="B19" s="53">
        <v>9</v>
      </c>
      <c r="C19" s="75" t="s">
        <v>353</v>
      </c>
      <c r="D19" s="75"/>
      <c r="E19" s="75"/>
      <c r="F19" s="75"/>
      <c r="G19" s="81">
        <v>1.15</v>
      </c>
      <c r="H19" s="43">
        <f>$H$106</f>
        <v>1.15</v>
      </c>
      <c r="I19" s="78">
        <f>IF(AND(ISNUMBER($G$19),ISNUMBER($H$19)),ABS($H$19-$G$19),"")</f>
        <v>0</v>
      </c>
      <c r="J19" s="79">
        <v>1E-09</v>
      </c>
      <c r="K19" s="80" t="str">
        <f>IF(AND(ISNUMBER($G$19),ISNUMBER($H$19)),IF(ABS($H$19-$G$19)&lt;=$J$19,"PASS","FAIL"),"FAIL")</f>
        <v>PASS</v>
      </c>
    </row>
    <row r="20" spans="2:11" ht="16.2" customHeight="1">
      <c r="B20" s="53">
        <v>10</v>
      </c>
      <c r="C20" s="75" t="s">
        <v>354</v>
      </c>
      <c r="D20" s="75"/>
      <c r="E20" s="75"/>
      <c r="F20" s="75"/>
      <c r="G20" s="81">
        <v>26.0495639311135</v>
      </c>
      <c r="H20" s="43">
        <f>$H$109</f>
        <v>26.0495639311135</v>
      </c>
      <c r="I20" s="78">
        <f>IF(AND(ISNUMBER($G$20),ISNUMBER($H$20)),ABS($H$20-$G$20),"")</f>
        <v>0</v>
      </c>
      <c r="J20" s="79">
        <v>1E-09</v>
      </c>
      <c r="K20" s="80" t="str">
        <f>IF(AND(ISNUMBER($G$20),ISNUMBER($H$20)),IF(ABS($H$20-$G$20)&lt;=$J$20,"PASS","FAIL"),"FAIL")</f>
        <v>PASS</v>
      </c>
    </row>
    <row r="21" spans="2:11" ht="16.2" customHeight="1">
      <c r="B21" s="53">
        <v>11</v>
      </c>
      <c r="C21" s="75" t="s">
        <v>355</v>
      </c>
      <c r="D21" s="75"/>
      <c r="E21" s="75"/>
      <c r="F21" s="75"/>
      <c r="G21" s="66">
        <v>34.74</v>
      </c>
      <c r="H21" s="39">
        <f>$H$110</f>
        <v>34.74</v>
      </c>
      <c r="I21" s="78">
        <f>IF(AND(ISNUMBER($G$21),ISNUMBER($H$21)),ABS($H$21-$G$21),"")</f>
        <v>0</v>
      </c>
      <c r="J21" s="79">
        <v>1E-09</v>
      </c>
      <c r="K21" s="80" t="str">
        <f>IF(AND(ISNUMBER($G$21),ISNUMBER($H$21)),IF(ABS($H$21-$G$21)&lt;=$J$21,"PASS","FAIL"),"FAIL")</f>
        <v>PASS</v>
      </c>
    </row>
    <row r="22" spans="2:11" ht="16.2" customHeight="1">
      <c r="B22" s="53">
        <v>12</v>
      </c>
      <c r="C22" s="75" t="s">
        <v>356</v>
      </c>
      <c r="D22" s="75"/>
      <c r="E22" s="75"/>
      <c r="F22" s="75"/>
      <c r="G22" s="82">
        <v>19</v>
      </c>
      <c r="H22" s="45">
        <f>$H$114</f>
        <v>19</v>
      </c>
      <c r="I22" s="78">
        <f>IF(AND(ISNUMBER($G$22),ISNUMBER($H$22)),ABS($H$22-$G$22),"")</f>
        <v>0</v>
      </c>
      <c r="J22" s="79">
        <v>1E-09</v>
      </c>
      <c r="K22" s="80" t="str">
        <f>IF(AND(ISNUMBER($G$22),ISNUMBER($H$22)),IF(ABS($H$22-$G$22)&lt;=$J$22,"PASS","FAIL"),"FAIL")</f>
        <v>PASS</v>
      </c>
    </row>
    <row r="23" spans="2:11" ht="16.2" customHeight="1">
      <c r="B23" s="53">
        <v>13</v>
      </c>
      <c r="C23" s="75" t="s">
        <v>357</v>
      </c>
      <c r="D23" s="75"/>
      <c r="E23" s="75"/>
      <c r="F23" s="75"/>
      <c r="G23" s="81">
        <v>1.15</v>
      </c>
      <c r="H23" s="43">
        <f>$J$106</f>
        <v>1.15</v>
      </c>
      <c r="I23" s="78">
        <f>IF(AND(ISNUMBER($G$23),ISNUMBER($H$23)),ABS($H$23-$G$23),"")</f>
        <v>0</v>
      </c>
      <c r="J23" s="79">
        <v>1E-09</v>
      </c>
      <c r="K23" s="80" t="str">
        <f>IF(AND(ISNUMBER($G$23),ISNUMBER($H$23)),IF(ABS($H$23-$G$23)&lt;=$J$23,"PASS","FAIL"),"FAIL")</f>
        <v>PASS</v>
      </c>
    </row>
    <row r="24" spans="2:11" ht="16.2" customHeight="1">
      <c r="B24" s="53">
        <v>14</v>
      </c>
      <c r="C24" s="75" t="s">
        <v>358</v>
      </c>
      <c r="D24" s="75"/>
      <c r="E24" s="75"/>
      <c r="F24" s="75"/>
      <c r="G24" s="81">
        <v>23.58464953660945</v>
      </c>
      <c r="H24" s="43">
        <f>$J$109</f>
        <v>23.5846495366095</v>
      </c>
      <c r="I24" s="78">
        <f>IF(AND(ISNUMBER($G$24),ISNUMBER($H$24)),ABS($H$24-$G$24),"")</f>
        <v>0</v>
      </c>
      <c r="J24" s="79">
        <v>1E-09</v>
      </c>
      <c r="K24" s="80" t="str">
        <f>IF(AND(ISNUMBER($G$24),ISNUMBER($H$24)),IF(ABS($H$24-$G$24)&lt;=$J$24,"PASS","FAIL"),"FAIL")</f>
        <v>PASS</v>
      </c>
    </row>
    <row r="25" spans="2:11" ht="16.2" customHeight="1">
      <c r="B25" s="53">
        <v>15</v>
      </c>
      <c r="C25" s="75" t="s">
        <v>359</v>
      </c>
      <c r="D25" s="75"/>
      <c r="E25" s="75"/>
      <c r="F25" s="75"/>
      <c r="G25" s="66">
        <v>31.45</v>
      </c>
      <c r="H25" s="39">
        <f>$J$110</f>
        <v>31.45</v>
      </c>
      <c r="I25" s="78">
        <f>IF(AND(ISNUMBER($G$25),ISNUMBER($H$25)),ABS($H$25-$G$25),"")</f>
        <v>0</v>
      </c>
      <c r="J25" s="79">
        <v>1E-09</v>
      </c>
      <c r="K25" s="80" t="str">
        <f>IF(AND(ISNUMBER($G$25),ISNUMBER($H$25)),IF(ABS($H$25-$G$25)&lt;=$J$25,"PASS","FAIL"),"FAIL")</f>
        <v>PASS</v>
      </c>
    </row>
    <row r="26" spans="2:11" ht="16.2" customHeight="1">
      <c r="B26" s="53">
        <v>16</v>
      </c>
      <c r="C26" s="75" t="s">
        <v>360</v>
      </c>
      <c r="D26" s="75"/>
      <c r="E26" s="75"/>
      <c r="F26" s="75"/>
      <c r="G26" s="82">
        <v>30</v>
      </c>
      <c r="H26" s="45">
        <f>$J$114</f>
        <v>30</v>
      </c>
      <c r="I26" s="78">
        <f>IF(AND(ISNUMBER($G$26),ISNUMBER($H$26)),ABS($H$26-$G$26),"")</f>
        <v>0</v>
      </c>
      <c r="J26" s="79">
        <v>1E-09</v>
      </c>
      <c r="K26" s="80" t="str">
        <f>IF(AND(ISNUMBER($G$26),ISNUMBER($H$26)),IF(ABS($H$26-$G$26)&lt;=$J$26,"PASS","FAIL"),"FAIL")</f>
        <v>PASS</v>
      </c>
    </row>
    <row r="27" spans="2:11" ht="16.2" customHeight="1">
      <c r="B27" s="53">
        <v>17</v>
      </c>
      <c r="C27" s="75" t="s">
        <v>361</v>
      </c>
      <c r="D27" s="75"/>
      <c r="E27" s="75"/>
      <c r="F27" s="75"/>
      <c r="G27" s="66">
        <v>62.59999999999999</v>
      </c>
      <c r="H27" s="39">
        <f>$E$122</f>
        <v>62.6</v>
      </c>
      <c r="I27" s="78">
        <f>IF(AND(ISNUMBER($G$27),ISNUMBER($H$27)),ABS($H$27-$G$27),"")</f>
        <v>0</v>
      </c>
      <c r="J27" s="79">
        <v>1E-09</v>
      </c>
      <c r="K27" s="80" t="str">
        <f>IF(AND(ISNUMBER($G$27),ISNUMBER($H$27)),IF(ABS($H$27-$G$27)&lt;=$J$27,"PASS","FAIL"),"FAIL")</f>
        <v>PASS</v>
      </c>
    </row>
    <row r="28" spans="2:11" ht="16.2" customHeight="1">
      <c r="B28" s="53">
        <v>18</v>
      </c>
      <c r="C28" s="75" t="s">
        <v>362</v>
      </c>
      <c r="D28" s="75"/>
      <c r="E28" s="75"/>
      <c r="F28" s="75"/>
      <c r="G28" s="82">
        <v>554</v>
      </c>
      <c r="H28" s="45">
        <f>$E$124</f>
        <v>554</v>
      </c>
      <c r="I28" s="78">
        <f>IF(AND(ISNUMBER($G$28),ISNUMBER($H$28)),ABS($H$28-$G$28),"")</f>
        <v>0</v>
      </c>
      <c r="J28" s="79">
        <v>1E-09</v>
      </c>
      <c r="K28" s="80" t="str">
        <f>IF(AND(ISNUMBER($G$28),ISNUMBER($H$28)),IF(ABS($H$28-$G$28)&lt;=$J$28,"PASS","FAIL"),"FAIL")</f>
        <v>PASS</v>
      </c>
    </row>
    <row r="29" spans="2:11" ht="16.2" customHeight="1">
      <c r="B29" s="53">
        <v>19</v>
      </c>
      <c r="C29" s="75" t="s">
        <v>363</v>
      </c>
      <c r="D29" s="75"/>
      <c r="E29" s="75"/>
      <c r="F29" s="75"/>
      <c r="G29" s="66">
        <v>86.22967479674797</v>
      </c>
      <c r="H29" s="39">
        <f>$E$125</f>
        <v>86.229674796748</v>
      </c>
      <c r="I29" s="78">
        <f>IF(AND(ISNUMBER($G$29),ISNUMBER($H$29)),ABS($H$29-$G$29),"")</f>
        <v>0</v>
      </c>
      <c r="J29" s="79">
        <v>1E-09</v>
      </c>
      <c r="K29" s="80" t="str">
        <f>IF(AND(ISNUMBER($G$29),ISNUMBER($H$29)),IF(ABS($H$29-$G$29)&lt;=$J$29,"PASS","FAIL"),"FAIL")</f>
        <v>PASS</v>
      </c>
    </row>
    <row r="30" spans="2:11" ht="16.2" customHeight="1">
      <c r="B30" s="53">
        <v>20</v>
      </c>
      <c r="C30" s="75" t="s">
        <v>364</v>
      </c>
      <c r="D30" s="75"/>
      <c r="E30" s="75"/>
      <c r="F30" s="75"/>
      <c r="G30" s="82">
        <v>625</v>
      </c>
      <c r="H30" s="45">
        <f>$E$126</f>
        <v>625</v>
      </c>
      <c r="I30" s="78">
        <f>IF(AND(ISNUMBER($G$30),ISNUMBER($H$30)),ABS($H$30-$G$30),"")</f>
        <v>0</v>
      </c>
      <c r="J30" s="79">
        <v>1E-09</v>
      </c>
      <c r="K30" s="80" t="str">
        <f>IF(AND(ISNUMBER($G$30),ISNUMBER($H$30)),IF(ABS($H$30-$G$30)&lt;=$J$30,"PASS","FAIL"),"FAIL")</f>
        <v>PASS</v>
      </c>
    </row>
    <row r="31" spans="2:11" ht="16.2" customHeight="1">
      <c r="B31" s="53">
        <v>21</v>
      </c>
      <c r="C31" s="75" t="s">
        <v>365</v>
      </c>
      <c r="D31" s="75"/>
      <c r="E31" s="75"/>
      <c r="F31" s="75"/>
      <c r="G31" s="68" t="s">
        <v>366</v>
      </c>
      <c r="H31" s="42" t="str">
        <f>$E$128</f>
        <v>Over capacity</v>
      </c>
      <c r="I31" s="42"/>
      <c r="J31" s="67" t="s">
        <v>367</v>
      </c>
      <c r="K31" s="80" t="str">
        <f>IF($H$31&amp;""=$G$31&amp;"","PASS","FAIL")</f>
        <v>PASS</v>
      </c>
    </row>
    <row r="33" spans="2:12" ht="21" customHeight="1">
      <c r="B33" s="8" t="s">
        <v>368</v>
      </c>
      <c r="C33" s="8"/>
      <c r="D33" s="8"/>
      <c r="E33" s="8"/>
      <c r="F33" s="8"/>
      <c r="G33" s="8"/>
      <c r="H33" s="8"/>
      <c r="I33" s="8"/>
      <c r="J33" s="8"/>
      <c r="K33" s="8"/>
      <c r="L33" s="8"/>
    </row>
    <row r="34" spans="2:12" ht="5" customHeight="1"/>
    <row r="35" spans="2:12">
      <c r="B35" s="21" t="s">
        <v>369</v>
      </c>
      <c r="C35" s="21"/>
      <c r="D35" s="21"/>
      <c r="E35" s="21"/>
      <c r="F35" s="21"/>
      <c r="G35" s="21"/>
      <c r="H35" s="21"/>
      <c r="I35" s="21"/>
      <c r="J35" s="21"/>
      <c r="K35" s="21"/>
      <c r="L35" s="21"/>
    </row>
    <row r="36" spans="2:12">
      <c r="B36" s="34" t="s">
        <v>370</v>
      </c>
      <c r="C36" s="34"/>
      <c r="D36" s="34"/>
      <c r="E36" s="34"/>
      <c r="F36" s="34"/>
    </row>
    <row r="37" spans="2:12">
      <c r="B37" s="27" t="s">
        <v>228</v>
      </c>
      <c r="C37" s="27"/>
      <c r="D37" s="27"/>
      <c r="E37" s="83">
        <v>0.15</v>
      </c>
      <c r="F37" s="7"/>
    </row>
    <row r="38" spans="2:12">
      <c r="B38" s="27" t="s">
        <v>94</v>
      </c>
      <c r="C38" s="27"/>
      <c r="D38" s="27"/>
      <c r="E38" s="83">
        <v>0.1</v>
      </c>
      <c r="F38" s="7"/>
    </row>
    <row r="39" spans="2:12">
      <c r="B39" s="27" t="s">
        <v>95</v>
      </c>
      <c r="C39" s="27"/>
      <c r="D39" s="27"/>
      <c r="E39" s="83">
        <v>0.1</v>
      </c>
      <c r="F39" s="7"/>
    </row>
    <row r="40" spans="2:12">
      <c r="B40" s="27" t="s">
        <v>96</v>
      </c>
      <c r="C40" s="27"/>
      <c r="D40" s="27"/>
      <c r="E40" s="83">
        <v>0.25</v>
      </c>
      <c r="F40" s="7"/>
    </row>
    <row r="41" spans="2:12">
      <c r="B41" s="27" t="s">
        <v>97</v>
      </c>
      <c r="C41" s="27"/>
      <c r="D41" s="27"/>
      <c r="E41" s="83">
        <v>0.96</v>
      </c>
      <c r="F41" s="7"/>
    </row>
    <row r="42" spans="2:12">
      <c r="B42" s="27" t="s">
        <v>371</v>
      </c>
      <c r="C42" s="27"/>
      <c r="D42" s="27"/>
      <c r="E42" s="66">
        <v>0.01</v>
      </c>
      <c r="F42" s="7"/>
    </row>
    <row r="43" spans="2:12">
      <c r="B43" s="27" t="s">
        <v>372</v>
      </c>
      <c r="C43" s="27"/>
      <c r="D43" s="27"/>
      <c r="E43" s="84">
        <v>16</v>
      </c>
      <c r="F43" s="7"/>
    </row>
    <row r="44" spans="2:12">
      <c r="B44" s="27" t="s">
        <v>373</v>
      </c>
      <c r="C44" s="27"/>
      <c r="D44" s="27"/>
      <c r="E44" s="83">
        <v>0.82</v>
      </c>
      <c r="F44" s="7"/>
    </row>
    <row r="46" spans="2:12">
      <c r="B46" s="34" t="s">
        <v>374</v>
      </c>
      <c r="C46" s="34"/>
      <c r="D46" s="34"/>
      <c r="E46" s="34"/>
      <c r="F46" s="34"/>
      <c r="G46" s="34"/>
      <c r="H46" s="34"/>
      <c r="I46" s="34"/>
      <c r="J46" s="34"/>
      <c r="K46" s="34"/>
      <c r="L46" s="34"/>
    </row>
    <row r="47" spans="2:12" ht="14" customHeight="1">
      <c r="B47" s="35"/>
      <c r="C47" s="35"/>
      <c r="D47" s="35"/>
      <c r="E47" s="35"/>
      <c r="F47" s="35"/>
      <c r="G47" s="35" t="str">
        <f>Currency&amp;"/h"</f>
        <v>USD/h</v>
      </c>
      <c r="H47" s="35" t="str">
        <f>Currency&amp;"/batch"</f>
        <v>USD/batch</v>
      </c>
      <c r="I47" s="35" t="str">
        <f>Currency&amp;"/part"</f>
        <v>USD/part</v>
      </c>
      <c r="J47" s="35"/>
      <c r="K47" s="35"/>
    </row>
    <row r="48" spans="2:12" ht="32" customHeight="1">
      <c r="B48" s="36" t="s">
        <v>126</v>
      </c>
      <c r="C48" s="36" t="s">
        <v>127</v>
      </c>
      <c r="D48" s="36" t="s">
        <v>63</v>
      </c>
      <c r="E48" s="36" t="s">
        <v>128</v>
      </c>
      <c r="F48" s="36" t="s">
        <v>129</v>
      </c>
      <c r="G48" s="36" t="s">
        <v>130</v>
      </c>
      <c r="H48" s="36" t="s">
        <v>131</v>
      </c>
      <c r="I48" s="36" t="s">
        <v>132</v>
      </c>
      <c r="J48" s="36" t="s">
        <v>133</v>
      </c>
      <c r="K48" s="36" t="s">
        <v>65</v>
      </c>
    </row>
    <row r="49" spans="2:12">
      <c r="B49" s="68" t="s">
        <v>180</v>
      </c>
      <c r="C49" s="82">
        <v>10</v>
      </c>
      <c r="D49" s="68" t="s">
        <v>104</v>
      </c>
      <c r="E49" s="66">
        <v>0.25</v>
      </c>
      <c r="F49" s="66">
        <v>1.5</v>
      </c>
      <c r="G49" s="66">
        <v>45</v>
      </c>
      <c r="H49" s="39">
        <f>IF(tblVerifyRouting[[#This Row],[Operation]]="","",IF(tblVerifyRouting[[#This Row],[Rate]]="","",tblVerifyRouting[[#This Row],[Setup (h)]]*tblVerifyRouting[[#This Row],[Rate]]))</f>
        <v>11.25</v>
      </c>
      <c r="I49" s="43">
        <f>IF(tblVerifyRouting[[#This Row],[Operation]]="","",IF(tblVerifyRouting[[#This Row],[Rate]]="","",tblVerifyRouting[[#This Row],[Cycle (min/part)]]/60*tblVerifyRouting[[#This Row],[Rate]]))</f>
        <v>1.125</v>
      </c>
      <c r="J49" s="44" t="str">
        <f>IF(tblVerifyRouting[[#This Row],[Operation]]="","",IF(tblVerifyRouting[[#This Row],[Work centre]]="","Missing work centre",IF(tblVerifyRouting[[#This Row],[Rate]]="","Work centre not on Setup list","OK")))</f>
        <v>OK</v>
      </c>
      <c r="K49" s="68" t="s">
        <v>181</v>
      </c>
    </row>
    <row r="50" spans="2:12">
      <c r="B50" s="68" t="s">
        <v>182</v>
      </c>
      <c r="C50" s="82">
        <v>20</v>
      </c>
      <c r="D50" s="68" t="s">
        <v>106</v>
      </c>
      <c r="E50" s="66">
        <v>1.5</v>
      </c>
      <c r="F50" s="66">
        <v>4.2</v>
      </c>
      <c r="G50" s="66">
        <v>85</v>
      </c>
      <c r="H50" s="39">
        <f>IF(tblVerifyRouting[[#This Row],[Operation]]="","",IF(tblVerifyRouting[[#This Row],[Rate]]="","",tblVerifyRouting[[#This Row],[Setup (h)]]*tblVerifyRouting[[#This Row],[Rate]]))</f>
        <v>127.5</v>
      </c>
      <c r="I50" s="43">
        <f>IF(tblVerifyRouting[[#This Row],[Operation]]="","",IF(tblVerifyRouting[[#This Row],[Rate]]="","",tblVerifyRouting[[#This Row],[Cycle (min/part)]]/60*tblVerifyRouting[[#This Row],[Rate]]))</f>
        <v>5.95</v>
      </c>
      <c r="J50" s="44" t="str">
        <f>IF(tblVerifyRouting[[#This Row],[Operation]]="","",IF(tblVerifyRouting[[#This Row],[Work centre]]="","Missing work centre",IF(tblVerifyRouting[[#This Row],[Rate]]="","Work centre not on Setup list","OK")))</f>
        <v>OK</v>
      </c>
      <c r="K50" s="68" t="s">
        <v>183</v>
      </c>
    </row>
    <row r="51" spans="2:12">
      <c r="B51" s="68" t="s">
        <v>184</v>
      </c>
      <c r="C51" s="82">
        <v>30</v>
      </c>
      <c r="D51" s="68" t="s">
        <v>108</v>
      </c>
      <c r="E51" s="66">
        <v>1.25</v>
      </c>
      <c r="F51" s="66">
        <v>3.6</v>
      </c>
      <c r="G51" s="66">
        <v>95</v>
      </c>
      <c r="H51" s="39">
        <f>IF(tblVerifyRouting[[#This Row],[Operation]]="","",IF(tblVerifyRouting[[#This Row],[Rate]]="","",tblVerifyRouting[[#This Row],[Setup (h)]]*tblVerifyRouting[[#This Row],[Rate]]))</f>
        <v>118.75</v>
      </c>
      <c r="I51" s="43">
        <f>IF(tblVerifyRouting[[#This Row],[Operation]]="","",IF(tblVerifyRouting[[#This Row],[Rate]]="","",tblVerifyRouting[[#This Row],[Cycle (min/part)]]/60*tblVerifyRouting[[#This Row],[Rate]]))</f>
        <v>5.7</v>
      </c>
      <c r="J51" s="44" t="str">
        <f>IF(tblVerifyRouting[[#This Row],[Operation]]="","",IF(tblVerifyRouting[[#This Row],[Work centre]]="","Missing work centre",IF(tblVerifyRouting[[#This Row],[Rate]]="","Work centre not on Setup list","OK")))</f>
        <v>OK</v>
      </c>
      <c r="K51" s="68" t="s">
        <v>185</v>
      </c>
    </row>
    <row r="52" spans="2:12">
      <c r="B52" s="68" t="s">
        <v>186</v>
      </c>
      <c r="C52" s="82">
        <v>40</v>
      </c>
      <c r="D52" s="68" t="s">
        <v>112</v>
      </c>
      <c r="E52" s="66">
        <v>0</v>
      </c>
      <c r="F52" s="66">
        <v>1</v>
      </c>
      <c r="G52" s="66">
        <v>50</v>
      </c>
      <c r="H52" s="39">
        <f>IF(tblVerifyRouting[[#This Row],[Operation]]="","",IF(tblVerifyRouting[[#This Row],[Rate]]="","",tblVerifyRouting[[#This Row],[Setup (h)]]*tblVerifyRouting[[#This Row],[Rate]]))</f>
        <v>0</v>
      </c>
      <c r="I52" s="43">
        <f>IF(tblVerifyRouting[[#This Row],[Operation]]="","",IF(tblVerifyRouting[[#This Row],[Rate]]="","",tblVerifyRouting[[#This Row],[Cycle (min/part)]]/60*tblVerifyRouting[[#This Row],[Rate]]))</f>
        <v>0.833333333333333</v>
      </c>
      <c r="J52" s="44" t="str">
        <f>IF(tblVerifyRouting[[#This Row],[Operation]]="","",IF(tblVerifyRouting[[#This Row],[Work centre]]="","Missing work centre",IF(tblVerifyRouting[[#This Row],[Rate]]="","Work centre not on Setup list","OK")))</f>
        <v>OK</v>
      </c>
      <c r="K52" s="68" t="s">
        <v>187</v>
      </c>
    </row>
    <row r="53" spans="2:12">
      <c r="B53" s="68" t="s">
        <v>188</v>
      </c>
      <c r="C53" s="82">
        <v>50</v>
      </c>
      <c r="D53" s="68" t="s">
        <v>114</v>
      </c>
      <c r="E53" s="66">
        <v>0.5</v>
      </c>
      <c r="F53" s="66">
        <v>0.8</v>
      </c>
      <c r="G53" s="66">
        <v>90</v>
      </c>
      <c r="H53" s="39">
        <f>IF(tblVerifyRouting[[#This Row],[Operation]]="","",IF(tblVerifyRouting[[#This Row],[Rate]]="","",tblVerifyRouting[[#This Row],[Setup (h)]]*tblVerifyRouting[[#This Row],[Rate]]))</f>
        <v>45</v>
      </c>
      <c r="I53" s="43">
        <f>IF(tblVerifyRouting[[#This Row],[Operation]]="","",IF(tblVerifyRouting[[#This Row],[Rate]]="","",tblVerifyRouting[[#This Row],[Cycle (min/part)]]/60*tblVerifyRouting[[#This Row],[Rate]]))</f>
        <v>1.2</v>
      </c>
      <c r="J53" s="44" t="str">
        <f>IF(tblVerifyRouting[[#This Row],[Operation]]="","",IF(tblVerifyRouting[[#This Row],[Work centre]]="","Missing work centre",IF(tblVerifyRouting[[#This Row],[Rate]]="","Work centre not on Setup list","OK")))</f>
        <v>OK</v>
      </c>
      <c r="K53" s="68" t="s">
        <v>189</v>
      </c>
    </row>
    <row r="55" spans="2:12">
      <c r="B55" s="34" t="s">
        <v>375</v>
      </c>
      <c r="C55" s="34"/>
      <c r="D55" s="34"/>
      <c r="E55" s="34"/>
      <c r="F55" s="34"/>
      <c r="G55" s="34"/>
      <c r="H55" s="34"/>
      <c r="I55" s="34"/>
      <c r="J55" s="34"/>
      <c r="K55" s="34"/>
      <c r="L55" s="34"/>
    </row>
    <row r="56" spans="2:12" ht="14" customHeight="1">
      <c r="B56" s="35"/>
      <c r="C56" s="35"/>
      <c r="D56" s="35" t="str">
        <f>Currency&amp;"/part"</f>
        <v>USD/part</v>
      </c>
      <c r="E56" s="35" t="str">
        <f>Currency&amp;"/lot"</f>
        <v>USD/lot</v>
      </c>
      <c r="F56" s="35" t="s">
        <v>198</v>
      </c>
      <c r="G56" s="35"/>
    </row>
    <row r="57" spans="2:12" ht="32" customHeight="1">
      <c r="B57" s="36" t="s">
        <v>134</v>
      </c>
      <c r="C57" s="36" t="s">
        <v>135</v>
      </c>
      <c r="D57" s="36" t="s">
        <v>136</v>
      </c>
      <c r="E57" s="36" t="s">
        <v>137</v>
      </c>
      <c r="F57" s="36" t="s">
        <v>138</v>
      </c>
      <c r="G57" s="36" t="s">
        <v>65</v>
      </c>
    </row>
    <row r="58" spans="2:12">
      <c r="B58" s="68" t="s">
        <v>199</v>
      </c>
      <c r="C58" s="68" t="s">
        <v>200</v>
      </c>
      <c r="D58" s="66">
        <v>0.85</v>
      </c>
      <c r="E58" s="66">
        <v>120</v>
      </c>
      <c r="F58" s="82">
        <v>5</v>
      </c>
      <c r="G58" s="68" t="s">
        <v>201</v>
      </c>
    </row>
    <row r="59" spans="2:12">
      <c r="B59" s="68" t="s">
        <v>202</v>
      </c>
      <c r="C59" s="68" t="s">
        <v>203</v>
      </c>
      <c r="D59" s="66">
        <v>0.3</v>
      </c>
      <c r="E59" s="66">
        <v>60</v>
      </c>
      <c r="F59" s="82">
        <v>2</v>
      </c>
      <c r="G59" s="68" t="s">
        <v>187</v>
      </c>
    </row>
    <row r="61" spans="2:12">
      <c r="B61" s="34" t="s">
        <v>376</v>
      </c>
      <c r="C61" s="34"/>
      <c r="D61" s="34"/>
      <c r="E61" s="34"/>
      <c r="F61" s="34"/>
      <c r="G61" s="34"/>
      <c r="H61" s="34"/>
      <c r="I61" s="34"/>
      <c r="J61" s="34"/>
      <c r="K61" s="34"/>
      <c r="L61" s="34"/>
    </row>
    <row r="62" spans="2:12" ht="14" customHeight="1">
      <c r="B62" s="35"/>
      <c r="C62" s="35" t="str">
        <f>Currency</f>
        <v>USD</v>
      </c>
      <c r="D62" s="35"/>
      <c r="E62" s="35"/>
      <c r="F62" s="35"/>
    </row>
    <row r="63" spans="2:12" ht="20" customHeight="1">
      <c r="B63" s="36" t="s">
        <v>139</v>
      </c>
      <c r="C63" s="36" t="s">
        <v>140</v>
      </c>
      <c r="D63" s="36" t="s">
        <v>141</v>
      </c>
      <c r="E63" s="36" t="s">
        <v>142</v>
      </c>
      <c r="F63" s="36" t="s">
        <v>65</v>
      </c>
    </row>
    <row r="64" spans="2:12">
      <c r="B64" s="68" t="s">
        <v>205</v>
      </c>
      <c r="C64" s="66">
        <v>340</v>
      </c>
      <c r="D64" s="68" t="s">
        <v>206</v>
      </c>
      <c r="E64" s="45">
        <f>IF(tblVerifyTooling[[#This Row],[Item]]="","",IF(tblVerifyTooling[[#This Row],[Billing]]="Bill separately",SUMPRODUCT((tblVerifyTooling[Billing]="Bill separately")*(ROW(tblVerifyTooling[Billing])&lt;=ROW(tblVerifyTooling[[#This Row],[Billing]]))),""))</f>
        <v/>
      </c>
      <c r="F64" s="68" t="s">
        <v>207</v>
      </c>
    </row>
    <row r="65" spans="2:12">
      <c r="B65" s="68" t="s">
        <v>183</v>
      </c>
      <c r="C65" s="66">
        <v>120</v>
      </c>
      <c r="D65" s="68" t="s">
        <v>206</v>
      </c>
      <c r="E65" s="45">
        <f>IF(tblVerifyTooling[[#This Row],[Item]]="","",IF(tblVerifyTooling[[#This Row],[Billing]]="Bill separately",SUMPRODUCT((tblVerifyTooling[Billing]="Bill separately")*(ROW(tblVerifyTooling[Billing])&lt;=ROW(tblVerifyTooling[[#This Row],[Billing]]))),""))</f>
        <v/>
      </c>
      <c r="F65" s="68" t="s">
        <v>187</v>
      </c>
    </row>
    <row r="66" spans="2:12">
      <c r="B66" s="68" t="s">
        <v>208</v>
      </c>
      <c r="C66" s="66">
        <v>180</v>
      </c>
      <c r="D66" s="68" t="s">
        <v>209</v>
      </c>
      <c r="E66" s="45">
        <f>IF(tblVerifyTooling[[#This Row],[Item]]="","",IF(tblVerifyTooling[[#This Row],[Billing]]="Bill separately",SUMPRODUCT((tblVerifyTooling[Billing]="Bill separately")*(ROW(tblVerifyTooling[Billing])&lt;=ROW(tblVerifyTooling[[#This Row],[Billing]]))),""))</f>
        <v>1</v>
      </c>
      <c r="F66" s="68" t="s">
        <v>210</v>
      </c>
    </row>
    <row r="68" spans="2:12">
      <c r="B68" s="34" t="s">
        <v>377</v>
      </c>
      <c r="C68" s="34"/>
      <c r="D68" s="34"/>
      <c r="E68" s="34"/>
      <c r="F68" s="34"/>
      <c r="G68" s="34"/>
      <c r="H68" s="34"/>
      <c r="I68" s="34"/>
      <c r="J68" s="34"/>
      <c r="K68" s="34"/>
      <c r="L68" s="34"/>
    </row>
    <row r="69" spans="2:12">
      <c r="B69" s="27" t="s">
        <v>191</v>
      </c>
      <c r="C69" s="27"/>
      <c r="D69" s="27"/>
      <c r="E69" s="39">
        <f>SUM(tblVerifyRouting[Setup cost])</f>
        <v>302.5</v>
      </c>
      <c r="F69" s="7" t="str">
        <f>Currency</f>
        <v>USD</v>
      </c>
    </row>
    <row r="70" spans="2:12">
      <c r="B70" s="27" t="s">
        <v>192</v>
      </c>
      <c r="C70" s="27"/>
      <c r="D70" s="27"/>
      <c r="E70" s="43">
        <f>SUM(tblVerifyRouting[Run cost])</f>
        <v>14.8083333333333</v>
      </c>
      <c r="F70" s="7" t="str">
        <f>Currency&amp;"/part"</f>
        <v>USD/part</v>
      </c>
    </row>
    <row r="71" spans="2:12">
      <c r="B71" s="27" t="s">
        <v>193</v>
      </c>
      <c r="C71" s="27"/>
      <c r="D71" s="27"/>
      <c r="E71" s="39">
        <f>SUM(tblVerifyRouting[Setup (h)])</f>
        <v>3.5</v>
      </c>
      <c r="F71" s="7" t="s">
        <v>194</v>
      </c>
    </row>
    <row r="72" spans="2:12">
      <c r="B72" s="27" t="s">
        <v>195</v>
      </c>
      <c r="C72" s="27"/>
      <c r="D72" s="27"/>
      <c r="E72" s="39">
        <f>SUM(tblVerifyRouting[Cycle (min/part)])</f>
        <v>11.1</v>
      </c>
      <c r="F72" s="7" t="s">
        <v>196</v>
      </c>
    </row>
    <row r="74" spans="2:12">
      <c r="B74" s="34" t="s">
        <v>378</v>
      </c>
      <c r="C74" s="34"/>
      <c r="D74" s="34"/>
      <c r="E74" s="34"/>
      <c r="F74" s="34"/>
      <c r="G74" s="34"/>
      <c r="H74" s="34"/>
      <c r="I74" s="34"/>
      <c r="J74" s="34"/>
      <c r="K74" s="34"/>
      <c r="L74" s="34"/>
    </row>
    <row r="75" spans="2:12">
      <c r="B75" s="27" t="s">
        <v>212</v>
      </c>
      <c r="C75" s="27"/>
      <c r="D75" s="27"/>
      <c r="E75" s="39">
        <f>SUMIFS(tblVerifyTooling[Cost],tblVerifyTooling[Billing],"Amortise")</f>
        <v>460</v>
      </c>
      <c r="F75" s="7" t="str">
        <f>Currency</f>
        <v>USD</v>
      </c>
    </row>
    <row r="77" spans="2:12">
      <c r="B77" s="34" t="s">
        <v>379</v>
      </c>
      <c r="C77" s="34"/>
      <c r="D77" s="34"/>
      <c r="E77" s="34"/>
      <c r="F77" s="34"/>
      <c r="G77" s="34"/>
      <c r="H77" s="34"/>
      <c r="I77" s="34"/>
      <c r="J77" s="34"/>
      <c r="K77" s="34"/>
      <c r="L77" s="34"/>
    </row>
    <row r="78" spans="2:12">
      <c r="B78" s="27" t="s">
        <v>66</v>
      </c>
      <c r="C78" s="27"/>
      <c r="D78" s="27"/>
      <c r="E78" s="68" t="s">
        <v>117</v>
      </c>
      <c r="F78" s="68"/>
    </row>
    <row r="79" spans="2:12">
      <c r="B79" s="27" t="s">
        <v>163</v>
      </c>
      <c r="C79" s="27"/>
      <c r="D79" s="27"/>
      <c r="E79" s="68" t="s">
        <v>164</v>
      </c>
      <c r="F79" s="68"/>
    </row>
    <row r="80" spans="2:12">
      <c r="B80" s="27" t="s">
        <v>165</v>
      </c>
      <c r="C80" s="27"/>
      <c r="D80" s="27"/>
      <c r="E80" s="68" t="s">
        <v>166</v>
      </c>
      <c r="F80" s="68"/>
    </row>
    <row r="81" spans="2:12">
      <c r="B81" s="27" t="s">
        <v>167</v>
      </c>
      <c r="C81" s="27"/>
      <c r="D81" s="27"/>
      <c r="E81" s="66">
        <v>50</v>
      </c>
      <c r="F81" s="7" t="str">
        <f>$E$80</f>
        <v>mm</v>
      </c>
    </row>
    <row r="82" spans="2:12">
      <c r="B82" s="27" t="s">
        <v>168</v>
      </c>
      <c r="C82" s="27"/>
      <c r="D82" s="27"/>
      <c r="E82" s="66">
        <v>0</v>
      </c>
      <c r="F82" s="7" t="str">
        <f>$E$80</f>
        <v>mm</v>
      </c>
    </row>
    <row r="83" spans="2:12">
      <c r="B83" s="27" t="s">
        <v>169</v>
      </c>
      <c r="C83" s="27"/>
      <c r="D83" s="27"/>
      <c r="E83" s="66">
        <v>82</v>
      </c>
      <c r="F83" s="7" t="str">
        <f>$E$80</f>
        <v>mm</v>
      </c>
    </row>
    <row r="84" spans="2:12">
      <c r="B84" s="27" t="s">
        <v>170</v>
      </c>
      <c r="C84" s="27"/>
      <c r="D84" s="27"/>
      <c r="E84" s="83">
        <v>0.05</v>
      </c>
      <c r="F84" s="7"/>
    </row>
    <row r="85" spans="2:12">
      <c r="B85" s="27" t="s">
        <v>171</v>
      </c>
      <c r="C85" s="27"/>
      <c r="D85" s="27"/>
      <c r="E85" s="66">
        <v>2.7</v>
      </c>
      <c r="F85" s="7" t="s">
        <v>172</v>
      </c>
    </row>
    <row r="86" spans="2:12">
      <c r="B86" s="27" t="s">
        <v>173</v>
      </c>
      <c r="C86" s="27"/>
      <c r="D86" s="27"/>
      <c r="E86" s="39">
        <f>IF($E$79="Round bar",PI()*($E$81/2)^2*$E$83,$E$81*$E$82*$E$83)*IF($E$80="in",16.387064,0.001)</f>
        <v>161.006623496477</v>
      </c>
      <c r="F86" s="7" t="s">
        <v>174</v>
      </c>
    </row>
    <row r="87" spans="2:12">
      <c r="B87" s="27" t="s">
        <v>175</v>
      </c>
      <c r="C87" s="27"/>
      <c r="D87" s="27"/>
      <c r="E87" s="40">
        <f>IF($E$85="","",$E$86*$E$85/1000)</f>
        <v>0.434717883440488</v>
      </c>
      <c r="F87" s="7" t="s">
        <v>118</v>
      </c>
    </row>
    <row r="88" spans="2:12">
      <c r="B88" s="27" t="s">
        <v>175</v>
      </c>
      <c r="C88" s="27"/>
      <c r="D88" s="27"/>
      <c r="E88" s="40">
        <f>IF($E$87="","",$E$87/0.45359237)</f>
        <v>0.958388879955119</v>
      </c>
      <c r="F88" s="7" t="s">
        <v>123</v>
      </c>
    </row>
    <row r="89" spans="2:12">
      <c r="B89" s="27" t="s">
        <v>176</v>
      </c>
      <c r="C89" s="27"/>
      <c r="D89" s="27"/>
      <c r="E89" s="66">
        <v>7.2</v>
      </c>
      <c r="F89" s="7" t="str">
        <f>Currency&amp;"/kg"</f>
        <v>USD/kg</v>
      </c>
    </row>
    <row r="90" spans="2:12">
      <c r="B90" s="17" t="s">
        <v>177</v>
      </c>
      <c r="C90" s="17"/>
      <c r="D90" s="17"/>
      <c r="E90" s="41">
        <f>IF(OR($E$87="",$E$89=""),"",$E$87*$E$89*(1+$E$84))</f>
        <v>3.28646719881009</v>
      </c>
      <c r="F90" s="7" t="str">
        <f>Currency</f>
        <v>USD</v>
      </c>
    </row>
    <row r="91" spans="2:12">
      <c r="B91" s="27" t="s">
        <v>178</v>
      </c>
      <c r="C91" s="27"/>
      <c r="D91" s="27"/>
      <c r="E91" s="42" t="str">
        <f>IF($E$85="","Material not on Setup list",IF(AND($E$79&lt;&gt;"Round bar",$E$82=0),"Enter a thickness",IF($E$86&lt;=0,"Blank size missing","OK")))</f>
        <v>OK</v>
      </c>
      <c r="F91" s="42"/>
    </row>
    <row r="93" spans="2:12">
      <c r="B93" s="34" t="s">
        <v>380</v>
      </c>
      <c r="C93" s="34"/>
      <c r="D93" s="34"/>
      <c r="E93" s="34"/>
      <c r="F93" s="34"/>
      <c r="G93" s="34"/>
      <c r="H93" s="34"/>
      <c r="I93" s="34"/>
      <c r="J93" s="34"/>
      <c r="K93" s="34"/>
      <c r="L93" s="34"/>
    </row>
    <row r="94" spans="2:12">
      <c r="B94" s="27" t="s">
        <v>214</v>
      </c>
      <c r="C94" s="27"/>
      <c r="D94" s="27"/>
      <c r="E94" s="82">
        <v>5</v>
      </c>
      <c r="F94" s="7" t="s">
        <v>198</v>
      </c>
    </row>
    <row r="95" spans="2:12">
      <c r="B95" s="27" t="s">
        <v>215</v>
      </c>
      <c r="C95" s="27"/>
      <c r="D95" s="27"/>
      <c r="E95" s="82">
        <v>3</v>
      </c>
      <c r="F95" s="7" t="s">
        <v>198</v>
      </c>
    </row>
    <row r="96" spans="2:12">
      <c r="B96" s="27" t="s">
        <v>216</v>
      </c>
      <c r="C96" s="27"/>
      <c r="D96" s="27"/>
      <c r="E96" s="45">
        <f>SUM(tblVerifyOutside[Lead time (days)])</f>
        <v>7</v>
      </c>
      <c r="F96" s="7" t="s">
        <v>198</v>
      </c>
    </row>
    <row r="98" spans="2:12">
      <c r="B98" s="34" t="s">
        <v>381</v>
      </c>
      <c r="C98" s="34"/>
      <c r="D98" s="34"/>
      <c r="E98" s="34"/>
      <c r="F98" s="34"/>
      <c r="G98" s="34"/>
      <c r="H98" s="34"/>
      <c r="I98" s="34"/>
      <c r="J98" s="34"/>
      <c r="K98" s="34"/>
      <c r="L98" s="34"/>
    </row>
    <row r="99" spans="2:12">
      <c r="B99" s="46" t="s">
        <v>218</v>
      </c>
      <c r="C99" s="46"/>
      <c r="D99" s="46"/>
      <c r="E99" s="36" t="s">
        <v>219</v>
      </c>
      <c r="F99" s="82">
        <v>25</v>
      </c>
      <c r="G99" s="82">
        <v>100</v>
      </c>
      <c r="H99" s="82">
        <v>250</v>
      </c>
      <c r="I99" s="82">
        <v>500</v>
      </c>
      <c r="J99" s="82">
        <v>1000</v>
      </c>
    </row>
    <row r="100" spans="2:12">
      <c r="B100" s="27" t="s">
        <v>220</v>
      </c>
      <c r="C100" s="27"/>
      <c r="D100" s="27"/>
      <c r="E100" s="7" t="s">
        <v>221</v>
      </c>
      <c r="F100" s="45">
        <f>CEILING($F$99/$E$41,1)</f>
        <v>27</v>
      </c>
      <c r="G100" s="45">
        <f>CEILING($G$99/$E$41,1)</f>
        <v>105</v>
      </c>
      <c r="H100" s="45">
        <f>CEILING($H$99/$E$41,1)</f>
        <v>261</v>
      </c>
      <c r="I100" s="45">
        <f>CEILING($I$99/$E$41,1)</f>
        <v>521</v>
      </c>
      <c r="J100" s="45">
        <f>CEILING($J$99/$E$41,1)</f>
        <v>1042</v>
      </c>
    </row>
    <row r="101" spans="2:12">
      <c r="B101" s="27" t="s">
        <v>66</v>
      </c>
      <c r="C101" s="27"/>
      <c r="D101" s="27"/>
      <c r="E101" s="7" t="str">
        <f>Currency&amp;"/part"</f>
        <v>USD/part</v>
      </c>
      <c r="F101" s="39">
        <f>$E$90*$F$100/$F$99</f>
        <v>3.54938457471489</v>
      </c>
      <c r="G101" s="39">
        <f>$E$90*$G$100/$G$99</f>
        <v>3.45079055875059</v>
      </c>
      <c r="H101" s="39">
        <f>$E$90*$H$100/$H$99</f>
        <v>3.43107175555773</v>
      </c>
      <c r="I101" s="39">
        <f>$E$90*$I$100/$I$99</f>
        <v>3.42449882116011</v>
      </c>
      <c r="J101" s="39">
        <f>$E$90*$J$100/$J$99</f>
        <v>3.42449882116011</v>
      </c>
    </row>
    <row r="102" spans="2:12">
      <c r="B102" s="27" t="s">
        <v>222</v>
      </c>
      <c r="C102" s="27"/>
      <c r="D102" s="27"/>
      <c r="E102" s="7" t="str">
        <f>Currency&amp;"/part"</f>
        <v>USD/part</v>
      </c>
      <c r="F102" s="39">
        <f>$F$101*$E$38</f>
        <v>0.354938457471489</v>
      </c>
      <c r="G102" s="39">
        <f>$G$101*$E$38</f>
        <v>0.345079055875059</v>
      </c>
      <c r="H102" s="39">
        <f>$H$101*$E$38</f>
        <v>0.343107175555773</v>
      </c>
      <c r="I102" s="39">
        <f>$I$101*$E$38</f>
        <v>0.342449882116011</v>
      </c>
      <c r="J102" s="39">
        <f>$J$101*$E$38</f>
        <v>0.342449882116011</v>
      </c>
    </row>
    <row r="103" spans="2:12">
      <c r="B103" s="27" t="s">
        <v>223</v>
      </c>
      <c r="C103" s="27"/>
      <c r="D103" s="27"/>
      <c r="E103" s="7" t="str">
        <f>Currency&amp;"/part"</f>
        <v>USD/part</v>
      </c>
      <c r="F103" s="39">
        <f>$E$70*$F$100/$F$99</f>
        <v>15.993</v>
      </c>
      <c r="G103" s="39">
        <f>$E$70*$G$100/$G$99</f>
        <v>15.54875</v>
      </c>
      <c r="H103" s="39">
        <f>$E$70*$H$100/$H$99</f>
        <v>15.4599</v>
      </c>
      <c r="I103" s="39">
        <f>$E$70*$I$100/$I$99</f>
        <v>15.4302833333333</v>
      </c>
      <c r="J103" s="39">
        <f>$E$70*$J$100/$J$99</f>
        <v>15.4302833333333</v>
      </c>
    </row>
    <row r="104" spans="2:12">
      <c r="B104" s="27" t="s">
        <v>224</v>
      </c>
      <c r="C104" s="27"/>
      <c r="D104" s="27"/>
      <c r="E104" s="7" t="str">
        <f>Currency&amp;"/part"</f>
        <v>USD/part</v>
      </c>
      <c r="F104" s="39">
        <f>$E$69/$F$99</f>
        <v>12.1</v>
      </c>
      <c r="G104" s="39">
        <f>$E$69/$G$99</f>
        <v>3.025</v>
      </c>
      <c r="H104" s="39">
        <f>$E$69/$H$99</f>
        <v>1.21</v>
      </c>
      <c r="I104" s="39">
        <f>$E$69/$I$99</f>
        <v>0.605</v>
      </c>
      <c r="J104" s="39">
        <f>$E$69/$J$99</f>
        <v>0.3025</v>
      </c>
    </row>
    <row r="105" spans="2:12">
      <c r="B105" s="27" t="s">
        <v>225</v>
      </c>
      <c r="C105" s="27"/>
      <c r="D105" s="27"/>
      <c r="E105" s="7" t="str">
        <f>Currency&amp;"/part"</f>
        <v>USD/part</v>
      </c>
      <c r="F105" s="39">
        <f>$E$75/$F$99</f>
        <v>18.4</v>
      </c>
      <c r="G105" s="39">
        <f>$E$75/$G$99</f>
        <v>4.6</v>
      </c>
      <c r="H105" s="39">
        <f>$E$75/$H$99</f>
        <v>1.84</v>
      </c>
      <c r="I105" s="39">
        <f>$E$75/$I$99</f>
        <v>0.92</v>
      </c>
      <c r="J105" s="39">
        <f>$E$75/$J$99</f>
        <v>0.46</v>
      </c>
    </row>
    <row r="106" spans="2:12">
      <c r="B106" s="27" t="s">
        <v>226</v>
      </c>
      <c r="C106" s="27"/>
      <c r="D106" s="27"/>
      <c r="E106" s="7" t="str">
        <f>Currency&amp;"/part"</f>
        <v>USD/part</v>
      </c>
      <c r="F106" s="39">
        <f>(SUMPRODUCT((tblVerifyOutside[Lot charge]&gt;tblVerifyOutside[Price per part]*$F$99)*tblVerifyOutside[Lot charge])+SUMPRODUCT((tblVerifyOutside[Lot charge]&lt;=tblVerifyOutside[Price per part]*$F$99)*tblVerifyOutside[Price per part])*$F$99)/$F$99</f>
        <v>7.2</v>
      </c>
      <c r="G106" s="39">
        <f>(SUMPRODUCT((tblVerifyOutside[Lot charge]&gt;tblVerifyOutside[Price per part]*$G$99)*tblVerifyOutside[Lot charge])+SUMPRODUCT((tblVerifyOutside[Lot charge]&lt;=tblVerifyOutside[Price per part]*$G$99)*tblVerifyOutside[Price per part])*$G$99)/$G$99</f>
        <v>1.8</v>
      </c>
      <c r="H106" s="39">
        <f>(SUMPRODUCT((tblVerifyOutside[Lot charge]&gt;tblVerifyOutside[Price per part]*$H$99)*tblVerifyOutside[Lot charge])+SUMPRODUCT((tblVerifyOutside[Lot charge]&lt;=tblVerifyOutside[Price per part]*$H$99)*tblVerifyOutside[Price per part])*$H$99)/$H$99</f>
        <v>1.15</v>
      </c>
      <c r="I106" s="39">
        <f>(SUMPRODUCT((tblVerifyOutside[Lot charge]&gt;tblVerifyOutside[Price per part]*$I$99)*tblVerifyOutside[Lot charge])+SUMPRODUCT((tblVerifyOutside[Lot charge]&lt;=tblVerifyOutside[Price per part]*$I$99)*tblVerifyOutside[Price per part])*$I$99)/$I$99</f>
        <v>1.15</v>
      </c>
      <c r="J106" s="39">
        <f>(SUMPRODUCT((tblVerifyOutside[Lot charge]&gt;tblVerifyOutside[Price per part]*$J$99)*tblVerifyOutside[Lot charge])+SUMPRODUCT((tblVerifyOutside[Lot charge]&lt;=tblVerifyOutside[Price per part]*$J$99)*tblVerifyOutside[Price per part])*$J$99)/$J$99</f>
        <v>1.15</v>
      </c>
    </row>
    <row r="107" spans="2:12">
      <c r="B107" s="27" t="s">
        <v>227</v>
      </c>
      <c r="C107" s="27"/>
      <c r="D107" s="27"/>
      <c r="E107" s="7" t="str">
        <f>Currency&amp;"/part"</f>
        <v>USD/part</v>
      </c>
      <c r="F107" s="39">
        <f>$F$106*$E$39</f>
        <v>0.72</v>
      </c>
      <c r="G107" s="39">
        <f>$G$106*$E$39</f>
        <v>0.18</v>
      </c>
      <c r="H107" s="39">
        <f>$H$106*$E$39</f>
        <v>0.115</v>
      </c>
      <c r="I107" s="39">
        <f>$I$106*$E$39</f>
        <v>0.115</v>
      </c>
      <c r="J107" s="39">
        <f>$J$106*$E$39</f>
        <v>0.115</v>
      </c>
    </row>
    <row r="108" spans="2:12">
      <c r="B108" s="27" t="s">
        <v>228</v>
      </c>
      <c r="C108" s="27"/>
      <c r="D108" s="27"/>
      <c r="E108" s="7" t="str">
        <f>Currency&amp;"/part"</f>
        <v>USD/part</v>
      </c>
      <c r="F108" s="39">
        <f>($F$104+$F$103)*$E$37</f>
        <v>4.21395</v>
      </c>
      <c r="G108" s="39">
        <f>($G$104+$G$103)*$E$37</f>
        <v>2.7860625</v>
      </c>
      <c r="H108" s="39">
        <f>($H$104+$H$103)*$E$37</f>
        <v>2.500485</v>
      </c>
      <c r="I108" s="39">
        <f>($I$104+$I$103)*$E$37</f>
        <v>2.4052925</v>
      </c>
      <c r="J108" s="39">
        <f>($J$104+$J$103)*$E$37</f>
        <v>2.3599175</v>
      </c>
    </row>
    <row r="109" spans="2:12">
      <c r="B109" s="17" t="s">
        <v>229</v>
      </c>
      <c r="C109" s="17"/>
      <c r="D109" s="17"/>
      <c r="E109" s="7" t="str">
        <f>Currency&amp;"/part"</f>
        <v>USD/part</v>
      </c>
      <c r="F109" s="48">
        <f>$F$101+$F$102+$F$103+$F$104+$F$105+$F$106+$F$107+$F$108</f>
        <v>62.5312730321864</v>
      </c>
      <c r="G109" s="48">
        <f>$G$101+$G$102+$G$103+$G$104+$G$105+$G$106+$G$107+$G$108</f>
        <v>31.7356821146257</v>
      </c>
      <c r="H109" s="48">
        <f>$H$101+$H$102+$H$103+$H$104+$H$105+$H$106+$H$107+$H$108</f>
        <v>26.0495639311135</v>
      </c>
      <c r="I109" s="48">
        <f>$I$101+$I$102+$I$103+$I$104+$I$105+$I$106+$I$107+$I$108</f>
        <v>24.3925245366095</v>
      </c>
      <c r="J109" s="48">
        <f>$J$101+$J$102+$J$103+$J$104+$J$105+$J$106+$J$107+$J$108</f>
        <v>23.5846495366095</v>
      </c>
    </row>
    <row r="110" spans="2:12">
      <c r="B110" s="27" t="s">
        <v>230</v>
      </c>
      <c r="C110" s="27"/>
      <c r="D110" s="27"/>
      <c r="E110" s="7" t="str">
        <f>Currency&amp;"/part"</f>
        <v>USD/part</v>
      </c>
      <c r="F110" s="49">
        <f>CEILING($F$109/(1-$E$40),$E$42)</f>
        <v>83.38</v>
      </c>
      <c r="G110" s="49">
        <f>CEILING($G$109/(1-$E$40),$E$42)</f>
        <v>42.32</v>
      </c>
      <c r="H110" s="49">
        <f>CEILING($H$109/(1-$E$40),$E$42)</f>
        <v>34.74</v>
      </c>
      <c r="I110" s="49">
        <f>CEILING($I$109/(1-$E$40),$E$42)</f>
        <v>32.53</v>
      </c>
      <c r="J110" s="49">
        <f>CEILING($J$109/(1-$E$40),$E$42)</f>
        <v>31.45</v>
      </c>
    </row>
    <row r="111" spans="2:12">
      <c r="B111" s="27" t="s">
        <v>231</v>
      </c>
      <c r="C111" s="27"/>
      <c r="D111" s="27"/>
      <c r="E111" s="7" t="str">
        <f>Currency</f>
        <v>USD</v>
      </c>
      <c r="F111" s="39">
        <f>$F$110*$F$99</f>
        <v>2084.5</v>
      </c>
      <c r="G111" s="39">
        <f>$G$110*$G$99</f>
        <v>4232</v>
      </c>
      <c r="H111" s="39">
        <f>$H$110*$H$99</f>
        <v>8685</v>
      </c>
      <c r="I111" s="39">
        <f>$I$110*$I$99</f>
        <v>16265</v>
      </c>
      <c r="J111" s="39">
        <f>$J$110*$J$99</f>
        <v>31450</v>
      </c>
    </row>
    <row r="112" spans="2:12">
      <c r="B112" s="27" t="s">
        <v>232</v>
      </c>
      <c r="C112" s="27"/>
      <c r="D112" s="27"/>
      <c r="E112" s="7" t="s">
        <v>233</v>
      </c>
      <c r="F112" s="50">
        <f>($F$110-$F$109)/$F$110</f>
        <v>0.250044698582557</v>
      </c>
      <c r="G112" s="50">
        <f>($G$110-$G$109)/$G$110</f>
        <v>0.25010202942756</v>
      </c>
      <c r="H112" s="50">
        <f>($H$110-$H$109)/$H$110</f>
        <v>0.250156478666854</v>
      </c>
      <c r="I112" s="50">
        <f>($I$110-$I$109)/$I$110</f>
        <v>0.250152949996635</v>
      </c>
      <c r="J112" s="50">
        <f>($J$110-$J$109)/$J$110</f>
        <v>0.250090634765995</v>
      </c>
    </row>
    <row r="113" spans="2:12">
      <c r="B113" s="27" t="s">
        <v>234</v>
      </c>
      <c r="C113" s="27"/>
      <c r="D113" s="27"/>
      <c r="E113" s="7" t="s">
        <v>194</v>
      </c>
      <c r="F113" s="51">
        <f>$E$71+$F$100*$E$72/60</f>
        <v>8.495</v>
      </c>
      <c r="G113" s="51">
        <f>$E$71+$G$100*$E$72/60</f>
        <v>22.925</v>
      </c>
      <c r="H113" s="51">
        <f>$E$71+$H$100*$E$72/60</f>
        <v>51.785</v>
      </c>
      <c r="I113" s="51">
        <f>$E$71+$I$100*$E$72/60</f>
        <v>99.885</v>
      </c>
      <c r="J113" s="51">
        <f>$E$71+$J$100*$E$72/60</f>
        <v>196.27</v>
      </c>
    </row>
    <row r="114" spans="2:12">
      <c r="B114" s="27" t="s">
        <v>235</v>
      </c>
      <c r="C114" s="27"/>
      <c r="D114" s="27"/>
      <c r="E114" s="7" t="s">
        <v>198</v>
      </c>
      <c r="F114" s="52">
        <f>$E$94+CEILING($F$113/($E$43*$E$44),1)+$E$96+$E$95</f>
        <v>16</v>
      </c>
      <c r="G114" s="52">
        <f>$E$94+CEILING($G$113/($E$43*$E$44),1)+$E$96+$E$95</f>
        <v>17</v>
      </c>
      <c r="H114" s="52">
        <f>$E$94+CEILING($H$113/($E$43*$E$44),1)+$E$96+$E$95</f>
        <v>19</v>
      </c>
      <c r="I114" s="52">
        <f>$E$94+CEILING($I$113/($E$43*$E$44),1)+$E$96+$E$95</f>
        <v>23</v>
      </c>
      <c r="J114" s="52">
        <f>$E$94+CEILING($J$113/($E$43*$E$44),1)+$E$96+$E$95</f>
        <v>30</v>
      </c>
    </row>
    <row r="116" spans="2:12">
      <c r="B116" s="34" t="s">
        <v>382</v>
      </c>
      <c r="C116" s="34"/>
      <c r="D116" s="34"/>
      <c r="E116" s="34"/>
      <c r="F116" s="34"/>
      <c r="G116" s="34"/>
      <c r="H116" s="34"/>
      <c r="I116" s="34"/>
      <c r="J116" s="34"/>
      <c r="K116" s="34"/>
      <c r="L116" s="34"/>
    </row>
    <row r="117" spans="2:12">
      <c r="B117" s="27" t="s">
        <v>243</v>
      </c>
      <c r="C117" s="27"/>
      <c r="D117" s="27"/>
      <c r="E117" s="82">
        <v>600</v>
      </c>
      <c r="F117" s="7" t="s">
        <v>244</v>
      </c>
    </row>
    <row r="118" spans="2:12">
      <c r="B118" s="27" t="s">
        <v>245</v>
      </c>
      <c r="C118" s="27"/>
      <c r="D118" s="27"/>
      <c r="E118" s="84">
        <v>80</v>
      </c>
      <c r="F118" s="7" t="s">
        <v>194</v>
      </c>
    </row>
    <row r="119" spans="2:12">
      <c r="B119" s="27" t="s">
        <v>246</v>
      </c>
      <c r="C119" s="27"/>
      <c r="D119" s="27"/>
      <c r="E119" s="68" t="s">
        <v>383</v>
      </c>
      <c r="F119" s="68"/>
    </row>
    <row r="120" spans="2:12">
      <c r="B120" s="27" t="s">
        <v>247</v>
      </c>
      <c r="C120" s="27"/>
      <c r="D120" s="27"/>
      <c r="E120" s="66">
        <v>3</v>
      </c>
      <c r="F120" s="7" t="s">
        <v>194</v>
      </c>
    </row>
    <row r="121" spans="2:12">
      <c r="B121" s="27" t="s">
        <v>248</v>
      </c>
      <c r="C121" s="27"/>
      <c r="D121" s="27"/>
      <c r="E121" s="66">
        <v>6.5</v>
      </c>
      <c r="F121" s="7" t="s">
        <v>196</v>
      </c>
    </row>
    <row r="122" spans="2:12">
      <c r="B122" s="27" t="s">
        <v>249</v>
      </c>
      <c r="C122" s="27"/>
      <c r="D122" s="27"/>
      <c r="E122" s="51">
        <f>MAX(0,$E$118*$E$44-$E$120)</f>
        <v>62.6</v>
      </c>
      <c r="F122" s="7" t="s">
        <v>194</v>
      </c>
    </row>
    <row r="123" spans="2:12">
      <c r="B123" s="27" t="s">
        <v>250</v>
      </c>
      <c r="C123" s="27"/>
      <c r="D123" s="27"/>
      <c r="E123" s="51">
        <f>IF($E$121&gt;0,$E$122*60/$E$121,"")</f>
        <v>577.846153846154</v>
      </c>
      <c r="F123" s="7" t="s">
        <v>221</v>
      </c>
    </row>
    <row r="124" spans="2:12">
      <c r="B124" s="17" t="s">
        <v>251</v>
      </c>
      <c r="C124" s="17"/>
      <c r="D124" s="17"/>
      <c r="E124" s="52">
        <f>IF($E$123="","",FLOOR($E$123*$E$41,1))</f>
        <v>554</v>
      </c>
      <c r="F124" s="7" t="s">
        <v>221</v>
      </c>
    </row>
    <row r="125" spans="2:12">
      <c r="B125" s="27" t="s">
        <v>252</v>
      </c>
      <c r="C125" s="27"/>
      <c r="D125" s="27"/>
      <c r="E125" s="51">
        <f>($E$120+$E$117/$E$41*$E$121/60)/$E$44</f>
        <v>86.229674796748</v>
      </c>
      <c r="F125" s="7" t="s">
        <v>194</v>
      </c>
    </row>
    <row r="126" spans="2:12">
      <c r="B126" s="27" t="s">
        <v>253</v>
      </c>
      <c r="C126" s="27"/>
      <c r="D126" s="27"/>
      <c r="E126" s="45">
        <f>CEILING($E$117/$E$41,1)</f>
        <v>625</v>
      </c>
      <c r="F126" s="7" t="s">
        <v>221</v>
      </c>
    </row>
    <row r="127" spans="2:12">
      <c r="B127" s="17" t="s">
        <v>254</v>
      </c>
      <c r="C127" s="17"/>
      <c r="D127" s="17"/>
      <c r="E127" s="54">
        <f>IF($E$124="","",$E$124-$E$117)</f>
        <v>-46</v>
      </c>
      <c r="F127" s="7" t="s">
        <v>221</v>
      </c>
    </row>
    <row r="128" spans="2:12">
      <c r="B128" s="17" t="s">
        <v>255</v>
      </c>
      <c r="C128" s="17"/>
      <c r="D128" s="17"/>
      <c r="E128" s="55" t="str">
        <f>IF($E$127="","",IF($E$127&gt;=0,"Under capacity","Over capacity"))</f>
        <v>Over capacity</v>
      </c>
      <c r="F128" s="55"/>
    </row>
  </sheetData>
  <sheetProtection sheet="1" formatColumns="0" formatRows="0"/>
  <mergeCells count="105">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B33:L33"/>
    <mergeCell ref="B35:L35"/>
    <mergeCell ref="B36:F36"/>
    <mergeCell ref="B37:D37"/>
    <mergeCell ref="B38:D38"/>
    <mergeCell ref="B39:D39"/>
    <mergeCell ref="B40:D40"/>
    <mergeCell ref="B41:D41"/>
    <mergeCell ref="B42:D42"/>
    <mergeCell ref="B43:D43"/>
    <mergeCell ref="B44:D44"/>
    <mergeCell ref="B46:L46"/>
    <mergeCell ref="B55:L55"/>
    <mergeCell ref="B61:L61"/>
    <mergeCell ref="B68:L68"/>
    <mergeCell ref="B69:D69"/>
    <mergeCell ref="B70:D70"/>
    <mergeCell ref="B71:D71"/>
    <mergeCell ref="B72:D72"/>
    <mergeCell ref="B74:L74"/>
    <mergeCell ref="B75:D75"/>
    <mergeCell ref="B77:L77"/>
    <mergeCell ref="B78:D78"/>
    <mergeCell ref="E78:F78"/>
    <mergeCell ref="B79:D79"/>
    <mergeCell ref="E79:F79"/>
    <mergeCell ref="B80:D80"/>
    <mergeCell ref="E80:F80"/>
    <mergeCell ref="B81:D81"/>
    <mergeCell ref="B82:D82"/>
    <mergeCell ref="B83:D83"/>
    <mergeCell ref="B84:D84"/>
    <mergeCell ref="B85:D85"/>
    <mergeCell ref="B86:D86"/>
    <mergeCell ref="B87:D87"/>
    <mergeCell ref="B88:D88"/>
    <mergeCell ref="B89:D89"/>
    <mergeCell ref="B90:D90"/>
    <mergeCell ref="B91:D91"/>
    <mergeCell ref="E91:F91"/>
    <mergeCell ref="B93:L93"/>
    <mergeCell ref="B94:D94"/>
    <mergeCell ref="B95:D95"/>
    <mergeCell ref="B96:D96"/>
    <mergeCell ref="B98:L98"/>
    <mergeCell ref="B99:D99"/>
    <mergeCell ref="B100:D100"/>
    <mergeCell ref="B101:D101"/>
    <mergeCell ref="B102:D102"/>
    <mergeCell ref="B103:D103"/>
    <mergeCell ref="B104:D104"/>
    <mergeCell ref="B105:D105"/>
    <mergeCell ref="B106:D106"/>
    <mergeCell ref="B107:D107"/>
    <mergeCell ref="B108:D108"/>
    <mergeCell ref="B109:D109"/>
    <mergeCell ref="B110:D110"/>
    <mergeCell ref="B111:D111"/>
    <mergeCell ref="B112:D112"/>
    <mergeCell ref="B113:D113"/>
    <mergeCell ref="B114:D114"/>
    <mergeCell ref="B116:L116"/>
    <mergeCell ref="B117:D117"/>
    <mergeCell ref="B118:D118"/>
    <mergeCell ref="B119:D119"/>
    <mergeCell ref="E119:F119"/>
    <mergeCell ref="B120:D120"/>
    <mergeCell ref="B121:D121"/>
    <mergeCell ref="B122:D122"/>
    <mergeCell ref="B123:D123"/>
    <mergeCell ref="B124:D124"/>
    <mergeCell ref="B125:D125"/>
    <mergeCell ref="B126:D126"/>
    <mergeCell ref="B127:D127"/>
    <mergeCell ref="B128:D128"/>
    <mergeCell ref="E128:F12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J49:J53">
    <cfRule type="expression" dxfId="3" priority="41">
      <formula>$J49="OK"</formula>
    </cfRule>
    <cfRule type="expression" dxfId="1" priority="42">
      <formula>AND($J49&lt;&gt;"",$J49&lt;&gt;"OK")</formula>
    </cfRule>
  </conditionalFormatting>
  <conditionalFormatting sqref="K11:K3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Job Shop Quote&amp;R&amp;8&amp;A</oddHeader>
    <oddFooter>&amp;L&amp;8mfgcalcs.com - free manufacturing templates&amp;R&amp;8Page &amp;P of &amp;N</oddFooter>
  </headerFooter>
  <rowBreaks count="4" manualBreakCount="4">
    <brk id="27" max="16383" man="1"/>
    <brk id="54" max="16383" man="1"/>
    <brk id="76" max="16383" man="1"/>
    <brk id="97"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70</vt:i4>
      </vt:variant>
    </vt:vector>
  </HeadingPairs>
  <TitlesOfParts>
    <vt:vector size="76" baseType="lpstr">
      <vt:lpstr>Start Here</vt:lpstr>
      <vt:lpstr>Setup</vt:lpstr>
      <vt:lpstr>Quote Builder</vt:lpstr>
      <vt:lpstr>Quote</vt:lpstr>
      <vt:lpstr>Method</vt:lpstr>
      <vt:lpstr>Verify</vt:lpstr>
      <vt:lpstr>Allowance</vt:lpstr>
      <vt:lpstr>BlankKg</vt:lpstr>
      <vt:lpstr>BlankLb</vt:lpstr>
      <vt:lpstr>BlankLen</vt:lpstr>
      <vt:lpstr>BlankVol</vt:lpstr>
      <vt:lpstr>CapGood</vt:lpstr>
      <vt:lpstr>CapMinus</vt:lpstr>
      <vt:lpstr>CapNeeds</vt:lpstr>
      <vt:lpstr>CapQty</vt:lpstr>
      <vt:lpstr>CapRun</vt:lpstr>
      <vt:lpstr>CapStarted</vt:lpstr>
      <vt:lpstr>CapToStart</vt:lpstr>
      <vt:lpstr>CapVerdict</vt:lpstr>
      <vt:lpstr>CoAddress1</vt:lpstr>
      <vt:lpstr>CoAddress2</vt:lpstr>
      <vt:lpstr>CoEmail</vt:lpstr>
      <vt:lpstr>CoName</vt:lpstr>
      <vt:lpstr>ConCycle</vt:lpstr>
      <vt:lpstr>ConOp</vt:lpstr>
      <vt:lpstr>ConSetup</vt:lpstr>
      <vt:lpstr>Contact</vt:lpstr>
      <vt:lpstr>CoPhone</vt:lpstr>
      <vt:lpstr>Currency</vt:lpstr>
      <vt:lpstr>Customer</vt:lpstr>
      <vt:lpstr>CycleMin</vt:lpstr>
      <vt:lpstr>DelTerms</vt:lpstr>
      <vt:lpstr>Density</vt:lpstr>
      <vt:lpstr>DiaW</vt:lpstr>
      <vt:lpstr>DimUnit</vt:lpstr>
      <vt:lpstr>FPY</vt:lpstr>
      <vt:lpstr>HoursPerDay</vt:lpstr>
      <vt:lpstr>Margin</vt:lpstr>
      <vt:lpstr>MatCheck</vt:lpstr>
      <vt:lpstr>MatCost</vt:lpstr>
      <vt:lpstr>Material</vt:lpstr>
      <vt:lpstr>MatLead</vt:lpstr>
      <vt:lpstr>MatMarkup</vt:lpstr>
      <vt:lpstr>OpenHours</vt:lpstr>
      <vt:lpstr>OspDays</vt:lpstr>
      <vt:lpstr>OspMarkup</vt:lpstr>
      <vt:lpstr>Overhead</vt:lpstr>
      <vt:lpstr>PartDesc</vt:lpstr>
      <vt:lpstr>PartNo</vt:lpstr>
      <vt:lpstr>PartRev</vt:lpstr>
      <vt:lpstr>PayTerms</vt:lpstr>
      <vt:lpstr>PreparedBy</vt:lpstr>
      <vt:lpstr>PriceKg</vt:lpstr>
      <vt:lpstr>Method!Print_Area</vt:lpstr>
      <vt:lpstr>'Quote Builder'!Print_Area</vt:lpstr>
      <vt:lpstr>Quote!Print_Area</vt:lpstr>
      <vt:lpstr>Setup!Print_Area</vt:lpstr>
      <vt:lpstr>'Start Here'!Print_Area</vt:lpstr>
      <vt:lpstr>Verify!Print_Area</vt:lpstr>
      <vt:lpstr>Method!Print_Titles</vt:lpstr>
      <vt:lpstr>QueueShip</vt:lpstr>
      <vt:lpstr>QuoteDate</vt:lpstr>
      <vt:lpstr>QuoteNo</vt:lpstr>
      <vt:lpstr>RFQRef</vt:lpstr>
      <vt:lpstr>RoundStep</vt:lpstr>
      <vt:lpstr>RunCost</vt:lpstr>
      <vt:lpstr>SelfCheck</vt:lpstr>
      <vt:lpstr>SelfCheckSummary</vt:lpstr>
      <vt:lpstr>SetupCost</vt:lpstr>
      <vt:lpstr>SetupHours</vt:lpstr>
      <vt:lpstr>Shape</vt:lpstr>
      <vt:lpstr>Terms</vt:lpstr>
      <vt:lpstr>Thick</vt:lpstr>
      <vt:lpstr>ToolingAmort</vt:lpstr>
      <vt:lpstr>Uptime</vt:lpstr>
      <vt:lpstr>Validity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Job Shop Quote - free Excel template from MFG Calcs</dc:title>
  <dc:subject>Turn an RFQ into a priced, customer-ready quote with quantity breaks, lead times and a capacity check.</dc:subject>
  <dc:creator>MFG Calcs</dc:creator>
  <cp:keywords>job shop quote, machining quote, RFQ, quantity breaks, routing, estimating, CNC, price build-up</cp:keywords>
  <dc:description>https://www.mfgcalcs.com/templates/job-shop-quote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job-shop-quote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https://www.mfgcalcs.com/templates/job-shop-quote</vt:lpwstr>
  </property>
  <property fmtid="{D5CDD505-2E9C-101B-9397-08002B2CF9AE}" pid="7" name="Template sheet roles">
    <vt:lpwstr>Start Here=start;Setup=setup;Quote Builder=form;Quote=output;Method=method;Verify=verify</vt:lpwstr>
  </property>
</Properties>
</file>