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rojects" sheetId="3" r:id="rId3"/>
    <sheet name="Dashboard" sheetId="4" r:id="rId4"/>
    <sheet name="Method" sheetId="5" r:id="rId5"/>
    <sheet name="Verify" sheetId="6" r:id="rId6"/>
  </sheets>
  <definedNames>
    <definedName name="Areas">tblAreas[Area]</definedName>
    <definedName name="AsOf">Setup!$C$10</definedName>
    <definedName name="Currency">Setup!$C$7</definedName>
    <definedName name="DueSoonDays">Setup!$C$12</definedName>
    <definedName name="KpiDays">Dashboard!$J$30</definedName>
    <definedName name="KpiDone">Dashboard!$D$7</definedName>
    <definedName name="KpiNet">Dashboard!$B$7</definedName>
    <definedName name="KpiOnTime">Dashboard!$D$30</definedName>
    <definedName name="KpiOpen">Dashboard!$G$7</definedName>
    <definedName name="KpiOverdue">Dashboard!$J$7</definedName>
    <definedName name="KpiPayback">Dashboard!$G$30</definedName>
    <definedName name="KpiVerified">Dashboard!$B$30</definedName>
    <definedName name="PlantName">Setup!$C$6</definedName>
    <definedName name="PlanToDate">Setup!$C$11</definedName>
    <definedName name="_xlnm.Print_Area" localSheetId="3">Dashboard!$A$1:$L$96</definedName>
    <definedName name="_xlnm.Print_Area" localSheetId="4">Method!$A$1:$D$58</definedName>
    <definedName name="_xlnm.Print_Area" localSheetId="2">Projects!$A$1:$W$36</definedName>
    <definedName name="_xlnm.Print_Area" localSheetId="1">Setup!$A$1:$E$36</definedName>
    <definedName name="_xlnm.Print_Area" localSheetId="0">'Start Here'!$A$1:$F$56</definedName>
    <definedName name="_xlnm.Print_Area" localSheetId="5">Verify!$A$1:$W$45</definedName>
    <definedName name="_xlnm.Print_Titles" localSheetId="4">Method!$1:$2</definedName>
    <definedName name="_xlnm.Print_Titles" localSheetId="2">Projects!$1:$6</definedName>
    <definedName name="SavingsPlan">Setup!$C$9</definedName>
    <definedName name="SelfCheck">Verify!$D$4</definedName>
    <definedName name="SelfCheckSummary">Verify!$F$4</definedName>
    <definedName name="TargetOnTime">Setup!$C$13</definedName>
    <definedName name="Types">tblTypes[Type]</definedName>
    <definedName name="YearStart">Setup!$C$8</definedName>
  </definedNames>
  <calcPr calcId="124519" fullCalcOnLoad="1"/>
</workbook>
</file>

<file path=xl/sharedStrings.xml><?xml version="1.0" encoding="utf-8"?>
<sst xmlns="http://schemas.openxmlformats.org/spreadsheetml/2006/main" count="627" uniqueCount="323">
  <si>
    <t>Kaizen Project Tracker</t>
  </si>
  <si>
    <t>Read this first: what the workbook does and how to use it.</t>
  </si>
  <si>
    <t>mfgcalcs.com</t>
  </si>
  <si>
    <t>Keep every kaizen project in one register and see savings against plan, ROI, payback and the open and overdue projects by area, type and PDCA stage.</t>
  </si>
  <si>
    <t>For: Continuous-improvement and lean managers, plant managers, project leads and the finance partners who verify savings.</t>
  </si>
  <si>
    <t>Version 1.0.0  ·  updated 15 October 2026</t>
  </si>
  <si>
    <t>Quick start</t>
  </si>
  <si>
    <t>1.</t>
  </si>
  <si>
    <t>On Setup, type your plant name, currency, the year's savings plan and the status date, then replace the example areas and project types.</t>
  </si>
  <si>
    <t>2.</t>
  </si>
  <si>
    <t>On Projects, add one row per kaizen: area, type, lead, start and target dates, investment and the annual savings it should deliver.</t>
  </si>
  <si>
    <t>3.</t>
  </si>
  <si>
    <t>While a project runs, keep its PDCA stage current; when it is done, type the completed date and, once finance agrees, Verified = Yes.</t>
  </si>
  <si>
    <t>4.</t>
  </si>
  <si>
    <t>Read the Check column: anything other than OK names the problem in words.</t>
  </si>
  <si>
    <t>5.</t>
  </si>
  <si>
    <t>Before each review, set the status date on Setup and open the Dashboard.</t>
  </si>
  <si>
    <t>What is in this workbook</t>
  </si>
  <si>
    <t>Start Here</t>
  </si>
  <si>
    <t>Setup</t>
  </si>
  <si>
    <t>Savings plan, status date, currency and the lists that feed the dropdowns.</t>
  </si>
  <si>
    <t>Projects</t>
  </si>
  <si>
    <t>One row per kaizen project: dates, PDCA stage, investment and annual savings. Net benefit, payback, ROI and status are calculated.</t>
  </si>
  <si>
    <t>Dashboard</t>
  </si>
  <si>
    <t>Savings of completed projects against the plan, and the open and overdue projects by area, type and PDCA stage.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</si>
  <si>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</si>
  <si>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</si>
  <si>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</si>
  <si>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</si>
  <si>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</si>
  <si>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</si>
  <si>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</si>
  <si>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</si>
  <si>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</si>
  <si>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</si>
  <si>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</si>
  <si>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</si>
  <si>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</si>
  <si>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</si>
  <si>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</si>
  <si>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</si>
  <si>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</si>
  <si>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</si>
  <si>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</si>
  <si>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</si>
  <si>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Manufacturing ROI Calculator on mfgcalcs.com</t>
  </si>
  <si>
    <t>Latest version</t>
  </si>
  <si>
    <t>mfgcalcs.com/templates/kaizen-tracker</t>
  </si>
  <si>
    <t>More free templates</t>
  </si>
  <si>
    <t>mfgcalcs.com/templates</t>
  </si>
  <si>
    <t>Version</t>
  </si>
  <si>
    <t>1.0.0 (updated 15 October 2026)</t>
  </si>
  <si>
    <t>About the example data</t>
  </si>
  <si>
    <t>Every number already in this workbook is example data for Halvorsen Pumps, a fictional business invented for this template, so the dashboard and charts show something meaningful on day one. It covers 30 improvement projects at a pump manufacturer started between December 2025 and September 2026, with status as of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</si>
  <si>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</si>
  <si>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</si>
  <si>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</si>
  <si>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</si>
  <si>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</si>
  <si>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</si>
  <si>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</si>
  <si>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</si>
  <si>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Area</t>
  </si>
  <si>
    <t>Owner</t>
  </si>
  <si>
    <t>Description</t>
  </si>
  <si>
    <t>Type</t>
  </si>
  <si>
    <t>Plant, plan and status date</t>
  </si>
  <si>
    <t>Plant or company name</t>
  </si>
  <si>
    <t>Halvorsen Pumps (example)</t>
  </si>
  <si>
    <t>Currency label</t>
  </si>
  <si>
    <t>CAD</t>
  </si>
  <si>
    <t>Savings year starts</t>
  </si>
  <si>
    <t>Savings plan for the year</t>
  </si>
  <si>
    <t>Status date</t>
  </si>
  <si>
    <t>Plan to the status date</t>
  </si>
  <si>
    <t>Due soon window</t>
  </si>
  <si>
    <t>days</t>
  </si>
  <si>
    <t>Completed on time target</t>
  </si>
  <si>
    <t>The plan to date is the year's plan x the share of the year elapsed at the status date (straight line). Savings are annual run rates of completed projects, net of any added running cost; see Method.</t>
  </si>
  <si>
    <t>Lists that feed the dropdowns</t>
  </si>
  <si>
    <t>Areas</t>
  </si>
  <si>
    <t>Machining</t>
  </si>
  <si>
    <t>E. Lindgren</t>
  </si>
  <si>
    <t>CNC lathes, horizontal machining centres, deburr</t>
  </si>
  <si>
    <t>Assembly</t>
  </si>
  <si>
    <t>D. Mensah</t>
  </si>
  <si>
    <t>Small and large pump assembly lines</t>
  </si>
  <si>
    <t>Test</t>
  </si>
  <si>
    <t>C. Varga</t>
  </si>
  <si>
    <t>Hydro-test and motor test benches</t>
  </si>
  <si>
    <t>Paint</t>
  </si>
  <si>
    <t>F. Ortega</t>
  </si>
  <si>
    <t>Masking, powder booths and cure oven</t>
  </si>
  <si>
    <t>Warehouse</t>
  </si>
  <si>
    <t>H. Bose</t>
  </si>
  <si>
    <t>Receiving, stores, packing and shipping</t>
  </si>
  <si>
    <t>Office</t>
  </si>
  <si>
    <t>G. Laurent</t>
  </si>
  <si>
    <t>Order entry, purchasing and engineering release</t>
  </si>
  <si>
    <t>Project types</t>
  </si>
  <si>
    <t>Keep names unique. Rows that use a renamed area or type stop matching, and their Check column says so.</t>
  </si>
  <si>
    <t>Kaizen event</t>
  </si>
  <si>
    <t>A 3 to 5 day focused team event</t>
  </si>
  <si>
    <t>SMED</t>
  </si>
  <si>
    <t>Changeover time reduction</t>
  </si>
  <si>
    <t>Quality fix</t>
  </si>
  <si>
    <t>Removes a cause of scrap, rework or escapes</t>
  </si>
  <si>
    <t>Energy</t>
  </si>
  <si>
    <t>Cuts electricity, gas or compressed air use</t>
  </si>
  <si>
    <t>5S</t>
  </si>
  <si>
    <t>Workplace organisation</t>
  </si>
  <si>
    <t>Just-do-it</t>
  </si>
  <si>
    <t>A small fix done by the team in days</t>
  </si>
  <si>
    <t>ID</t>
  </si>
  <si>
    <t>Project</t>
  </si>
  <si>
    <t>Lead</t>
  </si>
  <si>
    <t>Start</t>
  </si>
  <si>
    <t>Target date</t>
  </si>
  <si>
    <t>Completed</t>
  </si>
  <si>
    <t>PDCA stage</t>
  </si>
  <si>
    <t>Investment</t>
  </si>
  <si>
    <t>Labor savings</t>
  </si>
  <si>
    <t>Scrap and material savings</t>
  </si>
  <si>
    <t>Other savings</t>
  </si>
  <si>
    <t>Added running cost</t>
  </si>
  <si>
    <t>Verified</t>
  </si>
  <si>
    <t>Net annual benefit</t>
  </si>
  <si>
    <t>Payback</t>
  </si>
  <si>
    <t>Annual ROI</t>
  </si>
  <si>
    <t>Status</t>
  </si>
  <si>
    <t>On time</t>
  </si>
  <si>
    <t>Days open</t>
  </si>
  <si>
    <t>Check</t>
  </si>
  <si>
    <t>Example data for Halvorsen Pumps (fictional; savings and costs are invented examples). Replace it with your own: select the example rows, right-click, Delete &gt; Table Rows. Savings are annual run rates; status is measured to the status date on Setup.</t>
  </si>
  <si>
    <t>months</t>
  </si>
  <si>
    <t>KZ-001</t>
  </si>
  <si>
    <t>Kanban for packaging materials</t>
  </si>
  <si>
    <t>Yes</t>
  </si>
  <si>
    <t>KZ-002</t>
  </si>
  <si>
    <t>Shadow boards for lathe tooling</t>
  </si>
  <si>
    <t>No</t>
  </si>
  <si>
    <t>KZ-003</t>
  </si>
  <si>
    <t>Re-slotting the pick path</t>
  </si>
  <si>
    <t>S. Tanaka</t>
  </si>
  <si>
    <t>KZ-004</t>
  </si>
  <si>
    <t>Torque tool error-proofing</t>
  </si>
  <si>
    <t>KZ-005</t>
  </si>
  <si>
    <t>Casting inspection at receipt</t>
  </si>
  <si>
    <t>KZ-006</t>
  </si>
  <si>
    <t>Coolant concentration check at start of shift</t>
  </si>
  <si>
    <t>KZ-007</t>
  </si>
  <si>
    <t>Paint rack redesign</t>
  </si>
  <si>
    <t>KZ-008</t>
  </si>
  <si>
    <t>5S in the deburr cell</t>
  </si>
  <si>
    <t>KZ-009</t>
  </si>
  <si>
    <t>Order entry error reduction</t>
  </si>
  <si>
    <t>KZ-010</t>
  </si>
  <si>
    <t>Assembly bench height standard</t>
  </si>
  <si>
    <t>KZ-011</t>
  </si>
  <si>
    <t>Cure oven load pattern standard</t>
  </si>
  <si>
    <t>KZ-012</t>
  </si>
  <si>
    <t>Automatic capture of test results</t>
  </si>
  <si>
    <t>Act</t>
  </si>
  <si>
    <t>KZ-013</t>
  </si>
  <si>
    <t>Hydro-test fixture changeover</t>
  </si>
  <si>
    <t>KZ-014</t>
  </si>
  <si>
    <t>Pre-kitted seal kits for pump assembly</t>
  </si>
  <si>
    <t>KZ-015</t>
  </si>
  <si>
    <t>Impeller balancing rework loop</t>
  </si>
  <si>
    <t>KZ-016</t>
  </si>
  <si>
    <t>Spindle warm-up program change</t>
  </si>
  <si>
    <t>KZ-017</t>
  </si>
  <si>
    <t>Engineering change release flow</t>
  </si>
  <si>
    <t>KZ-018</t>
  </si>
  <si>
    <t>Powder reclaim on booth 2</t>
  </si>
  <si>
    <t>KZ-019</t>
  </si>
  <si>
    <t>Compressed air leak survey and fixes</t>
  </si>
  <si>
    <t>KZ-020</t>
  </si>
  <si>
    <t>Fewer purchase order approval steps</t>
  </si>
  <si>
    <t>KZ-021</t>
  </si>
  <si>
    <t>Line-side supermarket for fasteners</t>
  </si>
  <si>
    <t>KZ-022</t>
  </si>
  <si>
    <t>Shorter motor test cycle</t>
  </si>
  <si>
    <t>KZ-023</t>
  </si>
  <si>
    <t>Returnable crates with the casting supplier</t>
  </si>
  <si>
    <t>KZ-024</t>
  </si>
  <si>
    <t>Leak detection upgrade on bench 3</t>
  </si>
  <si>
    <t>KZ-025</t>
  </si>
  <si>
    <t>Dock door scheduling board</t>
  </si>
  <si>
    <t>KZ-026</t>
  </si>
  <si>
    <t>Changeover cart for the press-fit station</t>
  </si>
  <si>
    <t>KZ-027</t>
  </si>
  <si>
    <t>One-piece flow on the small-pump line</t>
  </si>
  <si>
    <t>KZ-028</t>
  </si>
  <si>
    <t>Reusable masking plugs</t>
  </si>
  <si>
    <t>KZ-029</t>
  </si>
  <si>
    <t>Quick-change fixtures on HMC-2</t>
  </si>
  <si>
    <t>Do</t>
  </si>
  <si>
    <t>KZ-030</t>
  </si>
  <si>
    <t>LED lighting in the paint booths</t>
  </si>
  <si>
    <t>PROJECTS COMPLETED THIS YEAR</t>
  </si>
  <si>
    <t>OPEN PROJECTS</t>
  </si>
  <si>
    <t>OVERDUE PROJECTS</t>
  </si>
  <si>
    <t>Year start to status date</t>
  </si>
  <si>
    <t>Not yet completed at the status date</t>
  </si>
  <si>
    <t>Open past their target date</t>
  </si>
  <si>
    <t>SAVINGS VERIFIED BY FINANCE</t>
  </si>
  <si>
    <t>COMPLETED ON TIME</t>
  </si>
  <si>
    <t>PAYBACK OF THIS YEAR'S PROJECTS</t>
  </si>
  <si>
    <t>AVERAGE DAYS TO COMPLETE</t>
  </si>
  <si>
    <t>Share of this year's net savings</t>
  </si>
  <si>
    <t>Months: investment / net savings x 12</t>
  </si>
  <si>
    <t>Start to completion, this year</t>
  </si>
  <si>
    <t>By area (savings and investment of projects completed this year; open projects as of the status date)</t>
  </si>
  <si>
    <t>Completed this year</t>
  </si>
  <si>
    <t>Open, on schedule</t>
  </si>
  <si>
    <t>Overdue</t>
  </si>
  <si>
    <t>Net savings</t>
  </si>
  <si>
    <t>Payback (months)</t>
  </si>
  <si>
    <t>By type (projects completed this year)</t>
  </si>
  <si>
    <t>Verified savings</t>
  </si>
  <si>
    <t>Not yet verified</t>
  </si>
  <si>
    <t>Open projects by PDCA stage</t>
  </si>
  <si>
    <t>Savings expected</t>
  </si>
  <si>
    <t>Plan</t>
  </si>
  <si>
    <t>By month of the savings year</t>
  </si>
  <si>
    <t>Month completed</t>
  </si>
  <si>
    <t>Cumulative</t>
  </si>
  <si>
    <t>Plan (cumulative)</t>
  </si>
  <si>
    <t>The Dashboard shows the 6 areas and 6 project types of the Setup lists and the 12 months from the year start. If you add areas or types, extend the 'By area' and 'By type' blocks (see Method) or they will not appear here.</t>
  </si>
  <si>
    <t>What this workbook calculates</t>
  </si>
  <si>
    <t>Each kaizen project is one row with its dates and its money. Savings are annual run rates: what the change saves in a full year once it is in place, net of any cost it adds. A project counts toward the year's savings when its completed date falls between the year start and the status date, so the headline compares the run rate delivered so far with the plan pro-rated to the same date. Money is in the currency label on Setup; no exchange rate is applied.</t>
  </si>
  <si>
    <t>Calculations</t>
  </si>
  <si>
    <t>Quantity</t>
  </si>
  <si>
    <t>How it is calculated</t>
  </si>
  <si>
    <t>Units</t>
  </si>
  <si>
    <t>Labor savings + scrap and material savings + other savings - added running cost.
Excel: =[@[Labor savings]]+[@[Scrap and material savings]]+[@[Other savings]]-[@[Added running cost]]</t>
  </si>
  <si>
    <t>currency/yr</t>
  </si>
  <si>
    <t>Investment / net annual benefit x 12; 0 for a project with no investment; blank when the net benefit is zero or negative (it never pays back).</t>
  </si>
  <si>
    <t>Net annual benefit / investment; blank with no investment.</t>
  </si>
  <si>
    <t>%</t>
  </si>
  <si>
    <t>Complete when a completed date is typed; Overdue when open past the target date; Due soon when due within the window on Setup; otherwise In progress.</t>
  </si>
  <si>
    <t>-</t>
  </si>
  <si>
    <t>Yes when completed on or before the target date. The KPI is on-time completions / completions this year.</t>
  </si>
  <si>
    <t>Completed - start; for an open project, status date - start.</t>
  </si>
  <si>
    <t>Plan to date</t>
  </si>
  <si>
    <t>Savings plan x (status date - year start + 1) / days in the savings year, capped at 100%.</t>
  </si>
  <si>
    <t>Net annual savings, completed this year</t>
  </si>
  <si>
    <t>Sum of the net annual benefit of projects completed from the year start to the status date.</t>
  </si>
  <si>
    <t>Savings verified</t>
  </si>
  <si>
    <t>Net annual benefit of this year's completed projects marked Verified = Yes / all of it.</t>
  </si>
  <si>
    <t>Portfolio payback</t>
  </si>
  <si>
    <t>Investment of this year's completed projects / their net annual benefit x 12.</t>
  </si>
  <si>
    <t>Monthly and cumulative</t>
  </si>
  <si>
    <t>Net annual benefit of projects completed in each month, and the running total to the end of each month up to the status date; plan line = plan x month number / 12.</t>
  </si>
  <si>
    <t>Assumptions</t>
  </si>
  <si>
    <t>Savings are typed as annual run rates estimated by the project team; the Verified column records when finance has confirmed them.</t>
  </si>
  <si>
    <t>A completed project delivers its full run rate from its completed date; the workbook does not phase savings in.</t>
  </si>
  <si>
    <t>Labor savings are only real if the hours are redeployed or removed; record them the way your finance team agrees to count them.</t>
  </si>
  <si>
    <t>Investment is the one-off cost you choose to count; team hours are included only if you cost them.</t>
  </si>
  <si>
    <t>Limitations</t>
  </si>
  <si>
    <t>The savings this year are annual run rates of completed projects, not the cash saved to date; a project completed in October saves only part of its run rate in the same calendar year.</t>
  </si>
  <si>
    <t>The Dashboard has fixed blocks for six areas, six types and twelve months; longer lists need the blocks extended (a warning appears on the Dashboard).</t>
  </si>
  <si>
    <t>Payback and ROI are simple (undiscounted). For a large investment use the Capex NPV and IRR template.</t>
  </si>
  <si>
    <t>The Verify sheet tests the formulas as built; it cannot see later edits to them.</t>
  </si>
  <si>
    <t>Agreement with the live calculator</t>
  </si>
  <si>
    <t>For one project, this workbook and the live Manufacturing ROI calculator compute the same money: net annual benefit = savings - added annual cost, annual ROI = net / investment, payback = investment / net (the calculator in years, this workbook in months). The calculator's energy savings and throughput benefit together are this workbook's other savings, and its added maintenance is the added running cost. The reference implementation is checked against the calculator's engine for the calculator's own example (85,000 investment, 42,000 labor, 12,000 scrap, 3,500 energy and 18,000 throughput savings, 6,500 added maintenance: ROI 81.2%, payback 1.23 years = 14.8 months).</t>
  </si>
  <si>
    <t>Open the Manufacturing ROI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</si>
  <si>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</si>
  <si>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</si>
  <si>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Imai, M., Kaizen: The Key to Japan's Competitive Success, McGraw-Hill, 1986 (kaizen as continuous small-step improvement).</t>
  </si>
  <si>
    <t>Deming, W. E., Out of the Crisis, MIT Press, 1986 (the Plan-Do-Check-Act cycle; Deming called it Plan-Do-Study-Act later).</t>
  </si>
  <si>
    <t>MFG Calcs Manufacturing ROI calculator (manufacturing-roi): net annual benefit, annual ROI and payback for one project.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</si>
  <si>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</si>
  <si>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</si>
  <si>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</si>
  <si>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</si>
  <si>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</si>
  <si>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</si>
  <si>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</si>
  <si>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</si>
  <si>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</si>
  <si>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</si>
  <si>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</si>
  <si>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</si>
  <si>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</si>
  <si>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</si>
  <si>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</si>
  <si>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</si>
  <si>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Project 1 (calculator example): net annual benefit</t>
  </si>
  <si>
    <t>Project 1 (calculator example): payback (months)</t>
  </si>
  <si>
    <t>Project 1 (calculator example): annual ROI</t>
  </si>
  <si>
    <t>Project 1: completed on time</t>
  </si>
  <si>
    <t>exact</t>
  </si>
  <si>
    <t>Project 2 (no investment): payback 0 months</t>
  </si>
  <si>
    <t>Project 2: completed late</t>
  </si>
  <si>
    <t>Project 2: days open</t>
  </si>
  <si>
    <t>Project 3: status overdue</t>
  </si>
  <si>
    <t>Project 3: days open to the status date</t>
  </si>
  <si>
    <t>Project 4: status due soon</t>
  </si>
  <si>
    <t>Due soon</t>
  </si>
  <si>
    <t>Project 4: net benefit negative</t>
  </si>
  <si>
    <t>Project 6: Check names completed before start</t>
  </si>
  <si>
    <t>Completed before start</t>
  </si>
  <si>
    <t>Net savings completed this year (Dashboard formula)</t>
  </si>
  <si>
    <t>Projects completed this year (Dashboard formula)</t>
  </si>
  <si>
    <t>Overdue projects (Dashboard formula)</t>
  </si>
  <si>
    <t>Savings verified (Dashboard formula)</t>
  </si>
  <si>
    <t>Portfolio payback (Dashboard formula)</t>
  </si>
  <si>
    <t>Fixed test inputs</t>
  </si>
  <si>
    <t>White cells are fixed test inputs; blue cells are the workbook's formulas evaluated on them.</t>
  </si>
  <si>
    <t>Parameters</t>
  </si>
  <si>
    <t>Due soon window (days)</t>
  </si>
  <si>
    <t>Test table: Projects</t>
  </si>
  <si>
    <t>T-1</t>
  </si>
  <si>
    <t>A</t>
  </si>
  <si>
    <t>T</t>
  </si>
  <si>
    <t>L</t>
  </si>
  <si>
    <t>T-2</t>
  </si>
  <si>
    <t>T-3</t>
  </si>
  <si>
    <t>T-4</t>
  </si>
  <si>
    <t>T-5</t>
  </si>
  <si>
    <t>T-6</t>
  </si>
</sst>
</file>

<file path=xl/styles.xml><?xml version="1.0" encoding="utf-8"?>
<styleSheet xmlns="http://schemas.openxmlformats.org/spreadsheetml/2006/main">
  <numFmts count="10">
    <numFmt numFmtId="164" formatCode="d mmm yyyy"/>
    <numFmt numFmtId="165" formatCode="#,##0.00"/>
    <numFmt numFmtId="166" formatCode="#,##0"/>
    <numFmt numFmtId="167" formatCode="0.0%"/>
    <numFmt numFmtId="168" formatCode="#,##0.0"/>
    <numFmt numFmtId="169" formatCode="0%"/>
    <numFmt numFmtId="170" formatCode="&quot;Plan to date &quot;#,##0"/>
    <numFmt numFmtId="171" formatCode="&quot;Target &quot;0.0%"/>
    <numFmt numFmtId="172" formatCode="mmm yyyy"/>
    <numFmt numFmtId="173"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9" fillId="4" borderId="3" xfId="0" applyNumberFormat="1" applyFont="1" applyFill="1" applyBorder="1" applyAlignment="1">
      <alignment vertical="center"/>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6"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167"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0" fontId="10" fillId="4" borderId="3" xfId="0" applyFont="1" applyFill="1" applyBorder="1" applyAlignment="1">
      <alignment vertical="center"/>
    </xf>
    <xf numFmtId="172" fontId="9" fillId="0" borderId="9" xfId="0" applyNumberFormat="1" applyFont="1" applyBorder="1" applyAlignment="1">
      <alignment vertical="center"/>
    </xf>
    <xf numFmtId="166"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5" fontId="10" fillId="0" borderId="9" xfId="0" applyNumberFormat="1" applyFont="1" applyBorder="1" applyAlignment="1">
      <alignment vertical="center"/>
    </xf>
    <xf numFmtId="165" fontId="10" fillId="4" borderId="3" xfId="0" applyNumberFormat="1" applyFont="1" applyFill="1" applyBorder="1" applyAlignment="1">
      <alignment vertical="center"/>
    </xf>
    <xf numFmtId="167" fontId="10" fillId="0" borderId="9" xfId="0" applyNumberFormat="1" applyFont="1" applyBorder="1" applyAlignment="1">
      <alignment vertical="center"/>
    </xf>
    <xf numFmtId="167" fontId="10" fillId="4" borderId="3" xfId="0" applyNumberFormat="1" applyFont="1" applyFill="1" applyBorder="1" applyAlignment="1">
      <alignment vertical="center"/>
    </xf>
    <xf numFmtId="168" fontId="10" fillId="0" borderId="9" xfId="0" applyNumberFormat="1" applyFont="1" applyBorder="1" applyAlignment="1">
      <alignment vertical="center"/>
    </xf>
    <xf numFmtId="164"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Net annual savings completed, cumulative vs plan</a:t>
            </a:r>
          </a:p>
        </c:rich>
      </c:tx>
      <c:layout/>
    </c:title>
    <c:plotArea>
      <c:layout/>
      <c:barChart>
        <c:barDir val="col"/>
        <c:grouping val="clustered"/>
        <c:ser>
          <c:idx val="0"/>
          <c:order val="0"/>
          <c:tx>
            <c:v>Completed in month</c:v>
          </c:tx>
          <c:spPr>
            <a:solidFill>
              <a:srgbClr val="3B64D8"/>
            </a:solidFill>
            <a:ln w="9525">
              <a:solidFill>
                <a:srgbClr val="FFFFFF"/>
              </a:solidFill>
            </a:ln>
          </c:spPr>
          <c:cat>
            <c:numRef>
              <c:f>Dashboard!$B$82:$B$93</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Dashboard!$D$82:$D$93</c:f>
              <c:numCache>
                <c:formatCode>General</c:formatCode>
                <c:ptCount val="12"/>
                <c:pt idx="0">
                  <c:v>58000</c:v>
                </c:pt>
                <c:pt idx="1">
                  <c:v>58000</c:v>
                </c:pt>
                <c:pt idx="2">
                  <c:v>48500</c:v>
                </c:pt>
                <c:pt idx="3">
                  <c:v>38500</c:v>
                </c:pt>
                <c:pt idx="4">
                  <c:v>162500</c:v>
                </c:pt>
                <c:pt idx="5">
                  <c:v>14500</c:v>
                </c:pt>
                <c:pt idx="6">
                  <c:v>91500</c:v>
                </c:pt>
                <c:pt idx="7">
                  <c:v>4500</c:v>
                </c:pt>
                <c:pt idx="8">
                  <c:v>62000</c:v>
                </c:pt>
                <c:pt idx="9">
                  <c:v>0</c:v>
                </c:pt>
                <c:pt idx="10">
                  <c:v>0</c:v>
                </c:pt>
                <c:pt idx="11">
                  <c:v>0</c:v>
                </c:pt>
              </c:numCache>
            </c:numRef>
          </c:val>
        </c:ser>
        <c:gapWidth val="60"/>
        <c:overlap val="-10"/>
        <c:axId val="50010001"/>
        <c:axId val="50010002"/>
      </c:barChart>
      <c:lineChart>
        <c:grouping val="standard"/>
        <c:ser>
          <c:idx val="1"/>
          <c:order val="1"/>
          <c:tx>
            <c:v>Cumulative</c:v>
          </c:tx>
          <c:spPr>
            <a:ln w="28575">
              <a:solidFill>
                <a:srgbClr val="E8702A"/>
              </a:solidFill>
            </a:ln>
          </c:spPr>
          <c:marker>
            <c:symbol val="circle"/>
            <c:size val="5"/>
            <c:spPr>
              <a:solidFill>
                <a:srgbClr val="E8702A"/>
              </a:solidFill>
              <a:ln>
                <a:solidFill>
                  <a:srgbClr val="E8702A"/>
                </a:solidFill>
              </a:ln>
            </c:spPr>
          </c:marker>
          <c:cat>
            <c:numRef>
              <c:f>Dashboard!$B$82:$B$93</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Dashboard!$F$82:$F$93</c:f>
              <c:numCache>
                <c:formatCode>General</c:formatCode>
                <c:ptCount val="12"/>
                <c:pt idx="0">
                  <c:v>58000</c:v>
                </c:pt>
                <c:pt idx="1">
                  <c:v>116000</c:v>
                </c:pt>
                <c:pt idx="2">
                  <c:v>164500</c:v>
                </c:pt>
                <c:pt idx="3">
                  <c:v>203000</c:v>
                </c:pt>
                <c:pt idx="4">
                  <c:v>365500</c:v>
                </c:pt>
                <c:pt idx="5">
                  <c:v>380000</c:v>
                </c:pt>
                <c:pt idx="6">
                  <c:v>471500</c:v>
                </c:pt>
                <c:pt idx="7">
                  <c:v>476000</c:v>
                </c:pt>
                <c:pt idx="8">
                  <c:v>538000</c:v>
                </c:pt>
                <c:pt idx="9">
                  <c:v>538000</c:v>
                </c:pt>
                <c:pt idx="10">
                  <c:v>0</c:v>
                </c:pt>
                <c:pt idx="11">
                  <c:v>0</c:v>
                </c:pt>
              </c:numCache>
            </c:numRef>
          </c:val>
        </c:ser>
        <c:ser>
          <c:idx val="2"/>
          <c:order val="2"/>
          <c:tx>
            <c:v>Plan</c:v>
          </c:tx>
          <c:spPr>
            <a:ln w="19050">
              <a:solidFill>
                <a:srgbClr val="4A5361"/>
              </a:solidFill>
              <a:prstDash val="dash"/>
            </a:ln>
          </c:spPr>
          <c:marker>
            <c:symbol val="none"/>
          </c:marker>
          <c:cat>
            <c:numRef>
              <c:f>Dashboard!$B$82:$B$93</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Dashboard!$G$82:$G$93</c:f>
              <c:numCache>
                <c:formatCode>General</c:formatCode>
                <c:ptCount val="12"/>
                <c:pt idx="0">
                  <c:v>60000</c:v>
                </c:pt>
                <c:pt idx="1">
                  <c:v>120000</c:v>
                </c:pt>
                <c:pt idx="2">
                  <c:v>180000</c:v>
                </c:pt>
                <c:pt idx="3">
                  <c:v>240000</c:v>
                </c:pt>
                <c:pt idx="4">
                  <c:v>300000</c:v>
                </c:pt>
                <c:pt idx="5">
                  <c:v>360000</c:v>
                </c:pt>
                <c:pt idx="6">
                  <c:v>420000</c:v>
                </c:pt>
                <c:pt idx="7">
                  <c:v>480000</c:v>
                </c:pt>
                <c:pt idx="8">
                  <c:v>540000</c:v>
                </c:pt>
                <c:pt idx="9">
                  <c:v>600000</c:v>
                </c:pt>
                <c:pt idx="10">
                  <c:v>660000</c:v>
                </c:pt>
                <c:pt idx="11">
                  <c:v>720000</c:v>
                </c:pt>
              </c:numCache>
            </c:numRef>
          </c:val>
        </c:ser>
        <c:marker val="1"/>
        <c:axId val="50010001"/>
        <c:axId val="50010002"/>
      </c:line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Projects by area and status</a:t>
            </a:r>
          </a:p>
        </c:rich>
      </c:tx>
      <c:layout/>
    </c:title>
    <c:plotArea>
      <c:layout/>
      <c:barChart>
        <c:barDir val="col"/>
        <c:grouping val="stacked"/>
        <c:ser>
          <c:idx val="0"/>
          <c:order val="0"/>
          <c:tx>
            <c:v>Completed this year</c:v>
          </c:tx>
          <c:spPr>
            <a:solidFill>
              <a:srgbClr val="3B64D8"/>
            </a:solidFill>
            <a:ln w="9525">
              <a:solidFill>
                <a:srgbClr val="FFFFFF"/>
              </a:solidFill>
            </a:ln>
          </c:spPr>
          <c:cat>
            <c:strRef>
              <c:f>Dashboard!$B$54:$B$59</c:f>
              <c:strCache>
                <c:ptCount val="6"/>
                <c:pt idx="0">
                  <c:v>Machining</c:v>
                </c:pt>
                <c:pt idx="1">
                  <c:v>Assembly</c:v>
                </c:pt>
                <c:pt idx="2">
                  <c:v>Test</c:v>
                </c:pt>
                <c:pt idx="3">
                  <c:v>Paint</c:v>
                </c:pt>
                <c:pt idx="4">
                  <c:v>Warehouse</c:v>
                </c:pt>
                <c:pt idx="5">
                  <c:v>Office</c:v>
                </c:pt>
              </c:strCache>
            </c:strRef>
          </c:cat>
          <c:val>
            <c:numRef>
              <c:f>Dashboard!$C$54:$C$59</c:f>
              <c:numCache>
                <c:formatCode>General</c:formatCode>
                <c:ptCount val="6"/>
                <c:pt idx="0">
                  <c:v>6</c:v>
                </c:pt>
                <c:pt idx="1">
                  <c:v>5</c:v>
                </c:pt>
                <c:pt idx="2">
                  <c:v>2</c:v>
                </c:pt>
                <c:pt idx="3">
                  <c:v>3</c:v>
                </c:pt>
                <c:pt idx="4">
                  <c:v>5</c:v>
                </c:pt>
                <c:pt idx="5">
                  <c:v>3</c:v>
                </c:pt>
              </c:numCache>
            </c:numRef>
          </c:val>
        </c:ser>
        <c:ser>
          <c:idx val="1"/>
          <c:order val="1"/>
          <c:tx>
            <c:v>Open, on schedule</c:v>
          </c:tx>
          <c:spPr>
            <a:solidFill>
              <a:srgbClr val="E8702A"/>
            </a:solidFill>
            <a:ln w="9525">
              <a:solidFill>
                <a:srgbClr val="FFFFFF"/>
              </a:solidFill>
            </a:ln>
          </c:spPr>
          <c:cat>
            <c:strRef>
              <c:f>Dashboard!$B$54:$B$59</c:f>
              <c:strCache>
                <c:ptCount val="6"/>
                <c:pt idx="0">
                  <c:v>Machining</c:v>
                </c:pt>
                <c:pt idx="1">
                  <c:v>Assembly</c:v>
                </c:pt>
                <c:pt idx="2">
                  <c:v>Test</c:v>
                </c:pt>
                <c:pt idx="3">
                  <c:v>Paint</c:v>
                </c:pt>
                <c:pt idx="4">
                  <c:v>Warehouse</c:v>
                </c:pt>
                <c:pt idx="5">
                  <c:v>Office</c:v>
                </c:pt>
              </c:strCache>
            </c:strRef>
          </c:cat>
          <c:val>
            <c:numRef>
              <c:f>Dashboard!$D$54:$D$59</c:f>
              <c:numCache>
                <c:formatCode>General</c:formatCode>
                <c:ptCount val="6"/>
                <c:pt idx="0">
                  <c:v>1</c:v>
                </c:pt>
                <c:pt idx="1">
                  <c:v>1</c:v>
                </c:pt>
                <c:pt idx="2">
                  <c:v>0</c:v>
                </c:pt>
                <c:pt idx="3">
                  <c:v>1</c:v>
                </c:pt>
                <c:pt idx="4">
                  <c:v>0</c:v>
                </c:pt>
                <c:pt idx="5">
                  <c:v>0</c:v>
                </c:pt>
              </c:numCache>
            </c:numRef>
          </c:val>
        </c:ser>
        <c:ser>
          <c:idx val="2"/>
          <c:order val="2"/>
          <c:tx>
            <c:v>Overdue</c:v>
          </c:tx>
          <c:spPr>
            <a:solidFill>
              <a:srgbClr val="1BA37A"/>
            </a:solidFill>
            <a:ln w="9525">
              <a:solidFill>
                <a:srgbClr val="FFFFFF"/>
              </a:solidFill>
            </a:ln>
          </c:spPr>
          <c:cat>
            <c:strRef>
              <c:f>Dashboard!$B$54:$B$59</c:f>
              <c:strCache>
                <c:ptCount val="6"/>
                <c:pt idx="0">
                  <c:v>Machining</c:v>
                </c:pt>
                <c:pt idx="1">
                  <c:v>Assembly</c:v>
                </c:pt>
                <c:pt idx="2">
                  <c:v>Test</c:v>
                </c:pt>
                <c:pt idx="3">
                  <c:v>Paint</c:v>
                </c:pt>
                <c:pt idx="4">
                  <c:v>Warehouse</c:v>
                </c:pt>
                <c:pt idx="5">
                  <c:v>Office</c:v>
                </c:pt>
              </c:strCache>
            </c:strRef>
          </c:cat>
          <c:val>
            <c:numRef>
              <c:f>Dashboard!$E$54:$E$59</c:f>
              <c:numCache>
                <c:formatCode>General</c:formatCode>
                <c:ptCount val="6"/>
                <c:pt idx="0">
                  <c:v>0</c:v>
                </c:pt>
                <c:pt idx="1">
                  <c:v>0</c:v>
                </c:pt>
                <c:pt idx="2">
                  <c:v>2</c:v>
                </c:pt>
                <c:pt idx="3">
                  <c:v>1</c:v>
                </c:pt>
                <c:pt idx="4">
                  <c:v>0</c:v>
                </c:pt>
                <c:pt idx="5">
                  <c:v>0</c:v>
                </c:pt>
              </c:numCache>
            </c:numRef>
          </c:val>
        </c:ser>
        <c:gapWidth val="60"/>
        <c:overlap val="10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Net annual savings by type (this year)</a:t>
            </a:r>
          </a:p>
        </c:rich>
      </c:tx>
      <c:layout/>
    </c:title>
    <c:plotArea>
      <c:layout/>
      <c:barChart>
        <c:barDir val="bar"/>
        <c:grouping val="stacked"/>
        <c:ser>
          <c:idx val="0"/>
          <c:order val="0"/>
          <c:tx>
            <c:v>Verified</c:v>
          </c:tx>
          <c:spPr>
            <a:solidFill>
              <a:srgbClr val="3B64D8"/>
            </a:solidFill>
            <a:ln w="9525">
              <a:solidFill>
                <a:srgbClr val="FFFFFF"/>
              </a:solidFill>
            </a:ln>
          </c:spPr>
          <c:cat>
            <c:strRef>
              <c:f>Dashboard!$B$64:$B$69</c:f>
              <c:strCache>
                <c:ptCount val="6"/>
                <c:pt idx="0">
                  <c:v>Kaizen event</c:v>
                </c:pt>
                <c:pt idx="1">
                  <c:v>SMED</c:v>
                </c:pt>
                <c:pt idx="2">
                  <c:v>Quality fix</c:v>
                </c:pt>
                <c:pt idx="3">
                  <c:v>Energy</c:v>
                </c:pt>
                <c:pt idx="4">
                  <c:v>5S</c:v>
                </c:pt>
                <c:pt idx="5">
                  <c:v>Just-do-it</c:v>
                </c:pt>
              </c:strCache>
            </c:strRef>
          </c:cat>
          <c:val>
            <c:numRef>
              <c:f>Dashboard!$E$64:$E$69</c:f>
              <c:numCache>
                <c:formatCode>General</c:formatCode>
                <c:ptCount val="6"/>
                <c:pt idx="0">
                  <c:v>198000</c:v>
                </c:pt>
                <c:pt idx="1">
                  <c:v>22000</c:v>
                </c:pt>
                <c:pt idx="2">
                  <c:v>110500</c:v>
                </c:pt>
                <c:pt idx="3">
                  <c:v>18500</c:v>
                </c:pt>
                <c:pt idx="4">
                  <c:v>0</c:v>
                </c:pt>
                <c:pt idx="5">
                  <c:v>4500</c:v>
                </c:pt>
              </c:numCache>
            </c:numRef>
          </c:val>
        </c:ser>
        <c:ser>
          <c:idx val="1"/>
          <c:order val="1"/>
          <c:tx>
            <c:v>Not yet verified</c:v>
          </c:tx>
          <c:spPr>
            <a:solidFill>
              <a:srgbClr val="E8702A"/>
            </a:solidFill>
            <a:ln w="9525">
              <a:solidFill>
                <a:srgbClr val="FFFFFF"/>
              </a:solidFill>
            </a:ln>
          </c:spPr>
          <c:cat>
            <c:strRef>
              <c:f>Dashboard!$B$64:$B$69</c:f>
              <c:strCache>
                <c:ptCount val="6"/>
                <c:pt idx="0">
                  <c:v>Kaizen event</c:v>
                </c:pt>
                <c:pt idx="1">
                  <c:v>SMED</c:v>
                </c:pt>
                <c:pt idx="2">
                  <c:v>Quality fix</c:v>
                </c:pt>
                <c:pt idx="3">
                  <c:v>Energy</c:v>
                </c:pt>
                <c:pt idx="4">
                  <c:v>5S</c:v>
                </c:pt>
                <c:pt idx="5">
                  <c:v>Just-do-it</c:v>
                </c:pt>
              </c:strCache>
            </c:strRef>
          </c:cat>
          <c:val>
            <c:numRef>
              <c:f>Dashboard!$G$64:$G$69</c:f>
              <c:numCache>
                <c:formatCode>General</c:formatCode>
                <c:ptCount val="6"/>
                <c:pt idx="0">
                  <c:v>111000</c:v>
                </c:pt>
                <c:pt idx="1">
                  <c:v>0</c:v>
                </c:pt>
                <c:pt idx="2">
                  <c:v>40000</c:v>
                </c:pt>
                <c:pt idx="3">
                  <c:v>5000</c:v>
                </c:pt>
                <c:pt idx="4">
                  <c:v>12500</c:v>
                </c:pt>
                <c:pt idx="5">
                  <c:v>16000</c:v>
                </c:pt>
              </c:numCache>
            </c:numRef>
          </c:val>
        </c:ser>
        <c:gapWidth val="60"/>
        <c:overlap val="10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Open projects by PDCA stage</a:t>
            </a:r>
          </a:p>
        </c:rich>
      </c:tx>
      <c:layout/>
    </c:title>
    <c:plotArea>
      <c:layout/>
      <c:barChart>
        <c:barDir val="col"/>
        <c:grouping val="stacked"/>
        <c:ser>
          <c:idx val="0"/>
          <c:order val="0"/>
          <c:tx>
            <c:v>Open, on schedule</c:v>
          </c:tx>
          <c:spPr>
            <a:solidFill>
              <a:srgbClr val="3B64D8"/>
            </a:solidFill>
            <a:ln w="9525">
              <a:solidFill>
                <a:srgbClr val="FFFFFF"/>
              </a:solidFill>
            </a:ln>
          </c:spPr>
          <c:cat>
            <c:strRef>
              <c:f>Dashboard!$B$74:$B$77</c:f>
              <c:strCache>
                <c:ptCount val="4"/>
                <c:pt idx="0">
                  <c:v>Plan</c:v>
                </c:pt>
                <c:pt idx="1">
                  <c:v>Do</c:v>
                </c:pt>
                <c:pt idx="2">
                  <c:v>Check</c:v>
                </c:pt>
                <c:pt idx="3">
                  <c:v>Act</c:v>
                </c:pt>
              </c:strCache>
            </c:strRef>
          </c:cat>
          <c:val>
            <c:numRef>
              <c:f>Dashboard!$C$74:$C$77</c:f>
              <c:numCache>
                <c:formatCode>General</c:formatCode>
                <c:ptCount val="4"/>
                <c:pt idx="0">
                  <c:v>0</c:v>
                </c:pt>
                <c:pt idx="1">
                  <c:v>2</c:v>
                </c:pt>
                <c:pt idx="2">
                  <c:v>1</c:v>
                </c:pt>
                <c:pt idx="3">
                  <c:v>0</c:v>
                </c:pt>
              </c:numCache>
            </c:numRef>
          </c:val>
        </c:ser>
        <c:ser>
          <c:idx val="1"/>
          <c:order val="1"/>
          <c:tx>
            <c:v>Overdue</c:v>
          </c:tx>
          <c:spPr>
            <a:solidFill>
              <a:srgbClr val="E8702A"/>
            </a:solidFill>
            <a:ln w="9525">
              <a:solidFill>
                <a:srgbClr val="FFFFFF"/>
              </a:solidFill>
            </a:ln>
          </c:spPr>
          <c:cat>
            <c:strRef>
              <c:f>Dashboard!$B$74:$B$77</c:f>
              <c:strCache>
                <c:ptCount val="4"/>
                <c:pt idx="0">
                  <c:v>Plan</c:v>
                </c:pt>
                <c:pt idx="1">
                  <c:v>Do</c:v>
                </c:pt>
                <c:pt idx="2">
                  <c:v>Check</c:v>
                </c:pt>
                <c:pt idx="3">
                  <c:v>Act</c:v>
                </c:pt>
              </c:strCache>
            </c:strRef>
          </c:cat>
          <c:val>
            <c:numRef>
              <c:f>Dashboard!$D$74:$D$77</c:f>
              <c:numCache>
                <c:formatCode>General</c:formatCode>
                <c:ptCount val="4"/>
                <c:pt idx="0">
                  <c:v>0</c:v>
                </c:pt>
                <c:pt idx="1">
                  <c:v>0</c:v>
                </c:pt>
                <c:pt idx="2">
                  <c:v>0</c:v>
                </c:pt>
                <c:pt idx="3">
                  <c:v>3</c:v>
                </c:pt>
              </c:numCache>
            </c:numRef>
          </c:val>
        </c:ser>
        <c:gapWidth val="60"/>
        <c:overlap val="100"/>
        <c:axId val="50040001"/>
        <c:axId val="50040002"/>
      </c:bar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Columns of the net annual savings of projects completed in each month of the savings year, a line of the cumulative total to the status date, and the straight-line plan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Stacked column chart of the projects in each area: completed this year, open and on schedule, and overdue at the status dat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Stacked bar chart of the net annual savings of projects completed this year by project type, split into savings verified by finance and not yet verifie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Stacked column chart of the open projects at each PDCA stage, split into on schedule and overdue at the status dat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Areas" displayName="tblAreas" ref="B20:D26" totalsRowShown="0">
  <autoFilter ref="B20:D26"/>
  <tableColumns count="3">
    <tableColumn id="1" name="Area"/>
    <tableColumn id="2" name="Owner"/>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Types" displayName="tblTypes" ref="B30:C36" totalsRowShown="0">
  <autoFilter ref="B30:C36"/>
  <tableColumns count="2">
    <tableColumn id="1" name="Type"/>
    <tableColumn id="2" name="Description"/>
  </tableColumns>
  <tableStyleInfo name="TableStyleLight1" showFirstColumn="0" showLastColumn="0" showRowStripes="0" showColumnStripes="0"/>
</table>
</file>

<file path=xl/tables/table3.xml><?xml version="1.0" encoding="utf-8"?>
<table xmlns="http://schemas.openxmlformats.org/spreadsheetml/2006/main" id="3" name="tblProjects" displayName="tblProjects" ref="B6:W36" totalsRowShown="0">
  <autoFilter ref="B6:W36"/>
  <tableColumns count="22">
    <tableColumn id="1" name="ID"/>
    <tableColumn id="2" name="Project"/>
    <tableColumn id="3" name="Area"/>
    <tableColumn id="4" name="Type"/>
    <tableColumn id="5" name="Lead"/>
    <tableColumn id="6" name="Start"/>
    <tableColumn id="7" name="Target date"/>
    <tableColumn id="8" name="Completed"/>
    <tableColumn id="9" name="PDCA stage"/>
    <tableColumn id="10" name="Investment"/>
    <tableColumn id="11" name="Labor savings"/>
    <tableColumn id="12" name="Scrap and material savings"/>
    <tableColumn id="13" name="Other savings"/>
    <tableColumn id="14" name="Added running cost"/>
    <tableColumn id="15" name="Verified"/>
    <tableColumn id="16" name="Net annual benefit">
      <calculatedColumnFormula>IF(tblProjects[[#This Row],[Start]]="","",tblProjects[[#This Row],[Labor savings]]+tblProjects[[#This Row],[Scrap and material savings]]+tblProjects[[#This Row],[Other savings]]-tblProjects[[#This Row],[Added running cost]])</calculatedColumnFormula>
    </tableColumn>
    <tableColumn id="17" name="Payback">
      <calculatedColumnFormula>IF(tblProjects[[#This Row],[Start]]="","",IF(tblProjects[[#This Row],[Net annual benefit]]&lt;=0,"",IF(tblProjects[[#This Row],[Investment]]&gt;0,tblProjects[[#This Row],[Investment]]/tblProjects[[#This Row],[Net annual benefit]]*12,0)))</calculatedColumnFormula>
    </tableColumn>
    <tableColumn id="18" name="Annual ROI">
      <calculatedColumnFormula>IF(tblProjects[[#This Row],[Start]]="","",IF(tblProjects[[#This Row],[Investment]]&gt;0,tblProjects[[#This Row],[Net annual benefit]]/tblProjects[[#This Row],[Investment]],""))</calculatedColumnFormula>
    </tableColumn>
    <tableColumn id="19" name="Status">
      <calculatedColumnFormula>IF(tblProjects[[#This Row],[Start]]="","",IF(tblProjects[[#This Row],[Completed]]&lt;&gt;"","Complete",IF(tblProjects[[#This Row],[Target date]]="","",IF(tblProjects[[#This Row],[Target date]]&lt;AsOf,"Overdue",IF(tblProjects[[#This Row],[Target date]]-AsOf&lt;=DueSoonDays,"Due soon","In progress")))))</calculatedColumnFormula>
    </tableColumn>
    <tableColumn id="20" name="On time">
      <calculatedColumnFormula>IF(tblProjects[[#This Row],[Start]]="","",IF(OR(tblProjects[[#This Row],[Completed]]="",tblProjects[[#This Row],[Target date]]=""),"",IF(tblProjects[[#This Row],[Completed]]&lt;=tblProjects[[#This Row],[Target date]],"Yes","No")))</calculatedColumnFormula>
    </tableColumn>
    <tableColumn id="21" name="Days open">
      <calculatedColumnFormula>IF(tblProjects[[#This Row],[Start]]="","",IF(tblProjects[[#This Row],[Completed]]="",AsOf-tblProjects[[#This Row],[Start]],tblProjects[[#This Row],[Completed]]-tblProjects[[#This Row],[Start]]))</calculatedColumnFormula>
    </tableColumn>
    <tableColumn id="22" name="Check">
      <calculatedColumnFormula>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Projects" displayName="tblVerifyProjects" ref="B39:W45" totalsRowShown="0">
  <tableColumns count="22">
    <tableColumn id="1" name="ID"/>
    <tableColumn id="2" name="Project"/>
    <tableColumn id="3" name="Area"/>
    <tableColumn id="4" name="Type"/>
    <tableColumn id="5" name="Lead"/>
    <tableColumn id="6" name="Start"/>
    <tableColumn id="7" name="Target date"/>
    <tableColumn id="8" name="Completed"/>
    <tableColumn id="9" name="PDCA stage"/>
    <tableColumn id="10" name="Investment"/>
    <tableColumn id="11" name="Labor savings"/>
    <tableColumn id="12" name="Scrap and material savings"/>
    <tableColumn id="13" name="Other savings"/>
    <tableColumn id="14" name="Added running cost"/>
    <tableColumn id="15" name="Verified"/>
    <tableColumn id="16" name="Net annual benefit">
      <calculatedColumnFormula>IF(tblVerifyProjects[[#This Row],[Start]]="","",tblVerifyProjects[[#This Row],[Labor savings]]+tblVerifyProjects[[#This Row],[Scrap and material savings]]+tblVerifyProjects[[#This Row],[Other savings]]-tblVerifyProjects[[#This Row],[Added running cost]])</calculatedColumnFormula>
    </tableColumn>
    <tableColumn id="17" name="Payback">
      <calculatedColumnFormula>IF(tblVerifyProjects[[#This Row],[Start]]="","",IF(tblVerifyProjects[[#This Row],[Net annual benefit]]&lt;=0,"",IF(tblVerifyProjects[[#This Row],[Investment]]&gt;0,tblVerifyProjects[[#This Row],[Investment]]/tblVerifyProjects[[#This Row],[Net annual benefit]]*12,0)))</calculatedColumnFormula>
    </tableColumn>
    <tableColumn id="18" name="Annual ROI">
      <calculatedColumnFormula>IF(tblVerifyProjects[[#This Row],[Start]]="","",IF(tblVerifyProjects[[#This Row],[Investment]]&gt;0,tblVerifyProjects[[#This Row],[Net annual benefit]]/tblVerifyProjects[[#This Row],[Investment]],""))</calculatedColumnFormula>
    </tableColumn>
    <tableColumn id="19" name="Status">
      <calculatedColumnFormula>IF(tblVerifyProjects[[#This Row],[Start]]="","",IF(tblVerifyProjects[[#This Row],[Completed]]&lt;&gt;"","Complete",IF(tblVerifyProjects[[#This Row],[Target date]]="","",IF(tblVerifyProjects[[#This Row],[Target date]]&lt;$E$33,"Overdue",IF(tblVerifyProjects[[#This Row],[Target date]]-$E$33&lt;=$E$35,"Due soon","In progress")))))</calculatedColumnFormula>
    </tableColumn>
    <tableColumn id="20" name="On time">
      <calculatedColumnFormula>IF(tblVerifyProjects[[#This Row],[Start]]="","",IF(OR(tblVerifyProjects[[#This Row],[Completed]]="",tblVerifyProjects[[#This Row],[Target date]]=""),"",IF(tblVerifyProjects[[#This Row],[Completed]]&lt;=tblVerifyProjects[[#This Row],[Target date]],"Yes","No")))</calculatedColumnFormula>
    </tableColumn>
    <tableColumn id="21" name="Days open">
      <calculatedColumnFormula>IF(tblVerifyProjects[[#This Row],[Start]]="","",IF(tblVerifyProjects[[#This Row],[Completed]]="",$E$33-tblVerifyProjects[[#This Row],[Start]],tblVerifyProjects[[#This Row],[Completed]]-tblVerifyProjects[[#This Row],[Start]]))</calculatedColumnFormula>
    </tableColumn>
    <tableColumn id="22" name="Check">
      <calculatedColumnFormula>IF(tblVerifyProjects[[#This Row],[Start]]="","",IF(tblVerifyProjects[[#This Row],[ID]]="","Missing id",IF(tblVerifyProjects[[#This Row],[Area]]="","Missing area",IF(tblVerifyProjects[[#This Row],[Type]]="","Missing type",IF(tblVerifyProjects[[#This Row],[Target date]]="","Missing target date",IF(tblVerifyProjects[[#This Row],[Target date]]&lt;tblVerifyProjects[[#This Row],[Start]],"Target before start",IF(AND(tblVerifyProjects[[#This Row],[Completed]]&lt;&gt;"",tblVerifyProjects[[#This Row],[Completed]]&lt;tblVerifyProjects[[#This Row],[Start]]),"Completed before start",IF(OR(tblVerifyProjects[[#This Row],[Start]]&gt;$E$33,AND(tblVerifyProjects[[#This Row],[Completed]]&lt;&gt;"",tblVerifyProjects[[#This Row],[Completed]]&gt;$E$33)),"Date after the status date",IF(AND(tblVerifyProjects[[#This Row],[Completed]]="",tblVerifyProjects[[#This Row],[PDCA stage]]=""),"Open project with no PDCA stage",IF(AND(tblVerifyProjects[[#This Row],[Verified]]="Yes",tblVerifyProjects[[#This Row],[Completed]]=""),"Verified before completion",IF(COUNTIF(tblVerifyProjects[ID],tblVerifyProjects[[#This Row],[ID]])&gt;1,"Duplicate ID","OK")))))))))))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izen-tracker" TargetMode="External"/><Relationship Id="rId2" Type="http://schemas.openxmlformats.org/officeDocument/2006/relationships/hyperlink" Target="https://www.mfgcalcs.com/calculators/lean-manufacturing-operations/manufacturing-roi?utm_source=mfgcalcs-template&amp;utm_medium=xlsx&amp;utm_campaign=kaizen-tracker" TargetMode="External"/><Relationship Id="rId3" Type="http://schemas.openxmlformats.org/officeDocument/2006/relationships/hyperlink" Target="https://www.mfgcalcs.com/templates/kaizen-tracker?utm_source=mfgcalcs-template&amp;utm_medium=xlsx&amp;utm_campaign=kaizen-tracker" TargetMode="External"/><Relationship Id="rId4" Type="http://schemas.openxmlformats.org/officeDocument/2006/relationships/hyperlink" Target="https://www.mfgcalcs.com/templates?utm_source=mfgcalcs-template&amp;utm_medium=xlsx&amp;utm_campaign=kaizen-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izen-tracke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izen-tracke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izen-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izen-tracker" TargetMode="External"/><Relationship Id="rId2" Type="http://schemas.openxmlformats.org/officeDocument/2006/relationships/hyperlink" Target="https://www.mfgcalcs.com/calculators/lean-manufacturing-operations/manufacturing-roi?utm_source=mfgcalcs-template&amp;utm_medium=xlsx&amp;utm_campaign=kaizen-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izen-tracker"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17 of 17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Projects!A1" tooltip="Go to Projects" display="Project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Kaizen Project Tracker&amp;R&amp;8&amp;A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6"/>
  <sheetViews>
    <sheetView showGridLines="0" workbookViewId="0"/>
  </sheetViews>
  <sheetFormatPr defaultRowHeight="15"/>
  <cols>
    <col min="1" max="1" width="2.7109375" customWidth="1"/>
    <col min="2" max="2" width="30.7109375" customWidth="1"/>
    <col min="3" max="3" width="16.7109375" customWidth="1"/>
    <col min="4" max="4" width="46.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66</v>
      </c>
      <c r="C4" s="8"/>
      <c r="D4" s="8"/>
    </row>
    <row r="5" spans="1:5" ht="5" customHeight="1"/>
    <row r="6" spans="1:5">
      <c r="B6" s="27" t="s">
        <v>67</v>
      </c>
      <c r="C6" s="28" t="s">
        <v>68</v>
      </c>
      <c r="D6" s="28"/>
    </row>
    <row r="7" spans="1:5">
      <c r="B7" s="27" t="s">
        <v>69</v>
      </c>
      <c r="C7" s="28" t="s">
        <v>70</v>
      </c>
      <c r="D7" s="28"/>
    </row>
    <row r="8" spans="1:5">
      <c r="B8" s="27" t="s">
        <v>71</v>
      </c>
      <c r="C8" s="29">
        <v>46023</v>
      </c>
      <c r="D8" s="7"/>
    </row>
    <row r="9" spans="1:5">
      <c r="B9" s="27" t="s">
        <v>72</v>
      </c>
      <c r="C9" s="30">
        <v>720000</v>
      </c>
      <c r="D9" s="7" t="str">
        <f>Currency&amp;" per year"</f>
        <v>CAD per year</v>
      </c>
    </row>
    <row r="10" spans="1:5">
      <c r="B10" s="27" t="s">
        <v>73</v>
      </c>
      <c r="C10" s="29">
        <v>46304</v>
      </c>
      <c r="D10" s="7"/>
    </row>
    <row r="11" spans="1:5">
      <c r="B11" s="17" t="s">
        <v>74</v>
      </c>
      <c r="C11" s="31">
        <f>SavingsPlan*MAX(0,MIN(1,(AsOf-YearStart+1)/(DATE(YEAR(YearStart)+1,MONTH(YearStart),DAY(YearStart))-YearStart)))</f>
        <v>556273.97260274</v>
      </c>
      <c r="D11" s="7" t="str">
        <f>Currency&amp;" per year"</f>
        <v>CAD per year</v>
      </c>
    </row>
    <row r="12" spans="1:5">
      <c r="B12" s="27" t="s">
        <v>75</v>
      </c>
      <c r="C12" s="32">
        <v>14</v>
      </c>
      <c r="D12" s="7" t="s">
        <v>76</v>
      </c>
    </row>
    <row r="13" spans="1:5">
      <c r="B13" s="27" t="s">
        <v>77</v>
      </c>
      <c r="C13" s="33">
        <v>0.75</v>
      </c>
      <c r="D13" s="7"/>
    </row>
    <row r="15" spans="1:5" ht="35.4" customHeight="1">
      <c r="B15" s="25" t="s">
        <v>78</v>
      </c>
      <c r="C15" s="25"/>
      <c r="D15" s="25"/>
    </row>
    <row r="17" spans="2:4" ht="21" customHeight="1">
      <c r="B17" s="8" t="s">
        <v>79</v>
      </c>
      <c r="C17" s="8"/>
      <c r="D17" s="8"/>
    </row>
    <row r="18" spans="2:4" ht="5" customHeight="1"/>
    <row r="19" spans="2:4">
      <c r="B19" s="34" t="s">
        <v>80</v>
      </c>
      <c r="C19" s="34"/>
      <c r="D19" s="34"/>
    </row>
    <row r="20" spans="2:4" ht="20" customHeight="1">
      <c r="B20" s="35" t="s">
        <v>62</v>
      </c>
      <c r="C20" s="35" t="s">
        <v>63</v>
      </c>
      <c r="D20" s="35" t="s">
        <v>64</v>
      </c>
    </row>
    <row r="21" spans="2:4">
      <c r="B21" s="28" t="s">
        <v>81</v>
      </c>
      <c r="C21" s="28" t="s">
        <v>82</v>
      </c>
      <c r="D21" s="28" t="s">
        <v>83</v>
      </c>
    </row>
    <row r="22" spans="2:4">
      <c r="B22" s="28" t="s">
        <v>84</v>
      </c>
      <c r="C22" s="28" t="s">
        <v>85</v>
      </c>
      <c r="D22" s="28" t="s">
        <v>86</v>
      </c>
    </row>
    <row r="23" spans="2:4">
      <c r="B23" s="28" t="s">
        <v>87</v>
      </c>
      <c r="C23" s="28" t="s">
        <v>88</v>
      </c>
      <c r="D23" s="28" t="s">
        <v>89</v>
      </c>
    </row>
    <row r="24" spans="2:4">
      <c r="B24" s="28" t="s">
        <v>90</v>
      </c>
      <c r="C24" s="28" t="s">
        <v>91</v>
      </c>
      <c r="D24" s="28" t="s">
        <v>92</v>
      </c>
    </row>
    <row r="25" spans="2:4">
      <c r="B25" s="28" t="s">
        <v>93</v>
      </c>
      <c r="C25" s="28" t="s">
        <v>94</v>
      </c>
      <c r="D25" s="28" t="s">
        <v>95</v>
      </c>
    </row>
    <row r="26" spans="2:4">
      <c r="B26" s="28" t="s">
        <v>96</v>
      </c>
      <c r="C26" s="28" t="s">
        <v>97</v>
      </c>
      <c r="D26" s="28" t="s">
        <v>98</v>
      </c>
    </row>
    <row r="28" spans="2:4">
      <c r="B28" s="34" t="s">
        <v>99</v>
      </c>
      <c r="C28" s="34"/>
    </row>
    <row r="29" spans="2:4" ht="29.76" customHeight="1">
      <c r="B29" s="36" t="s">
        <v>100</v>
      </c>
      <c r="C29" s="36"/>
    </row>
    <row r="30" spans="2:4" ht="20" customHeight="1">
      <c r="B30" s="35" t="s">
        <v>65</v>
      </c>
      <c r="C30" s="35" t="s">
        <v>64</v>
      </c>
    </row>
    <row r="31" spans="2:4">
      <c r="B31" s="28" t="s">
        <v>101</v>
      </c>
      <c r="C31" s="28" t="s">
        <v>102</v>
      </c>
    </row>
    <row r="32" spans="2:4">
      <c r="B32" s="28" t="s">
        <v>103</v>
      </c>
      <c r="C32" s="28" t="s">
        <v>104</v>
      </c>
    </row>
    <row r="33" spans="2:3">
      <c r="B33" s="28" t="s">
        <v>105</v>
      </c>
      <c r="C33" s="28" t="s">
        <v>106</v>
      </c>
    </row>
    <row r="34" spans="2:3">
      <c r="B34" s="28" t="s">
        <v>107</v>
      </c>
      <c r="C34" s="28" t="s">
        <v>108</v>
      </c>
    </row>
    <row r="35" spans="2:3">
      <c r="B35" s="28" t="s">
        <v>109</v>
      </c>
      <c r="C35" s="28" t="s">
        <v>110</v>
      </c>
    </row>
    <row r="36" spans="2:3">
      <c r="B36" s="28" t="s">
        <v>111</v>
      </c>
      <c r="C36" s="28" t="s">
        <v>112</v>
      </c>
    </row>
  </sheetData>
  <mergeCells count="11">
    <mergeCell ref="A1:E1"/>
    <mergeCell ref="B2:C2"/>
    <mergeCell ref="D2:E2"/>
    <mergeCell ref="B4:D4"/>
    <mergeCell ref="C6:D6"/>
    <mergeCell ref="C7:D7"/>
    <mergeCell ref="B15:D15"/>
    <mergeCell ref="B17:D17"/>
    <mergeCell ref="B19:D19"/>
    <mergeCell ref="B28:C28"/>
    <mergeCell ref="B29:C29"/>
  </mergeCells>
  <dataValidations count="12">
    <dataValidation type="textLength" allowBlank="1" showInputMessage="1" showErrorMessage="1" errorTitle="Check this entry" error="Text up to 80 characters." promptTitle="Plant or company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ate" allowBlank="1" showInputMessage="1" showErrorMessage="1" errorTitle="Check this entry" error="Enter a date between 01 Jan 2000 and 31 Dec 2100." promptTitle="Savings year starts" prompt="First day of the year the savings plan covers (calendar or fiscal). Enter a date between 01 Jan 2000 and 31 Dec 2100." sqref="C8">
      <formula1>36526</formula1>
      <formula2>73415</formula2>
    </dataValidation>
    <dataValidation type="decimal" allowBlank="1" showInputMessage="1" showErrorMessage="1" errorTitle="Check this entry" error="Enter a number of at least 0." promptTitle="Savings plan for the year" prompt="Net annual savings the programme has committed to deliver from projects completed this year. Your own figure. Enter a number of at least 0." sqref="C9">
      <formula1>0</formula1>
      <formula2>10000000000.0</formula2>
    </dataValidation>
    <dataValidation type="date" allowBlank="1" showInputMessage="1" showErrorMessage="1" errorTitle="Check this entry" error="Enter a date between 01 Jan 2000 and 31 Dec 2100." promptTitle="Status date" prompt="Projects are measured to this date (overdue, due soon, days open). Type the date of your review; the file never changes by itself. Enter a date between 01 Jan 2000 and 31 Dec 2100." sqref="C10">
      <formula1>36526</formula1>
      <formula2>73415</formula2>
    </dataValidation>
    <dataValidation type="whole" allowBlank="1" showInputMessage="1" showErrorMessage="1" errorTitle="Check this entry" error="Enter a whole number from 0 to 365." promptTitle="Due soon window" prompt="An open project due within this many days of the status date shows Due soon. Enter a whole number from 0 to 365." sqref="C12">
      <formula1>0</formula1>
      <formula2>365</formula2>
    </dataValidation>
    <dataValidation type="decimal" allowBlank="1" showInputMessage="1" showErrorMessage="1" errorTitle="Check this entry" error="Enter a percentage from 0% to 100% (type 85% or 0.85)." promptTitle="Completed on time target" prompt="Your own target for the share of projects finished by their target date. Enter a percentage from 0% to 100% (type 85% or 0.85)." sqref="C13">
      <formula1>0</formula1>
      <formula2>1</formula2>
    </dataValidation>
    <dataValidation type="textLength" allowBlank="1" showInputMessage="1" showErrorMessage="1" errorTitle="Check this entry" error="Text up to 40 characters." promptTitle="Area" prompt="Text up to 40 characters." sqref="B21:B126">
      <formula1>0</formula1>
      <formula2>40</formula2>
    </dataValidation>
    <dataValidation type="textLength" allowBlank="1" showInputMessage="1" showErrorMessage="1" errorTitle="Check this entry" error="Text up to 40 characters." promptTitle="Owner" prompt="Text up to 40 characters." sqref="C21:C126">
      <formula1>0</formula1>
      <formula2>40</formula2>
    </dataValidation>
    <dataValidation type="textLength" allowBlank="1" showInputMessage="1" showErrorMessage="1" errorTitle="Check this entry" error="Text up to 120 characters." promptTitle="Description" prompt="Text up to 120 characters." sqref="D21:D126">
      <formula1>0</formula1>
      <formula2>120</formula2>
    </dataValidation>
    <dataValidation type="textLength" allowBlank="1" showInputMessage="1" showErrorMessage="1" errorTitle="Check this entry" error="Text up to 40 characters." promptTitle="Type" prompt="Text up to 40 characters." sqref="B31:B136">
      <formula1>0</formula1>
      <formula2>40</formula2>
    </dataValidation>
    <dataValidation type="textLength" allowBlank="1" showInputMessage="1" showErrorMessage="1" errorTitle="Check this entry" error="Text up to 120 characters." promptTitle="Description" prompt="Text up to 120 characters." sqref="C31:C136">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Kaizen Project Tracker&amp;R&amp;8&amp;A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W3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9.28515625" customWidth="1"/>
    <col min="3" max="3" width="27.7109375" customWidth="1"/>
    <col min="4" max="4" width="11.7109375" customWidth="1"/>
    <col min="5" max="5" width="12.28515625" customWidth="1"/>
    <col min="6" max="6" width="11.7109375" customWidth="1"/>
    <col min="7" max="9" width="12.28515625" customWidth="1"/>
    <col min="10" max="10" width="9.28515625" customWidth="1"/>
    <col min="11" max="11" width="11.28515625" customWidth="1"/>
    <col min="12" max="15" width="11.7109375" customWidth="1"/>
    <col min="16" max="16" width="8.7109375" customWidth="1"/>
    <col min="17" max="17" width="11.7109375" customWidth="1"/>
    <col min="18" max="19" width="9.28515625" customWidth="1"/>
    <col min="20" max="20" width="11.7109375" customWidth="1"/>
    <col min="21" max="22" width="8.28515625" customWidth="1"/>
    <col min="23" max="23" width="24.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22</v>
      </c>
      <c r="C2" s="2"/>
      <c r="D2" s="2"/>
      <c r="E2" s="2"/>
      <c r="F2" s="2"/>
      <c r="G2" s="2"/>
      <c r="H2" s="2"/>
      <c r="I2" s="2"/>
      <c r="J2" s="2"/>
      <c r="K2" s="2"/>
      <c r="L2" s="2"/>
      <c r="M2" s="2"/>
      <c r="N2" s="2"/>
      <c r="O2" s="2"/>
      <c r="P2" s="2"/>
      <c r="Q2" s="2"/>
      <c r="R2" s="2"/>
      <c r="S2" s="2"/>
      <c r="T2" s="2"/>
      <c r="U2" s="2"/>
      <c r="V2" s="2"/>
      <c r="W2" s="3" t="s">
        <v>2</v>
      </c>
    </row>
    <row r="3" spans="1:23" ht="6" customHeight="1"/>
    <row r="4" spans="1:23" ht="18" customHeight="1">
      <c r="B4" s="36" t="s">
        <v>133</v>
      </c>
      <c r="C4" s="36"/>
      <c r="D4" s="36"/>
      <c r="E4" s="36"/>
      <c r="F4" s="36"/>
      <c r="G4" s="36"/>
      <c r="H4" s="36"/>
      <c r="I4" s="36"/>
      <c r="J4" s="36"/>
      <c r="K4" s="36"/>
      <c r="L4" s="36"/>
      <c r="M4" s="36"/>
      <c r="N4" s="36"/>
      <c r="O4" s="36"/>
      <c r="P4" s="36"/>
      <c r="Q4" s="36"/>
      <c r="R4" s="36"/>
      <c r="S4" s="36"/>
      <c r="T4" s="36"/>
      <c r="U4" s="36"/>
      <c r="V4" s="36"/>
      <c r="W4" s="36"/>
    </row>
    <row r="5" spans="1:23" ht="14" customHeight="1">
      <c r="B5" s="37"/>
      <c r="C5" s="37"/>
      <c r="D5" s="37"/>
      <c r="E5" s="37"/>
      <c r="F5" s="37"/>
      <c r="G5" s="37"/>
      <c r="H5" s="37"/>
      <c r="I5" s="37"/>
      <c r="J5" s="37"/>
      <c r="K5" s="37" t="str">
        <f>Currency</f>
        <v>CAD</v>
      </c>
      <c r="L5" s="37" t="str">
        <f>Currency&amp;"/yr"</f>
        <v>CAD/yr</v>
      </c>
      <c r="M5" s="37" t="str">
        <f>Currency&amp;"/yr"</f>
        <v>CAD/yr</v>
      </c>
      <c r="N5" s="37" t="str">
        <f>Currency&amp;"/yr"</f>
        <v>CAD/yr</v>
      </c>
      <c r="O5" s="37" t="str">
        <f>Currency&amp;"/yr"</f>
        <v>CAD/yr</v>
      </c>
      <c r="P5" s="37"/>
      <c r="Q5" s="37" t="str">
        <f>Currency&amp;"/yr"</f>
        <v>CAD/yr</v>
      </c>
      <c r="R5" s="37" t="s">
        <v>134</v>
      </c>
      <c r="S5" s="37"/>
      <c r="T5" s="37"/>
      <c r="U5" s="37"/>
      <c r="V5" s="37" t="s">
        <v>76</v>
      </c>
      <c r="W5" s="37"/>
    </row>
    <row r="6" spans="1:23" ht="45.5" customHeight="1">
      <c r="B6" s="35" t="s">
        <v>113</v>
      </c>
      <c r="C6" s="35" t="s">
        <v>114</v>
      </c>
      <c r="D6" s="35" t="s">
        <v>62</v>
      </c>
      <c r="E6" s="35" t="s">
        <v>65</v>
      </c>
      <c r="F6" s="35" t="s">
        <v>115</v>
      </c>
      <c r="G6" s="35" t="s">
        <v>116</v>
      </c>
      <c r="H6" s="35" t="s">
        <v>117</v>
      </c>
      <c r="I6" s="35" t="s">
        <v>118</v>
      </c>
      <c r="J6" s="35" t="s">
        <v>119</v>
      </c>
      <c r="K6" s="35" t="s">
        <v>120</v>
      </c>
      <c r="L6" s="35" t="s">
        <v>121</v>
      </c>
      <c r="M6" s="35" t="s">
        <v>122</v>
      </c>
      <c r="N6" s="35" t="s">
        <v>123</v>
      </c>
      <c r="O6" s="35" t="s">
        <v>124</v>
      </c>
      <c r="P6" s="35" t="s">
        <v>125</v>
      </c>
      <c r="Q6" s="35" t="s">
        <v>126</v>
      </c>
      <c r="R6" s="35" t="s">
        <v>127</v>
      </c>
      <c r="S6" s="35" t="s">
        <v>128</v>
      </c>
      <c r="T6" s="35" t="s">
        <v>129</v>
      </c>
      <c r="U6" s="35" t="s">
        <v>130</v>
      </c>
      <c r="V6" s="35" t="s">
        <v>131</v>
      </c>
      <c r="W6" s="35" t="s">
        <v>132</v>
      </c>
    </row>
    <row r="7" spans="1:23">
      <c r="B7" s="28" t="s">
        <v>135</v>
      </c>
      <c r="C7" s="28" t="s">
        <v>136</v>
      </c>
      <c r="D7" s="28" t="s">
        <v>93</v>
      </c>
      <c r="E7" s="28" t="s">
        <v>101</v>
      </c>
      <c r="F7" s="28" t="s">
        <v>94</v>
      </c>
      <c r="G7" s="29">
        <v>46010</v>
      </c>
      <c r="H7" s="29">
        <v>46053</v>
      </c>
      <c r="I7" s="29">
        <v>46053</v>
      </c>
      <c r="J7" s="28"/>
      <c r="K7" s="30">
        <v>11000</v>
      </c>
      <c r="L7" s="30">
        <v>41500</v>
      </c>
      <c r="M7" s="30">
        <v>5000</v>
      </c>
      <c r="N7" s="30">
        <v>6000</v>
      </c>
      <c r="O7" s="30">
        <v>0</v>
      </c>
      <c r="P7" s="28" t="s">
        <v>137</v>
      </c>
      <c r="Q7" s="38">
        <f>IF(tblProjects[[#This Row],[Start]]="","",tblProjects[[#This Row],[Labor savings]]+tblProjects[[#This Row],[Scrap and material savings]]+tblProjects[[#This Row],[Other savings]]-tblProjects[[#This Row],[Added running cost]])</f>
        <v>52500</v>
      </c>
      <c r="R7" s="39">
        <f>IF(tblProjects[[#This Row],[Start]]="","",IF(tblProjects[[#This Row],[Net annual benefit]]&lt;=0,"",IF(tblProjects[[#This Row],[Investment]]&gt;0,tblProjects[[#This Row],[Investment]]/tblProjects[[#This Row],[Net annual benefit]]*12,0)))</f>
        <v>2.51428571428571</v>
      </c>
      <c r="S7" s="40">
        <f>IF(tblProjects[[#This Row],[Start]]="","",IF(tblProjects[[#This Row],[Investment]]&gt;0,tblProjects[[#This Row],[Net annual benefit]]/tblProjects[[#This Row],[Investment]],""))</f>
        <v>4.77272727272727</v>
      </c>
      <c r="T7" s="41" t="str">
        <f>IF(tblProjects[[#This Row],[Start]]="","",IF(tblProjects[[#This Row],[Completed]]&lt;&gt;"","Complete",IF(tblProjects[[#This Row],[Target date]]="","",IF(tblProjects[[#This Row],[Target date]]&lt;AsOf,"Overdue",IF(tblProjects[[#This Row],[Target date]]-AsOf&lt;=DueSoonDays,"Due soon","In progress")))))</f>
        <v>Complete</v>
      </c>
      <c r="U7" s="41" t="str">
        <f>IF(tblProjects[[#This Row],[Start]]="","",IF(OR(tblProjects[[#This Row],[Completed]]="",tblProjects[[#This Row],[Target date]]=""),"",IF(tblProjects[[#This Row],[Completed]]&lt;=tblProjects[[#This Row],[Target date]],"Yes","No")))</f>
        <v>Yes</v>
      </c>
      <c r="V7" s="38">
        <f>IF(tblProjects[[#This Row],[Start]]="","",IF(tblProjects[[#This Row],[Completed]]="",AsOf-tblProjects[[#This Row],[Start]],tblProjects[[#This Row],[Completed]]-tblProjects[[#This Row],[Start]]))</f>
        <v>43</v>
      </c>
      <c r="W7"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8" spans="1:23">
      <c r="B8" s="28" t="s">
        <v>138</v>
      </c>
      <c r="C8" s="28" t="s">
        <v>139</v>
      </c>
      <c r="D8" s="28" t="s">
        <v>81</v>
      </c>
      <c r="E8" s="28" t="s">
        <v>109</v>
      </c>
      <c r="F8" s="28" t="s">
        <v>82</v>
      </c>
      <c r="G8" s="29">
        <v>46012</v>
      </c>
      <c r="H8" s="29">
        <v>46041</v>
      </c>
      <c r="I8" s="29">
        <v>46048</v>
      </c>
      <c r="J8" s="28"/>
      <c r="K8" s="30">
        <v>1500</v>
      </c>
      <c r="L8" s="30">
        <v>4500</v>
      </c>
      <c r="M8" s="30">
        <v>1000</v>
      </c>
      <c r="N8" s="30">
        <v>0</v>
      </c>
      <c r="O8" s="30">
        <v>0</v>
      </c>
      <c r="P8" s="28" t="s">
        <v>140</v>
      </c>
      <c r="Q8" s="38">
        <f>IF(tblProjects[[#This Row],[Start]]="","",tblProjects[[#This Row],[Labor savings]]+tblProjects[[#This Row],[Scrap and material savings]]+tblProjects[[#This Row],[Other savings]]-tblProjects[[#This Row],[Added running cost]])</f>
        <v>5500</v>
      </c>
      <c r="R8" s="39">
        <f>IF(tblProjects[[#This Row],[Start]]="","",IF(tblProjects[[#This Row],[Net annual benefit]]&lt;=0,"",IF(tblProjects[[#This Row],[Investment]]&gt;0,tblProjects[[#This Row],[Investment]]/tblProjects[[#This Row],[Net annual benefit]]*12,0)))</f>
        <v>3.27272727272727</v>
      </c>
      <c r="S8" s="40">
        <f>IF(tblProjects[[#This Row],[Start]]="","",IF(tblProjects[[#This Row],[Investment]]&gt;0,tblProjects[[#This Row],[Net annual benefit]]/tblProjects[[#This Row],[Investment]],""))</f>
        <v>3.66666666666667</v>
      </c>
      <c r="T8" s="41" t="str">
        <f>IF(tblProjects[[#This Row],[Start]]="","",IF(tblProjects[[#This Row],[Completed]]&lt;&gt;"","Complete",IF(tblProjects[[#This Row],[Target date]]="","",IF(tblProjects[[#This Row],[Target date]]&lt;AsOf,"Overdue",IF(tblProjects[[#This Row],[Target date]]-AsOf&lt;=DueSoonDays,"Due soon","In progress")))))</f>
        <v>Complete</v>
      </c>
      <c r="U8" s="41" t="str">
        <f>IF(tblProjects[[#This Row],[Start]]="","",IF(OR(tblProjects[[#This Row],[Completed]]="",tblProjects[[#This Row],[Target date]]=""),"",IF(tblProjects[[#This Row],[Completed]]&lt;=tblProjects[[#This Row],[Target date]],"Yes","No")))</f>
        <v>No</v>
      </c>
      <c r="V8" s="38">
        <f>IF(tblProjects[[#This Row],[Start]]="","",IF(tblProjects[[#This Row],[Completed]]="",AsOf-tblProjects[[#This Row],[Start]],tblProjects[[#This Row],[Completed]]-tblProjects[[#This Row],[Start]]))</f>
        <v>36</v>
      </c>
      <c r="W8"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9" spans="1:23">
      <c r="B9" s="28" t="s">
        <v>141</v>
      </c>
      <c r="C9" s="28" t="s">
        <v>142</v>
      </c>
      <c r="D9" s="28" t="s">
        <v>93</v>
      </c>
      <c r="E9" s="28" t="s">
        <v>101</v>
      </c>
      <c r="F9" s="28" t="s">
        <v>143</v>
      </c>
      <c r="G9" s="29">
        <v>46038</v>
      </c>
      <c r="H9" s="29">
        <v>46079</v>
      </c>
      <c r="I9" s="29">
        <v>46079</v>
      </c>
      <c r="J9" s="28"/>
      <c r="K9" s="30">
        <v>16000</v>
      </c>
      <c r="L9" s="30">
        <v>32500</v>
      </c>
      <c r="M9" s="30">
        <v>6500</v>
      </c>
      <c r="N9" s="30">
        <v>4000</v>
      </c>
      <c r="O9" s="30">
        <v>0</v>
      </c>
      <c r="P9" s="28" t="s">
        <v>137</v>
      </c>
      <c r="Q9" s="38">
        <f>IF(tblProjects[[#This Row],[Start]]="","",tblProjects[[#This Row],[Labor savings]]+tblProjects[[#This Row],[Scrap and material savings]]+tblProjects[[#This Row],[Other savings]]-tblProjects[[#This Row],[Added running cost]])</f>
        <v>43000</v>
      </c>
      <c r="R9" s="39">
        <f>IF(tblProjects[[#This Row],[Start]]="","",IF(tblProjects[[#This Row],[Net annual benefit]]&lt;=0,"",IF(tblProjects[[#This Row],[Investment]]&gt;0,tblProjects[[#This Row],[Investment]]/tblProjects[[#This Row],[Net annual benefit]]*12,0)))</f>
        <v>4.46511627906977</v>
      </c>
      <c r="S9" s="40">
        <f>IF(tblProjects[[#This Row],[Start]]="","",IF(tblProjects[[#This Row],[Investment]]&gt;0,tblProjects[[#This Row],[Net annual benefit]]/tblProjects[[#This Row],[Investment]],""))</f>
        <v>2.6875</v>
      </c>
      <c r="T9" s="41" t="str">
        <f>IF(tblProjects[[#This Row],[Start]]="","",IF(tblProjects[[#This Row],[Completed]]&lt;&gt;"","Complete",IF(tblProjects[[#This Row],[Target date]]="","",IF(tblProjects[[#This Row],[Target date]]&lt;AsOf,"Overdue",IF(tblProjects[[#This Row],[Target date]]-AsOf&lt;=DueSoonDays,"Due soon","In progress")))))</f>
        <v>Complete</v>
      </c>
      <c r="U9" s="41" t="str">
        <f>IF(tblProjects[[#This Row],[Start]]="","",IF(OR(tblProjects[[#This Row],[Completed]]="",tblProjects[[#This Row],[Target date]]=""),"",IF(tblProjects[[#This Row],[Completed]]&lt;=tblProjects[[#This Row],[Target date]],"Yes","No")))</f>
        <v>Yes</v>
      </c>
      <c r="V9" s="38">
        <f>IF(tblProjects[[#This Row],[Start]]="","",IF(tblProjects[[#This Row],[Completed]]="",AsOf-tblProjects[[#This Row],[Start]],tblProjects[[#This Row],[Completed]]-tblProjects[[#This Row],[Start]]))</f>
        <v>41</v>
      </c>
      <c r="W9"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0" spans="1:23">
      <c r="B10" s="28" t="s">
        <v>144</v>
      </c>
      <c r="C10" s="28" t="s">
        <v>145</v>
      </c>
      <c r="D10" s="28" t="s">
        <v>84</v>
      </c>
      <c r="E10" s="28" t="s">
        <v>105</v>
      </c>
      <c r="F10" s="28" t="s">
        <v>85</v>
      </c>
      <c r="G10" s="29">
        <v>46039</v>
      </c>
      <c r="H10" s="29">
        <v>46109</v>
      </c>
      <c r="I10" s="29">
        <v>46109</v>
      </c>
      <c r="J10" s="28"/>
      <c r="K10" s="30">
        <v>12500</v>
      </c>
      <c r="L10" s="30">
        <v>500</v>
      </c>
      <c r="M10" s="30">
        <v>33000</v>
      </c>
      <c r="N10" s="30">
        <v>0</v>
      </c>
      <c r="O10" s="30">
        <v>0</v>
      </c>
      <c r="P10" s="28" t="s">
        <v>137</v>
      </c>
      <c r="Q10" s="38">
        <f>IF(tblProjects[[#This Row],[Start]]="","",tblProjects[[#This Row],[Labor savings]]+tblProjects[[#This Row],[Scrap and material savings]]+tblProjects[[#This Row],[Other savings]]-tblProjects[[#This Row],[Added running cost]])</f>
        <v>33500</v>
      </c>
      <c r="R10" s="39">
        <f>IF(tblProjects[[#This Row],[Start]]="","",IF(tblProjects[[#This Row],[Net annual benefit]]&lt;=0,"",IF(tblProjects[[#This Row],[Investment]]&gt;0,tblProjects[[#This Row],[Investment]]/tblProjects[[#This Row],[Net annual benefit]]*12,0)))</f>
        <v>4.47761194029851</v>
      </c>
      <c r="S10" s="40">
        <f>IF(tblProjects[[#This Row],[Start]]="","",IF(tblProjects[[#This Row],[Investment]]&gt;0,tblProjects[[#This Row],[Net annual benefit]]/tblProjects[[#This Row],[Investment]],""))</f>
        <v>2.68</v>
      </c>
      <c r="T10" s="41" t="str">
        <f>IF(tblProjects[[#This Row],[Start]]="","",IF(tblProjects[[#This Row],[Completed]]&lt;&gt;"","Complete",IF(tblProjects[[#This Row],[Target date]]="","",IF(tblProjects[[#This Row],[Target date]]&lt;AsOf,"Overdue",IF(tblProjects[[#This Row],[Target date]]-AsOf&lt;=DueSoonDays,"Due soon","In progress")))))</f>
        <v>Complete</v>
      </c>
      <c r="U10" s="41" t="str">
        <f>IF(tblProjects[[#This Row],[Start]]="","",IF(OR(tblProjects[[#This Row],[Completed]]="",tblProjects[[#This Row],[Target date]]=""),"",IF(tblProjects[[#This Row],[Completed]]&lt;=tblProjects[[#This Row],[Target date]],"Yes","No")))</f>
        <v>Yes</v>
      </c>
      <c r="V10" s="38">
        <f>IF(tblProjects[[#This Row],[Start]]="","",IF(tblProjects[[#This Row],[Completed]]="",AsOf-tblProjects[[#This Row],[Start]],tblProjects[[#This Row],[Completed]]-tblProjects[[#This Row],[Start]]))</f>
        <v>70</v>
      </c>
      <c r="W10"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1" spans="1:23">
      <c r="B11" s="28" t="s">
        <v>146</v>
      </c>
      <c r="C11" s="28" t="s">
        <v>147</v>
      </c>
      <c r="D11" s="28" t="s">
        <v>93</v>
      </c>
      <c r="E11" s="28" t="s">
        <v>105</v>
      </c>
      <c r="F11" s="28" t="s">
        <v>94</v>
      </c>
      <c r="G11" s="29">
        <v>46044</v>
      </c>
      <c r="H11" s="29">
        <v>46081</v>
      </c>
      <c r="I11" s="29">
        <v>46081</v>
      </c>
      <c r="J11" s="28"/>
      <c r="K11" s="30">
        <v>7500</v>
      </c>
      <c r="L11" s="30">
        <v>4000</v>
      </c>
      <c r="M11" s="30">
        <v>11000</v>
      </c>
      <c r="N11" s="30">
        <v>0</v>
      </c>
      <c r="O11" s="30">
        <v>0</v>
      </c>
      <c r="P11" s="28" t="s">
        <v>137</v>
      </c>
      <c r="Q11" s="38">
        <f>IF(tblProjects[[#This Row],[Start]]="","",tblProjects[[#This Row],[Labor savings]]+tblProjects[[#This Row],[Scrap and material savings]]+tblProjects[[#This Row],[Other savings]]-tblProjects[[#This Row],[Added running cost]])</f>
        <v>15000</v>
      </c>
      <c r="R11" s="39">
        <f>IF(tblProjects[[#This Row],[Start]]="","",IF(tblProjects[[#This Row],[Net annual benefit]]&lt;=0,"",IF(tblProjects[[#This Row],[Investment]]&gt;0,tblProjects[[#This Row],[Investment]]/tblProjects[[#This Row],[Net annual benefit]]*12,0)))</f>
        <v>6</v>
      </c>
      <c r="S11" s="40">
        <f>IF(tblProjects[[#This Row],[Start]]="","",IF(tblProjects[[#This Row],[Investment]]&gt;0,tblProjects[[#This Row],[Net annual benefit]]/tblProjects[[#This Row],[Investment]],""))</f>
        <v>2</v>
      </c>
      <c r="T11" s="41" t="str">
        <f>IF(tblProjects[[#This Row],[Start]]="","",IF(tblProjects[[#This Row],[Completed]]&lt;&gt;"","Complete",IF(tblProjects[[#This Row],[Target date]]="","",IF(tblProjects[[#This Row],[Target date]]&lt;AsOf,"Overdue",IF(tblProjects[[#This Row],[Target date]]-AsOf&lt;=DueSoonDays,"Due soon","In progress")))))</f>
        <v>Complete</v>
      </c>
      <c r="U11" s="41" t="str">
        <f>IF(tblProjects[[#This Row],[Start]]="","",IF(OR(tblProjects[[#This Row],[Completed]]="",tblProjects[[#This Row],[Target date]]=""),"",IF(tblProjects[[#This Row],[Completed]]&lt;=tblProjects[[#This Row],[Target date]],"Yes","No")))</f>
        <v>Yes</v>
      </c>
      <c r="V11" s="38">
        <f>IF(tblProjects[[#This Row],[Start]]="","",IF(tblProjects[[#This Row],[Completed]]="",AsOf-tblProjects[[#This Row],[Start]],tblProjects[[#This Row],[Completed]]-tblProjects[[#This Row],[Start]]))</f>
        <v>37</v>
      </c>
      <c r="W11"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2" spans="1:23">
      <c r="B12" s="28" t="s">
        <v>148</v>
      </c>
      <c r="C12" s="28" t="s">
        <v>149</v>
      </c>
      <c r="D12" s="28" t="s">
        <v>81</v>
      </c>
      <c r="E12" s="28" t="s">
        <v>105</v>
      </c>
      <c r="F12" s="28" t="s">
        <v>82</v>
      </c>
      <c r="G12" s="29">
        <v>46050</v>
      </c>
      <c r="H12" s="29">
        <v>46115</v>
      </c>
      <c r="I12" s="29">
        <v>46147</v>
      </c>
      <c r="J12" s="28"/>
      <c r="K12" s="30">
        <v>4000</v>
      </c>
      <c r="L12" s="30">
        <v>7500</v>
      </c>
      <c r="M12" s="30">
        <v>16000</v>
      </c>
      <c r="N12" s="30">
        <v>0</v>
      </c>
      <c r="O12" s="30">
        <v>0</v>
      </c>
      <c r="P12" s="28" t="s">
        <v>137</v>
      </c>
      <c r="Q12" s="38">
        <f>IF(tblProjects[[#This Row],[Start]]="","",tblProjects[[#This Row],[Labor savings]]+tblProjects[[#This Row],[Scrap and material savings]]+tblProjects[[#This Row],[Other savings]]-tblProjects[[#This Row],[Added running cost]])</f>
        <v>23500</v>
      </c>
      <c r="R12" s="39">
        <f>IF(tblProjects[[#This Row],[Start]]="","",IF(tblProjects[[#This Row],[Net annual benefit]]&lt;=0,"",IF(tblProjects[[#This Row],[Investment]]&gt;0,tblProjects[[#This Row],[Investment]]/tblProjects[[#This Row],[Net annual benefit]]*12,0)))</f>
        <v>2.04255319148936</v>
      </c>
      <c r="S12" s="40">
        <f>IF(tblProjects[[#This Row],[Start]]="","",IF(tblProjects[[#This Row],[Investment]]&gt;0,tblProjects[[#This Row],[Net annual benefit]]/tblProjects[[#This Row],[Investment]],""))</f>
        <v>5.875</v>
      </c>
      <c r="T12" s="41" t="str">
        <f>IF(tblProjects[[#This Row],[Start]]="","",IF(tblProjects[[#This Row],[Completed]]&lt;&gt;"","Complete",IF(tblProjects[[#This Row],[Target date]]="","",IF(tblProjects[[#This Row],[Target date]]&lt;AsOf,"Overdue",IF(tblProjects[[#This Row],[Target date]]-AsOf&lt;=DueSoonDays,"Due soon","In progress")))))</f>
        <v>Complete</v>
      </c>
      <c r="U12" s="41" t="str">
        <f>IF(tblProjects[[#This Row],[Start]]="","",IF(OR(tblProjects[[#This Row],[Completed]]="",tblProjects[[#This Row],[Target date]]=""),"",IF(tblProjects[[#This Row],[Completed]]&lt;=tblProjects[[#This Row],[Target date]],"Yes","No")))</f>
        <v>No</v>
      </c>
      <c r="V12" s="38">
        <f>IF(tblProjects[[#This Row],[Start]]="","",IF(tblProjects[[#This Row],[Completed]]="",AsOf-tblProjects[[#This Row],[Start]],tblProjects[[#This Row],[Completed]]-tblProjects[[#This Row],[Start]]))</f>
        <v>97</v>
      </c>
      <c r="W12"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3" spans="1:23">
      <c r="B13" s="28" t="s">
        <v>150</v>
      </c>
      <c r="C13" s="28" t="s">
        <v>151</v>
      </c>
      <c r="D13" s="28" t="s">
        <v>90</v>
      </c>
      <c r="E13" s="28" t="s">
        <v>101</v>
      </c>
      <c r="F13" s="28" t="s">
        <v>143</v>
      </c>
      <c r="G13" s="29">
        <v>46068</v>
      </c>
      <c r="H13" s="29">
        <v>46121</v>
      </c>
      <c r="I13" s="29">
        <v>46147</v>
      </c>
      <c r="J13" s="28"/>
      <c r="K13" s="30">
        <v>17500</v>
      </c>
      <c r="L13" s="30">
        <v>13500</v>
      </c>
      <c r="M13" s="30">
        <v>6500</v>
      </c>
      <c r="N13" s="30">
        <v>4500</v>
      </c>
      <c r="O13" s="30">
        <v>0</v>
      </c>
      <c r="P13" s="28" t="s">
        <v>140</v>
      </c>
      <c r="Q13" s="38">
        <f>IF(tblProjects[[#This Row],[Start]]="","",tblProjects[[#This Row],[Labor savings]]+tblProjects[[#This Row],[Scrap and material savings]]+tblProjects[[#This Row],[Other savings]]-tblProjects[[#This Row],[Added running cost]])</f>
        <v>24500</v>
      </c>
      <c r="R13" s="39">
        <f>IF(tblProjects[[#This Row],[Start]]="","",IF(tblProjects[[#This Row],[Net annual benefit]]&lt;=0,"",IF(tblProjects[[#This Row],[Investment]]&gt;0,tblProjects[[#This Row],[Investment]]/tblProjects[[#This Row],[Net annual benefit]]*12,0)))</f>
        <v>8.57142857142857</v>
      </c>
      <c r="S13" s="40">
        <f>IF(tblProjects[[#This Row],[Start]]="","",IF(tblProjects[[#This Row],[Investment]]&gt;0,tblProjects[[#This Row],[Net annual benefit]]/tblProjects[[#This Row],[Investment]],""))</f>
        <v>1.4</v>
      </c>
      <c r="T13" s="41" t="str">
        <f>IF(tblProjects[[#This Row],[Start]]="","",IF(tblProjects[[#This Row],[Completed]]&lt;&gt;"","Complete",IF(tblProjects[[#This Row],[Target date]]="","",IF(tblProjects[[#This Row],[Target date]]&lt;AsOf,"Overdue",IF(tblProjects[[#This Row],[Target date]]-AsOf&lt;=DueSoonDays,"Due soon","In progress")))))</f>
        <v>Complete</v>
      </c>
      <c r="U13" s="41" t="str">
        <f>IF(tblProjects[[#This Row],[Start]]="","",IF(OR(tblProjects[[#This Row],[Completed]]="",tblProjects[[#This Row],[Target date]]=""),"",IF(tblProjects[[#This Row],[Completed]]&lt;=tblProjects[[#This Row],[Target date]],"Yes","No")))</f>
        <v>No</v>
      </c>
      <c r="V13" s="38">
        <f>IF(tblProjects[[#This Row],[Start]]="","",IF(tblProjects[[#This Row],[Completed]]="",AsOf-tblProjects[[#This Row],[Start]],tblProjects[[#This Row],[Completed]]-tblProjects[[#This Row],[Start]]))</f>
        <v>79</v>
      </c>
      <c r="W13"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4" spans="1:23">
      <c r="B14" s="28" t="s">
        <v>152</v>
      </c>
      <c r="C14" s="28" t="s">
        <v>153</v>
      </c>
      <c r="D14" s="28" t="s">
        <v>81</v>
      </c>
      <c r="E14" s="28" t="s">
        <v>109</v>
      </c>
      <c r="F14" s="28" t="s">
        <v>82</v>
      </c>
      <c r="G14" s="29">
        <v>46070</v>
      </c>
      <c r="H14" s="29">
        <v>46104</v>
      </c>
      <c r="I14" s="29">
        <v>46099</v>
      </c>
      <c r="J14" s="28"/>
      <c r="K14" s="30">
        <v>3000</v>
      </c>
      <c r="L14" s="30">
        <v>5500</v>
      </c>
      <c r="M14" s="30">
        <v>1500</v>
      </c>
      <c r="N14" s="30">
        <v>0</v>
      </c>
      <c r="O14" s="30">
        <v>0</v>
      </c>
      <c r="P14" s="28" t="s">
        <v>140</v>
      </c>
      <c r="Q14" s="38">
        <f>IF(tblProjects[[#This Row],[Start]]="","",tblProjects[[#This Row],[Labor savings]]+tblProjects[[#This Row],[Scrap and material savings]]+tblProjects[[#This Row],[Other savings]]-tblProjects[[#This Row],[Added running cost]])</f>
        <v>7000</v>
      </c>
      <c r="R14" s="39">
        <f>IF(tblProjects[[#This Row],[Start]]="","",IF(tblProjects[[#This Row],[Net annual benefit]]&lt;=0,"",IF(tblProjects[[#This Row],[Investment]]&gt;0,tblProjects[[#This Row],[Investment]]/tblProjects[[#This Row],[Net annual benefit]]*12,0)))</f>
        <v>5.14285714285714</v>
      </c>
      <c r="S14" s="40">
        <f>IF(tblProjects[[#This Row],[Start]]="","",IF(tblProjects[[#This Row],[Investment]]&gt;0,tblProjects[[#This Row],[Net annual benefit]]/tblProjects[[#This Row],[Investment]],""))</f>
        <v>2.33333333333333</v>
      </c>
      <c r="T14" s="41" t="str">
        <f>IF(tblProjects[[#This Row],[Start]]="","",IF(tblProjects[[#This Row],[Completed]]&lt;&gt;"","Complete",IF(tblProjects[[#This Row],[Target date]]="","",IF(tblProjects[[#This Row],[Target date]]&lt;AsOf,"Overdue",IF(tblProjects[[#This Row],[Target date]]-AsOf&lt;=DueSoonDays,"Due soon","In progress")))))</f>
        <v>Complete</v>
      </c>
      <c r="U14" s="41" t="str">
        <f>IF(tblProjects[[#This Row],[Start]]="","",IF(OR(tblProjects[[#This Row],[Completed]]="",tblProjects[[#This Row],[Target date]]=""),"",IF(tblProjects[[#This Row],[Completed]]&lt;=tblProjects[[#This Row],[Target date]],"Yes","No")))</f>
        <v>Yes</v>
      </c>
      <c r="V14" s="38">
        <f>IF(tblProjects[[#This Row],[Start]]="","",IF(tblProjects[[#This Row],[Completed]]="",AsOf-tblProjects[[#This Row],[Start]],tblProjects[[#This Row],[Completed]]-tblProjects[[#This Row],[Start]]))</f>
        <v>29</v>
      </c>
      <c r="W14"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5" spans="1:23">
      <c r="B15" s="28" t="s">
        <v>154</v>
      </c>
      <c r="C15" s="28" t="s">
        <v>155</v>
      </c>
      <c r="D15" s="28" t="s">
        <v>96</v>
      </c>
      <c r="E15" s="28" t="s">
        <v>105</v>
      </c>
      <c r="F15" s="28" t="s">
        <v>88</v>
      </c>
      <c r="G15" s="29">
        <v>46086</v>
      </c>
      <c r="H15" s="29">
        <v>46121</v>
      </c>
      <c r="I15" s="29">
        <v>46139</v>
      </c>
      <c r="J15" s="28"/>
      <c r="K15" s="30">
        <v>6500</v>
      </c>
      <c r="L15" s="30">
        <v>5000</v>
      </c>
      <c r="M15" s="30">
        <v>33500</v>
      </c>
      <c r="N15" s="30">
        <v>0</v>
      </c>
      <c r="O15" s="30">
        <v>0</v>
      </c>
      <c r="P15" s="28" t="s">
        <v>137</v>
      </c>
      <c r="Q15" s="38">
        <f>IF(tblProjects[[#This Row],[Start]]="","",tblProjects[[#This Row],[Labor savings]]+tblProjects[[#This Row],[Scrap and material savings]]+tblProjects[[#This Row],[Other savings]]-tblProjects[[#This Row],[Added running cost]])</f>
        <v>38500</v>
      </c>
      <c r="R15" s="39">
        <f>IF(tblProjects[[#This Row],[Start]]="","",IF(tblProjects[[#This Row],[Net annual benefit]]&lt;=0,"",IF(tblProjects[[#This Row],[Investment]]&gt;0,tblProjects[[#This Row],[Investment]]/tblProjects[[#This Row],[Net annual benefit]]*12,0)))</f>
        <v>2.02597402597403</v>
      </c>
      <c r="S15" s="40">
        <f>IF(tblProjects[[#This Row],[Start]]="","",IF(tblProjects[[#This Row],[Investment]]&gt;0,tblProjects[[#This Row],[Net annual benefit]]/tblProjects[[#This Row],[Investment]],""))</f>
        <v>5.92307692307692</v>
      </c>
      <c r="T15" s="41" t="str">
        <f>IF(tblProjects[[#This Row],[Start]]="","",IF(tblProjects[[#This Row],[Completed]]&lt;&gt;"","Complete",IF(tblProjects[[#This Row],[Target date]]="","",IF(tblProjects[[#This Row],[Target date]]&lt;AsOf,"Overdue",IF(tblProjects[[#This Row],[Target date]]-AsOf&lt;=DueSoonDays,"Due soon","In progress")))))</f>
        <v>Complete</v>
      </c>
      <c r="U15" s="41" t="str">
        <f>IF(tblProjects[[#This Row],[Start]]="","",IF(OR(tblProjects[[#This Row],[Completed]]="",tblProjects[[#This Row],[Target date]]=""),"",IF(tblProjects[[#This Row],[Completed]]&lt;=tblProjects[[#This Row],[Target date]],"Yes","No")))</f>
        <v>No</v>
      </c>
      <c r="V15" s="38">
        <f>IF(tblProjects[[#This Row],[Start]]="","",IF(tblProjects[[#This Row],[Completed]]="",AsOf-tblProjects[[#This Row],[Start]],tblProjects[[#This Row],[Completed]]-tblProjects[[#This Row],[Start]]))</f>
        <v>53</v>
      </c>
      <c r="W15"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6" spans="1:23">
      <c r="B16" s="28" t="s">
        <v>156</v>
      </c>
      <c r="C16" s="28" t="s">
        <v>157</v>
      </c>
      <c r="D16" s="28" t="s">
        <v>84</v>
      </c>
      <c r="E16" s="28" t="s">
        <v>111</v>
      </c>
      <c r="F16" s="28" t="s">
        <v>85</v>
      </c>
      <c r="G16" s="29">
        <v>46088</v>
      </c>
      <c r="H16" s="29">
        <v>46100</v>
      </c>
      <c r="I16" s="29">
        <v>46101</v>
      </c>
      <c r="J16" s="28"/>
      <c r="K16" s="30">
        <v>1000</v>
      </c>
      <c r="L16" s="30">
        <v>5500</v>
      </c>
      <c r="M16" s="30">
        <v>2500</v>
      </c>
      <c r="N16" s="30">
        <v>0</v>
      </c>
      <c r="O16" s="30">
        <v>0</v>
      </c>
      <c r="P16" s="28" t="s">
        <v>140</v>
      </c>
      <c r="Q16" s="38">
        <f>IF(tblProjects[[#This Row],[Start]]="","",tblProjects[[#This Row],[Labor savings]]+tblProjects[[#This Row],[Scrap and material savings]]+tblProjects[[#This Row],[Other savings]]-tblProjects[[#This Row],[Added running cost]])</f>
        <v>8000</v>
      </c>
      <c r="R16" s="39">
        <f>IF(tblProjects[[#This Row],[Start]]="","",IF(tblProjects[[#This Row],[Net annual benefit]]&lt;=0,"",IF(tblProjects[[#This Row],[Investment]]&gt;0,tblProjects[[#This Row],[Investment]]/tblProjects[[#This Row],[Net annual benefit]]*12,0)))</f>
        <v>1.5</v>
      </c>
      <c r="S16" s="40">
        <f>IF(tblProjects[[#This Row],[Start]]="","",IF(tblProjects[[#This Row],[Investment]]&gt;0,tblProjects[[#This Row],[Net annual benefit]]/tblProjects[[#This Row],[Investment]],""))</f>
        <v>8</v>
      </c>
      <c r="T16" s="41" t="str">
        <f>IF(tblProjects[[#This Row],[Start]]="","",IF(tblProjects[[#This Row],[Completed]]&lt;&gt;"","Complete",IF(tblProjects[[#This Row],[Target date]]="","",IF(tblProjects[[#This Row],[Target date]]&lt;AsOf,"Overdue",IF(tblProjects[[#This Row],[Target date]]-AsOf&lt;=DueSoonDays,"Due soon","In progress")))))</f>
        <v>Complete</v>
      </c>
      <c r="U16" s="41" t="str">
        <f>IF(tblProjects[[#This Row],[Start]]="","",IF(OR(tblProjects[[#This Row],[Completed]]="",tblProjects[[#This Row],[Target date]]=""),"",IF(tblProjects[[#This Row],[Completed]]&lt;=tblProjects[[#This Row],[Target date]],"Yes","No")))</f>
        <v>No</v>
      </c>
      <c r="V16" s="38">
        <f>IF(tblProjects[[#This Row],[Start]]="","",IF(tblProjects[[#This Row],[Completed]]="",AsOf-tblProjects[[#This Row],[Start]],tblProjects[[#This Row],[Completed]]-tblProjects[[#This Row],[Start]]))</f>
        <v>13</v>
      </c>
      <c r="W16"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7" spans="2:23">
      <c r="B17" s="28" t="s">
        <v>158</v>
      </c>
      <c r="C17" s="28" t="s">
        <v>159</v>
      </c>
      <c r="D17" s="28" t="s">
        <v>90</v>
      </c>
      <c r="E17" s="28" t="s">
        <v>107</v>
      </c>
      <c r="F17" s="28" t="s">
        <v>91</v>
      </c>
      <c r="G17" s="29">
        <v>46088</v>
      </c>
      <c r="H17" s="29">
        <v>46138</v>
      </c>
      <c r="I17" s="29">
        <v>46150</v>
      </c>
      <c r="J17" s="28"/>
      <c r="K17" s="30">
        <v>4500</v>
      </c>
      <c r="L17" s="30">
        <v>0</v>
      </c>
      <c r="M17" s="30">
        <v>0</v>
      </c>
      <c r="N17" s="30">
        <v>6500</v>
      </c>
      <c r="O17" s="30">
        <v>0</v>
      </c>
      <c r="P17" s="28" t="s">
        <v>137</v>
      </c>
      <c r="Q17" s="38">
        <f>IF(tblProjects[[#This Row],[Start]]="","",tblProjects[[#This Row],[Labor savings]]+tblProjects[[#This Row],[Scrap and material savings]]+tblProjects[[#This Row],[Other savings]]-tblProjects[[#This Row],[Added running cost]])</f>
        <v>6500</v>
      </c>
      <c r="R17" s="39">
        <f>IF(tblProjects[[#This Row],[Start]]="","",IF(tblProjects[[#This Row],[Net annual benefit]]&lt;=0,"",IF(tblProjects[[#This Row],[Investment]]&gt;0,tblProjects[[#This Row],[Investment]]/tblProjects[[#This Row],[Net annual benefit]]*12,0)))</f>
        <v>8.30769230769231</v>
      </c>
      <c r="S17" s="40">
        <f>IF(tblProjects[[#This Row],[Start]]="","",IF(tblProjects[[#This Row],[Investment]]&gt;0,tblProjects[[#This Row],[Net annual benefit]]/tblProjects[[#This Row],[Investment]],""))</f>
        <v>1.44444444444444</v>
      </c>
      <c r="T17" s="41" t="str">
        <f>IF(tblProjects[[#This Row],[Start]]="","",IF(tblProjects[[#This Row],[Completed]]&lt;&gt;"","Complete",IF(tblProjects[[#This Row],[Target date]]="","",IF(tblProjects[[#This Row],[Target date]]&lt;AsOf,"Overdue",IF(tblProjects[[#This Row],[Target date]]-AsOf&lt;=DueSoonDays,"Due soon","In progress")))))</f>
        <v>Complete</v>
      </c>
      <c r="U17" s="41" t="str">
        <f>IF(tblProjects[[#This Row],[Start]]="","",IF(OR(tblProjects[[#This Row],[Completed]]="",tblProjects[[#This Row],[Target date]]=""),"",IF(tblProjects[[#This Row],[Completed]]&lt;=tblProjects[[#This Row],[Target date]],"Yes","No")))</f>
        <v>No</v>
      </c>
      <c r="V17" s="38">
        <f>IF(tblProjects[[#This Row],[Start]]="","",IF(tblProjects[[#This Row],[Completed]]="",AsOf-tblProjects[[#This Row],[Start]],tblProjects[[#This Row],[Completed]]-tblProjects[[#This Row],[Start]]))</f>
        <v>62</v>
      </c>
      <c r="W17"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8" spans="2:23">
      <c r="B18" s="28" t="s">
        <v>160</v>
      </c>
      <c r="C18" s="28" t="s">
        <v>161</v>
      </c>
      <c r="D18" s="28" t="s">
        <v>87</v>
      </c>
      <c r="E18" s="28" t="s">
        <v>111</v>
      </c>
      <c r="F18" s="28" t="s">
        <v>88</v>
      </c>
      <c r="G18" s="29">
        <v>46092</v>
      </c>
      <c r="H18" s="29">
        <v>46102</v>
      </c>
      <c r="I18" s="29"/>
      <c r="J18" s="28" t="s">
        <v>162</v>
      </c>
      <c r="K18" s="30">
        <v>500</v>
      </c>
      <c r="L18" s="30">
        <v>5500</v>
      </c>
      <c r="M18" s="30">
        <v>2500</v>
      </c>
      <c r="N18" s="30">
        <v>0</v>
      </c>
      <c r="O18" s="30">
        <v>1200</v>
      </c>
      <c r="P18" s="28" t="s">
        <v>140</v>
      </c>
      <c r="Q18" s="38">
        <f>IF(tblProjects[[#This Row],[Start]]="","",tblProjects[[#This Row],[Labor savings]]+tblProjects[[#This Row],[Scrap and material savings]]+tblProjects[[#This Row],[Other savings]]-tblProjects[[#This Row],[Added running cost]])</f>
        <v>6800</v>
      </c>
      <c r="R18" s="39">
        <f>IF(tblProjects[[#This Row],[Start]]="","",IF(tblProjects[[#This Row],[Net annual benefit]]&lt;=0,"",IF(tblProjects[[#This Row],[Investment]]&gt;0,tblProjects[[#This Row],[Investment]]/tblProjects[[#This Row],[Net annual benefit]]*12,0)))</f>
        <v>0.882352941176471</v>
      </c>
      <c r="S18" s="40">
        <f>IF(tblProjects[[#This Row],[Start]]="","",IF(tblProjects[[#This Row],[Investment]]&gt;0,tblProjects[[#This Row],[Net annual benefit]]/tblProjects[[#This Row],[Investment]],""))</f>
        <v>13.6</v>
      </c>
      <c r="T18" s="41" t="str">
        <f>IF(tblProjects[[#This Row],[Start]]="","",IF(tblProjects[[#This Row],[Completed]]&lt;&gt;"","Complete",IF(tblProjects[[#This Row],[Target date]]="","",IF(tblProjects[[#This Row],[Target date]]&lt;AsOf,"Overdue",IF(tblProjects[[#This Row],[Target date]]-AsOf&lt;=DueSoonDays,"Due soon","In progress")))))</f>
        <v>Overdue</v>
      </c>
      <c r="U18" s="41">
        <f>IF(tblProjects[[#This Row],[Start]]="","",IF(OR(tblProjects[[#This Row],[Completed]]="",tblProjects[[#This Row],[Target date]]=""),"",IF(tblProjects[[#This Row],[Completed]]&lt;=tblProjects[[#This Row],[Target date]],"Yes","No")))</f>
        <v/>
      </c>
      <c r="V18" s="38">
        <f>IF(tblProjects[[#This Row],[Start]]="","",IF(tblProjects[[#This Row],[Completed]]="",AsOf-tblProjects[[#This Row],[Start]],tblProjects[[#This Row],[Completed]]-tblProjects[[#This Row],[Start]]))</f>
        <v>212</v>
      </c>
      <c r="W18"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19" spans="2:23">
      <c r="B19" s="28" t="s">
        <v>163</v>
      </c>
      <c r="C19" s="28" t="s">
        <v>164</v>
      </c>
      <c r="D19" s="28" t="s">
        <v>87</v>
      </c>
      <c r="E19" s="28" t="s">
        <v>103</v>
      </c>
      <c r="F19" s="28" t="s">
        <v>88</v>
      </c>
      <c r="G19" s="29">
        <v>46105</v>
      </c>
      <c r="H19" s="29">
        <v>46152</v>
      </c>
      <c r="I19" s="29">
        <v>46164</v>
      </c>
      <c r="J19" s="28"/>
      <c r="K19" s="30">
        <v>17000</v>
      </c>
      <c r="L19" s="30">
        <v>18000</v>
      </c>
      <c r="M19" s="30">
        <v>4000</v>
      </c>
      <c r="N19" s="30">
        <v>0</v>
      </c>
      <c r="O19" s="30">
        <v>0</v>
      </c>
      <c r="P19" s="28" t="s">
        <v>137</v>
      </c>
      <c r="Q19" s="38">
        <f>IF(tblProjects[[#This Row],[Start]]="","",tblProjects[[#This Row],[Labor savings]]+tblProjects[[#This Row],[Scrap and material savings]]+tblProjects[[#This Row],[Other savings]]-tblProjects[[#This Row],[Added running cost]])</f>
        <v>22000</v>
      </c>
      <c r="R19" s="39">
        <f>IF(tblProjects[[#This Row],[Start]]="","",IF(tblProjects[[#This Row],[Net annual benefit]]&lt;=0,"",IF(tblProjects[[#This Row],[Investment]]&gt;0,tblProjects[[#This Row],[Investment]]/tblProjects[[#This Row],[Net annual benefit]]*12,0)))</f>
        <v>9.27272727272727</v>
      </c>
      <c r="S19" s="40">
        <f>IF(tblProjects[[#This Row],[Start]]="","",IF(tblProjects[[#This Row],[Investment]]&gt;0,tblProjects[[#This Row],[Net annual benefit]]/tblProjects[[#This Row],[Investment]],""))</f>
        <v>1.29411764705882</v>
      </c>
      <c r="T19" s="41" t="str">
        <f>IF(tblProjects[[#This Row],[Start]]="","",IF(tblProjects[[#This Row],[Completed]]&lt;&gt;"","Complete",IF(tblProjects[[#This Row],[Target date]]="","",IF(tblProjects[[#This Row],[Target date]]&lt;AsOf,"Overdue",IF(tblProjects[[#This Row],[Target date]]-AsOf&lt;=DueSoonDays,"Due soon","In progress")))))</f>
        <v>Complete</v>
      </c>
      <c r="U19" s="41" t="str">
        <f>IF(tblProjects[[#This Row],[Start]]="","",IF(OR(tblProjects[[#This Row],[Completed]]="",tblProjects[[#This Row],[Target date]]=""),"",IF(tblProjects[[#This Row],[Completed]]&lt;=tblProjects[[#This Row],[Target date]],"Yes","No")))</f>
        <v>No</v>
      </c>
      <c r="V19" s="38">
        <f>IF(tblProjects[[#This Row],[Start]]="","",IF(tblProjects[[#This Row],[Completed]]="",AsOf-tblProjects[[#This Row],[Start]],tblProjects[[#This Row],[Completed]]-tblProjects[[#This Row],[Start]]))</f>
        <v>59</v>
      </c>
      <c r="W19"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0" spans="2:23">
      <c r="B20" s="28" t="s">
        <v>165</v>
      </c>
      <c r="C20" s="28" t="s">
        <v>166</v>
      </c>
      <c r="D20" s="28" t="s">
        <v>84</v>
      </c>
      <c r="E20" s="28" t="s">
        <v>101</v>
      </c>
      <c r="F20" s="28" t="s">
        <v>85</v>
      </c>
      <c r="G20" s="29">
        <v>46114</v>
      </c>
      <c r="H20" s="29">
        <v>46145</v>
      </c>
      <c r="I20" s="29">
        <v>46153</v>
      </c>
      <c r="J20" s="28"/>
      <c r="K20" s="30">
        <v>7500</v>
      </c>
      <c r="L20" s="30">
        <v>35500</v>
      </c>
      <c r="M20" s="30">
        <v>4500</v>
      </c>
      <c r="N20" s="30">
        <v>1000</v>
      </c>
      <c r="O20" s="30">
        <v>0</v>
      </c>
      <c r="P20" s="28" t="s">
        <v>137</v>
      </c>
      <c r="Q20" s="38">
        <f>IF(tblProjects[[#This Row],[Start]]="","",tblProjects[[#This Row],[Labor savings]]+tblProjects[[#This Row],[Scrap and material savings]]+tblProjects[[#This Row],[Other savings]]-tblProjects[[#This Row],[Added running cost]])</f>
        <v>41000</v>
      </c>
      <c r="R20" s="39">
        <f>IF(tblProjects[[#This Row],[Start]]="","",IF(tblProjects[[#This Row],[Net annual benefit]]&lt;=0,"",IF(tblProjects[[#This Row],[Investment]]&gt;0,tblProjects[[#This Row],[Investment]]/tblProjects[[#This Row],[Net annual benefit]]*12,0)))</f>
        <v>2.19512195121951</v>
      </c>
      <c r="S20" s="40">
        <f>IF(tblProjects[[#This Row],[Start]]="","",IF(tblProjects[[#This Row],[Investment]]&gt;0,tblProjects[[#This Row],[Net annual benefit]]/tblProjects[[#This Row],[Investment]],""))</f>
        <v>5.46666666666667</v>
      </c>
      <c r="T20" s="41" t="str">
        <f>IF(tblProjects[[#This Row],[Start]]="","",IF(tblProjects[[#This Row],[Completed]]&lt;&gt;"","Complete",IF(tblProjects[[#This Row],[Target date]]="","",IF(tblProjects[[#This Row],[Target date]]&lt;AsOf,"Overdue",IF(tblProjects[[#This Row],[Target date]]-AsOf&lt;=DueSoonDays,"Due soon","In progress")))))</f>
        <v>Complete</v>
      </c>
      <c r="U20" s="41" t="str">
        <f>IF(tblProjects[[#This Row],[Start]]="","",IF(OR(tblProjects[[#This Row],[Completed]]="",tblProjects[[#This Row],[Target date]]=""),"",IF(tblProjects[[#This Row],[Completed]]&lt;=tblProjects[[#This Row],[Target date]],"Yes","No")))</f>
        <v>No</v>
      </c>
      <c r="V20" s="38">
        <f>IF(tblProjects[[#This Row],[Start]]="","",IF(tblProjects[[#This Row],[Completed]]="",AsOf-tblProjects[[#This Row],[Start]],tblProjects[[#This Row],[Completed]]-tblProjects[[#This Row],[Start]]))</f>
        <v>39</v>
      </c>
      <c r="W20"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1" spans="2:23">
      <c r="B21" s="28" t="s">
        <v>167</v>
      </c>
      <c r="C21" s="28" t="s">
        <v>168</v>
      </c>
      <c r="D21" s="28" t="s">
        <v>81</v>
      </c>
      <c r="E21" s="28" t="s">
        <v>105</v>
      </c>
      <c r="F21" s="28" t="s">
        <v>91</v>
      </c>
      <c r="G21" s="29">
        <v>46120</v>
      </c>
      <c r="H21" s="29">
        <v>46154</v>
      </c>
      <c r="I21" s="29">
        <v>46157</v>
      </c>
      <c r="J21" s="28"/>
      <c r="K21" s="30">
        <v>3500</v>
      </c>
      <c r="L21" s="30">
        <v>5000</v>
      </c>
      <c r="M21" s="30">
        <v>35000</v>
      </c>
      <c r="N21" s="30">
        <v>0</v>
      </c>
      <c r="O21" s="30">
        <v>0</v>
      </c>
      <c r="P21" s="28" t="s">
        <v>140</v>
      </c>
      <c r="Q21" s="38">
        <f>IF(tblProjects[[#This Row],[Start]]="","",tblProjects[[#This Row],[Labor savings]]+tblProjects[[#This Row],[Scrap and material savings]]+tblProjects[[#This Row],[Other savings]]-tblProjects[[#This Row],[Added running cost]])</f>
        <v>40000</v>
      </c>
      <c r="R21" s="39">
        <f>IF(tblProjects[[#This Row],[Start]]="","",IF(tblProjects[[#This Row],[Net annual benefit]]&lt;=0,"",IF(tblProjects[[#This Row],[Investment]]&gt;0,tblProjects[[#This Row],[Investment]]/tblProjects[[#This Row],[Net annual benefit]]*12,0)))</f>
        <v>1.05</v>
      </c>
      <c r="S21" s="40">
        <f>IF(tblProjects[[#This Row],[Start]]="","",IF(tblProjects[[#This Row],[Investment]]&gt;0,tblProjects[[#This Row],[Net annual benefit]]/tblProjects[[#This Row],[Investment]],""))</f>
        <v>11.4285714285714</v>
      </c>
      <c r="T21" s="41" t="str">
        <f>IF(tblProjects[[#This Row],[Start]]="","",IF(tblProjects[[#This Row],[Completed]]&lt;&gt;"","Complete",IF(tblProjects[[#This Row],[Target date]]="","",IF(tblProjects[[#This Row],[Target date]]&lt;AsOf,"Overdue",IF(tblProjects[[#This Row],[Target date]]-AsOf&lt;=DueSoonDays,"Due soon","In progress")))))</f>
        <v>Complete</v>
      </c>
      <c r="U21" s="41" t="str">
        <f>IF(tblProjects[[#This Row],[Start]]="","",IF(OR(tblProjects[[#This Row],[Completed]]="",tblProjects[[#This Row],[Target date]]=""),"",IF(tblProjects[[#This Row],[Completed]]&lt;=tblProjects[[#This Row],[Target date]],"Yes","No")))</f>
        <v>No</v>
      </c>
      <c r="V21" s="38">
        <f>IF(tblProjects[[#This Row],[Start]]="","",IF(tblProjects[[#This Row],[Completed]]="",AsOf-tblProjects[[#This Row],[Start]],tblProjects[[#This Row],[Completed]]-tblProjects[[#This Row],[Start]]))</f>
        <v>37</v>
      </c>
      <c r="W21"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2" spans="2:23">
      <c r="B22" s="28" t="s">
        <v>169</v>
      </c>
      <c r="C22" s="28" t="s">
        <v>170</v>
      </c>
      <c r="D22" s="28" t="s">
        <v>81</v>
      </c>
      <c r="E22" s="28" t="s">
        <v>107</v>
      </c>
      <c r="F22" s="28" t="s">
        <v>85</v>
      </c>
      <c r="G22" s="29">
        <v>46129</v>
      </c>
      <c r="H22" s="29">
        <v>46173</v>
      </c>
      <c r="I22" s="29">
        <v>46173</v>
      </c>
      <c r="J22" s="28"/>
      <c r="K22" s="30">
        <v>15500</v>
      </c>
      <c r="L22" s="30">
        <v>0</v>
      </c>
      <c r="M22" s="30">
        <v>0</v>
      </c>
      <c r="N22" s="30">
        <v>5000</v>
      </c>
      <c r="O22" s="30">
        <v>0</v>
      </c>
      <c r="P22" s="28" t="s">
        <v>140</v>
      </c>
      <c r="Q22" s="38">
        <f>IF(tblProjects[[#This Row],[Start]]="","",tblProjects[[#This Row],[Labor savings]]+tblProjects[[#This Row],[Scrap and material savings]]+tblProjects[[#This Row],[Other savings]]-tblProjects[[#This Row],[Added running cost]])</f>
        <v>5000</v>
      </c>
      <c r="R22" s="39">
        <f>IF(tblProjects[[#This Row],[Start]]="","",IF(tblProjects[[#This Row],[Net annual benefit]]&lt;=0,"",IF(tblProjects[[#This Row],[Investment]]&gt;0,tblProjects[[#This Row],[Investment]]/tblProjects[[#This Row],[Net annual benefit]]*12,0)))</f>
        <v>37.2</v>
      </c>
      <c r="S22" s="40">
        <f>IF(tblProjects[[#This Row],[Start]]="","",IF(tblProjects[[#This Row],[Investment]]&gt;0,tblProjects[[#This Row],[Net annual benefit]]/tblProjects[[#This Row],[Investment]],""))</f>
        <v>0.32258064516129</v>
      </c>
      <c r="T22" s="41" t="str">
        <f>IF(tblProjects[[#This Row],[Start]]="","",IF(tblProjects[[#This Row],[Completed]]&lt;&gt;"","Complete",IF(tblProjects[[#This Row],[Target date]]="","",IF(tblProjects[[#This Row],[Target date]]&lt;AsOf,"Overdue",IF(tblProjects[[#This Row],[Target date]]-AsOf&lt;=DueSoonDays,"Due soon","In progress")))))</f>
        <v>Complete</v>
      </c>
      <c r="U22" s="41" t="str">
        <f>IF(tblProjects[[#This Row],[Start]]="","",IF(OR(tblProjects[[#This Row],[Completed]]="",tblProjects[[#This Row],[Target date]]=""),"",IF(tblProjects[[#This Row],[Completed]]&lt;=tblProjects[[#This Row],[Target date]],"Yes","No")))</f>
        <v>Yes</v>
      </c>
      <c r="V22" s="38">
        <f>IF(tblProjects[[#This Row],[Start]]="","",IF(tblProjects[[#This Row],[Completed]]="",AsOf-tblProjects[[#This Row],[Start]],tblProjects[[#This Row],[Completed]]-tblProjects[[#This Row],[Start]]))</f>
        <v>44</v>
      </c>
      <c r="W22"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3" spans="2:23">
      <c r="B23" s="28" t="s">
        <v>171</v>
      </c>
      <c r="C23" s="28" t="s">
        <v>172</v>
      </c>
      <c r="D23" s="28" t="s">
        <v>96</v>
      </c>
      <c r="E23" s="28" t="s">
        <v>101</v>
      </c>
      <c r="F23" s="28" t="s">
        <v>97</v>
      </c>
      <c r="G23" s="29">
        <v>46136</v>
      </c>
      <c r="H23" s="29">
        <v>46169</v>
      </c>
      <c r="I23" s="29">
        <v>46185</v>
      </c>
      <c r="J23" s="28"/>
      <c r="K23" s="30">
        <v>5500</v>
      </c>
      <c r="L23" s="30">
        <v>10500</v>
      </c>
      <c r="M23" s="30">
        <v>1000</v>
      </c>
      <c r="N23" s="30">
        <v>3000</v>
      </c>
      <c r="O23" s="30">
        <v>0</v>
      </c>
      <c r="P23" s="28" t="s">
        <v>137</v>
      </c>
      <c r="Q23" s="38">
        <f>IF(tblProjects[[#This Row],[Start]]="","",tblProjects[[#This Row],[Labor savings]]+tblProjects[[#This Row],[Scrap and material savings]]+tblProjects[[#This Row],[Other savings]]-tblProjects[[#This Row],[Added running cost]])</f>
        <v>14500</v>
      </c>
      <c r="R23" s="39">
        <f>IF(tblProjects[[#This Row],[Start]]="","",IF(tblProjects[[#This Row],[Net annual benefit]]&lt;=0,"",IF(tblProjects[[#This Row],[Investment]]&gt;0,tblProjects[[#This Row],[Investment]]/tblProjects[[#This Row],[Net annual benefit]]*12,0)))</f>
        <v>4.55172413793103</v>
      </c>
      <c r="S23" s="40">
        <f>IF(tblProjects[[#This Row],[Start]]="","",IF(tblProjects[[#This Row],[Investment]]&gt;0,tblProjects[[#This Row],[Net annual benefit]]/tblProjects[[#This Row],[Investment]],""))</f>
        <v>2.63636363636364</v>
      </c>
      <c r="T23" s="41" t="str">
        <f>IF(tblProjects[[#This Row],[Start]]="","",IF(tblProjects[[#This Row],[Completed]]&lt;&gt;"","Complete",IF(tblProjects[[#This Row],[Target date]]="","",IF(tblProjects[[#This Row],[Target date]]&lt;AsOf,"Overdue",IF(tblProjects[[#This Row],[Target date]]-AsOf&lt;=DueSoonDays,"Due soon","In progress")))))</f>
        <v>Complete</v>
      </c>
      <c r="U23" s="41" t="str">
        <f>IF(tblProjects[[#This Row],[Start]]="","",IF(OR(tblProjects[[#This Row],[Completed]]="",tblProjects[[#This Row],[Target date]]=""),"",IF(tblProjects[[#This Row],[Completed]]&lt;=tblProjects[[#This Row],[Target date]],"Yes","No")))</f>
        <v>No</v>
      </c>
      <c r="V23" s="38">
        <f>IF(tblProjects[[#This Row],[Start]]="","",IF(tblProjects[[#This Row],[Completed]]="",AsOf-tblProjects[[#This Row],[Start]],tblProjects[[#This Row],[Completed]]-tblProjects[[#This Row],[Start]]))</f>
        <v>49</v>
      </c>
      <c r="W23"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4" spans="2:23">
      <c r="B24" s="28" t="s">
        <v>173</v>
      </c>
      <c r="C24" s="28" t="s">
        <v>174</v>
      </c>
      <c r="D24" s="28" t="s">
        <v>90</v>
      </c>
      <c r="E24" s="28" t="s">
        <v>101</v>
      </c>
      <c r="F24" s="28" t="s">
        <v>143</v>
      </c>
      <c r="G24" s="29">
        <v>46144</v>
      </c>
      <c r="H24" s="29">
        <v>46192</v>
      </c>
      <c r="I24" s="29"/>
      <c r="J24" s="28" t="s">
        <v>162</v>
      </c>
      <c r="K24" s="30">
        <v>6500</v>
      </c>
      <c r="L24" s="30">
        <v>40500</v>
      </c>
      <c r="M24" s="30">
        <v>6000</v>
      </c>
      <c r="N24" s="30">
        <v>3500</v>
      </c>
      <c r="O24" s="30">
        <v>900</v>
      </c>
      <c r="P24" s="28" t="s">
        <v>140</v>
      </c>
      <c r="Q24" s="38">
        <f>IF(tblProjects[[#This Row],[Start]]="","",tblProjects[[#This Row],[Labor savings]]+tblProjects[[#This Row],[Scrap and material savings]]+tblProjects[[#This Row],[Other savings]]-tblProjects[[#This Row],[Added running cost]])</f>
        <v>49100</v>
      </c>
      <c r="R24" s="39">
        <f>IF(tblProjects[[#This Row],[Start]]="","",IF(tblProjects[[#This Row],[Net annual benefit]]&lt;=0,"",IF(tblProjects[[#This Row],[Investment]]&gt;0,tblProjects[[#This Row],[Investment]]/tblProjects[[#This Row],[Net annual benefit]]*12,0)))</f>
        <v>1.58859470468432</v>
      </c>
      <c r="S24" s="40">
        <f>IF(tblProjects[[#This Row],[Start]]="","",IF(tblProjects[[#This Row],[Investment]]&gt;0,tblProjects[[#This Row],[Net annual benefit]]/tblProjects[[#This Row],[Investment]],""))</f>
        <v>7.55384615384615</v>
      </c>
      <c r="T24" s="41" t="str">
        <f>IF(tblProjects[[#This Row],[Start]]="","",IF(tblProjects[[#This Row],[Completed]]&lt;&gt;"","Complete",IF(tblProjects[[#This Row],[Target date]]="","",IF(tblProjects[[#This Row],[Target date]]&lt;AsOf,"Overdue",IF(tblProjects[[#This Row],[Target date]]-AsOf&lt;=DueSoonDays,"Due soon","In progress")))))</f>
        <v>Overdue</v>
      </c>
      <c r="U24" s="41">
        <f>IF(tblProjects[[#This Row],[Start]]="","",IF(OR(tblProjects[[#This Row],[Completed]]="",tblProjects[[#This Row],[Target date]]=""),"",IF(tblProjects[[#This Row],[Completed]]&lt;=tblProjects[[#This Row],[Target date]],"Yes","No")))</f>
        <v/>
      </c>
      <c r="V24" s="38">
        <f>IF(tblProjects[[#This Row],[Start]]="","",IF(tblProjects[[#This Row],[Completed]]="",AsOf-tblProjects[[#This Row],[Start]],tblProjects[[#This Row],[Completed]]-tblProjects[[#This Row],[Start]]))</f>
        <v>160</v>
      </c>
      <c r="W24"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5" spans="2:23">
      <c r="B25" s="28" t="s">
        <v>175</v>
      </c>
      <c r="C25" s="28" t="s">
        <v>176</v>
      </c>
      <c r="D25" s="28" t="s">
        <v>81</v>
      </c>
      <c r="E25" s="28" t="s">
        <v>107</v>
      </c>
      <c r="F25" s="28" t="s">
        <v>82</v>
      </c>
      <c r="G25" s="29">
        <v>46152</v>
      </c>
      <c r="H25" s="29">
        <v>46187</v>
      </c>
      <c r="I25" s="29">
        <v>46205</v>
      </c>
      <c r="J25" s="28"/>
      <c r="K25" s="30">
        <v>16000</v>
      </c>
      <c r="L25" s="30">
        <v>0</v>
      </c>
      <c r="M25" s="30">
        <v>0</v>
      </c>
      <c r="N25" s="30">
        <v>12000</v>
      </c>
      <c r="O25" s="30">
        <v>0</v>
      </c>
      <c r="P25" s="28" t="s">
        <v>137</v>
      </c>
      <c r="Q25" s="38">
        <f>IF(tblProjects[[#This Row],[Start]]="","",tblProjects[[#This Row],[Labor savings]]+tblProjects[[#This Row],[Scrap and material savings]]+tblProjects[[#This Row],[Other savings]]-tblProjects[[#This Row],[Added running cost]])</f>
        <v>12000</v>
      </c>
      <c r="R25" s="39">
        <f>IF(tblProjects[[#This Row],[Start]]="","",IF(tblProjects[[#This Row],[Net annual benefit]]&lt;=0,"",IF(tblProjects[[#This Row],[Investment]]&gt;0,tblProjects[[#This Row],[Investment]]/tblProjects[[#This Row],[Net annual benefit]]*12,0)))</f>
        <v>16</v>
      </c>
      <c r="S25" s="40">
        <f>IF(tblProjects[[#This Row],[Start]]="","",IF(tblProjects[[#This Row],[Investment]]&gt;0,tblProjects[[#This Row],[Net annual benefit]]/tblProjects[[#This Row],[Investment]],""))</f>
        <v>0.75</v>
      </c>
      <c r="T25" s="41" t="str">
        <f>IF(tblProjects[[#This Row],[Start]]="","",IF(tblProjects[[#This Row],[Completed]]&lt;&gt;"","Complete",IF(tblProjects[[#This Row],[Target date]]="","",IF(tblProjects[[#This Row],[Target date]]&lt;AsOf,"Overdue",IF(tblProjects[[#This Row],[Target date]]-AsOf&lt;=DueSoonDays,"Due soon","In progress")))))</f>
        <v>Complete</v>
      </c>
      <c r="U25" s="41" t="str">
        <f>IF(tblProjects[[#This Row],[Start]]="","",IF(OR(tblProjects[[#This Row],[Completed]]="",tblProjects[[#This Row],[Target date]]=""),"",IF(tblProjects[[#This Row],[Completed]]&lt;=tblProjects[[#This Row],[Target date]],"Yes","No")))</f>
        <v>No</v>
      </c>
      <c r="V25" s="38">
        <f>IF(tblProjects[[#This Row],[Start]]="","",IF(tblProjects[[#This Row],[Completed]]="",AsOf-tblProjects[[#This Row],[Start]],tblProjects[[#This Row],[Completed]]-tblProjects[[#This Row],[Start]]))</f>
        <v>53</v>
      </c>
      <c r="W25"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6" spans="2:23">
      <c r="B26" s="28" t="s">
        <v>177</v>
      </c>
      <c r="C26" s="28" t="s">
        <v>178</v>
      </c>
      <c r="D26" s="28" t="s">
        <v>96</v>
      </c>
      <c r="E26" s="28" t="s">
        <v>101</v>
      </c>
      <c r="F26" s="28" t="s">
        <v>97</v>
      </c>
      <c r="G26" s="29">
        <v>46190</v>
      </c>
      <c r="H26" s="29">
        <v>46220</v>
      </c>
      <c r="I26" s="29">
        <v>46220</v>
      </c>
      <c r="J26" s="28"/>
      <c r="K26" s="30">
        <v>5000</v>
      </c>
      <c r="L26" s="30">
        <v>24000</v>
      </c>
      <c r="M26" s="30">
        <v>4000</v>
      </c>
      <c r="N26" s="30">
        <v>4500</v>
      </c>
      <c r="O26" s="30">
        <v>0</v>
      </c>
      <c r="P26" s="28" t="s">
        <v>140</v>
      </c>
      <c r="Q26" s="38">
        <f>IF(tblProjects[[#This Row],[Start]]="","",tblProjects[[#This Row],[Labor savings]]+tblProjects[[#This Row],[Scrap and material savings]]+tblProjects[[#This Row],[Other savings]]-tblProjects[[#This Row],[Added running cost]])</f>
        <v>32500</v>
      </c>
      <c r="R26" s="39">
        <f>IF(tblProjects[[#This Row],[Start]]="","",IF(tblProjects[[#This Row],[Net annual benefit]]&lt;=0,"",IF(tblProjects[[#This Row],[Investment]]&gt;0,tblProjects[[#This Row],[Investment]]/tblProjects[[#This Row],[Net annual benefit]]*12,0)))</f>
        <v>1.84615384615385</v>
      </c>
      <c r="S26" s="40">
        <f>IF(tblProjects[[#This Row],[Start]]="","",IF(tblProjects[[#This Row],[Investment]]&gt;0,tblProjects[[#This Row],[Net annual benefit]]/tblProjects[[#This Row],[Investment]],""))</f>
        <v>6.5</v>
      </c>
      <c r="T26" s="41" t="str">
        <f>IF(tblProjects[[#This Row],[Start]]="","",IF(tblProjects[[#This Row],[Completed]]&lt;&gt;"","Complete",IF(tblProjects[[#This Row],[Target date]]="","",IF(tblProjects[[#This Row],[Target date]]&lt;AsOf,"Overdue",IF(tblProjects[[#This Row],[Target date]]-AsOf&lt;=DueSoonDays,"Due soon","In progress")))))</f>
        <v>Complete</v>
      </c>
      <c r="U26" s="41" t="str">
        <f>IF(tblProjects[[#This Row],[Start]]="","",IF(OR(tblProjects[[#This Row],[Completed]]="",tblProjects[[#This Row],[Target date]]=""),"",IF(tblProjects[[#This Row],[Completed]]&lt;=tblProjects[[#This Row],[Target date]],"Yes","No")))</f>
        <v>Yes</v>
      </c>
      <c r="V26" s="38">
        <f>IF(tblProjects[[#This Row],[Start]]="","",IF(tblProjects[[#This Row],[Completed]]="",AsOf-tblProjects[[#This Row],[Start]],tblProjects[[#This Row],[Completed]]-tblProjects[[#This Row],[Start]]))</f>
        <v>30</v>
      </c>
      <c r="W26"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7" spans="2:23">
      <c r="B27" s="28" t="s">
        <v>179</v>
      </c>
      <c r="C27" s="28" t="s">
        <v>180</v>
      </c>
      <c r="D27" s="28" t="s">
        <v>84</v>
      </c>
      <c r="E27" s="28" t="s">
        <v>101</v>
      </c>
      <c r="F27" s="28" t="s">
        <v>97</v>
      </c>
      <c r="G27" s="29">
        <v>46191</v>
      </c>
      <c r="H27" s="29">
        <v>46234</v>
      </c>
      <c r="I27" s="29">
        <v>46234</v>
      </c>
      <c r="J27" s="28"/>
      <c r="K27" s="30">
        <v>5000</v>
      </c>
      <c r="L27" s="30">
        <v>15000</v>
      </c>
      <c r="M27" s="30">
        <v>6000</v>
      </c>
      <c r="N27" s="30">
        <v>500</v>
      </c>
      <c r="O27" s="30">
        <v>0</v>
      </c>
      <c r="P27" s="28" t="s">
        <v>137</v>
      </c>
      <c r="Q27" s="38">
        <f>IF(tblProjects[[#This Row],[Start]]="","",tblProjects[[#This Row],[Labor savings]]+tblProjects[[#This Row],[Scrap and material savings]]+tblProjects[[#This Row],[Other savings]]-tblProjects[[#This Row],[Added running cost]])</f>
        <v>21500</v>
      </c>
      <c r="R27" s="39">
        <f>IF(tblProjects[[#This Row],[Start]]="","",IF(tblProjects[[#This Row],[Net annual benefit]]&lt;=0,"",IF(tblProjects[[#This Row],[Investment]]&gt;0,tblProjects[[#This Row],[Investment]]/tblProjects[[#This Row],[Net annual benefit]]*12,0)))</f>
        <v>2.7906976744186</v>
      </c>
      <c r="S27" s="40">
        <f>IF(tblProjects[[#This Row],[Start]]="","",IF(tblProjects[[#This Row],[Investment]]&gt;0,tblProjects[[#This Row],[Net annual benefit]]/tblProjects[[#This Row],[Investment]],""))</f>
        <v>4.3</v>
      </c>
      <c r="T27" s="41" t="str">
        <f>IF(tblProjects[[#This Row],[Start]]="","",IF(tblProjects[[#This Row],[Completed]]&lt;&gt;"","Complete",IF(tblProjects[[#This Row],[Target date]]="","",IF(tblProjects[[#This Row],[Target date]]&lt;AsOf,"Overdue",IF(tblProjects[[#This Row],[Target date]]-AsOf&lt;=DueSoonDays,"Due soon","In progress")))))</f>
        <v>Complete</v>
      </c>
      <c r="U27" s="41" t="str">
        <f>IF(tblProjects[[#This Row],[Start]]="","",IF(OR(tblProjects[[#This Row],[Completed]]="",tblProjects[[#This Row],[Target date]]=""),"",IF(tblProjects[[#This Row],[Completed]]&lt;=tblProjects[[#This Row],[Target date]],"Yes","No")))</f>
        <v>Yes</v>
      </c>
      <c r="V27" s="38">
        <f>IF(tblProjects[[#This Row],[Start]]="","",IF(tblProjects[[#This Row],[Completed]]="",AsOf-tblProjects[[#This Row],[Start]],tblProjects[[#This Row],[Completed]]-tblProjects[[#This Row],[Start]]))</f>
        <v>43</v>
      </c>
      <c r="W27"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8" spans="2:23">
      <c r="B28" s="28" t="s">
        <v>181</v>
      </c>
      <c r="C28" s="28" t="s">
        <v>182</v>
      </c>
      <c r="D28" s="28" t="s">
        <v>87</v>
      </c>
      <c r="E28" s="28" t="s">
        <v>101</v>
      </c>
      <c r="F28" s="28" t="s">
        <v>88</v>
      </c>
      <c r="G28" s="29">
        <v>46194</v>
      </c>
      <c r="H28" s="29">
        <v>46223</v>
      </c>
      <c r="I28" s="29">
        <v>46223</v>
      </c>
      <c r="J28" s="28"/>
      <c r="K28" s="30">
        <v>9000</v>
      </c>
      <c r="L28" s="30">
        <v>17500</v>
      </c>
      <c r="M28" s="30">
        <v>2500</v>
      </c>
      <c r="N28" s="30">
        <v>5500</v>
      </c>
      <c r="O28" s="30">
        <v>0</v>
      </c>
      <c r="P28" s="28" t="s">
        <v>137</v>
      </c>
      <c r="Q28" s="38">
        <f>IF(tblProjects[[#This Row],[Start]]="","",tblProjects[[#This Row],[Labor savings]]+tblProjects[[#This Row],[Scrap and material savings]]+tblProjects[[#This Row],[Other savings]]-tblProjects[[#This Row],[Added running cost]])</f>
        <v>25500</v>
      </c>
      <c r="R28" s="39">
        <f>IF(tblProjects[[#This Row],[Start]]="","",IF(tblProjects[[#This Row],[Net annual benefit]]&lt;=0,"",IF(tblProjects[[#This Row],[Investment]]&gt;0,tblProjects[[#This Row],[Investment]]/tblProjects[[#This Row],[Net annual benefit]]*12,0)))</f>
        <v>4.23529411764706</v>
      </c>
      <c r="S28" s="40">
        <f>IF(tblProjects[[#This Row],[Start]]="","",IF(tblProjects[[#This Row],[Investment]]&gt;0,tblProjects[[#This Row],[Net annual benefit]]/tblProjects[[#This Row],[Investment]],""))</f>
        <v>2.83333333333333</v>
      </c>
      <c r="T28" s="41" t="str">
        <f>IF(tblProjects[[#This Row],[Start]]="","",IF(tblProjects[[#This Row],[Completed]]&lt;&gt;"","Complete",IF(tblProjects[[#This Row],[Target date]]="","",IF(tblProjects[[#This Row],[Target date]]&lt;AsOf,"Overdue",IF(tblProjects[[#This Row],[Target date]]-AsOf&lt;=DueSoonDays,"Due soon","In progress")))))</f>
        <v>Complete</v>
      </c>
      <c r="U28" s="41" t="str">
        <f>IF(tblProjects[[#This Row],[Start]]="","",IF(OR(tblProjects[[#This Row],[Completed]]="",tblProjects[[#This Row],[Target date]]=""),"",IF(tblProjects[[#This Row],[Completed]]&lt;=tblProjects[[#This Row],[Target date]],"Yes","No")))</f>
        <v>Yes</v>
      </c>
      <c r="V28" s="38">
        <f>IF(tblProjects[[#This Row],[Start]]="","",IF(tblProjects[[#This Row],[Completed]]="",AsOf-tblProjects[[#This Row],[Start]],tblProjects[[#This Row],[Completed]]-tblProjects[[#This Row],[Start]]))</f>
        <v>29</v>
      </c>
      <c r="W28"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29" spans="2:23">
      <c r="B29" s="28" t="s">
        <v>183</v>
      </c>
      <c r="C29" s="28" t="s">
        <v>184</v>
      </c>
      <c r="D29" s="28" t="s">
        <v>93</v>
      </c>
      <c r="E29" s="28" t="s">
        <v>101</v>
      </c>
      <c r="F29" s="28" t="s">
        <v>91</v>
      </c>
      <c r="G29" s="29">
        <v>46220</v>
      </c>
      <c r="H29" s="29">
        <v>46270</v>
      </c>
      <c r="I29" s="29">
        <v>46268</v>
      </c>
      <c r="J29" s="28"/>
      <c r="K29" s="30">
        <v>15500</v>
      </c>
      <c r="L29" s="30">
        <v>26000</v>
      </c>
      <c r="M29" s="30">
        <v>500</v>
      </c>
      <c r="N29" s="30">
        <v>2500</v>
      </c>
      <c r="O29" s="30">
        <v>0</v>
      </c>
      <c r="P29" s="28" t="s">
        <v>140</v>
      </c>
      <c r="Q29" s="38">
        <f>IF(tblProjects[[#This Row],[Start]]="","",tblProjects[[#This Row],[Labor savings]]+tblProjects[[#This Row],[Scrap and material savings]]+tblProjects[[#This Row],[Other savings]]-tblProjects[[#This Row],[Added running cost]])</f>
        <v>29000</v>
      </c>
      <c r="R29" s="39">
        <f>IF(tblProjects[[#This Row],[Start]]="","",IF(tblProjects[[#This Row],[Net annual benefit]]&lt;=0,"",IF(tblProjects[[#This Row],[Investment]]&gt;0,tblProjects[[#This Row],[Investment]]/tblProjects[[#This Row],[Net annual benefit]]*12,0)))</f>
        <v>6.41379310344828</v>
      </c>
      <c r="S29" s="40">
        <f>IF(tblProjects[[#This Row],[Start]]="","",IF(tblProjects[[#This Row],[Investment]]&gt;0,tblProjects[[#This Row],[Net annual benefit]]/tblProjects[[#This Row],[Investment]],""))</f>
        <v>1.87096774193548</v>
      </c>
      <c r="T29" s="41" t="str">
        <f>IF(tblProjects[[#This Row],[Start]]="","",IF(tblProjects[[#This Row],[Completed]]&lt;&gt;"","Complete",IF(tblProjects[[#This Row],[Target date]]="","",IF(tblProjects[[#This Row],[Target date]]&lt;AsOf,"Overdue",IF(tblProjects[[#This Row],[Target date]]-AsOf&lt;=DueSoonDays,"Due soon","In progress")))))</f>
        <v>Complete</v>
      </c>
      <c r="U29" s="41" t="str">
        <f>IF(tblProjects[[#This Row],[Start]]="","",IF(OR(tblProjects[[#This Row],[Completed]]="",tblProjects[[#This Row],[Target date]]=""),"",IF(tblProjects[[#This Row],[Completed]]&lt;=tblProjects[[#This Row],[Target date]],"Yes","No")))</f>
        <v>Yes</v>
      </c>
      <c r="V29" s="38">
        <f>IF(tblProjects[[#This Row],[Start]]="","",IF(tblProjects[[#This Row],[Completed]]="",AsOf-tblProjects[[#This Row],[Start]],tblProjects[[#This Row],[Completed]]-tblProjects[[#This Row],[Start]]))</f>
        <v>48</v>
      </c>
      <c r="W29"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30" spans="2:23">
      <c r="B30" s="28" t="s">
        <v>185</v>
      </c>
      <c r="C30" s="28" t="s">
        <v>186</v>
      </c>
      <c r="D30" s="28" t="s">
        <v>87</v>
      </c>
      <c r="E30" s="28" t="s">
        <v>105</v>
      </c>
      <c r="F30" s="28" t="s">
        <v>88</v>
      </c>
      <c r="G30" s="29">
        <v>46233</v>
      </c>
      <c r="H30" s="29">
        <v>46280</v>
      </c>
      <c r="I30" s="29"/>
      <c r="J30" s="28" t="s">
        <v>162</v>
      </c>
      <c r="K30" s="30">
        <v>11000</v>
      </c>
      <c r="L30" s="30">
        <v>7000</v>
      </c>
      <c r="M30" s="30">
        <v>24500</v>
      </c>
      <c r="N30" s="30">
        <v>0</v>
      </c>
      <c r="O30" s="30">
        <v>0</v>
      </c>
      <c r="P30" s="28" t="s">
        <v>140</v>
      </c>
      <c r="Q30" s="38">
        <f>IF(tblProjects[[#This Row],[Start]]="","",tblProjects[[#This Row],[Labor savings]]+tblProjects[[#This Row],[Scrap and material savings]]+tblProjects[[#This Row],[Other savings]]-tblProjects[[#This Row],[Added running cost]])</f>
        <v>31500</v>
      </c>
      <c r="R30" s="39">
        <f>IF(tblProjects[[#This Row],[Start]]="","",IF(tblProjects[[#This Row],[Net annual benefit]]&lt;=0,"",IF(tblProjects[[#This Row],[Investment]]&gt;0,tblProjects[[#This Row],[Investment]]/tblProjects[[#This Row],[Net annual benefit]]*12,0)))</f>
        <v>4.19047619047619</v>
      </c>
      <c r="S30" s="40">
        <f>IF(tblProjects[[#This Row],[Start]]="","",IF(tblProjects[[#This Row],[Investment]]&gt;0,tblProjects[[#This Row],[Net annual benefit]]/tblProjects[[#This Row],[Investment]],""))</f>
        <v>2.86363636363636</v>
      </c>
      <c r="T30" s="41" t="str">
        <f>IF(tblProjects[[#This Row],[Start]]="","",IF(tblProjects[[#This Row],[Completed]]&lt;&gt;"","Complete",IF(tblProjects[[#This Row],[Target date]]="","",IF(tblProjects[[#This Row],[Target date]]&lt;AsOf,"Overdue",IF(tblProjects[[#This Row],[Target date]]-AsOf&lt;=DueSoonDays,"Due soon","In progress")))))</f>
        <v>Overdue</v>
      </c>
      <c r="U30" s="41">
        <f>IF(tblProjects[[#This Row],[Start]]="","",IF(OR(tblProjects[[#This Row],[Completed]]="",tblProjects[[#This Row],[Target date]]=""),"",IF(tblProjects[[#This Row],[Completed]]&lt;=tblProjects[[#This Row],[Target date]],"Yes","No")))</f>
        <v/>
      </c>
      <c r="V30" s="38">
        <f>IF(tblProjects[[#This Row],[Start]]="","",IF(tblProjects[[#This Row],[Completed]]="",AsOf-tblProjects[[#This Row],[Start]],tblProjects[[#This Row],[Completed]]-tblProjects[[#This Row],[Start]]))</f>
        <v>71</v>
      </c>
      <c r="W30"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31" spans="2:23">
      <c r="B31" s="28" t="s">
        <v>187</v>
      </c>
      <c r="C31" s="28" t="s">
        <v>188</v>
      </c>
      <c r="D31" s="28" t="s">
        <v>93</v>
      </c>
      <c r="E31" s="28" t="s">
        <v>111</v>
      </c>
      <c r="F31" s="28" t="s">
        <v>94</v>
      </c>
      <c r="G31" s="29">
        <v>46241</v>
      </c>
      <c r="H31" s="29">
        <v>46252</v>
      </c>
      <c r="I31" s="29">
        <v>46255</v>
      </c>
      <c r="J31" s="28"/>
      <c r="K31" s="30">
        <v>500</v>
      </c>
      <c r="L31" s="30">
        <v>3500</v>
      </c>
      <c r="M31" s="30">
        <v>1000</v>
      </c>
      <c r="N31" s="30">
        <v>0</v>
      </c>
      <c r="O31" s="30">
        <v>0</v>
      </c>
      <c r="P31" s="28" t="s">
        <v>137</v>
      </c>
      <c r="Q31" s="38">
        <f>IF(tblProjects[[#This Row],[Start]]="","",tblProjects[[#This Row],[Labor savings]]+tblProjects[[#This Row],[Scrap and material savings]]+tblProjects[[#This Row],[Other savings]]-tblProjects[[#This Row],[Added running cost]])</f>
        <v>4500</v>
      </c>
      <c r="R31" s="39">
        <f>IF(tblProjects[[#This Row],[Start]]="","",IF(tblProjects[[#This Row],[Net annual benefit]]&lt;=0,"",IF(tblProjects[[#This Row],[Investment]]&gt;0,tblProjects[[#This Row],[Investment]]/tblProjects[[#This Row],[Net annual benefit]]*12,0)))</f>
        <v>1.33333333333333</v>
      </c>
      <c r="S31" s="40">
        <f>IF(tblProjects[[#This Row],[Start]]="","",IF(tblProjects[[#This Row],[Investment]]&gt;0,tblProjects[[#This Row],[Net annual benefit]]/tblProjects[[#This Row],[Investment]],""))</f>
        <v>9</v>
      </c>
      <c r="T31" s="41" t="str">
        <f>IF(tblProjects[[#This Row],[Start]]="","",IF(tblProjects[[#This Row],[Completed]]&lt;&gt;"","Complete",IF(tblProjects[[#This Row],[Target date]]="","",IF(tblProjects[[#This Row],[Target date]]&lt;AsOf,"Overdue",IF(tblProjects[[#This Row],[Target date]]-AsOf&lt;=DueSoonDays,"Due soon","In progress")))))</f>
        <v>Complete</v>
      </c>
      <c r="U31" s="41" t="str">
        <f>IF(tblProjects[[#This Row],[Start]]="","",IF(OR(tblProjects[[#This Row],[Completed]]="",tblProjects[[#This Row],[Target date]]=""),"",IF(tblProjects[[#This Row],[Completed]]&lt;=tblProjects[[#This Row],[Target date]],"Yes","No")))</f>
        <v>No</v>
      </c>
      <c r="V31" s="38">
        <f>IF(tblProjects[[#This Row],[Start]]="","",IF(tblProjects[[#This Row],[Completed]]="",AsOf-tblProjects[[#This Row],[Start]],tblProjects[[#This Row],[Completed]]-tblProjects[[#This Row],[Start]]))</f>
        <v>14</v>
      </c>
      <c r="W31"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32" spans="2:23">
      <c r="B32" s="28" t="s">
        <v>189</v>
      </c>
      <c r="C32" s="28" t="s">
        <v>190</v>
      </c>
      <c r="D32" s="28" t="s">
        <v>84</v>
      </c>
      <c r="E32" s="28" t="s">
        <v>103</v>
      </c>
      <c r="F32" s="28" t="s">
        <v>85</v>
      </c>
      <c r="G32" s="29">
        <v>46243</v>
      </c>
      <c r="H32" s="29">
        <v>46313</v>
      </c>
      <c r="I32" s="29"/>
      <c r="J32" s="28" t="s">
        <v>132</v>
      </c>
      <c r="K32" s="30">
        <v>15000</v>
      </c>
      <c r="L32" s="30">
        <v>30500</v>
      </c>
      <c r="M32" s="30">
        <v>4000</v>
      </c>
      <c r="N32" s="30">
        <v>0</v>
      </c>
      <c r="O32" s="30">
        <v>0</v>
      </c>
      <c r="P32" s="28" t="s">
        <v>140</v>
      </c>
      <c r="Q32" s="38">
        <f>IF(tblProjects[[#This Row],[Start]]="","",tblProjects[[#This Row],[Labor savings]]+tblProjects[[#This Row],[Scrap and material savings]]+tblProjects[[#This Row],[Other savings]]-tblProjects[[#This Row],[Added running cost]])</f>
        <v>34500</v>
      </c>
      <c r="R32" s="39">
        <f>IF(tblProjects[[#This Row],[Start]]="","",IF(tblProjects[[#This Row],[Net annual benefit]]&lt;=0,"",IF(tblProjects[[#This Row],[Investment]]&gt;0,tblProjects[[#This Row],[Investment]]/tblProjects[[#This Row],[Net annual benefit]]*12,0)))</f>
        <v>5.21739130434783</v>
      </c>
      <c r="S32" s="40">
        <f>IF(tblProjects[[#This Row],[Start]]="","",IF(tblProjects[[#This Row],[Investment]]&gt;0,tblProjects[[#This Row],[Net annual benefit]]/tblProjects[[#This Row],[Investment]],""))</f>
        <v>2.3</v>
      </c>
      <c r="T32" s="41" t="str">
        <f>IF(tblProjects[[#This Row],[Start]]="","",IF(tblProjects[[#This Row],[Completed]]&lt;&gt;"","Complete",IF(tblProjects[[#This Row],[Target date]]="","",IF(tblProjects[[#This Row],[Target date]]&lt;AsOf,"Overdue",IF(tblProjects[[#This Row],[Target date]]-AsOf&lt;=DueSoonDays,"Due soon","In progress")))))</f>
        <v>Due soon</v>
      </c>
      <c r="U32" s="41">
        <f>IF(tblProjects[[#This Row],[Start]]="","",IF(OR(tblProjects[[#This Row],[Completed]]="",tblProjects[[#This Row],[Target date]]=""),"",IF(tblProjects[[#This Row],[Completed]]&lt;=tblProjects[[#This Row],[Target date]],"Yes","No")))</f>
        <v/>
      </c>
      <c r="V32" s="38">
        <f>IF(tblProjects[[#This Row],[Start]]="","",IF(tblProjects[[#This Row],[Completed]]="",AsOf-tblProjects[[#This Row],[Start]],tblProjects[[#This Row],[Completed]]-tblProjects[[#This Row],[Start]]))</f>
        <v>61</v>
      </c>
      <c r="W32"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33" spans="2:23">
      <c r="B33" s="28" t="s">
        <v>191</v>
      </c>
      <c r="C33" s="28" t="s">
        <v>192</v>
      </c>
      <c r="D33" s="28" t="s">
        <v>84</v>
      </c>
      <c r="E33" s="28" t="s">
        <v>101</v>
      </c>
      <c r="F33" s="28" t="s">
        <v>85</v>
      </c>
      <c r="G33" s="29">
        <v>46252</v>
      </c>
      <c r="H33" s="29">
        <v>46287</v>
      </c>
      <c r="I33" s="29">
        <v>46282</v>
      </c>
      <c r="J33" s="28"/>
      <c r="K33" s="30">
        <v>14500</v>
      </c>
      <c r="L33" s="30">
        <v>17500</v>
      </c>
      <c r="M33" s="30">
        <v>6500</v>
      </c>
      <c r="N33" s="30">
        <v>1000</v>
      </c>
      <c r="O33" s="30">
        <v>0</v>
      </c>
      <c r="P33" s="28" t="s">
        <v>140</v>
      </c>
      <c r="Q33" s="38">
        <f>IF(tblProjects[[#This Row],[Start]]="","",tblProjects[[#This Row],[Labor savings]]+tblProjects[[#This Row],[Scrap and material savings]]+tblProjects[[#This Row],[Other savings]]-tblProjects[[#This Row],[Added running cost]])</f>
        <v>25000</v>
      </c>
      <c r="R33" s="39">
        <f>IF(tblProjects[[#This Row],[Start]]="","",IF(tblProjects[[#This Row],[Net annual benefit]]&lt;=0,"",IF(tblProjects[[#This Row],[Investment]]&gt;0,tblProjects[[#This Row],[Investment]]/tblProjects[[#This Row],[Net annual benefit]]*12,0)))</f>
        <v>6.96</v>
      </c>
      <c r="S33" s="40">
        <f>IF(tblProjects[[#This Row],[Start]]="","",IF(tblProjects[[#This Row],[Investment]]&gt;0,tblProjects[[#This Row],[Net annual benefit]]/tblProjects[[#This Row],[Investment]],""))</f>
        <v>1.72413793103448</v>
      </c>
      <c r="T33" s="41" t="str">
        <f>IF(tblProjects[[#This Row],[Start]]="","",IF(tblProjects[[#This Row],[Completed]]&lt;&gt;"","Complete",IF(tblProjects[[#This Row],[Target date]]="","",IF(tblProjects[[#This Row],[Target date]]&lt;AsOf,"Overdue",IF(tblProjects[[#This Row],[Target date]]-AsOf&lt;=DueSoonDays,"Due soon","In progress")))))</f>
        <v>Complete</v>
      </c>
      <c r="U33" s="41" t="str">
        <f>IF(tblProjects[[#This Row],[Start]]="","",IF(OR(tblProjects[[#This Row],[Completed]]="",tblProjects[[#This Row],[Target date]]=""),"",IF(tblProjects[[#This Row],[Completed]]&lt;=tblProjects[[#This Row],[Target date]],"Yes","No")))</f>
        <v>Yes</v>
      </c>
      <c r="V33" s="38">
        <f>IF(tblProjects[[#This Row],[Start]]="","",IF(tblProjects[[#This Row],[Completed]]="",AsOf-tblProjects[[#This Row],[Start]],tblProjects[[#This Row],[Completed]]-tblProjects[[#This Row],[Start]]))</f>
        <v>30</v>
      </c>
      <c r="W33"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34" spans="2:23">
      <c r="B34" s="28" t="s">
        <v>193</v>
      </c>
      <c r="C34" s="28" t="s">
        <v>194</v>
      </c>
      <c r="D34" s="28" t="s">
        <v>90</v>
      </c>
      <c r="E34" s="28" t="s">
        <v>111</v>
      </c>
      <c r="F34" s="28" t="s">
        <v>91</v>
      </c>
      <c r="G34" s="29">
        <v>46260</v>
      </c>
      <c r="H34" s="29">
        <v>46267</v>
      </c>
      <c r="I34" s="29">
        <v>46266</v>
      </c>
      <c r="J34" s="28"/>
      <c r="K34" s="30">
        <v>0</v>
      </c>
      <c r="L34" s="30">
        <v>6000</v>
      </c>
      <c r="M34" s="30">
        <v>2000</v>
      </c>
      <c r="N34" s="30">
        <v>0</v>
      </c>
      <c r="O34" s="30">
        <v>0</v>
      </c>
      <c r="P34" s="28" t="s">
        <v>140</v>
      </c>
      <c r="Q34" s="38">
        <f>IF(tblProjects[[#This Row],[Start]]="","",tblProjects[[#This Row],[Labor savings]]+tblProjects[[#This Row],[Scrap and material savings]]+tblProjects[[#This Row],[Other savings]]-tblProjects[[#This Row],[Added running cost]])</f>
        <v>8000</v>
      </c>
      <c r="R34" s="39">
        <f>IF(tblProjects[[#This Row],[Start]]="","",IF(tblProjects[[#This Row],[Net annual benefit]]&lt;=0,"",IF(tblProjects[[#This Row],[Investment]]&gt;0,tblProjects[[#This Row],[Investment]]/tblProjects[[#This Row],[Net annual benefit]]*12,0)))</f>
        <v>0</v>
      </c>
      <c r="S34" s="40">
        <f>IF(tblProjects[[#This Row],[Start]]="","",IF(tblProjects[[#This Row],[Investment]]&gt;0,tblProjects[[#This Row],[Net annual benefit]]/tblProjects[[#This Row],[Investment]],""))</f>
        <v/>
      </c>
      <c r="T34" s="41" t="str">
        <f>IF(tblProjects[[#This Row],[Start]]="","",IF(tblProjects[[#This Row],[Completed]]&lt;&gt;"","Complete",IF(tblProjects[[#This Row],[Target date]]="","",IF(tblProjects[[#This Row],[Target date]]&lt;AsOf,"Overdue",IF(tblProjects[[#This Row],[Target date]]-AsOf&lt;=DueSoonDays,"Due soon","In progress")))))</f>
        <v>Complete</v>
      </c>
      <c r="U34" s="41" t="str">
        <f>IF(tblProjects[[#This Row],[Start]]="","",IF(OR(tblProjects[[#This Row],[Completed]]="",tblProjects[[#This Row],[Target date]]=""),"",IF(tblProjects[[#This Row],[Completed]]&lt;=tblProjects[[#This Row],[Target date]],"Yes","No")))</f>
        <v>Yes</v>
      </c>
      <c r="V34" s="38">
        <f>IF(tblProjects[[#This Row],[Start]]="","",IF(tblProjects[[#This Row],[Completed]]="",AsOf-tblProjects[[#This Row],[Start]],tblProjects[[#This Row],[Completed]]-tblProjects[[#This Row],[Start]]))</f>
        <v>6</v>
      </c>
      <c r="W34"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35" spans="2:23">
      <c r="B35" s="28" t="s">
        <v>195</v>
      </c>
      <c r="C35" s="28" t="s">
        <v>196</v>
      </c>
      <c r="D35" s="28" t="s">
        <v>81</v>
      </c>
      <c r="E35" s="28" t="s">
        <v>103</v>
      </c>
      <c r="F35" s="28" t="s">
        <v>82</v>
      </c>
      <c r="G35" s="29">
        <v>46271</v>
      </c>
      <c r="H35" s="29">
        <v>46344</v>
      </c>
      <c r="I35" s="29"/>
      <c r="J35" s="28" t="s">
        <v>197</v>
      </c>
      <c r="K35" s="30">
        <v>19500</v>
      </c>
      <c r="L35" s="30">
        <v>17500</v>
      </c>
      <c r="M35" s="30">
        <v>0</v>
      </c>
      <c r="N35" s="30">
        <v>0</v>
      </c>
      <c r="O35" s="30">
        <v>0</v>
      </c>
      <c r="P35" s="28" t="s">
        <v>140</v>
      </c>
      <c r="Q35" s="38">
        <f>IF(tblProjects[[#This Row],[Start]]="","",tblProjects[[#This Row],[Labor savings]]+tblProjects[[#This Row],[Scrap and material savings]]+tblProjects[[#This Row],[Other savings]]-tblProjects[[#This Row],[Added running cost]])</f>
        <v>17500</v>
      </c>
      <c r="R35" s="39">
        <f>IF(tblProjects[[#This Row],[Start]]="","",IF(tblProjects[[#This Row],[Net annual benefit]]&lt;=0,"",IF(tblProjects[[#This Row],[Investment]]&gt;0,tblProjects[[#This Row],[Investment]]/tblProjects[[#This Row],[Net annual benefit]]*12,0)))</f>
        <v>13.3714285714286</v>
      </c>
      <c r="S35" s="40">
        <f>IF(tblProjects[[#This Row],[Start]]="","",IF(tblProjects[[#This Row],[Investment]]&gt;0,tblProjects[[#This Row],[Net annual benefit]]/tblProjects[[#This Row],[Investment]],""))</f>
        <v>0.897435897435898</v>
      </c>
      <c r="T35" s="41" t="str">
        <f>IF(tblProjects[[#This Row],[Start]]="","",IF(tblProjects[[#This Row],[Completed]]&lt;&gt;"","Complete",IF(tblProjects[[#This Row],[Target date]]="","",IF(tblProjects[[#This Row],[Target date]]&lt;AsOf,"Overdue",IF(tblProjects[[#This Row],[Target date]]-AsOf&lt;=DueSoonDays,"Due soon","In progress")))))</f>
        <v>In progress</v>
      </c>
      <c r="U35" s="41">
        <f>IF(tblProjects[[#This Row],[Start]]="","",IF(OR(tblProjects[[#This Row],[Completed]]="",tblProjects[[#This Row],[Target date]]=""),"",IF(tblProjects[[#This Row],[Completed]]&lt;=tblProjects[[#This Row],[Target date]],"Yes","No")))</f>
        <v/>
      </c>
      <c r="V35" s="38">
        <f>IF(tblProjects[[#This Row],[Start]]="","",IF(tblProjects[[#This Row],[Completed]]="",AsOf-tblProjects[[#This Row],[Start]],tblProjects[[#This Row],[Completed]]-tblProjects[[#This Row],[Start]]))</f>
        <v>33</v>
      </c>
      <c r="W35"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row r="36" spans="2:23">
      <c r="B36" s="28" t="s">
        <v>198</v>
      </c>
      <c r="C36" s="28" t="s">
        <v>199</v>
      </c>
      <c r="D36" s="28" t="s">
        <v>90</v>
      </c>
      <c r="E36" s="28" t="s">
        <v>107</v>
      </c>
      <c r="F36" s="28" t="s">
        <v>91</v>
      </c>
      <c r="G36" s="29">
        <v>46275</v>
      </c>
      <c r="H36" s="29">
        <v>46344</v>
      </c>
      <c r="I36" s="29"/>
      <c r="J36" s="28" t="s">
        <v>197</v>
      </c>
      <c r="K36" s="30">
        <v>21500</v>
      </c>
      <c r="L36" s="30">
        <v>0</v>
      </c>
      <c r="M36" s="30">
        <v>0</v>
      </c>
      <c r="N36" s="30">
        <v>14500</v>
      </c>
      <c r="O36" s="30">
        <v>0</v>
      </c>
      <c r="P36" s="28" t="s">
        <v>140</v>
      </c>
      <c r="Q36" s="38">
        <f>IF(tblProjects[[#This Row],[Start]]="","",tblProjects[[#This Row],[Labor savings]]+tblProjects[[#This Row],[Scrap and material savings]]+tblProjects[[#This Row],[Other savings]]-tblProjects[[#This Row],[Added running cost]])</f>
        <v>14500</v>
      </c>
      <c r="R36" s="39">
        <f>IF(tblProjects[[#This Row],[Start]]="","",IF(tblProjects[[#This Row],[Net annual benefit]]&lt;=0,"",IF(tblProjects[[#This Row],[Investment]]&gt;0,tblProjects[[#This Row],[Investment]]/tblProjects[[#This Row],[Net annual benefit]]*12,0)))</f>
        <v>17.7931034482759</v>
      </c>
      <c r="S36" s="40">
        <f>IF(tblProjects[[#This Row],[Start]]="","",IF(tblProjects[[#This Row],[Investment]]&gt;0,tblProjects[[#This Row],[Net annual benefit]]/tblProjects[[#This Row],[Investment]],""))</f>
        <v>0.674418604651163</v>
      </c>
      <c r="T36" s="41" t="str">
        <f>IF(tblProjects[[#This Row],[Start]]="","",IF(tblProjects[[#This Row],[Completed]]&lt;&gt;"","Complete",IF(tblProjects[[#This Row],[Target date]]="","",IF(tblProjects[[#This Row],[Target date]]&lt;AsOf,"Overdue",IF(tblProjects[[#This Row],[Target date]]-AsOf&lt;=DueSoonDays,"Due soon","In progress")))))</f>
        <v>In progress</v>
      </c>
      <c r="U36" s="41">
        <f>IF(tblProjects[[#This Row],[Start]]="","",IF(OR(tblProjects[[#This Row],[Completed]]="",tblProjects[[#This Row],[Target date]]=""),"",IF(tblProjects[[#This Row],[Completed]]&lt;=tblProjects[[#This Row],[Target date]],"Yes","No")))</f>
        <v/>
      </c>
      <c r="V36" s="38">
        <f>IF(tblProjects[[#This Row],[Start]]="","",IF(tblProjects[[#This Row],[Completed]]="",AsOf-tblProjects[[#This Row],[Start]],tblProjects[[#This Row],[Completed]]-tblProjects[[#This Row],[Start]]))</f>
        <v>29</v>
      </c>
      <c r="W36" s="42" t="str">
        <f>IF(tblProjects[[#This Row],[Start]]="","",IF(tblProjects[[#This Row],[ID]]="","Missing id",IF(tblProjects[[#This Row],[Area]]="","Missing area",IF(tblProjects[[#This Row],[Type]]="","Missing type",IF(tblProjects[[#This Row],[Target date]]="","Missing target date",IF(tblProjects[[#This Row],[Target date]]&lt;tblProjects[[#This Row],[Start]],"Target before start",IF(AND(tblProjects[[#This Row],[Completed]]&lt;&gt;"",tblProjects[[#This Row],[Completed]]&lt;tblProjects[[#This Row],[Start]]),"Completed before start",IF(OR(tblProjects[[#This Row],[Start]]&gt;AsOf,AND(tblProjects[[#This Row],[Completed]]&lt;&gt;"",tblProjects[[#This Row],[Completed]]&gt;AsOf)),"Date after the status date",IF(AND(tblProjects[[#This Row],[Completed]]="",tblProjects[[#This Row],[PDCA stage]]=""),"Open project with no PDCA stage",IF(AND(tblProjects[[#This Row],[Verified]]="Yes",tblProjects[[#This Row],[Completed]]=""),"Verified before completion",IF(COUNTIF(tblProjects[ID],tblProjects[[#This Row],[ID]])&gt;1,"Duplicate ID","OK")))))))))))</f>
        <v>OK</v>
      </c>
    </row>
  </sheetData>
  <mergeCells count="3">
    <mergeCell ref="A1:W1"/>
    <mergeCell ref="B2:V2"/>
    <mergeCell ref="B4:W4"/>
  </mergeCells>
  <conditionalFormatting sqref="T7:T5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7:U536">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W7:W536">
    <cfRule type="expression" dxfId="3" priority="41">
      <formula>$W7="OK"</formula>
    </cfRule>
    <cfRule type="expression" dxfId="1" priority="42">
      <formula>AND($W7&lt;&gt;"",$W7&lt;&gt;"OK")</formula>
    </cfRule>
  </conditionalFormatting>
  <dataValidations count="15">
    <dataValidation type="textLength" allowBlank="1" showInputMessage="1" showErrorMessage="1" errorTitle="Check this entry" error="Text up to 20 characters." promptTitle="ID" prompt="Your project number. Each ID once. Text up to 20 characters." sqref="B7:B536">
      <formula1>0</formula1>
      <formula2>20</formula2>
    </dataValidation>
    <dataValidation type="textLength" allowBlank="1" showInputMessage="1" showErrorMessage="1" errorTitle="Check this entry" error="Text up to 120 characters." promptTitle="Project" prompt="Text up to 120 characters." sqref="C7:C536">
      <formula1>0</formula1>
      <formula2>120</formula2>
    </dataValidation>
    <dataValidation type="list" allowBlank="1" showInputMessage="1" showErrorMessage="1" errorTitle="Check this entry" error="Pick from the list (edit the list on Setup: Areas)." promptTitle="Area" prompt="Pick from the list (edit the list on Setup: Areas)." sqref="D7:D536">
      <formula1>Areas</formula1>
    </dataValidation>
    <dataValidation type="list" allowBlank="1" showInputMessage="1" showErrorMessage="1" errorTitle="Check this entry" error="Pick from the list (edit the list on Setup: Types)." promptTitle="Type" prompt="Pick from the list (edit the list on Setup: Types)." sqref="E7:E536">
      <formula1>Types</formula1>
    </dataValidation>
    <dataValidation type="textLength" allowBlank="1" showInputMessage="1" showErrorMessage="1" errorTitle="Check this entry" error="Text up to 40 characters." promptTitle="Lead" prompt="Text up to 40 characters." sqref="F7:F536">
      <formula1>0</formula1>
      <formula2>40</formula2>
    </dataValidation>
    <dataValidation type="date" allowBlank="1" showInputMessage="1" showErrorMessage="1" errorTitle="Check this entry" error="Enter a date between 01 Jan 2000 and 31 Dec 2100." promptTitle="Start" prompt="Enter a date between 01 Jan 2000 and 31 Dec 2100." sqref="G7:G536">
      <formula1>36526</formula1>
      <formula2>73415</formula2>
    </dataValidation>
    <dataValidation type="date" allowBlank="1" showInputMessage="1" showErrorMessage="1" errorTitle="Check this entry" error="Enter a date between 01 Jan 2000 and 31 Dec 2100." promptTitle="Target date" prompt="The date the project should be complete (savings running). Enter a date between 01 Jan 2000 and 31 Dec 2100." sqref="H7:H536">
      <formula1>36526</formula1>
      <formula2>73415</formula2>
    </dataValidation>
    <dataValidation type="date" allowBlank="1" showInputMessage="1" showErrorMessage="1" errorTitle="Check this entry" error="Enter a date between 01 Jan 2000 and 31 Dec 2100." promptTitle="Completed" prompt="The date the change was in place and holding. Leave blank while the project is open. Enter a date between 01 Jan 2000 and 31 Dec 2100." sqref="I7:I536">
      <formula1>36526</formula1>
      <formula2>73415</formula2>
    </dataValidation>
    <dataValidation type="list" allowBlank="1" showInputMessage="1" showErrorMessage="1" errorTitle="Check this entry" error="Pick one of: Plan, Do, Check, Act." promptTitle="PDCA stage" prompt="Where an open project is: Plan, Do, Check or Act. Leave blank once completed. Pick one of: Plan, Do, Check, Act." sqref="J7:J536">
      <formula1>"Plan,Do,Check,Act"</formula1>
    </dataValidation>
    <dataValidation type="decimal" allowBlank="1" showInputMessage="1" showErrorMessage="1" errorTitle="Check this entry" error="Enter a number of at least 0." promptTitle="Investment" prompt="One-off cost: equipment, materials, contractor and project hours you choose to cost. Enter a number of at least 0." sqref="K7:K536">
      <formula1>0</formula1>
      <formula2>1000000000.0</formula2>
    </dataValidation>
    <dataValidation type="decimal" allowBlank="1" showInputMessage="1" showErrorMessage="1" errorTitle="Check this entry" error="Enter a number of at least 0." promptTitle="Labor savings" prompt="Annual labor cost saved: hours saved x your loaded labor rate. Enter a number of at least 0." sqref="L7:L536">
      <formula1>0</formula1>
      <formula2>1000000000.0</formula2>
    </dataValidation>
    <dataValidation type="decimal" allowBlank="1" showInputMessage="1" showErrorMessage="1" errorTitle="Check this entry" error="Enter a number of at least 0." promptTitle="Scrap and material savings" prompt="Annual scrap, rework and material cost saved. Enter a number of at least 0." sqref="M7:M536">
      <formula1>0</formula1>
      <formula2>1000000000.0</formula2>
    </dataValidation>
    <dataValidation type="decimal" allowBlank="1" showInputMessage="1" showErrorMessage="1" errorTitle="Check this entry" error="Enter a number of at least 0." promptTitle="Other savings" prompt="Annual energy, freight, consumables or the contribution of extra output you can sell. Enter a number of at least 0." sqref="N7:N536">
      <formula1>0</formula1>
      <formula2>1000000000.0</formula2>
    </dataValidation>
    <dataValidation type="decimal" allowBlank="1" showInputMessage="1" showErrorMessage="1" errorTitle="Check this entry" error="Enter a number of at least 0." promptTitle="Added running cost" prompt="Annual cost the change adds: maintenance, software, consumables. Enter a number of at least 0." sqref="O7:O536">
      <formula1>0</formula1>
      <formula2>1000000000.0</formula2>
    </dataValidation>
    <dataValidation type="list" allowBlank="1" showInputMessage="1" showErrorMessage="1" errorTitle="Check this entry" error="Pick one of: Yes, No." promptTitle="Verified" prompt="Yes when finance or the controller has confirmed the savings after completion. Pick one of: Yes, No." sqref="P7:P536">
      <formula1>"Yes,No"</formula1>
    </dataValidation>
  </dataValidations>
  <hyperlinks>
    <hyperlink ref="W2" r:id="rId1" tooltip="Free manufacturing calculators and templates"/>
  </hyperlinks>
  <pageMargins left="0.4" right="0.4" top="0.7" bottom="0.65" header="0.3" footer="0.3"/>
  <pageSetup fitToHeight="0" orientation="landscape"/>
  <headerFooter>
    <oddHeader>&amp;L&amp;8MFG Calcs - Kaizen Project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96"/>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43" t="str">
        <f>PlantName&amp;": "&amp;COUNTA(tblProjects[ID])&amp;" projects in the register. Savings year from "&amp;TEXT(YearStart,"d mmm yyyy")&amp;"; status as of "&amp;TEXT(AsOf,"d mmm yyyy")&amp;". Savings are net annual run rates of projects completed in the year."</f>
        <v>Halvorsen Pumps (example): 30 projects in the register. Savings year from 1 Jan 2026; status as of 9 Oct 2026. Savings are net annual run rates of projects completed in the year.</v>
      </c>
      <c r="C4" s="43"/>
      <c r="D4" s="43"/>
      <c r="E4" s="43"/>
      <c r="F4" s="43"/>
      <c r="G4" s="43"/>
      <c r="H4" s="43"/>
      <c r="I4" s="43"/>
      <c r="J4" s="43"/>
      <c r="K4" s="43"/>
      <c r="L4" s="43"/>
    </row>
    <row r="6" spans="1:12" ht="18" customHeight="1">
      <c r="B6" s="44" t="str">
        <f>"SAVINGS COMPLETED THIS YEAR ("&amp;Currency&amp;"/YR)"</f>
        <v>SAVINGS COMPLETED THIS YEAR (CAD/YR)</v>
      </c>
      <c r="C6" s="44"/>
      <c r="D6" s="44" t="s">
        <v>200</v>
      </c>
      <c r="E6" s="44"/>
      <c r="F6" s="44"/>
      <c r="G6" s="44" t="s">
        <v>201</v>
      </c>
      <c r="H6" s="44"/>
      <c r="I6" s="44"/>
      <c r="J6" s="44" t="s">
        <v>202</v>
      </c>
      <c r="K6" s="44"/>
      <c r="L6" s="44"/>
    </row>
    <row r="7" spans="1:12" ht="21" customHeight="1">
      <c r="B7" s="45">
        <f>SUMIFS(tblProjects[Net annual benefit],tblProjects[Completed],"&gt;="&amp;YearStart,tblProjects[Completed],"&lt;="&amp;AsOf)</f>
        <v>538000</v>
      </c>
      <c r="C7" s="45"/>
      <c r="D7" s="45">
        <f>COUNTIFS(tblProjects[Completed],"&gt;="&amp;YearStart,tblProjects[Completed],"&lt;="&amp;AsOf)</f>
        <v>24</v>
      </c>
      <c r="E7" s="45"/>
      <c r="F7" s="45"/>
      <c r="G7" s="45">
        <f>COUNTIFS(tblProjects[Status],"&lt;&gt;Complete",tblProjects[Start],"&gt;0")</f>
        <v>6</v>
      </c>
      <c r="H7" s="45"/>
      <c r="I7" s="45"/>
      <c r="J7" s="45">
        <f>COUNTIFS(tblProjects[Status],"Overdue")</f>
        <v>3</v>
      </c>
      <c r="K7" s="45"/>
      <c r="L7" s="45"/>
    </row>
    <row r="8" spans="1:12" ht="21" customHeight="1">
      <c r="B8" s="45"/>
      <c r="C8" s="45"/>
      <c r="D8" s="45"/>
      <c r="E8" s="45"/>
      <c r="F8" s="45"/>
      <c r="G8" s="45"/>
      <c r="H8" s="45"/>
      <c r="I8" s="45"/>
      <c r="J8" s="45"/>
      <c r="K8" s="45"/>
      <c r="L8" s="45"/>
    </row>
    <row r="9" spans="1:12">
      <c r="B9" s="46">
        <f>PlanToDate</f>
        <v>556273.97260274</v>
      </c>
      <c r="C9" s="46"/>
      <c r="D9" s="47" t="s">
        <v>203</v>
      </c>
      <c r="E9" s="47"/>
      <c r="F9" s="47"/>
      <c r="G9" s="47" t="s">
        <v>204</v>
      </c>
      <c r="H9" s="47"/>
      <c r="I9" s="47"/>
      <c r="J9" s="47" t="s">
        <v>205</v>
      </c>
      <c r="K9" s="47"/>
      <c r="L9" s="47"/>
    </row>
    <row r="10" spans="1:12" ht="18" customHeight="1">
      <c r="B10" s="48" t="str">
        <f>IF(NOT(ISNUMBER(KpiNet)),"No data",IF(KpiNet&gt;=(PlanToDate),"On target",IF(KpiNet&gt;=(PlanToDate)*(1-0.05),"Near target","Below target")))</f>
        <v>Near target</v>
      </c>
      <c r="C10" s="48"/>
      <c r="D10" s="48"/>
      <c r="E10" s="48"/>
      <c r="F10" s="48"/>
      <c r="G10" s="48"/>
      <c r="H10" s="48"/>
      <c r="I10" s="48"/>
      <c r="J10" s="48"/>
      <c r="K10" s="48"/>
      <c r="L10" s="48"/>
    </row>
    <row r="29" spans="2:12" ht="18" customHeight="1">
      <c r="B29" s="44" t="s">
        <v>206</v>
      </c>
      <c r="C29" s="44"/>
      <c r="D29" s="44" t="s">
        <v>207</v>
      </c>
      <c r="E29" s="44"/>
      <c r="F29" s="44"/>
      <c r="G29" s="44" t="s">
        <v>208</v>
      </c>
      <c r="H29" s="44"/>
      <c r="I29" s="44"/>
      <c r="J29" s="44" t="s">
        <v>209</v>
      </c>
      <c r="K29" s="44"/>
      <c r="L29" s="44"/>
    </row>
    <row r="30" spans="2:12" ht="21" customHeight="1">
      <c r="B30" s="49">
        <f>IF((SUMIFS(tblProjects[Net annual benefit],tblProjects[Completed],"&gt;="&amp;YearStart,tblProjects[Completed],"&lt;="&amp;AsOf))=0,"",(SUMIFS(tblProjects[Net annual benefit],tblProjects[Completed],"&gt;="&amp;YearStart,tblProjects[Completed],"&lt;="&amp;AsOf,tblProjects[Verified],"Yes"))/(SUMIFS(tblProjects[Net annual benefit],tblProjects[Completed],"&gt;="&amp;YearStart,tblProjects[Completed],"&lt;="&amp;AsOf)))</f>
        <v>0.657063197026022</v>
      </c>
      <c r="C30" s="49"/>
      <c r="D30" s="49">
        <f>IF((COUNTIFS(tblProjects[Completed],"&gt;="&amp;YearStart,tblProjects[Completed],"&lt;="&amp;AsOf))=0,"",(COUNTIFS(tblProjects[Completed],"&gt;="&amp;YearStart,tblProjects[Completed],"&lt;="&amp;AsOf,tblProjects[On time],"Yes"))/(COUNTIFS(tblProjects[Completed],"&gt;="&amp;YearStart,tblProjects[Completed],"&lt;="&amp;AsOf)))</f>
        <v>0.5</v>
      </c>
      <c r="E30" s="49"/>
      <c r="F30" s="49"/>
      <c r="G30" s="50">
        <f>IF(SUMIFS(tblProjects[Net annual benefit],tblProjects[Completed],"&gt;="&amp;YearStart,tblProjects[Completed],"&lt;="&amp;AsOf)&lt;=0,"",SUMIFS(tblProjects[Investment],tblProjects[Completed],"&gt;="&amp;YearStart,tblProjects[Completed],"&lt;="&amp;AsOf)/SUMIFS(tblProjects[Net annual benefit],tblProjects[Completed],"&gt;="&amp;YearStart,tblProjects[Completed],"&lt;="&amp;AsOf)*12)</f>
        <v>4.44981412639405</v>
      </c>
      <c r="H30" s="50"/>
      <c r="I30" s="50"/>
      <c r="J30" s="50">
        <f>IF((COUNTIFS(tblProjects[Completed],"&gt;="&amp;YearStart,tblProjects[Completed],"&lt;="&amp;AsOf))=0,"",(SUMIFS(tblProjects[Days open],tblProjects[Completed],"&gt;="&amp;YearStart,tblProjects[Completed],"&lt;="&amp;AsOf))/(COUNTIFS(tblProjects[Completed],"&gt;="&amp;YearStart,tblProjects[Completed],"&lt;="&amp;AsOf)))</f>
        <v>43.375</v>
      </c>
      <c r="K30" s="50"/>
      <c r="L30" s="50"/>
    </row>
    <row r="31" spans="2:12" ht="21" customHeight="1">
      <c r="B31" s="49"/>
      <c r="C31" s="49"/>
      <c r="D31" s="49"/>
      <c r="E31" s="49"/>
      <c r="F31" s="49"/>
      <c r="G31" s="50"/>
      <c r="H31" s="50"/>
      <c r="I31" s="50"/>
      <c r="J31" s="50"/>
      <c r="K31" s="50"/>
      <c r="L31" s="50"/>
    </row>
    <row r="32" spans="2:12">
      <c r="B32" s="47" t="s">
        <v>210</v>
      </c>
      <c r="C32" s="47"/>
      <c r="D32" s="51">
        <f>TargetOnTime</f>
        <v>0.75</v>
      </c>
      <c r="E32" s="51"/>
      <c r="F32" s="51"/>
      <c r="G32" s="47" t="s">
        <v>211</v>
      </c>
      <c r="H32" s="47"/>
      <c r="I32" s="47"/>
      <c r="J32" s="47" t="s">
        <v>212</v>
      </c>
      <c r="K32" s="47"/>
      <c r="L32" s="47"/>
    </row>
    <row r="33" spans="2:12" ht="18" customHeight="1">
      <c r="B33" s="48"/>
      <c r="C33" s="48"/>
      <c r="D33" s="48" t="str">
        <f>IF(NOT(ISNUMBER(KpiOnTime)),"No data",IF(KpiOnTime&gt;=(TargetOnTime),"On target",IF(KpiOnTime&gt;=(TargetOnTime)*(1-0.05),"Near target","Below target")))</f>
        <v>Below target</v>
      </c>
      <c r="E33" s="48"/>
      <c r="F33" s="48"/>
      <c r="G33" s="48"/>
      <c r="H33" s="48"/>
      <c r="I33" s="48"/>
      <c r="J33" s="48"/>
      <c r="K33" s="48"/>
      <c r="L33" s="48"/>
    </row>
    <row r="51" spans="2:12">
      <c r="B51" s="34" t="s">
        <v>213</v>
      </c>
      <c r="C51" s="34"/>
      <c r="D51" s="34"/>
      <c r="E51" s="34"/>
      <c r="F51" s="34"/>
      <c r="G51" s="34"/>
      <c r="H51" s="34"/>
      <c r="I51" s="34"/>
      <c r="J51" s="34"/>
      <c r="K51" s="34"/>
      <c r="L51" s="34"/>
    </row>
    <row r="52" spans="2:12" ht="32" customHeight="1">
      <c r="B52" s="52" t="s">
        <v>62</v>
      </c>
      <c r="C52" s="35" t="s">
        <v>214</v>
      </c>
      <c r="D52" s="35" t="s">
        <v>215</v>
      </c>
      <c r="E52" s="35" t="s">
        <v>216</v>
      </c>
      <c r="F52" s="35" t="s">
        <v>217</v>
      </c>
      <c r="G52" s="35"/>
      <c r="H52" s="35" t="s">
        <v>125</v>
      </c>
      <c r="I52" s="35" t="s">
        <v>120</v>
      </c>
      <c r="J52" s="35" t="s">
        <v>218</v>
      </c>
      <c r="K52" s="35" t="s">
        <v>63</v>
      </c>
      <c r="L52" s="35"/>
    </row>
    <row r="53" spans="2:12" ht="14" customHeight="1">
      <c r="B53" s="37"/>
      <c r="C53" s="37"/>
      <c r="D53" s="37"/>
      <c r="E53" s="37"/>
      <c r="F53" s="37" t="str">
        <f>Currency&amp;"/yr"</f>
        <v>CAD/yr</v>
      </c>
      <c r="G53" s="37"/>
      <c r="H53" s="37" t="str">
        <f>Currency&amp;"/yr"</f>
        <v>CAD/yr</v>
      </c>
      <c r="I53" s="37" t="str">
        <f>Currency</f>
        <v>CAD</v>
      </c>
      <c r="J53" s="37"/>
      <c r="K53" s="37"/>
      <c r="L53" s="37"/>
    </row>
    <row r="54" spans="2:12">
      <c r="B54" s="53" t="str">
        <f>IFERROR(INDEX(tblAreas[Area],1)&amp;"","")</f>
        <v>Machining</v>
      </c>
      <c r="C54" s="38">
        <f>IF($B$54="","",COUNTIFS(tblProjects[Area],$B$54,tblProjects[Completed],"&gt;="&amp;YearStart,tblProjects[Completed],"&lt;="&amp;AsOf))</f>
        <v>6</v>
      </c>
      <c r="D54" s="38">
        <f>IF($B$54="","",COUNTIFS(tblProjects[Area],$B$54,tblProjects[Status],"&lt;&gt;Complete",tblProjects[Start],"&gt;0")-COUNTIFS(tblProjects[Area],$B$54,tblProjects[Status],"Overdue"))</f>
        <v>1</v>
      </c>
      <c r="E54" s="38">
        <f>IF($B$54="","",COUNTIFS(tblProjects[Area],$B$54,tblProjects[Status],"Overdue"))</f>
        <v>0</v>
      </c>
      <c r="F54" s="38">
        <f>IF($B$54="","",SUMIFS(tblProjects[Net annual benefit],tblProjects[Area],$B$54,tblProjects[Completed],"&gt;="&amp;YearStart,tblProjects[Completed],"&lt;="&amp;AsOf))</f>
        <v>93000</v>
      </c>
      <c r="G54" s="38"/>
      <c r="H54" s="38">
        <f>IF($B$54="","",SUMIFS(tblProjects[Net annual benefit],tblProjects[Area],$B$54,tblProjects[Completed],"&gt;="&amp;YearStart,tblProjects[Completed],"&lt;="&amp;AsOf,tblProjects[Verified],"Yes"))</f>
        <v>35500</v>
      </c>
      <c r="I54" s="38">
        <f>IF($B$54="","",SUMIFS(tblProjects[Investment],tblProjects[Area],$B$54,tblProjects[Completed],"&gt;="&amp;YearStart,tblProjects[Completed],"&lt;="&amp;AsOf))</f>
        <v>43500</v>
      </c>
      <c r="J54" s="39">
        <f>IF($B$54="","",IF($F$54&lt;=0,"",$I$54/$F$54*12))</f>
        <v>5.61290322580645</v>
      </c>
      <c r="K54" s="54" t="str">
        <f>IF($B$54="","",INDEX(tblAreas[Owner],1))</f>
        <v>E. Lindgren</v>
      </c>
      <c r="L54" s="54"/>
    </row>
    <row r="55" spans="2:12">
      <c r="B55" s="53" t="str">
        <f>IFERROR(INDEX(tblAreas[Area],2)&amp;"","")</f>
        <v>Assembly</v>
      </c>
      <c r="C55" s="38">
        <f>IF($B$55="","",COUNTIFS(tblProjects[Area],$B$55,tblProjects[Completed],"&gt;="&amp;YearStart,tblProjects[Completed],"&lt;="&amp;AsOf))</f>
        <v>5</v>
      </c>
      <c r="D55" s="38">
        <f>IF($B$55="","",COUNTIFS(tblProjects[Area],$B$55,tblProjects[Status],"&lt;&gt;Complete",tblProjects[Start],"&gt;0")-COUNTIFS(tblProjects[Area],$B$55,tblProjects[Status],"Overdue"))</f>
        <v>1</v>
      </c>
      <c r="E55" s="38">
        <f>IF($B$55="","",COUNTIFS(tblProjects[Area],$B$55,tblProjects[Status],"Overdue"))</f>
        <v>0</v>
      </c>
      <c r="F55" s="38">
        <f>IF($B$55="","",SUMIFS(tblProjects[Net annual benefit],tblProjects[Area],$B$55,tblProjects[Completed],"&gt;="&amp;YearStart,tblProjects[Completed],"&lt;="&amp;AsOf))</f>
        <v>129000</v>
      </c>
      <c r="G55" s="38"/>
      <c r="H55" s="38">
        <f>IF($B$55="","",SUMIFS(tblProjects[Net annual benefit],tblProjects[Area],$B$55,tblProjects[Completed],"&gt;="&amp;YearStart,tblProjects[Completed],"&lt;="&amp;AsOf,tblProjects[Verified],"Yes"))</f>
        <v>96000</v>
      </c>
      <c r="I55" s="38">
        <f>IF($B$55="","",SUMIFS(tblProjects[Investment],tblProjects[Area],$B$55,tblProjects[Completed],"&gt;="&amp;YearStart,tblProjects[Completed],"&lt;="&amp;AsOf))</f>
        <v>40500</v>
      </c>
      <c r="J55" s="39">
        <f>IF($B$55="","",IF($F$55&lt;=0,"",$I$55/$F$55*12))</f>
        <v>3.76744186046512</v>
      </c>
      <c r="K55" s="54" t="str">
        <f>IF($B$55="","",INDEX(tblAreas[Owner],2))</f>
        <v>D. Mensah</v>
      </c>
      <c r="L55" s="54"/>
    </row>
    <row r="56" spans="2:12">
      <c r="B56" s="53" t="str">
        <f>IFERROR(INDEX(tblAreas[Area],3)&amp;"","")</f>
        <v>Test</v>
      </c>
      <c r="C56" s="38">
        <f>IF($B$56="","",COUNTIFS(tblProjects[Area],$B$56,tblProjects[Completed],"&gt;="&amp;YearStart,tblProjects[Completed],"&lt;="&amp;AsOf))</f>
        <v>2</v>
      </c>
      <c r="D56" s="38">
        <f>IF($B$56="","",COUNTIFS(tblProjects[Area],$B$56,tblProjects[Status],"&lt;&gt;Complete",tblProjects[Start],"&gt;0")-COUNTIFS(tblProjects[Area],$B$56,tblProjects[Status],"Overdue"))</f>
        <v>0</v>
      </c>
      <c r="E56" s="38">
        <f>IF($B$56="","",COUNTIFS(tblProjects[Area],$B$56,tblProjects[Status],"Overdue"))</f>
        <v>2</v>
      </c>
      <c r="F56" s="38">
        <f>IF($B$56="","",SUMIFS(tblProjects[Net annual benefit],tblProjects[Area],$B$56,tblProjects[Completed],"&gt;="&amp;YearStart,tblProjects[Completed],"&lt;="&amp;AsOf))</f>
        <v>47500</v>
      </c>
      <c r="G56" s="38"/>
      <c r="H56" s="38">
        <f>IF($B$56="","",SUMIFS(tblProjects[Net annual benefit],tblProjects[Area],$B$56,tblProjects[Completed],"&gt;="&amp;YearStart,tblProjects[Completed],"&lt;="&amp;AsOf,tblProjects[Verified],"Yes"))</f>
        <v>47500</v>
      </c>
      <c r="I56" s="38">
        <f>IF($B$56="","",SUMIFS(tblProjects[Investment],tblProjects[Area],$B$56,tblProjects[Completed],"&gt;="&amp;YearStart,tblProjects[Completed],"&lt;="&amp;AsOf))</f>
        <v>26000</v>
      </c>
      <c r="J56" s="39">
        <f>IF($B$56="","",IF($F$56&lt;=0,"",$I$56/$F$56*12))</f>
        <v>6.56842105263158</v>
      </c>
      <c r="K56" s="54" t="str">
        <f>IF($B$56="","",INDEX(tblAreas[Owner],3))</f>
        <v>C. Varga</v>
      </c>
      <c r="L56" s="54"/>
    </row>
    <row r="57" spans="2:12">
      <c r="B57" s="53" t="str">
        <f>IFERROR(INDEX(tblAreas[Area],4)&amp;"","")</f>
        <v>Paint</v>
      </c>
      <c r="C57" s="38">
        <f>IF($B$57="","",COUNTIFS(tblProjects[Area],$B$57,tblProjects[Completed],"&gt;="&amp;YearStart,tblProjects[Completed],"&lt;="&amp;AsOf))</f>
        <v>3</v>
      </c>
      <c r="D57" s="38">
        <f>IF($B$57="","",COUNTIFS(tblProjects[Area],$B$57,tblProjects[Status],"&lt;&gt;Complete",tblProjects[Start],"&gt;0")-COUNTIFS(tblProjects[Area],$B$57,tblProjects[Status],"Overdue"))</f>
        <v>1</v>
      </c>
      <c r="E57" s="38">
        <f>IF($B$57="","",COUNTIFS(tblProjects[Area],$B$57,tblProjects[Status],"Overdue"))</f>
        <v>1</v>
      </c>
      <c r="F57" s="38">
        <f>IF($B$57="","",SUMIFS(tblProjects[Net annual benefit],tblProjects[Area],$B$57,tblProjects[Completed],"&gt;="&amp;YearStart,tblProjects[Completed],"&lt;="&amp;AsOf))</f>
        <v>39000</v>
      </c>
      <c r="G57" s="38"/>
      <c r="H57" s="38">
        <f>IF($B$57="","",SUMIFS(tblProjects[Net annual benefit],tblProjects[Area],$B$57,tblProjects[Completed],"&gt;="&amp;YearStart,tblProjects[Completed],"&lt;="&amp;AsOf,tblProjects[Verified],"Yes"))</f>
        <v>6500</v>
      </c>
      <c r="I57" s="38">
        <f>IF($B$57="","",SUMIFS(tblProjects[Investment],tblProjects[Area],$B$57,tblProjects[Completed],"&gt;="&amp;YearStart,tblProjects[Completed],"&lt;="&amp;AsOf))</f>
        <v>22000</v>
      </c>
      <c r="J57" s="39">
        <f>IF($B$57="","",IF($F$57&lt;=0,"",$I$57/$F$57*12))</f>
        <v>6.76923076923077</v>
      </c>
      <c r="K57" s="54" t="str">
        <f>IF($B$57="","",INDEX(tblAreas[Owner],4))</f>
        <v>F. Ortega</v>
      </c>
      <c r="L57" s="54"/>
    </row>
    <row r="58" spans="2:12">
      <c r="B58" s="53" t="str">
        <f>IFERROR(INDEX(tblAreas[Area],5)&amp;"","")</f>
        <v>Warehouse</v>
      </c>
      <c r="C58" s="38">
        <f>IF($B$58="","",COUNTIFS(tblProjects[Area],$B$58,tblProjects[Completed],"&gt;="&amp;YearStart,tblProjects[Completed],"&lt;="&amp;AsOf))</f>
        <v>5</v>
      </c>
      <c r="D58" s="38">
        <f>IF($B$58="","",COUNTIFS(tblProjects[Area],$B$58,tblProjects[Status],"&lt;&gt;Complete",tblProjects[Start],"&gt;0")-COUNTIFS(tblProjects[Area],$B$58,tblProjects[Status],"Overdue"))</f>
        <v>0</v>
      </c>
      <c r="E58" s="38">
        <f>IF($B$58="","",COUNTIFS(tblProjects[Area],$B$58,tblProjects[Status],"Overdue"))</f>
        <v>0</v>
      </c>
      <c r="F58" s="38">
        <f>IF($B$58="","",SUMIFS(tblProjects[Net annual benefit],tblProjects[Area],$B$58,tblProjects[Completed],"&gt;="&amp;YearStart,tblProjects[Completed],"&lt;="&amp;AsOf))</f>
        <v>144000</v>
      </c>
      <c r="G58" s="38"/>
      <c r="H58" s="38">
        <f>IF($B$58="","",SUMIFS(tblProjects[Net annual benefit],tblProjects[Area],$B$58,tblProjects[Completed],"&gt;="&amp;YearStart,tblProjects[Completed],"&lt;="&amp;AsOf,tblProjects[Verified],"Yes"))</f>
        <v>115000</v>
      </c>
      <c r="I58" s="38">
        <f>IF($B$58="","",SUMIFS(tblProjects[Investment],tblProjects[Area],$B$58,tblProjects[Completed],"&gt;="&amp;YearStart,tblProjects[Completed],"&lt;="&amp;AsOf))</f>
        <v>50500</v>
      </c>
      <c r="J58" s="39">
        <f>IF($B$58="","",IF($F$58&lt;=0,"",$I$58/$F$58*12))</f>
        <v>4.20833333333333</v>
      </c>
      <c r="K58" s="54" t="str">
        <f>IF($B$58="","",INDEX(tblAreas[Owner],5))</f>
        <v>H. Bose</v>
      </c>
      <c r="L58" s="54"/>
    </row>
    <row r="59" spans="2:12">
      <c r="B59" s="53" t="str">
        <f>IFERROR(INDEX(tblAreas[Area],6)&amp;"","")</f>
        <v>Office</v>
      </c>
      <c r="C59" s="38">
        <f>IF($B$59="","",COUNTIFS(tblProjects[Area],$B$59,tblProjects[Completed],"&gt;="&amp;YearStart,tblProjects[Completed],"&lt;="&amp;AsOf))</f>
        <v>3</v>
      </c>
      <c r="D59" s="38">
        <f>IF($B$59="","",COUNTIFS(tblProjects[Area],$B$59,tblProjects[Status],"&lt;&gt;Complete",tblProjects[Start],"&gt;0")-COUNTIFS(tblProjects[Area],$B$59,tblProjects[Status],"Overdue"))</f>
        <v>0</v>
      </c>
      <c r="E59" s="38">
        <f>IF($B$59="","",COUNTIFS(tblProjects[Area],$B$59,tblProjects[Status],"Overdue"))</f>
        <v>0</v>
      </c>
      <c r="F59" s="38">
        <f>IF($B$59="","",SUMIFS(tblProjects[Net annual benefit],tblProjects[Area],$B$59,tblProjects[Completed],"&gt;="&amp;YearStart,tblProjects[Completed],"&lt;="&amp;AsOf))</f>
        <v>85500</v>
      </c>
      <c r="G59" s="38"/>
      <c r="H59" s="38">
        <f>IF($B$59="","",SUMIFS(tblProjects[Net annual benefit],tblProjects[Area],$B$59,tblProjects[Completed],"&gt;="&amp;YearStart,tblProjects[Completed],"&lt;="&amp;AsOf,tblProjects[Verified],"Yes"))</f>
        <v>53000</v>
      </c>
      <c r="I59" s="38">
        <f>IF($B$59="","",SUMIFS(tblProjects[Investment],tblProjects[Area],$B$59,tblProjects[Completed],"&gt;="&amp;YearStart,tblProjects[Completed],"&lt;="&amp;AsOf))</f>
        <v>17000</v>
      </c>
      <c r="J59" s="39">
        <f>IF($B$59="","",IF($F$59&lt;=0,"",$I$59/$F$59*12))</f>
        <v>2.3859649122807</v>
      </c>
      <c r="K59" s="54" t="str">
        <f>IF($B$59="","",INDEX(tblAreas[Owner],6))</f>
        <v>G. Laurent</v>
      </c>
      <c r="L59" s="54"/>
    </row>
    <row r="61" spans="2:12">
      <c r="B61" s="34" t="s">
        <v>219</v>
      </c>
      <c r="C61" s="34"/>
      <c r="D61" s="34"/>
      <c r="E61" s="34"/>
      <c r="F61" s="34"/>
      <c r="G61" s="34"/>
      <c r="H61" s="34"/>
      <c r="I61" s="34"/>
      <c r="J61" s="34"/>
    </row>
    <row r="62" spans="2:12" ht="32" customHeight="1">
      <c r="B62" s="52" t="s">
        <v>65</v>
      </c>
      <c r="C62" s="35" t="s">
        <v>21</v>
      </c>
      <c r="D62" s="35" t="s">
        <v>214</v>
      </c>
      <c r="E62" s="35" t="s">
        <v>220</v>
      </c>
      <c r="F62" s="35"/>
      <c r="G62" s="35" t="s">
        <v>221</v>
      </c>
      <c r="H62" s="35"/>
      <c r="I62" s="35" t="s">
        <v>120</v>
      </c>
      <c r="J62" s="35" t="s">
        <v>128</v>
      </c>
    </row>
    <row r="63" spans="2:12" ht="14" customHeight="1">
      <c r="B63" s="37"/>
      <c r="C63" s="37"/>
      <c r="D63" s="37"/>
      <c r="E63" s="37" t="str">
        <f>Currency&amp;"/yr"</f>
        <v>CAD/yr</v>
      </c>
      <c r="F63" s="37"/>
      <c r="G63" s="37" t="str">
        <f>Currency&amp;"/yr"</f>
        <v>CAD/yr</v>
      </c>
      <c r="H63" s="37"/>
      <c r="I63" s="37" t="str">
        <f>Currency</f>
        <v>CAD</v>
      </c>
      <c r="J63" s="37"/>
    </row>
    <row r="64" spans="2:12">
      <c r="B64" s="53" t="str">
        <f>IFERROR(INDEX(tblTypes[Type],1)&amp;"","")</f>
        <v>Kaizen event</v>
      </c>
      <c r="C64" s="38">
        <f>IF($B$64="","",COUNTIFS(tblProjects[Type],$B$64,tblProjects[Start],"&gt;0"))</f>
        <v>11</v>
      </c>
      <c r="D64" s="38">
        <f>IF($B$64="","",COUNTIFS(tblProjects[Type],$B$64,tblProjects[Completed],"&gt;="&amp;YearStart,tblProjects[Completed],"&lt;="&amp;AsOf))</f>
        <v>10</v>
      </c>
      <c r="E64" s="38">
        <f>IF($B$64="","",SUMIFS(tblProjects[Net annual benefit],tblProjects[Type],$B$64,tblProjects[Completed],"&gt;="&amp;YearStart,tblProjects[Completed],"&lt;="&amp;AsOf,tblProjects[Verified],"Yes"))</f>
        <v>198000</v>
      </c>
      <c r="F64" s="38"/>
      <c r="G64" s="38">
        <f>IF($B$64="","",SUMIFS(tblProjects[Net annual benefit],tblProjects[Type],$B$64,tblProjects[Completed],"&gt;="&amp;YearStart,tblProjects[Completed],"&lt;="&amp;AsOf,tblProjects[Verified],"&lt;&gt;Yes"))</f>
        <v>111000</v>
      </c>
      <c r="H64" s="38"/>
      <c r="I64" s="38">
        <f>IF($B$64="","",SUMIFS(tblProjects[Investment],tblProjects[Type],$B$64,tblProjects[Completed],"&gt;="&amp;YearStart,tblProjects[Completed],"&lt;="&amp;AsOf))</f>
        <v>106500</v>
      </c>
      <c r="J64" s="40">
        <f>IF($B$64="","",IF(($I$64)=0,"",($E$64+$G$64)/($I$64)))</f>
        <v>2.90140845070423</v>
      </c>
    </row>
    <row r="65" spans="2:10">
      <c r="B65" s="53" t="str">
        <f>IFERROR(INDEX(tblTypes[Type],2)&amp;"","")</f>
        <v>SMED</v>
      </c>
      <c r="C65" s="38">
        <f>IF($B$65="","",COUNTIFS(tblProjects[Type],$B$65,tblProjects[Start],"&gt;0"))</f>
        <v>3</v>
      </c>
      <c r="D65" s="38">
        <f>IF($B$65="","",COUNTIFS(tblProjects[Type],$B$65,tblProjects[Completed],"&gt;="&amp;YearStart,tblProjects[Completed],"&lt;="&amp;AsOf))</f>
        <v>1</v>
      </c>
      <c r="E65" s="38">
        <f>IF($B$65="","",SUMIFS(tblProjects[Net annual benefit],tblProjects[Type],$B$65,tblProjects[Completed],"&gt;="&amp;YearStart,tblProjects[Completed],"&lt;="&amp;AsOf,tblProjects[Verified],"Yes"))</f>
        <v>22000</v>
      </c>
      <c r="F65" s="38"/>
      <c r="G65" s="38">
        <f>IF($B$65="","",SUMIFS(tblProjects[Net annual benefit],tblProjects[Type],$B$65,tblProjects[Completed],"&gt;="&amp;YearStart,tblProjects[Completed],"&lt;="&amp;AsOf,tblProjects[Verified],"&lt;&gt;Yes"))</f>
        <v>0</v>
      </c>
      <c r="H65" s="38"/>
      <c r="I65" s="38">
        <f>IF($B$65="","",SUMIFS(tblProjects[Investment],tblProjects[Type],$B$65,tblProjects[Completed],"&gt;="&amp;YearStart,tblProjects[Completed],"&lt;="&amp;AsOf))</f>
        <v>17000</v>
      </c>
      <c r="J65" s="40">
        <f>IF($B$65="","",IF(($I$65)=0,"",($E$65+$G$65)/($I$65)))</f>
        <v>1.29411764705882</v>
      </c>
    </row>
    <row r="66" spans="2:10">
      <c r="B66" s="53" t="str">
        <f>IFERROR(INDEX(tblTypes[Type],3)&amp;"","")</f>
        <v>Quality fix</v>
      </c>
      <c r="C66" s="38">
        <f>IF($B$66="","",COUNTIFS(tblProjects[Type],$B$66,tblProjects[Start],"&gt;0"))</f>
        <v>6</v>
      </c>
      <c r="D66" s="38">
        <f>IF($B$66="","",COUNTIFS(tblProjects[Type],$B$66,tblProjects[Completed],"&gt;="&amp;YearStart,tblProjects[Completed],"&lt;="&amp;AsOf))</f>
        <v>5</v>
      </c>
      <c r="E66" s="38">
        <f>IF($B$66="","",SUMIFS(tblProjects[Net annual benefit],tblProjects[Type],$B$66,tblProjects[Completed],"&gt;="&amp;YearStart,tblProjects[Completed],"&lt;="&amp;AsOf,tblProjects[Verified],"Yes"))</f>
        <v>110500</v>
      </c>
      <c r="F66" s="38"/>
      <c r="G66" s="38">
        <f>IF($B$66="","",SUMIFS(tblProjects[Net annual benefit],tblProjects[Type],$B$66,tblProjects[Completed],"&gt;="&amp;YearStart,tblProjects[Completed],"&lt;="&amp;AsOf,tblProjects[Verified],"&lt;&gt;Yes"))</f>
        <v>40000</v>
      </c>
      <c r="H66" s="38"/>
      <c r="I66" s="38">
        <f>IF($B$66="","",SUMIFS(tblProjects[Investment],tblProjects[Type],$B$66,tblProjects[Completed],"&gt;="&amp;YearStart,tblProjects[Completed],"&lt;="&amp;AsOf))</f>
        <v>34000</v>
      </c>
      <c r="J66" s="40">
        <f>IF($B$66="","",IF(($I$66)=0,"",($E$66+$G$66)/($I$66)))</f>
        <v>4.42647058823529</v>
      </c>
    </row>
    <row r="67" spans="2:10">
      <c r="B67" s="53" t="str">
        <f>IFERROR(INDEX(tblTypes[Type],4)&amp;"","")</f>
        <v>Energy</v>
      </c>
      <c r="C67" s="38">
        <f>IF($B$67="","",COUNTIFS(tblProjects[Type],$B$67,tblProjects[Start],"&gt;0"))</f>
        <v>4</v>
      </c>
      <c r="D67" s="38">
        <f>IF($B$67="","",COUNTIFS(tblProjects[Type],$B$67,tblProjects[Completed],"&gt;="&amp;YearStart,tblProjects[Completed],"&lt;="&amp;AsOf))</f>
        <v>3</v>
      </c>
      <c r="E67" s="38">
        <f>IF($B$67="","",SUMIFS(tblProjects[Net annual benefit],tblProjects[Type],$B$67,tblProjects[Completed],"&gt;="&amp;YearStart,tblProjects[Completed],"&lt;="&amp;AsOf,tblProjects[Verified],"Yes"))</f>
        <v>18500</v>
      </c>
      <c r="F67" s="38"/>
      <c r="G67" s="38">
        <f>IF($B$67="","",SUMIFS(tblProjects[Net annual benefit],tblProjects[Type],$B$67,tblProjects[Completed],"&gt;="&amp;YearStart,tblProjects[Completed],"&lt;="&amp;AsOf,tblProjects[Verified],"&lt;&gt;Yes"))</f>
        <v>5000</v>
      </c>
      <c r="H67" s="38"/>
      <c r="I67" s="38">
        <f>IF($B$67="","",SUMIFS(tblProjects[Investment],tblProjects[Type],$B$67,tblProjects[Completed],"&gt;="&amp;YearStart,tblProjects[Completed],"&lt;="&amp;AsOf))</f>
        <v>36000</v>
      </c>
      <c r="J67" s="40">
        <f>IF($B$67="","",IF(($I$67)=0,"",($E$67+$G$67)/($I$67)))</f>
        <v>0.652777777777778</v>
      </c>
    </row>
    <row r="68" spans="2:10">
      <c r="B68" s="53" t="str">
        <f>IFERROR(INDEX(tblTypes[Type],5)&amp;"","")</f>
        <v>5S</v>
      </c>
      <c r="C68" s="38">
        <f>IF($B$68="","",COUNTIFS(tblProjects[Type],$B$68,tblProjects[Start],"&gt;0"))</f>
        <v>2</v>
      </c>
      <c r="D68" s="38">
        <f>IF($B$68="","",COUNTIFS(tblProjects[Type],$B$68,tblProjects[Completed],"&gt;="&amp;YearStart,tblProjects[Completed],"&lt;="&amp;AsOf))</f>
        <v>2</v>
      </c>
      <c r="E68" s="38">
        <f>IF($B$68="","",SUMIFS(tblProjects[Net annual benefit],tblProjects[Type],$B$68,tblProjects[Completed],"&gt;="&amp;YearStart,tblProjects[Completed],"&lt;="&amp;AsOf,tblProjects[Verified],"Yes"))</f>
        <v>0</v>
      </c>
      <c r="F68" s="38"/>
      <c r="G68" s="38">
        <f>IF($B$68="","",SUMIFS(tblProjects[Net annual benefit],tblProjects[Type],$B$68,tblProjects[Completed],"&gt;="&amp;YearStart,tblProjects[Completed],"&lt;="&amp;AsOf,tblProjects[Verified],"&lt;&gt;Yes"))</f>
        <v>12500</v>
      </c>
      <c r="H68" s="38"/>
      <c r="I68" s="38">
        <f>IF($B$68="","",SUMIFS(tblProjects[Investment],tblProjects[Type],$B$68,tblProjects[Completed],"&gt;="&amp;YearStart,tblProjects[Completed],"&lt;="&amp;AsOf))</f>
        <v>4500</v>
      </c>
      <c r="J68" s="40">
        <f>IF($B$68="","",IF(($I$68)=0,"",($E$68+$G$68)/($I$68)))</f>
        <v>2.77777777777778</v>
      </c>
    </row>
    <row r="69" spans="2:10">
      <c r="B69" s="53" t="str">
        <f>IFERROR(INDEX(tblTypes[Type],6)&amp;"","")</f>
        <v>Just-do-it</v>
      </c>
      <c r="C69" s="38">
        <f>IF($B$69="","",COUNTIFS(tblProjects[Type],$B$69,tblProjects[Start],"&gt;0"))</f>
        <v>4</v>
      </c>
      <c r="D69" s="38">
        <f>IF($B$69="","",COUNTIFS(tblProjects[Type],$B$69,tblProjects[Completed],"&gt;="&amp;YearStart,tblProjects[Completed],"&lt;="&amp;AsOf))</f>
        <v>3</v>
      </c>
      <c r="E69" s="38">
        <f>IF($B$69="","",SUMIFS(tblProjects[Net annual benefit],tblProjects[Type],$B$69,tblProjects[Completed],"&gt;="&amp;YearStart,tblProjects[Completed],"&lt;="&amp;AsOf,tblProjects[Verified],"Yes"))</f>
        <v>4500</v>
      </c>
      <c r="F69" s="38"/>
      <c r="G69" s="38">
        <f>IF($B$69="","",SUMIFS(tblProjects[Net annual benefit],tblProjects[Type],$B$69,tblProjects[Completed],"&gt;="&amp;YearStart,tblProjects[Completed],"&lt;="&amp;AsOf,tblProjects[Verified],"&lt;&gt;Yes"))</f>
        <v>16000</v>
      </c>
      <c r="H69" s="38"/>
      <c r="I69" s="38">
        <f>IF($B$69="","",SUMIFS(tblProjects[Investment],tblProjects[Type],$B$69,tblProjects[Completed],"&gt;="&amp;YearStart,tblProjects[Completed],"&lt;="&amp;AsOf))</f>
        <v>1500</v>
      </c>
      <c r="J69" s="40">
        <f>IF($B$69="","",IF(($I$69)=0,"",($E$69+$G$69)/($I$69)))</f>
        <v>13.6666666666667</v>
      </c>
    </row>
    <row r="71" spans="2:10">
      <c r="B71" s="34" t="s">
        <v>222</v>
      </c>
      <c r="C71" s="34"/>
      <c r="D71" s="34"/>
      <c r="E71" s="34"/>
      <c r="F71" s="34"/>
    </row>
    <row r="72" spans="2:10" ht="32" customHeight="1">
      <c r="B72" s="52" t="s">
        <v>119</v>
      </c>
      <c r="C72" s="35" t="s">
        <v>215</v>
      </c>
      <c r="D72" s="35" t="s">
        <v>216</v>
      </c>
      <c r="E72" s="35" t="s">
        <v>223</v>
      </c>
      <c r="F72" s="35"/>
    </row>
    <row r="73" spans="2:10" ht="14" customHeight="1">
      <c r="B73" s="37"/>
      <c r="C73" s="37"/>
      <c r="D73" s="37"/>
      <c r="E73" s="37" t="str">
        <f>Currency&amp;"/yr"</f>
        <v>CAD/yr</v>
      </c>
      <c r="F73" s="37"/>
    </row>
    <row r="74" spans="2:10">
      <c r="B74" s="53" t="s">
        <v>224</v>
      </c>
      <c r="C74" s="38">
        <f>COUNTIFS(tblProjects[PDCA stage],$B$74,tblProjects[Completed],"",tblProjects[Status],"&lt;&gt;Overdue")</f>
        <v>0</v>
      </c>
      <c r="D74" s="38">
        <f>COUNTIFS(tblProjects[PDCA stage],$B$74,tblProjects[Completed],"",tblProjects[Status],"Overdue")</f>
        <v>0</v>
      </c>
      <c r="E74" s="38">
        <f>SUMIFS(tblProjects[Net annual benefit],tblProjects[PDCA stage],$B$74,tblProjects[Completed],"")</f>
        <v>0</v>
      </c>
      <c r="F74" s="38"/>
    </row>
    <row r="75" spans="2:10">
      <c r="B75" s="53" t="s">
        <v>197</v>
      </c>
      <c r="C75" s="38">
        <f>COUNTIFS(tblProjects[PDCA stage],$B$75,tblProjects[Completed],"",tblProjects[Status],"&lt;&gt;Overdue")</f>
        <v>2</v>
      </c>
      <c r="D75" s="38">
        <f>COUNTIFS(tblProjects[PDCA stage],$B$75,tblProjects[Completed],"",tblProjects[Status],"Overdue")</f>
        <v>0</v>
      </c>
      <c r="E75" s="38">
        <f>SUMIFS(tblProjects[Net annual benefit],tblProjects[PDCA stage],$B$75,tblProjects[Completed],"")</f>
        <v>32000</v>
      </c>
      <c r="F75" s="38"/>
    </row>
    <row r="76" spans="2:10">
      <c r="B76" s="53" t="s">
        <v>132</v>
      </c>
      <c r="C76" s="38">
        <f>COUNTIFS(tblProjects[PDCA stage],$B$76,tblProjects[Completed],"",tblProjects[Status],"&lt;&gt;Overdue")</f>
        <v>1</v>
      </c>
      <c r="D76" s="38">
        <f>COUNTIFS(tblProjects[PDCA stage],$B$76,tblProjects[Completed],"",tblProjects[Status],"Overdue")</f>
        <v>0</v>
      </c>
      <c r="E76" s="38">
        <f>SUMIFS(tblProjects[Net annual benefit],tblProjects[PDCA stage],$B$76,tblProjects[Completed],"")</f>
        <v>34500</v>
      </c>
      <c r="F76" s="38"/>
    </row>
    <row r="77" spans="2:10">
      <c r="B77" s="53" t="s">
        <v>162</v>
      </c>
      <c r="C77" s="38">
        <f>COUNTIFS(tblProjects[PDCA stage],$B$77,tblProjects[Completed],"",tblProjects[Status],"&lt;&gt;Overdue")</f>
        <v>0</v>
      </c>
      <c r="D77" s="38">
        <f>COUNTIFS(tblProjects[PDCA stage],$B$77,tblProjects[Completed],"",tblProjects[Status],"Overdue")</f>
        <v>3</v>
      </c>
      <c r="E77" s="38">
        <f>SUMIFS(tblProjects[Net annual benefit],tblProjects[PDCA stage],$B$77,tblProjects[Completed],"")</f>
        <v>87400</v>
      </c>
      <c r="F77" s="38"/>
    </row>
    <row r="79" spans="2:10">
      <c r="B79" s="34" t="s">
        <v>225</v>
      </c>
      <c r="C79" s="34"/>
      <c r="D79" s="34"/>
      <c r="E79" s="34"/>
      <c r="F79" s="34"/>
      <c r="G79" s="34"/>
      <c r="H79" s="34"/>
    </row>
    <row r="80" spans="2:10" ht="32" customHeight="1">
      <c r="B80" s="52" t="s">
        <v>226</v>
      </c>
      <c r="C80" s="35" t="s">
        <v>118</v>
      </c>
      <c r="D80" s="35" t="s">
        <v>217</v>
      </c>
      <c r="E80" s="35" t="s">
        <v>125</v>
      </c>
      <c r="F80" s="35" t="s">
        <v>227</v>
      </c>
      <c r="G80" s="35" t="s">
        <v>228</v>
      </c>
      <c r="H80" s="35" t="s">
        <v>120</v>
      </c>
    </row>
    <row r="81" spans="2:12" ht="14" customHeight="1">
      <c r="B81" s="37"/>
      <c r="C81" s="37"/>
      <c r="D81" s="37" t="str">
        <f>Currency&amp;"/yr"</f>
        <v>CAD/yr</v>
      </c>
      <c r="E81" s="37" t="str">
        <f>Currency&amp;"/yr"</f>
        <v>CAD/yr</v>
      </c>
      <c r="F81" s="37" t="str">
        <f>Currency&amp;"/yr"</f>
        <v>CAD/yr</v>
      </c>
      <c r="G81" s="37" t="str">
        <f>Currency&amp;"/yr"</f>
        <v>CAD/yr</v>
      </c>
      <c r="H81" s="37" t="str">
        <f>Currency</f>
        <v>CAD</v>
      </c>
    </row>
    <row r="82" spans="2:12">
      <c r="B82" s="55">
        <f>YearStart</f>
        <v>46023</v>
      </c>
      <c r="C82" s="38">
        <f>IF($B$82="","",COUNTIFS(tblProjects[Completed],"&gt;="&amp;$B$82,tblProjects[Completed],"&lt;"&amp;DATE(YEAR($B$82),MONTH($B$82)+1,1),tblProjects[Completed],"&lt;="&amp;AsOf))</f>
        <v>2</v>
      </c>
      <c r="D82" s="38">
        <f>IF($B$82="","",SUMIFS(tblProjects[Net annual benefit],tblProjects[Completed],"&gt;="&amp;$B$82,tblProjects[Completed],"&lt;"&amp;DATE(YEAR($B$82),MONTH($B$82)+1,1),tblProjects[Completed],"&lt;="&amp;AsOf))</f>
        <v>58000</v>
      </c>
      <c r="E82" s="38">
        <f>IF($B$82="","",SUMIFS(tblProjects[Net annual benefit],tblProjects[Completed],"&gt;="&amp;$B$82,tblProjects[Completed],"&lt;"&amp;DATE(YEAR($B$82),MONTH($B$82)+1,1),tblProjects[Completed],"&lt;="&amp;AsOf,tblProjects[Verified],"Yes"))</f>
        <v>52500</v>
      </c>
      <c r="F82" s="38">
        <f>IF($B$82="","",IF($B$82&gt;AsOf,"",SUMIFS(tblProjects[Net annual benefit],tblProjects[Completed],"&gt;="&amp;YearStart,tblProjects[Completed],"&lt;"&amp;DATE(YEAR($B$82),MONTH($B$82)+1,1),tblProjects[Completed],"&lt;="&amp;AsOf)))</f>
        <v>58000</v>
      </c>
      <c r="G82" s="56">
        <f>SavingsPlan*1/12</f>
        <v>60000</v>
      </c>
      <c r="H82" s="38">
        <f>IF($B$82="","",SUMIFS(tblProjects[Investment],tblProjects[Completed],"&gt;="&amp;$B$82,tblProjects[Completed],"&lt;"&amp;DATE(YEAR($B$82),MONTH($B$82)+1,1),tblProjects[Completed],"&lt;="&amp;AsOf))</f>
        <v>12500</v>
      </c>
    </row>
    <row r="83" spans="2:12">
      <c r="B83" s="55">
        <f>DATE(YEAR($B$82),MONTH($B$82)+1,DAY($B$82))</f>
        <v>46054</v>
      </c>
      <c r="C83" s="38">
        <f>IF($B$83="","",COUNTIFS(tblProjects[Completed],"&gt;="&amp;$B$83,tblProjects[Completed],"&lt;"&amp;DATE(YEAR($B$83),MONTH($B$83)+1,1),tblProjects[Completed],"&lt;="&amp;AsOf))</f>
        <v>2</v>
      </c>
      <c r="D83" s="38">
        <f>IF($B$83="","",SUMIFS(tblProjects[Net annual benefit],tblProjects[Completed],"&gt;="&amp;$B$83,tblProjects[Completed],"&lt;"&amp;DATE(YEAR($B$83),MONTH($B$83)+1,1),tblProjects[Completed],"&lt;="&amp;AsOf))</f>
        <v>58000</v>
      </c>
      <c r="E83" s="38">
        <f>IF($B$83="","",SUMIFS(tblProjects[Net annual benefit],tblProjects[Completed],"&gt;="&amp;$B$83,tblProjects[Completed],"&lt;"&amp;DATE(YEAR($B$83),MONTH($B$83)+1,1),tblProjects[Completed],"&lt;="&amp;AsOf,tblProjects[Verified],"Yes"))</f>
        <v>58000</v>
      </c>
      <c r="F83" s="38">
        <f>IF($B$83="","",IF($B$83&gt;AsOf,"",SUMIFS(tblProjects[Net annual benefit],tblProjects[Completed],"&gt;="&amp;YearStart,tblProjects[Completed],"&lt;"&amp;DATE(YEAR($B$83),MONTH($B$83)+1,1),tblProjects[Completed],"&lt;="&amp;AsOf)))</f>
        <v>116000</v>
      </c>
      <c r="G83" s="56">
        <f>SavingsPlan*2/12</f>
        <v>120000</v>
      </c>
      <c r="H83" s="38">
        <f>IF($B$83="","",SUMIFS(tblProjects[Investment],tblProjects[Completed],"&gt;="&amp;$B$83,tblProjects[Completed],"&lt;"&amp;DATE(YEAR($B$83),MONTH($B$83)+1,1),tblProjects[Completed],"&lt;="&amp;AsOf))</f>
        <v>23500</v>
      </c>
    </row>
    <row r="84" spans="2:12">
      <c r="B84" s="55">
        <f>DATE(YEAR($B$83),MONTH($B$83)+1,DAY($B$83))</f>
        <v>46082</v>
      </c>
      <c r="C84" s="38">
        <f>IF($B$84="","",COUNTIFS(tblProjects[Completed],"&gt;="&amp;$B$84,tblProjects[Completed],"&lt;"&amp;DATE(YEAR($B$84),MONTH($B$84)+1,1),tblProjects[Completed],"&lt;="&amp;AsOf))</f>
        <v>3</v>
      </c>
      <c r="D84" s="38">
        <f>IF($B$84="","",SUMIFS(tblProjects[Net annual benefit],tblProjects[Completed],"&gt;="&amp;$B$84,tblProjects[Completed],"&lt;"&amp;DATE(YEAR($B$84),MONTH($B$84)+1,1),tblProjects[Completed],"&lt;="&amp;AsOf))</f>
        <v>48500</v>
      </c>
      <c r="E84" s="38">
        <f>IF($B$84="","",SUMIFS(tblProjects[Net annual benefit],tblProjects[Completed],"&gt;="&amp;$B$84,tblProjects[Completed],"&lt;"&amp;DATE(YEAR($B$84),MONTH($B$84)+1,1),tblProjects[Completed],"&lt;="&amp;AsOf,tblProjects[Verified],"Yes"))</f>
        <v>33500</v>
      </c>
      <c r="F84" s="38">
        <f>IF($B$84="","",IF($B$84&gt;AsOf,"",SUMIFS(tblProjects[Net annual benefit],tblProjects[Completed],"&gt;="&amp;YearStart,tblProjects[Completed],"&lt;"&amp;DATE(YEAR($B$84),MONTH($B$84)+1,1),tblProjects[Completed],"&lt;="&amp;AsOf)))</f>
        <v>164500</v>
      </c>
      <c r="G84" s="56">
        <f>SavingsPlan*3/12</f>
        <v>180000</v>
      </c>
      <c r="H84" s="38">
        <f>IF($B$84="","",SUMIFS(tblProjects[Investment],tblProjects[Completed],"&gt;="&amp;$B$84,tblProjects[Completed],"&lt;"&amp;DATE(YEAR($B$84),MONTH($B$84)+1,1),tblProjects[Completed],"&lt;="&amp;AsOf))</f>
        <v>16500</v>
      </c>
    </row>
    <row r="85" spans="2:12">
      <c r="B85" s="55">
        <f>DATE(YEAR($B$84),MONTH($B$84)+1,DAY($B$84))</f>
        <v>46113</v>
      </c>
      <c r="C85" s="38">
        <f>IF($B$85="","",COUNTIFS(tblProjects[Completed],"&gt;="&amp;$B$85,tblProjects[Completed],"&lt;"&amp;DATE(YEAR($B$85),MONTH($B$85)+1,1),tblProjects[Completed],"&lt;="&amp;AsOf))</f>
        <v>1</v>
      </c>
      <c r="D85" s="38">
        <f>IF($B$85="","",SUMIFS(tblProjects[Net annual benefit],tblProjects[Completed],"&gt;="&amp;$B$85,tblProjects[Completed],"&lt;"&amp;DATE(YEAR($B$85),MONTH($B$85)+1,1),tblProjects[Completed],"&lt;="&amp;AsOf))</f>
        <v>38500</v>
      </c>
      <c r="E85" s="38">
        <f>IF($B$85="","",SUMIFS(tblProjects[Net annual benefit],tblProjects[Completed],"&gt;="&amp;$B$85,tblProjects[Completed],"&lt;"&amp;DATE(YEAR($B$85),MONTH($B$85)+1,1),tblProjects[Completed],"&lt;="&amp;AsOf,tblProjects[Verified],"Yes"))</f>
        <v>38500</v>
      </c>
      <c r="F85" s="38">
        <f>IF($B$85="","",IF($B$85&gt;AsOf,"",SUMIFS(tblProjects[Net annual benefit],tblProjects[Completed],"&gt;="&amp;YearStart,tblProjects[Completed],"&lt;"&amp;DATE(YEAR($B$85),MONTH($B$85)+1,1),tblProjects[Completed],"&lt;="&amp;AsOf)))</f>
        <v>203000</v>
      </c>
      <c r="G85" s="56">
        <f>SavingsPlan*4/12</f>
        <v>240000</v>
      </c>
      <c r="H85" s="38">
        <f>IF($B$85="","",SUMIFS(tblProjects[Investment],tblProjects[Completed],"&gt;="&amp;$B$85,tblProjects[Completed],"&lt;"&amp;DATE(YEAR($B$85),MONTH($B$85)+1,1),tblProjects[Completed],"&lt;="&amp;AsOf))</f>
        <v>6500</v>
      </c>
    </row>
    <row r="86" spans="2:12">
      <c r="B86" s="55">
        <f>DATE(YEAR($B$85),MONTH($B$85)+1,DAY($B$85))</f>
        <v>46143</v>
      </c>
      <c r="C86" s="38">
        <f>IF($B$86="","",COUNTIFS(tblProjects[Completed],"&gt;="&amp;$B$86,tblProjects[Completed],"&lt;"&amp;DATE(YEAR($B$86),MONTH($B$86)+1,1),tblProjects[Completed],"&lt;="&amp;AsOf))</f>
        <v>7</v>
      </c>
      <c r="D86" s="38">
        <f>IF($B$86="","",SUMIFS(tblProjects[Net annual benefit],tblProjects[Completed],"&gt;="&amp;$B$86,tblProjects[Completed],"&lt;"&amp;DATE(YEAR($B$86),MONTH($B$86)+1,1),tblProjects[Completed],"&lt;="&amp;AsOf))</f>
        <v>162500</v>
      </c>
      <c r="E86" s="38">
        <f>IF($B$86="","",SUMIFS(tblProjects[Net annual benefit],tblProjects[Completed],"&gt;="&amp;$B$86,tblProjects[Completed],"&lt;"&amp;DATE(YEAR($B$86),MONTH($B$86)+1,1),tblProjects[Completed],"&lt;="&amp;AsOf,tblProjects[Verified],"Yes"))</f>
        <v>93000</v>
      </c>
      <c r="F86" s="38">
        <f>IF($B$86="","",IF($B$86&gt;AsOf,"",SUMIFS(tblProjects[Net annual benefit],tblProjects[Completed],"&gt;="&amp;YearStart,tblProjects[Completed],"&lt;"&amp;DATE(YEAR($B$86),MONTH($B$86)+1,1),tblProjects[Completed],"&lt;="&amp;AsOf)))</f>
        <v>365500</v>
      </c>
      <c r="G86" s="56">
        <f>SavingsPlan*5/12</f>
        <v>300000</v>
      </c>
      <c r="H86" s="38">
        <f>IF($B$86="","",SUMIFS(tblProjects[Investment],tblProjects[Completed],"&gt;="&amp;$B$86,tblProjects[Completed],"&lt;"&amp;DATE(YEAR($B$86),MONTH($B$86)+1,1),tblProjects[Completed],"&lt;="&amp;AsOf))</f>
        <v>69500</v>
      </c>
    </row>
    <row r="87" spans="2:12">
      <c r="B87" s="55">
        <f>DATE(YEAR($B$86),MONTH($B$86)+1,DAY($B$86))</f>
        <v>46174</v>
      </c>
      <c r="C87" s="38">
        <f>IF($B$87="","",COUNTIFS(tblProjects[Completed],"&gt;="&amp;$B$87,tblProjects[Completed],"&lt;"&amp;DATE(YEAR($B$87),MONTH($B$87)+1,1),tblProjects[Completed],"&lt;="&amp;AsOf))</f>
        <v>1</v>
      </c>
      <c r="D87" s="38">
        <f>IF($B$87="","",SUMIFS(tblProjects[Net annual benefit],tblProjects[Completed],"&gt;="&amp;$B$87,tblProjects[Completed],"&lt;"&amp;DATE(YEAR($B$87),MONTH($B$87)+1,1),tblProjects[Completed],"&lt;="&amp;AsOf))</f>
        <v>14500</v>
      </c>
      <c r="E87" s="38">
        <f>IF($B$87="","",SUMIFS(tblProjects[Net annual benefit],tblProjects[Completed],"&gt;="&amp;$B$87,tblProjects[Completed],"&lt;"&amp;DATE(YEAR($B$87),MONTH($B$87)+1,1),tblProjects[Completed],"&lt;="&amp;AsOf,tblProjects[Verified],"Yes"))</f>
        <v>14500</v>
      </c>
      <c r="F87" s="38">
        <f>IF($B$87="","",IF($B$87&gt;AsOf,"",SUMIFS(tblProjects[Net annual benefit],tblProjects[Completed],"&gt;="&amp;YearStart,tblProjects[Completed],"&lt;"&amp;DATE(YEAR($B$87),MONTH($B$87)+1,1),tblProjects[Completed],"&lt;="&amp;AsOf)))</f>
        <v>380000</v>
      </c>
      <c r="G87" s="56">
        <f>SavingsPlan*6/12</f>
        <v>360000</v>
      </c>
      <c r="H87" s="38">
        <f>IF($B$87="","",SUMIFS(tblProjects[Investment],tblProjects[Completed],"&gt;="&amp;$B$87,tblProjects[Completed],"&lt;"&amp;DATE(YEAR($B$87),MONTH($B$87)+1,1),tblProjects[Completed],"&lt;="&amp;AsOf))</f>
        <v>5500</v>
      </c>
    </row>
    <row r="88" spans="2:12">
      <c r="B88" s="55">
        <f>DATE(YEAR($B$87),MONTH($B$87)+1,DAY($B$87))</f>
        <v>46204</v>
      </c>
      <c r="C88" s="38">
        <f>IF($B$88="","",COUNTIFS(tblProjects[Completed],"&gt;="&amp;$B$88,tblProjects[Completed],"&lt;"&amp;DATE(YEAR($B$88),MONTH($B$88)+1,1),tblProjects[Completed],"&lt;="&amp;AsOf))</f>
        <v>4</v>
      </c>
      <c r="D88" s="38">
        <f>IF($B$88="","",SUMIFS(tblProjects[Net annual benefit],tblProjects[Completed],"&gt;="&amp;$B$88,tblProjects[Completed],"&lt;"&amp;DATE(YEAR($B$88),MONTH($B$88)+1,1),tblProjects[Completed],"&lt;="&amp;AsOf))</f>
        <v>91500</v>
      </c>
      <c r="E88" s="38">
        <f>IF($B$88="","",SUMIFS(tblProjects[Net annual benefit],tblProjects[Completed],"&gt;="&amp;$B$88,tblProjects[Completed],"&lt;"&amp;DATE(YEAR($B$88),MONTH($B$88)+1,1),tblProjects[Completed],"&lt;="&amp;AsOf,tblProjects[Verified],"Yes"))</f>
        <v>59000</v>
      </c>
      <c r="F88" s="38">
        <f>IF($B$88="","",IF($B$88&gt;AsOf,"",SUMIFS(tblProjects[Net annual benefit],tblProjects[Completed],"&gt;="&amp;YearStart,tblProjects[Completed],"&lt;"&amp;DATE(YEAR($B$88),MONTH($B$88)+1,1),tblProjects[Completed],"&lt;="&amp;AsOf)))</f>
        <v>471500</v>
      </c>
      <c r="G88" s="56">
        <f>SavingsPlan*7/12</f>
        <v>420000</v>
      </c>
      <c r="H88" s="38">
        <f>IF($B$88="","",SUMIFS(tblProjects[Investment],tblProjects[Completed],"&gt;="&amp;$B$88,tblProjects[Completed],"&lt;"&amp;DATE(YEAR($B$88),MONTH($B$88)+1,1),tblProjects[Completed],"&lt;="&amp;AsOf))</f>
        <v>35000</v>
      </c>
    </row>
    <row r="89" spans="2:12">
      <c r="B89" s="55">
        <f>DATE(YEAR($B$88),MONTH($B$88)+1,DAY($B$88))</f>
        <v>46235</v>
      </c>
      <c r="C89" s="38">
        <f>IF($B$89="","",COUNTIFS(tblProjects[Completed],"&gt;="&amp;$B$89,tblProjects[Completed],"&lt;"&amp;DATE(YEAR($B$89),MONTH($B$89)+1,1),tblProjects[Completed],"&lt;="&amp;AsOf))</f>
        <v>1</v>
      </c>
      <c r="D89" s="38">
        <f>IF($B$89="","",SUMIFS(tblProjects[Net annual benefit],tblProjects[Completed],"&gt;="&amp;$B$89,tblProjects[Completed],"&lt;"&amp;DATE(YEAR($B$89),MONTH($B$89)+1,1),tblProjects[Completed],"&lt;="&amp;AsOf))</f>
        <v>4500</v>
      </c>
      <c r="E89" s="38">
        <f>IF($B$89="","",SUMIFS(tblProjects[Net annual benefit],tblProjects[Completed],"&gt;="&amp;$B$89,tblProjects[Completed],"&lt;"&amp;DATE(YEAR($B$89),MONTH($B$89)+1,1),tblProjects[Completed],"&lt;="&amp;AsOf,tblProjects[Verified],"Yes"))</f>
        <v>4500</v>
      </c>
      <c r="F89" s="38">
        <f>IF($B$89="","",IF($B$89&gt;AsOf,"",SUMIFS(tblProjects[Net annual benefit],tblProjects[Completed],"&gt;="&amp;YearStart,tblProjects[Completed],"&lt;"&amp;DATE(YEAR($B$89),MONTH($B$89)+1,1),tblProjects[Completed],"&lt;="&amp;AsOf)))</f>
        <v>476000</v>
      </c>
      <c r="G89" s="56">
        <f>SavingsPlan*8/12</f>
        <v>480000</v>
      </c>
      <c r="H89" s="38">
        <f>IF($B$89="","",SUMIFS(tblProjects[Investment],tblProjects[Completed],"&gt;="&amp;$B$89,tblProjects[Completed],"&lt;"&amp;DATE(YEAR($B$89),MONTH($B$89)+1,1),tblProjects[Completed],"&lt;="&amp;AsOf))</f>
        <v>500</v>
      </c>
    </row>
    <row r="90" spans="2:12">
      <c r="B90" s="55">
        <f>DATE(YEAR($B$89),MONTH($B$89)+1,DAY($B$89))</f>
        <v>46266</v>
      </c>
      <c r="C90" s="38">
        <f>IF($B$90="","",COUNTIFS(tblProjects[Completed],"&gt;="&amp;$B$90,tblProjects[Completed],"&lt;"&amp;DATE(YEAR($B$90),MONTH($B$90)+1,1),tblProjects[Completed],"&lt;="&amp;AsOf))</f>
        <v>3</v>
      </c>
      <c r="D90" s="38">
        <f>IF($B$90="","",SUMIFS(tblProjects[Net annual benefit],tblProjects[Completed],"&gt;="&amp;$B$90,tblProjects[Completed],"&lt;"&amp;DATE(YEAR($B$90),MONTH($B$90)+1,1),tblProjects[Completed],"&lt;="&amp;AsOf))</f>
        <v>62000</v>
      </c>
      <c r="E90" s="38">
        <f>IF($B$90="","",SUMIFS(tblProjects[Net annual benefit],tblProjects[Completed],"&gt;="&amp;$B$90,tblProjects[Completed],"&lt;"&amp;DATE(YEAR($B$90),MONTH($B$90)+1,1),tblProjects[Completed],"&lt;="&amp;AsOf,tblProjects[Verified],"Yes"))</f>
        <v>0</v>
      </c>
      <c r="F90" s="38">
        <f>IF($B$90="","",IF($B$90&gt;AsOf,"",SUMIFS(tblProjects[Net annual benefit],tblProjects[Completed],"&gt;="&amp;YearStart,tblProjects[Completed],"&lt;"&amp;DATE(YEAR($B$90),MONTH($B$90)+1,1),tblProjects[Completed],"&lt;="&amp;AsOf)))</f>
        <v>538000</v>
      </c>
      <c r="G90" s="56">
        <f>SavingsPlan*9/12</f>
        <v>540000</v>
      </c>
      <c r="H90" s="38">
        <f>IF($B$90="","",SUMIFS(tblProjects[Investment],tblProjects[Completed],"&gt;="&amp;$B$90,tblProjects[Completed],"&lt;"&amp;DATE(YEAR($B$90),MONTH($B$90)+1,1),tblProjects[Completed],"&lt;="&amp;AsOf))</f>
        <v>30000</v>
      </c>
    </row>
    <row r="91" spans="2:12">
      <c r="B91" s="55">
        <f>DATE(YEAR($B$90),MONTH($B$90)+1,DAY($B$90))</f>
        <v>46296</v>
      </c>
      <c r="C91" s="38">
        <f>IF($B$91="","",COUNTIFS(tblProjects[Completed],"&gt;="&amp;$B$91,tblProjects[Completed],"&lt;"&amp;DATE(YEAR($B$91),MONTH($B$91)+1,1),tblProjects[Completed],"&lt;="&amp;AsOf))</f>
        <v>0</v>
      </c>
      <c r="D91" s="38">
        <f>IF($B$91="","",SUMIFS(tblProjects[Net annual benefit],tblProjects[Completed],"&gt;="&amp;$B$91,tblProjects[Completed],"&lt;"&amp;DATE(YEAR($B$91),MONTH($B$91)+1,1),tblProjects[Completed],"&lt;="&amp;AsOf))</f>
        <v>0</v>
      </c>
      <c r="E91" s="38">
        <f>IF($B$91="","",SUMIFS(tblProjects[Net annual benefit],tblProjects[Completed],"&gt;="&amp;$B$91,tblProjects[Completed],"&lt;"&amp;DATE(YEAR($B$91),MONTH($B$91)+1,1),tblProjects[Completed],"&lt;="&amp;AsOf,tblProjects[Verified],"Yes"))</f>
        <v>0</v>
      </c>
      <c r="F91" s="38">
        <f>IF($B$91="","",IF($B$91&gt;AsOf,"",SUMIFS(tblProjects[Net annual benefit],tblProjects[Completed],"&gt;="&amp;YearStart,tblProjects[Completed],"&lt;"&amp;DATE(YEAR($B$91),MONTH($B$91)+1,1),tblProjects[Completed],"&lt;="&amp;AsOf)))</f>
        <v>538000</v>
      </c>
      <c r="G91" s="56">
        <f>SavingsPlan*10/12</f>
        <v>600000</v>
      </c>
      <c r="H91" s="38">
        <f>IF($B$91="","",SUMIFS(tblProjects[Investment],tblProjects[Completed],"&gt;="&amp;$B$91,tblProjects[Completed],"&lt;"&amp;DATE(YEAR($B$91),MONTH($B$91)+1,1),tblProjects[Completed],"&lt;="&amp;AsOf))</f>
        <v>0</v>
      </c>
    </row>
    <row r="92" spans="2:12">
      <c r="B92" s="55">
        <f>DATE(YEAR($B$91),MONTH($B$91)+1,DAY($B$91))</f>
        <v>46327</v>
      </c>
      <c r="C92" s="38">
        <f>IF($B$92="","",COUNTIFS(tblProjects[Completed],"&gt;="&amp;$B$92,tblProjects[Completed],"&lt;"&amp;DATE(YEAR($B$92),MONTH($B$92)+1,1),tblProjects[Completed],"&lt;="&amp;AsOf))</f>
        <v>0</v>
      </c>
      <c r="D92" s="38">
        <f>IF($B$92="","",SUMIFS(tblProjects[Net annual benefit],tblProjects[Completed],"&gt;="&amp;$B$92,tblProjects[Completed],"&lt;"&amp;DATE(YEAR($B$92),MONTH($B$92)+1,1),tblProjects[Completed],"&lt;="&amp;AsOf))</f>
        <v>0</v>
      </c>
      <c r="E92" s="38">
        <f>IF($B$92="","",SUMIFS(tblProjects[Net annual benefit],tblProjects[Completed],"&gt;="&amp;$B$92,tblProjects[Completed],"&lt;"&amp;DATE(YEAR($B$92),MONTH($B$92)+1,1),tblProjects[Completed],"&lt;="&amp;AsOf,tblProjects[Verified],"Yes"))</f>
        <v>0</v>
      </c>
      <c r="F92" s="38">
        <f>IF($B$92="","",IF($B$92&gt;AsOf,"",SUMIFS(tblProjects[Net annual benefit],tblProjects[Completed],"&gt;="&amp;YearStart,tblProjects[Completed],"&lt;"&amp;DATE(YEAR($B$92),MONTH($B$92)+1,1),tblProjects[Completed],"&lt;="&amp;AsOf)))</f>
        <v/>
      </c>
      <c r="G92" s="56">
        <f>SavingsPlan*11/12</f>
        <v>660000</v>
      </c>
      <c r="H92" s="38">
        <f>IF($B$92="","",SUMIFS(tblProjects[Investment],tblProjects[Completed],"&gt;="&amp;$B$92,tblProjects[Completed],"&lt;"&amp;DATE(YEAR($B$92),MONTH($B$92)+1,1),tblProjects[Completed],"&lt;="&amp;AsOf))</f>
        <v>0</v>
      </c>
    </row>
    <row r="93" spans="2:12">
      <c r="B93" s="55">
        <f>DATE(YEAR($B$92),MONTH($B$92)+1,DAY($B$92))</f>
        <v>46357</v>
      </c>
      <c r="C93" s="38">
        <f>IF($B$93="","",COUNTIFS(tblProjects[Completed],"&gt;="&amp;$B$93,tblProjects[Completed],"&lt;"&amp;DATE(YEAR($B$93),MONTH($B$93)+1,1),tblProjects[Completed],"&lt;="&amp;AsOf))</f>
        <v>0</v>
      </c>
      <c r="D93" s="38">
        <f>IF($B$93="","",SUMIFS(tblProjects[Net annual benefit],tblProjects[Completed],"&gt;="&amp;$B$93,tblProjects[Completed],"&lt;"&amp;DATE(YEAR($B$93),MONTH($B$93)+1,1),tblProjects[Completed],"&lt;="&amp;AsOf))</f>
        <v>0</v>
      </c>
      <c r="E93" s="38">
        <f>IF($B$93="","",SUMIFS(tblProjects[Net annual benefit],tblProjects[Completed],"&gt;="&amp;$B$93,tblProjects[Completed],"&lt;"&amp;DATE(YEAR($B$93),MONTH($B$93)+1,1),tblProjects[Completed],"&lt;="&amp;AsOf,tblProjects[Verified],"Yes"))</f>
        <v>0</v>
      </c>
      <c r="F93" s="38">
        <f>IF($B$93="","",IF($B$93&gt;AsOf,"",SUMIFS(tblProjects[Net annual benefit],tblProjects[Completed],"&gt;="&amp;YearStart,tblProjects[Completed],"&lt;"&amp;DATE(YEAR($B$93),MONTH($B$93)+1,1),tblProjects[Completed],"&lt;="&amp;AsOf)))</f>
        <v/>
      </c>
      <c r="G93" s="56">
        <f>SavingsPlan*12/12</f>
        <v>720000</v>
      </c>
      <c r="H93" s="38">
        <f>IF($B$93="","",SUMIFS(tblProjects[Investment],tblProjects[Completed],"&gt;="&amp;$B$93,tblProjects[Completed],"&lt;"&amp;DATE(YEAR($B$93),MONTH($B$93)+1,1),tblProjects[Completed],"&lt;="&amp;AsOf))</f>
        <v>0</v>
      </c>
    </row>
    <row r="94" spans="2:12" ht="8" customHeight="1"/>
    <row r="95" spans="2:12" ht="26.76" customHeight="1">
      <c r="B95" s="21" t="s">
        <v>229</v>
      </c>
      <c r="C95" s="21"/>
      <c r="D95" s="21"/>
      <c r="E95" s="21"/>
      <c r="F95" s="21"/>
      <c r="G95" s="21"/>
      <c r="H95" s="21"/>
      <c r="I95" s="21"/>
      <c r="J95" s="21"/>
      <c r="K95" s="21"/>
      <c r="L95" s="21"/>
    </row>
    <row r="96" spans="2:12">
      <c r="B96" s="57">
        <f>IF(OR(COUNTA(tblAreas[Area])&gt;6,COUNTA(tblTypes[Type])&gt;6),"Setup lists are longer than the Dashboard blocks: some areas or types are not shown.","")</f>
        <v/>
      </c>
      <c r="C96" s="57"/>
      <c r="D96" s="57"/>
      <c r="E96" s="57"/>
      <c r="F96" s="57"/>
      <c r="G96" s="57"/>
      <c r="H96" s="57"/>
      <c r="I96" s="57"/>
      <c r="J96" s="57"/>
      <c r="K96" s="57"/>
      <c r="L96" s="57"/>
    </row>
  </sheetData>
  <sheetProtection sheet="1" formatColumns="0" formatRows="0"/>
  <mergeCells count="80">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L51"/>
    <mergeCell ref="F52:G52"/>
    <mergeCell ref="K52:L52"/>
    <mergeCell ref="F53:G53"/>
    <mergeCell ref="K53:L53"/>
    <mergeCell ref="F54:G54"/>
    <mergeCell ref="F55:G55"/>
    <mergeCell ref="F56:G56"/>
    <mergeCell ref="F57:G57"/>
    <mergeCell ref="F58:G58"/>
    <mergeCell ref="F59:G59"/>
    <mergeCell ref="K54:L54"/>
    <mergeCell ref="K55:L55"/>
    <mergeCell ref="K56:L56"/>
    <mergeCell ref="K57:L57"/>
    <mergeCell ref="K58:L58"/>
    <mergeCell ref="K59:L59"/>
    <mergeCell ref="B61:J61"/>
    <mergeCell ref="E62:F62"/>
    <mergeCell ref="G62:H62"/>
    <mergeCell ref="E63:F63"/>
    <mergeCell ref="G63:H63"/>
    <mergeCell ref="E64:F64"/>
    <mergeCell ref="E65:F65"/>
    <mergeCell ref="E66:F66"/>
    <mergeCell ref="E67:F67"/>
    <mergeCell ref="E68:F68"/>
    <mergeCell ref="E69:F69"/>
    <mergeCell ref="G64:H64"/>
    <mergeCell ref="G65:H65"/>
    <mergeCell ref="G66:H66"/>
    <mergeCell ref="G67:H67"/>
    <mergeCell ref="G68:H68"/>
    <mergeCell ref="G69:H69"/>
    <mergeCell ref="B71:F71"/>
    <mergeCell ref="E72:F72"/>
    <mergeCell ref="E73:F73"/>
    <mergeCell ref="E74:F74"/>
    <mergeCell ref="E75:F75"/>
    <mergeCell ref="E76:F76"/>
    <mergeCell ref="E77:F77"/>
    <mergeCell ref="B79:H79"/>
    <mergeCell ref="B95:L95"/>
    <mergeCell ref="B96:L96"/>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33">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Kaizen Project Tracker&amp;R&amp;8&amp;A</oddHeader>
    <oddFooter>&amp;L&amp;8mfgcalcs.com - free manufacturing templates&amp;R&amp;8Page &amp;P of &amp;N</oddFooter>
  </headerFooter>
  <rowBreaks count="3" manualBreakCount="3">
    <brk id="28" max="16383" man="1"/>
    <brk id="50" max="16383" man="1"/>
    <brk id="78"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230</v>
      </c>
      <c r="C4" s="8"/>
      <c r="D4" s="8"/>
    </row>
    <row r="5" spans="1:4" ht="5" customHeight="1"/>
    <row r="6" spans="1:4" ht="55.8" customHeight="1">
      <c r="B6" s="10" t="s">
        <v>231</v>
      </c>
      <c r="C6" s="10"/>
      <c r="D6" s="10"/>
    </row>
    <row r="8" spans="1:4" ht="21" customHeight="1">
      <c r="B8" s="8" t="s">
        <v>232</v>
      </c>
      <c r="C8" s="8"/>
      <c r="D8" s="8"/>
    </row>
    <row r="9" spans="1:4" ht="5" customHeight="1"/>
    <row r="10" spans="1:4" ht="20" customHeight="1">
      <c r="B10" s="52" t="s">
        <v>233</v>
      </c>
      <c r="C10" s="52" t="s">
        <v>234</v>
      </c>
      <c r="D10" s="35" t="s">
        <v>235</v>
      </c>
    </row>
    <row r="11" spans="1:4" ht="43.6" customHeight="1">
      <c r="B11" s="58" t="s">
        <v>126</v>
      </c>
      <c r="C11" s="59" t="s">
        <v>236</v>
      </c>
      <c r="D11" s="60" t="s">
        <v>237</v>
      </c>
    </row>
    <row r="12" spans="1:4" ht="30.4" customHeight="1">
      <c r="B12" s="58" t="s">
        <v>127</v>
      </c>
      <c r="C12" s="59" t="s">
        <v>238</v>
      </c>
      <c r="D12" s="60" t="s">
        <v>134</v>
      </c>
    </row>
    <row r="13" spans="1:4" ht="17.2" customHeight="1">
      <c r="B13" s="58" t="s">
        <v>128</v>
      </c>
      <c r="C13" s="59" t="s">
        <v>239</v>
      </c>
      <c r="D13" s="60" t="s">
        <v>240</v>
      </c>
    </row>
    <row r="14" spans="1:4" ht="30.4" customHeight="1">
      <c r="B14" s="58" t="s">
        <v>129</v>
      </c>
      <c r="C14" s="59" t="s">
        <v>241</v>
      </c>
      <c r="D14" s="60" t="s">
        <v>242</v>
      </c>
    </row>
    <row r="15" spans="1:4" ht="30.4" customHeight="1">
      <c r="B15" s="58" t="s">
        <v>130</v>
      </c>
      <c r="C15" s="59" t="s">
        <v>243</v>
      </c>
      <c r="D15" s="60" t="s">
        <v>240</v>
      </c>
    </row>
    <row r="16" spans="1:4" ht="17.2" customHeight="1">
      <c r="B16" s="58" t="s">
        <v>131</v>
      </c>
      <c r="C16" s="59" t="s">
        <v>244</v>
      </c>
      <c r="D16" s="60" t="s">
        <v>76</v>
      </c>
    </row>
    <row r="17" spans="2:4" ht="30.4" customHeight="1">
      <c r="B17" s="58" t="s">
        <v>245</v>
      </c>
      <c r="C17" s="59" t="s">
        <v>246</v>
      </c>
      <c r="D17" s="60" t="s">
        <v>237</v>
      </c>
    </row>
    <row r="18" spans="2:4" ht="30.4" customHeight="1">
      <c r="B18" s="58" t="s">
        <v>247</v>
      </c>
      <c r="C18" s="59" t="s">
        <v>248</v>
      </c>
      <c r="D18" s="60" t="s">
        <v>237</v>
      </c>
    </row>
    <row r="19" spans="2:4" ht="30.4" customHeight="1">
      <c r="B19" s="58" t="s">
        <v>249</v>
      </c>
      <c r="C19" s="59" t="s">
        <v>250</v>
      </c>
      <c r="D19" s="60" t="s">
        <v>240</v>
      </c>
    </row>
    <row r="20" spans="2:4" ht="17.2" customHeight="1">
      <c r="B20" s="58" t="s">
        <v>251</v>
      </c>
      <c r="C20" s="59" t="s">
        <v>252</v>
      </c>
      <c r="D20" s="60" t="s">
        <v>134</v>
      </c>
    </row>
    <row r="21" spans="2:4" ht="30.4" customHeight="1">
      <c r="B21" s="58" t="s">
        <v>253</v>
      </c>
      <c r="C21" s="59" t="s">
        <v>254</v>
      </c>
      <c r="D21" s="60" t="s">
        <v>237</v>
      </c>
    </row>
    <row r="23" spans="2:4" ht="21" customHeight="1">
      <c r="B23" s="8" t="s">
        <v>255</v>
      </c>
      <c r="C23" s="8"/>
      <c r="D23" s="8"/>
    </row>
    <row r="24" spans="2:4" ht="5" customHeight="1"/>
    <row r="25" spans="2:4" ht="29.4" customHeight="1">
      <c r="B25" s="26" t="s">
        <v>55</v>
      </c>
      <c r="C25" s="10" t="s">
        <v>256</v>
      </c>
      <c r="D25" s="10"/>
    </row>
    <row r="26" spans="2:4" ht="29.4" customHeight="1">
      <c r="B26" s="26" t="s">
        <v>55</v>
      </c>
      <c r="C26" s="10" t="s">
        <v>257</v>
      </c>
      <c r="D26" s="10"/>
    </row>
    <row r="27" spans="2:4" ht="29.4" customHeight="1">
      <c r="B27" s="26" t="s">
        <v>55</v>
      </c>
      <c r="C27" s="10" t="s">
        <v>258</v>
      </c>
      <c r="D27" s="10"/>
    </row>
    <row r="28" spans="2:4" ht="16.2" customHeight="1">
      <c r="B28" s="26" t="s">
        <v>55</v>
      </c>
      <c r="C28" s="10" t="s">
        <v>259</v>
      </c>
      <c r="D28" s="10"/>
    </row>
    <row r="30" spans="2:4" ht="21" customHeight="1">
      <c r="B30" s="8" t="s">
        <v>260</v>
      </c>
      <c r="C30" s="8"/>
      <c r="D30" s="8"/>
    </row>
    <row r="31" spans="2:4" ht="5" customHeight="1"/>
    <row r="32" spans="2:4" ht="29.4" customHeight="1">
      <c r="B32" s="26" t="s">
        <v>55</v>
      </c>
      <c r="C32" s="10" t="s">
        <v>261</v>
      </c>
      <c r="D32" s="10"/>
    </row>
    <row r="33" spans="2:4" ht="29.4" customHeight="1">
      <c r="B33" s="26" t="s">
        <v>55</v>
      </c>
      <c r="C33" s="10" t="s">
        <v>262</v>
      </c>
      <c r="D33" s="10"/>
    </row>
    <row r="34" spans="2:4" ht="16.2" customHeight="1">
      <c r="B34" s="26" t="s">
        <v>55</v>
      </c>
      <c r="C34" s="10" t="s">
        <v>263</v>
      </c>
      <c r="D34" s="10"/>
    </row>
    <row r="35" spans="2:4" ht="16.2" customHeight="1">
      <c r="B35" s="26" t="s">
        <v>55</v>
      </c>
      <c r="C35" s="10" t="s">
        <v>264</v>
      </c>
      <c r="D35" s="10"/>
    </row>
    <row r="37" spans="2:4" ht="21" customHeight="1">
      <c r="B37" s="8" t="s">
        <v>265</v>
      </c>
      <c r="C37" s="8"/>
      <c r="D37" s="8"/>
    </row>
    <row r="38" spans="2:4" ht="5" customHeight="1"/>
    <row r="39" spans="2:4" ht="69" customHeight="1">
      <c r="B39" s="10" t="s">
        <v>266</v>
      </c>
      <c r="C39" s="10"/>
      <c r="D39" s="10"/>
    </row>
    <row r="40" spans="2:4">
      <c r="B40" s="24" t="s">
        <v>267</v>
      </c>
      <c r="C40" s="24"/>
      <c r="D40" s="24"/>
    </row>
    <row r="42" spans="2:4" ht="21" customHeight="1">
      <c r="B42" s="8" t="s">
        <v>42</v>
      </c>
      <c r="C42" s="8"/>
      <c r="D42" s="8"/>
    </row>
    <row r="43" spans="2:4" ht="5" customHeight="1"/>
    <row r="44" spans="2:4" ht="42.6" customHeight="1">
      <c r="B44" s="10" t="s">
        <v>268</v>
      </c>
      <c r="C44" s="10"/>
      <c r="D44" s="10"/>
    </row>
    <row r="46" spans="2:4" ht="21" customHeight="1">
      <c r="B46" s="8" t="s">
        <v>269</v>
      </c>
      <c r="C46" s="8"/>
      <c r="D46" s="8"/>
    </row>
    <row r="47" spans="2:4" ht="5" customHeight="1"/>
    <row r="48" spans="2:4" ht="29.4" customHeight="1">
      <c r="B48" s="26" t="s">
        <v>55</v>
      </c>
      <c r="C48" s="10" t="s">
        <v>270</v>
      </c>
      <c r="D48" s="10"/>
    </row>
    <row r="49" spans="2:4" ht="29.4" customHeight="1">
      <c r="B49" s="26" t="s">
        <v>55</v>
      </c>
      <c r="C49" s="10" t="s">
        <v>271</v>
      </c>
      <c r="D49" s="10"/>
    </row>
    <row r="50" spans="2:4" ht="29.4" customHeight="1">
      <c r="B50" s="26" t="s">
        <v>55</v>
      </c>
      <c r="C50" s="10" t="s">
        <v>272</v>
      </c>
      <c r="D50" s="10"/>
    </row>
    <row r="51" spans="2:4">
      <c r="B51" s="21" t="s">
        <v>273</v>
      </c>
      <c r="C51" s="21"/>
      <c r="D51" s="21"/>
    </row>
    <row r="53" spans="2:4" ht="21" customHeight="1">
      <c r="B53" s="8" t="s">
        <v>274</v>
      </c>
      <c r="C53" s="8"/>
      <c r="D53" s="8"/>
    </row>
    <row r="54" spans="2:4" ht="5" customHeight="1"/>
    <row r="55" spans="2:4">
      <c r="B55" s="52" t="s">
        <v>50</v>
      </c>
      <c r="C55" s="52" t="s">
        <v>275</v>
      </c>
      <c r="D55" s="35" t="s">
        <v>276</v>
      </c>
    </row>
    <row r="56" spans="2:4" ht="16.2" customHeight="1">
      <c r="B56" s="61" t="s">
        <v>277</v>
      </c>
      <c r="C56" s="62" t="s">
        <v>278</v>
      </c>
      <c r="D56" s="63" t="s">
        <v>279</v>
      </c>
    </row>
    <row r="58" spans="2:4">
      <c r="B58" s="21" t="s">
        <v>61</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Kaizen Project Tracker&amp;R&amp;8&amp;A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W45"/>
  <sheetViews>
    <sheetView showGridLines="0" workbookViewId="0"/>
  </sheetViews>
  <sheetFormatPr defaultRowHeight="15"/>
  <cols>
    <col min="1" max="1" width="2.7109375" customWidth="1"/>
    <col min="2" max="19" width="12.7109375" customWidth="1"/>
    <col min="20" max="20" width="11.7109375" customWidth="1"/>
    <col min="21" max="22" width="8.28515625" customWidth="1"/>
    <col min="23" max="23" width="24.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28</v>
      </c>
      <c r="C2" s="2"/>
      <c r="D2" s="2"/>
      <c r="E2" s="2"/>
      <c r="F2" s="2"/>
      <c r="G2" s="2"/>
      <c r="H2" s="2"/>
      <c r="I2" s="2"/>
      <c r="J2" s="2"/>
      <c r="K2" s="2"/>
      <c r="L2" s="2"/>
      <c r="M2" s="2"/>
      <c r="N2" s="2"/>
      <c r="O2" s="2"/>
      <c r="P2" s="2"/>
      <c r="Q2" s="2"/>
      <c r="R2" s="2"/>
      <c r="S2" s="2"/>
      <c r="T2" s="2"/>
      <c r="U2" s="2"/>
      <c r="V2" s="2"/>
      <c r="W2" s="3" t="s">
        <v>2</v>
      </c>
    </row>
    <row r="3" spans="1:23" ht="6" customHeight="1"/>
    <row r="4" spans="1:23" ht="30" customHeight="1">
      <c r="B4" s="64" t="s">
        <v>280</v>
      </c>
      <c r="C4" s="64"/>
      <c r="D4" s="22" t="str">
        <f>IF(COUNTIF($K$11:$K$27,"PASS")=17,"PASS","FAIL")</f>
        <v>PASS</v>
      </c>
      <c r="E4" s="22"/>
      <c r="F4" s="23" t="str">
        <f>COUNTIF($K$11:$K$27,"PASS")&amp;" of 17 checks pass"</f>
        <v>17 of 17 checks pass</v>
      </c>
      <c r="G4" s="23"/>
      <c r="H4" s="23"/>
      <c r="I4" s="23"/>
      <c r="J4" s="23"/>
    </row>
    <row r="6" spans="1:23" ht="29.4" customHeight="1">
      <c r="B6" s="10" t="s">
        <v>281</v>
      </c>
      <c r="C6" s="10"/>
      <c r="D6" s="10"/>
      <c r="E6" s="10"/>
      <c r="F6" s="10"/>
      <c r="G6" s="10"/>
      <c r="H6" s="10"/>
      <c r="I6" s="10"/>
      <c r="J6" s="10"/>
      <c r="K6" s="10"/>
      <c r="L6" s="10"/>
    </row>
    <row r="8" spans="1:23" ht="21" customHeight="1">
      <c r="B8" s="8" t="s">
        <v>282</v>
      </c>
      <c r="C8" s="8"/>
      <c r="D8" s="8"/>
      <c r="E8" s="8"/>
      <c r="F8" s="8"/>
      <c r="G8" s="8"/>
      <c r="H8" s="8"/>
      <c r="I8" s="8"/>
      <c r="J8" s="8"/>
      <c r="K8" s="8"/>
      <c r="L8" s="8"/>
    </row>
    <row r="9" spans="1:23" ht="5" customHeight="1"/>
    <row r="10" spans="1:23" ht="30" customHeight="1">
      <c r="B10" s="35" t="s">
        <v>283</v>
      </c>
      <c r="C10" s="52" t="s">
        <v>132</v>
      </c>
      <c r="D10" s="52"/>
      <c r="E10" s="52"/>
      <c r="F10" s="52"/>
      <c r="G10" s="35" t="s">
        <v>284</v>
      </c>
      <c r="H10" s="35" t="s">
        <v>285</v>
      </c>
      <c r="I10" s="35" t="s">
        <v>286</v>
      </c>
      <c r="J10" s="35" t="s">
        <v>287</v>
      </c>
      <c r="K10" s="35" t="s">
        <v>288</v>
      </c>
    </row>
    <row r="11" spans="1:23" ht="16.2" customHeight="1">
      <c r="B11" s="65">
        <v>1</v>
      </c>
      <c r="C11" s="62" t="s">
        <v>289</v>
      </c>
      <c r="D11" s="62"/>
      <c r="E11" s="62"/>
      <c r="F11" s="62"/>
      <c r="G11" s="56">
        <v>69000</v>
      </c>
      <c r="H11" s="38">
        <f>$Q$40</f>
        <v>69000</v>
      </c>
      <c r="I11" s="66">
        <f>IF(AND(ISNUMBER($G$11),ISNUMBER($H$11)),ABS($H$11-$G$11),"")</f>
        <v>0</v>
      </c>
      <c r="J11" s="67">
        <v>1E-09</v>
      </c>
      <c r="K11" s="41" t="str">
        <f>IF(AND(ISNUMBER($G$11),ISNUMBER($H$11)),IF(ABS($H$11-$G$11)&lt;=$J$11,"PASS","FAIL"),"FAIL")</f>
        <v>PASS</v>
      </c>
    </row>
    <row r="12" spans="1:23" ht="16.2" customHeight="1">
      <c r="B12" s="65">
        <v>2</v>
      </c>
      <c r="C12" s="62" t="s">
        <v>290</v>
      </c>
      <c r="D12" s="62"/>
      <c r="E12" s="62"/>
      <c r="F12" s="62"/>
      <c r="G12" s="68">
        <v>14.78260869565217</v>
      </c>
      <c r="H12" s="69">
        <f>$R$40</f>
        <v>14.7826086956522</v>
      </c>
      <c r="I12" s="66">
        <f>IF(AND(ISNUMBER($G$12),ISNUMBER($H$12)),ABS($H$12-$G$12),"")</f>
        <v>0</v>
      </c>
      <c r="J12" s="67">
        <v>1E-09</v>
      </c>
      <c r="K12" s="41" t="str">
        <f>IF(AND(ISNUMBER($G$12),ISNUMBER($H$12)),IF(ABS($H$12-$G$12)&lt;=$J$12,"PASS","FAIL"),"FAIL")</f>
        <v>PASS</v>
      </c>
    </row>
    <row r="13" spans="1:23" ht="16.2" customHeight="1">
      <c r="B13" s="65">
        <v>3</v>
      </c>
      <c r="C13" s="62" t="s">
        <v>291</v>
      </c>
      <c r="D13" s="62"/>
      <c r="E13" s="62"/>
      <c r="F13" s="62"/>
      <c r="G13" s="70">
        <v>0.8117647058823529</v>
      </c>
      <c r="H13" s="71">
        <f>$S$40</f>
        <v>0.811764705882353</v>
      </c>
      <c r="I13" s="66">
        <f>IF(AND(ISNUMBER($G$13),ISNUMBER($H$13)),ABS($H$13-$G$13),"")</f>
        <v>0</v>
      </c>
      <c r="J13" s="67">
        <v>1E-09</v>
      </c>
      <c r="K13" s="41" t="str">
        <f>IF(AND(ISNUMBER($G$13),ISNUMBER($H$13)),IF(ABS($H$13-$G$13)&lt;=$J$13,"PASS","FAIL"),"FAIL")</f>
        <v>PASS</v>
      </c>
    </row>
    <row r="14" spans="1:23" ht="16.2" customHeight="1">
      <c r="B14" s="65">
        <v>4</v>
      </c>
      <c r="C14" s="62" t="s">
        <v>292</v>
      </c>
      <c r="D14" s="62"/>
      <c r="E14" s="62"/>
      <c r="F14" s="62"/>
      <c r="G14" s="61" t="s">
        <v>137</v>
      </c>
      <c r="H14" s="54" t="str">
        <f>$U$40</f>
        <v>Yes</v>
      </c>
      <c r="I14" s="54"/>
      <c r="J14" s="63" t="s">
        <v>293</v>
      </c>
      <c r="K14" s="41" t="str">
        <f>IF($H$14&amp;""=$G$14&amp;"","PASS","FAIL")</f>
        <v>PASS</v>
      </c>
    </row>
    <row r="15" spans="1:23" ht="16.2" customHeight="1">
      <c r="B15" s="65">
        <v>5</v>
      </c>
      <c r="C15" s="62" t="s">
        <v>294</v>
      </c>
      <c r="D15" s="62"/>
      <c r="E15" s="62"/>
      <c r="F15" s="62"/>
      <c r="G15" s="72">
        <v>0</v>
      </c>
      <c r="H15" s="39">
        <f>$R$41</f>
        <v>0</v>
      </c>
      <c r="I15" s="66">
        <f>IF(AND(ISNUMBER($G$15),ISNUMBER($H$15)),ABS($H$15-$G$15),"")</f>
        <v>0</v>
      </c>
      <c r="J15" s="67">
        <v>1E-09</v>
      </c>
      <c r="K15" s="41" t="str">
        <f>IF(AND(ISNUMBER($G$15),ISNUMBER($H$15)),IF(ABS($H$15-$G$15)&lt;=$J$15,"PASS","FAIL"),"FAIL")</f>
        <v>PASS</v>
      </c>
    </row>
    <row r="16" spans="1:23" ht="16.2" customHeight="1">
      <c r="B16" s="65">
        <v>6</v>
      </c>
      <c r="C16" s="62" t="s">
        <v>295</v>
      </c>
      <c r="D16" s="62"/>
      <c r="E16" s="62"/>
      <c r="F16" s="62"/>
      <c r="G16" s="61" t="s">
        <v>140</v>
      </c>
      <c r="H16" s="54" t="str">
        <f>$U$41</f>
        <v>No</v>
      </c>
      <c r="I16" s="54"/>
      <c r="J16" s="63" t="s">
        <v>293</v>
      </c>
      <c r="K16" s="41" t="str">
        <f>IF($H$16&amp;""=$G$16&amp;"","PASS","FAIL")</f>
        <v>PASS</v>
      </c>
    </row>
    <row r="17" spans="2:12" ht="16.2" customHeight="1">
      <c r="B17" s="65">
        <v>7</v>
      </c>
      <c r="C17" s="62" t="s">
        <v>296</v>
      </c>
      <c r="D17" s="62"/>
      <c r="E17" s="62"/>
      <c r="F17" s="62"/>
      <c r="G17" s="56">
        <v>18</v>
      </c>
      <c r="H17" s="38">
        <f>$V$41</f>
        <v>18</v>
      </c>
      <c r="I17" s="66">
        <f>IF(AND(ISNUMBER($G$17),ISNUMBER($H$17)),ABS($H$17-$G$17),"")</f>
        <v>0</v>
      </c>
      <c r="J17" s="67">
        <v>1E-09</v>
      </c>
      <c r="K17" s="41" t="str">
        <f>IF(AND(ISNUMBER($G$17),ISNUMBER($H$17)),IF(ABS($H$17-$G$17)&lt;=$J$17,"PASS","FAIL"),"FAIL")</f>
        <v>PASS</v>
      </c>
    </row>
    <row r="18" spans="2:12" ht="16.2" customHeight="1">
      <c r="B18" s="65">
        <v>8</v>
      </c>
      <c r="C18" s="62" t="s">
        <v>297</v>
      </c>
      <c r="D18" s="62"/>
      <c r="E18" s="62"/>
      <c r="F18" s="62"/>
      <c r="G18" s="61" t="s">
        <v>216</v>
      </c>
      <c r="H18" s="54" t="str">
        <f>$T$42</f>
        <v>Overdue</v>
      </c>
      <c r="I18" s="54"/>
      <c r="J18" s="63" t="s">
        <v>293</v>
      </c>
      <c r="K18" s="41" t="str">
        <f>IF($H$18&amp;""=$G$18&amp;"","PASS","FAIL")</f>
        <v>PASS</v>
      </c>
    </row>
    <row r="19" spans="2:12" ht="16.2" customHeight="1">
      <c r="B19" s="65">
        <v>9</v>
      </c>
      <c r="C19" s="62" t="s">
        <v>298</v>
      </c>
      <c r="D19" s="62"/>
      <c r="E19" s="62"/>
      <c r="F19" s="62"/>
      <c r="G19" s="56">
        <v>100</v>
      </c>
      <c r="H19" s="38">
        <f>$V$42</f>
        <v>100</v>
      </c>
      <c r="I19" s="66">
        <f>IF(AND(ISNUMBER($G$19),ISNUMBER($H$19)),ABS($H$19-$G$19),"")</f>
        <v>0</v>
      </c>
      <c r="J19" s="67">
        <v>1E-09</v>
      </c>
      <c r="K19" s="41" t="str">
        <f>IF(AND(ISNUMBER($G$19),ISNUMBER($H$19)),IF(ABS($H$19-$G$19)&lt;=$J$19,"PASS","FAIL"),"FAIL")</f>
        <v>PASS</v>
      </c>
    </row>
    <row r="20" spans="2:12" ht="16.2" customHeight="1">
      <c r="B20" s="65">
        <v>10</v>
      </c>
      <c r="C20" s="62" t="s">
        <v>299</v>
      </c>
      <c r="D20" s="62"/>
      <c r="E20" s="62"/>
      <c r="F20" s="62"/>
      <c r="G20" s="61" t="s">
        <v>300</v>
      </c>
      <c r="H20" s="54" t="str">
        <f>$T$43</f>
        <v>Due soon</v>
      </c>
      <c r="I20" s="54"/>
      <c r="J20" s="63" t="s">
        <v>293</v>
      </c>
      <c r="K20" s="41" t="str">
        <f>IF($H$20&amp;""=$G$20&amp;"","PASS","FAIL")</f>
        <v>PASS</v>
      </c>
    </row>
    <row r="21" spans="2:12" ht="16.2" customHeight="1">
      <c r="B21" s="65">
        <v>11</v>
      </c>
      <c r="C21" s="62" t="s">
        <v>301</v>
      </c>
      <c r="D21" s="62"/>
      <c r="E21" s="62"/>
      <c r="F21" s="62"/>
      <c r="G21" s="56">
        <v>-500</v>
      </c>
      <c r="H21" s="38">
        <f>$Q$43</f>
        <v>-500</v>
      </c>
      <c r="I21" s="66">
        <f>IF(AND(ISNUMBER($G$21),ISNUMBER($H$21)),ABS($H$21-$G$21),"")</f>
        <v>0</v>
      </c>
      <c r="J21" s="67">
        <v>1E-09</v>
      </c>
      <c r="K21" s="41" t="str">
        <f>IF(AND(ISNUMBER($G$21),ISNUMBER($H$21)),IF(ABS($H$21-$G$21)&lt;=$J$21,"PASS","FAIL"),"FAIL")</f>
        <v>PASS</v>
      </c>
    </row>
    <row r="22" spans="2:12" ht="16.2" customHeight="1">
      <c r="B22" s="65">
        <v>12</v>
      </c>
      <c r="C22" s="62" t="s">
        <v>302</v>
      </c>
      <c r="D22" s="62"/>
      <c r="E22" s="62"/>
      <c r="F22" s="62"/>
      <c r="G22" s="61" t="s">
        <v>303</v>
      </c>
      <c r="H22" s="54" t="str">
        <f>$W$45</f>
        <v>Completed before start</v>
      </c>
      <c r="I22" s="54"/>
      <c r="J22" s="63" t="s">
        <v>293</v>
      </c>
      <c r="K22" s="41" t="str">
        <f>IF($H$22&amp;""=$G$22&amp;"","PASS","FAIL")</f>
        <v>PASS</v>
      </c>
    </row>
    <row r="23" spans="2:12" ht="16.2" customHeight="1">
      <c r="B23" s="65">
        <v>13</v>
      </c>
      <c r="C23" s="62" t="s">
        <v>304</v>
      </c>
      <c r="D23" s="62"/>
      <c r="E23" s="62"/>
      <c r="F23" s="62"/>
      <c r="G23" s="56">
        <v>75500</v>
      </c>
      <c r="H23" s="38">
        <f>SUMIFS(tblVerifyProjects[Net annual benefit],tblVerifyProjects[Completed],"&gt;="&amp;$E$34,tblVerifyProjects[Completed],"&lt;="&amp;$E$33)</f>
        <v>75500</v>
      </c>
      <c r="I23" s="66">
        <f>IF(AND(ISNUMBER($G$23),ISNUMBER($H$23)),ABS($H$23-$G$23),"")</f>
        <v>0</v>
      </c>
      <c r="J23" s="67">
        <v>1E-09</v>
      </c>
      <c r="K23" s="41" t="str">
        <f>IF(AND(ISNUMBER($G$23),ISNUMBER($H$23)),IF(ABS($H$23-$G$23)&lt;=$J$23,"PASS","FAIL"),"FAIL")</f>
        <v>PASS</v>
      </c>
    </row>
    <row r="24" spans="2:12" ht="16.2" customHeight="1">
      <c r="B24" s="65">
        <v>14</v>
      </c>
      <c r="C24" s="62" t="s">
        <v>305</v>
      </c>
      <c r="D24" s="62"/>
      <c r="E24" s="62"/>
      <c r="F24" s="62"/>
      <c r="G24" s="56">
        <v>3</v>
      </c>
      <c r="H24" s="38">
        <f>COUNTIFS(tblVerifyProjects[Completed],"&gt;="&amp;$E$34,tblVerifyProjects[Completed],"&lt;="&amp;$E$33)</f>
        <v>3</v>
      </c>
      <c r="I24" s="66">
        <f>IF(AND(ISNUMBER($G$24),ISNUMBER($H$24)),ABS($H$24-$G$24),"")</f>
        <v>0</v>
      </c>
      <c r="J24" s="67">
        <v>1E-09</v>
      </c>
      <c r="K24" s="41" t="str">
        <f>IF(AND(ISNUMBER($G$24),ISNUMBER($H$24)),IF(ABS($H$24-$G$24)&lt;=$J$24,"PASS","FAIL"),"FAIL")</f>
        <v>PASS</v>
      </c>
    </row>
    <row r="25" spans="2:12" ht="16.2" customHeight="1">
      <c r="B25" s="65">
        <v>15</v>
      </c>
      <c r="C25" s="62" t="s">
        <v>306</v>
      </c>
      <c r="D25" s="62"/>
      <c r="E25" s="62"/>
      <c r="F25" s="62"/>
      <c r="G25" s="56">
        <v>1</v>
      </c>
      <c r="H25" s="38">
        <f>COUNTIFS(tblVerifyProjects[Status],"Overdue")</f>
        <v>1</v>
      </c>
      <c r="I25" s="66">
        <f>IF(AND(ISNUMBER($G$25),ISNUMBER($H$25)),ABS($H$25-$G$25),"")</f>
        <v>0</v>
      </c>
      <c r="J25" s="67">
        <v>1E-09</v>
      </c>
      <c r="K25" s="41" t="str">
        <f>IF(AND(ISNUMBER($G$25),ISNUMBER($H$25)),IF(ABS($H$25-$G$25)&lt;=$J$25,"PASS","FAIL"),"FAIL")</f>
        <v>PASS</v>
      </c>
    </row>
    <row r="26" spans="2:12" ht="16.2" customHeight="1">
      <c r="B26" s="65">
        <v>16</v>
      </c>
      <c r="C26" s="62" t="s">
        <v>307</v>
      </c>
      <c r="D26" s="62"/>
      <c r="E26" s="62"/>
      <c r="F26" s="62"/>
      <c r="G26" s="70">
        <v>0.9139072847682119</v>
      </c>
      <c r="H26" s="71">
        <f>IF((SUMIFS(tblVerifyProjects[Net annual benefit],tblVerifyProjects[Completed],"&gt;="&amp;$E$34,tblVerifyProjects[Completed],"&lt;="&amp;$E$33))=0,"",(SUMIFS(tblVerifyProjects[Net annual benefit],tblVerifyProjects[Completed],"&gt;="&amp;$E$34,tblVerifyProjects[Completed],"&lt;="&amp;$E$33,tblVerifyProjects[Verified],"Yes"))/(SUMIFS(tblVerifyProjects[Net annual benefit],tblVerifyProjects[Completed],"&gt;="&amp;$E$34,tblVerifyProjects[Completed],"&lt;="&amp;$E$33)))</f>
        <v>0.913907284768212</v>
      </c>
      <c r="I26" s="66">
        <f>IF(AND(ISNUMBER($G$26),ISNUMBER($H$26)),ABS($H$26-$G$26),"")</f>
        <v>0</v>
      </c>
      <c r="J26" s="67">
        <v>1E-09</v>
      </c>
      <c r="K26" s="41" t="str">
        <f>IF(AND(ISNUMBER($G$26),ISNUMBER($H$26)),IF(ABS($H$26-$G$26)&lt;=$J$26,"PASS","FAIL"),"FAIL")</f>
        <v>PASS</v>
      </c>
    </row>
    <row r="27" spans="2:12" ht="16.2" customHeight="1">
      <c r="B27" s="65">
        <v>17</v>
      </c>
      <c r="C27" s="62" t="s">
        <v>308</v>
      </c>
      <c r="D27" s="62"/>
      <c r="E27" s="62"/>
      <c r="F27" s="62"/>
      <c r="G27" s="68">
        <v>13.66887417218543</v>
      </c>
      <c r="H27" s="69">
        <f>IF(SUMIFS(tblVerifyProjects[Net annual benefit],tblVerifyProjects[Completed],"&gt;="&amp;$E$34,tblVerifyProjects[Completed],"&lt;="&amp;$E$33)&lt;=0,"",SUMIFS(tblVerifyProjects[Investment],tblVerifyProjects[Completed],"&gt;="&amp;$E$34,tblVerifyProjects[Completed],"&lt;="&amp;$E$33)/SUMIFS(tblVerifyProjects[Net annual benefit],tblVerifyProjects[Completed],"&gt;="&amp;$E$34,tblVerifyProjects[Completed],"&lt;="&amp;$E$33)*12)</f>
        <v>13.6688741721854</v>
      </c>
      <c r="I27" s="66">
        <f>IF(AND(ISNUMBER($G$27),ISNUMBER($H$27)),ABS($H$27-$G$27),"")</f>
        <v>0</v>
      </c>
      <c r="J27" s="67">
        <v>1E-09</v>
      </c>
      <c r="K27" s="41" t="str">
        <f>IF(AND(ISNUMBER($G$27),ISNUMBER($H$27)),IF(ABS($H$27-$G$27)&lt;=$J$27,"PASS","FAIL"),"FAIL")</f>
        <v>PASS</v>
      </c>
    </row>
    <row r="29" spans="2:12" ht="21" customHeight="1">
      <c r="B29" s="8" t="s">
        <v>309</v>
      </c>
      <c r="C29" s="8"/>
      <c r="D29" s="8"/>
      <c r="E29" s="8"/>
      <c r="F29" s="8"/>
      <c r="G29" s="8"/>
      <c r="H29" s="8"/>
      <c r="I29" s="8"/>
      <c r="J29" s="8"/>
      <c r="K29" s="8"/>
      <c r="L29" s="8"/>
    </row>
    <row r="30" spans="2:12" ht="5" customHeight="1"/>
    <row r="31" spans="2:12">
      <c r="B31" s="21" t="s">
        <v>310</v>
      </c>
      <c r="C31" s="21"/>
      <c r="D31" s="21"/>
      <c r="E31" s="21"/>
      <c r="F31" s="21"/>
      <c r="G31" s="21"/>
      <c r="H31" s="21"/>
      <c r="I31" s="21"/>
      <c r="J31" s="21"/>
      <c r="K31" s="21"/>
      <c r="L31" s="21"/>
    </row>
    <row r="32" spans="2:12">
      <c r="B32" s="34" t="s">
        <v>311</v>
      </c>
      <c r="C32" s="34"/>
      <c r="D32" s="34"/>
      <c r="E32" s="34"/>
      <c r="F32" s="34"/>
    </row>
    <row r="33" spans="2:23">
      <c r="B33" s="27" t="s">
        <v>73</v>
      </c>
      <c r="C33" s="27"/>
      <c r="D33" s="27"/>
      <c r="E33" s="73">
        <v>46304</v>
      </c>
      <c r="F33" s="7"/>
    </row>
    <row r="34" spans="2:23">
      <c r="B34" s="27" t="s">
        <v>71</v>
      </c>
      <c r="C34" s="27"/>
      <c r="D34" s="27"/>
      <c r="E34" s="73">
        <v>46023</v>
      </c>
      <c r="F34" s="7"/>
    </row>
    <row r="35" spans="2:23">
      <c r="B35" s="27" t="s">
        <v>312</v>
      </c>
      <c r="C35" s="27"/>
      <c r="D35" s="27"/>
      <c r="E35" s="56">
        <v>14</v>
      </c>
      <c r="F35" s="7"/>
    </row>
    <row r="37" spans="2:23">
      <c r="B37" s="34" t="s">
        <v>313</v>
      </c>
      <c r="C37" s="34"/>
      <c r="D37" s="34"/>
      <c r="E37" s="34"/>
      <c r="F37" s="34"/>
      <c r="G37" s="34"/>
      <c r="H37" s="34"/>
      <c r="I37" s="34"/>
      <c r="J37" s="34"/>
      <c r="K37" s="34"/>
      <c r="L37" s="34"/>
    </row>
    <row r="38" spans="2:23" ht="14" customHeight="1">
      <c r="B38" s="37"/>
      <c r="C38" s="37"/>
      <c r="D38" s="37"/>
      <c r="E38" s="37"/>
      <c r="F38" s="37"/>
      <c r="G38" s="37"/>
      <c r="H38" s="37"/>
      <c r="I38" s="37"/>
      <c r="J38" s="37"/>
      <c r="K38" s="37" t="str">
        <f>Currency</f>
        <v>CAD</v>
      </c>
      <c r="L38" s="37" t="str">
        <f>Currency&amp;"/yr"</f>
        <v>CAD/yr</v>
      </c>
      <c r="M38" s="37" t="str">
        <f>Currency&amp;"/yr"</f>
        <v>CAD/yr</v>
      </c>
      <c r="N38" s="37" t="str">
        <f>Currency&amp;"/yr"</f>
        <v>CAD/yr</v>
      </c>
      <c r="O38" s="37" t="str">
        <f>Currency&amp;"/yr"</f>
        <v>CAD/yr</v>
      </c>
      <c r="P38" s="37"/>
      <c r="Q38" s="37" t="str">
        <f>Currency&amp;"/yr"</f>
        <v>CAD/yr</v>
      </c>
      <c r="R38" s="37" t="s">
        <v>134</v>
      </c>
      <c r="S38" s="37"/>
      <c r="T38" s="37"/>
      <c r="U38" s="37"/>
      <c r="V38" s="37" t="s">
        <v>76</v>
      </c>
      <c r="W38" s="37"/>
    </row>
    <row r="39" spans="2:23" ht="45.5" customHeight="1">
      <c r="B39" s="35" t="s">
        <v>113</v>
      </c>
      <c r="C39" s="35" t="s">
        <v>114</v>
      </c>
      <c r="D39" s="35" t="s">
        <v>62</v>
      </c>
      <c r="E39" s="35" t="s">
        <v>65</v>
      </c>
      <c r="F39" s="35" t="s">
        <v>115</v>
      </c>
      <c r="G39" s="35" t="s">
        <v>116</v>
      </c>
      <c r="H39" s="35" t="s">
        <v>117</v>
      </c>
      <c r="I39" s="35" t="s">
        <v>118</v>
      </c>
      <c r="J39" s="35" t="s">
        <v>119</v>
      </c>
      <c r="K39" s="35" t="s">
        <v>120</v>
      </c>
      <c r="L39" s="35" t="s">
        <v>121</v>
      </c>
      <c r="M39" s="35" t="s">
        <v>122</v>
      </c>
      <c r="N39" s="35" t="s">
        <v>123</v>
      </c>
      <c r="O39" s="35" t="s">
        <v>124</v>
      </c>
      <c r="P39" s="35" t="s">
        <v>125</v>
      </c>
      <c r="Q39" s="35" t="s">
        <v>126</v>
      </c>
      <c r="R39" s="35" t="s">
        <v>127</v>
      </c>
      <c r="S39" s="35" t="s">
        <v>128</v>
      </c>
      <c r="T39" s="35" t="s">
        <v>129</v>
      </c>
      <c r="U39" s="35" t="s">
        <v>130</v>
      </c>
      <c r="V39" s="35" t="s">
        <v>131</v>
      </c>
      <c r="W39" s="35" t="s">
        <v>132</v>
      </c>
    </row>
    <row r="40" spans="2:23">
      <c r="B40" s="61" t="s">
        <v>314</v>
      </c>
      <c r="C40" s="61" t="s">
        <v>87</v>
      </c>
      <c r="D40" s="61" t="s">
        <v>315</v>
      </c>
      <c r="E40" s="61" t="s">
        <v>316</v>
      </c>
      <c r="F40" s="61" t="s">
        <v>317</v>
      </c>
      <c r="G40" s="73">
        <v>46055</v>
      </c>
      <c r="H40" s="73">
        <v>46112</v>
      </c>
      <c r="I40" s="73">
        <v>46108</v>
      </c>
      <c r="J40" s="61"/>
      <c r="K40" s="68">
        <v>85000</v>
      </c>
      <c r="L40" s="68">
        <v>42000</v>
      </c>
      <c r="M40" s="68">
        <v>12000</v>
      </c>
      <c r="N40" s="68">
        <v>21500</v>
      </c>
      <c r="O40" s="68">
        <v>6500</v>
      </c>
      <c r="P40" s="61" t="s">
        <v>137</v>
      </c>
      <c r="Q40" s="38">
        <f>IF(tblVerifyProjects[[#This Row],[Start]]="","",tblVerifyProjects[[#This Row],[Labor savings]]+tblVerifyProjects[[#This Row],[Scrap and material savings]]+tblVerifyProjects[[#This Row],[Other savings]]-tblVerifyProjects[[#This Row],[Added running cost]])</f>
        <v>69000</v>
      </c>
      <c r="R40" s="39">
        <f>IF(tblVerifyProjects[[#This Row],[Start]]="","",IF(tblVerifyProjects[[#This Row],[Net annual benefit]]&lt;=0,"",IF(tblVerifyProjects[[#This Row],[Investment]]&gt;0,tblVerifyProjects[[#This Row],[Investment]]/tblVerifyProjects[[#This Row],[Net annual benefit]]*12,0)))</f>
        <v>14.7826086956522</v>
      </c>
      <c r="S40" s="40">
        <f>IF(tblVerifyProjects[[#This Row],[Start]]="","",IF(tblVerifyProjects[[#This Row],[Investment]]&gt;0,tblVerifyProjects[[#This Row],[Net annual benefit]]/tblVerifyProjects[[#This Row],[Investment]],""))</f>
        <v>0.811764705882353</v>
      </c>
      <c r="T40" s="41" t="str">
        <f>IF(tblVerifyProjects[[#This Row],[Start]]="","",IF(tblVerifyProjects[[#This Row],[Completed]]&lt;&gt;"","Complete",IF(tblVerifyProjects[[#This Row],[Target date]]="","",IF(tblVerifyProjects[[#This Row],[Target date]]&lt;$E$33,"Overdue",IF(tblVerifyProjects[[#This Row],[Target date]]-$E$33&lt;=$E$35,"Due soon","In progress")))))</f>
        <v>Complete</v>
      </c>
      <c r="U40" s="41" t="str">
        <f>IF(tblVerifyProjects[[#This Row],[Start]]="","",IF(OR(tblVerifyProjects[[#This Row],[Completed]]="",tblVerifyProjects[[#This Row],[Target date]]=""),"",IF(tblVerifyProjects[[#This Row],[Completed]]&lt;=tblVerifyProjects[[#This Row],[Target date]],"Yes","No")))</f>
        <v>Yes</v>
      </c>
      <c r="V40" s="38">
        <f>IF(tblVerifyProjects[[#This Row],[Start]]="","",IF(tblVerifyProjects[[#This Row],[Completed]]="",$E$33-tblVerifyProjects[[#This Row],[Start]],tblVerifyProjects[[#This Row],[Completed]]-tblVerifyProjects[[#This Row],[Start]]))</f>
        <v>53</v>
      </c>
      <c r="W40" s="42" t="str">
        <f>IF(tblVerifyProjects[[#This Row],[Start]]="","",IF(tblVerifyProjects[[#This Row],[ID]]="","Missing id",IF(tblVerifyProjects[[#This Row],[Area]]="","Missing area",IF(tblVerifyProjects[[#This Row],[Type]]="","Missing type",IF(tblVerifyProjects[[#This Row],[Target date]]="","Missing target date",IF(tblVerifyProjects[[#This Row],[Target date]]&lt;tblVerifyProjects[[#This Row],[Start]],"Target before start",IF(AND(tblVerifyProjects[[#This Row],[Completed]]&lt;&gt;"",tblVerifyProjects[[#This Row],[Completed]]&lt;tblVerifyProjects[[#This Row],[Start]]),"Completed before start",IF(OR(tblVerifyProjects[[#This Row],[Start]]&gt;$E$33,AND(tblVerifyProjects[[#This Row],[Completed]]&lt;&gt;"",tblVerifyProjects[[#This Row],[Completed]]&gt;$E$33)),"Date after the status date",IF(AND(tblVerifyProjects[[#This Row],[Completed]]="",tblVerifyProjects[[#This Row],[PDCA stage]]=""),"Open project with no PDCA stage",IF(AND(tblVerifyProjects[[#This Row],[Verified]]="Yes",tblVerifyProjects[[#This Row],[Completed]]=""),"Verified before completion",IF(COUNTIF(tblVerifyProjects[ID],tblVerifyProjects[[#This Row],[ID]])&gt;1,"Duplicate ID","OK")))))))))))</f>
        <v>OK</v>
      </c>
    </row>
    <row r="41" spans="2:23">
      <c r="B41" s="61" t="s">
        <v>318</v>
      </c>
      <c r="C41" s="61" t="s">
        <v>87</v>
      </c>
      <c r="D41" s="61" t="s">
        <v>315</v>
      </c>
      <c r="E41" s="61" t="s">
        <v>316</v>
      </c>
      <c r="F41" s="61" t="s">
        <v>317</v>
      </c>
      <c r="G41" s="73">
        <v>46146</v>
      </c>
      <c r="H41" s="73">
        <v>46157</v>
      </c>
      <c r="I41" s="73">
        <v>46164</v>
      </c>
      <c r="J41" s="61"/>
      <c r="K41" s="68">
        <v>0</v>
      </c>
      <c r="L41" s="68">
        <v>4500</v>
      </c>
      <c r="M41" s="68">
        <v>0</v>
      </c>
      <c r="N41" s="68">
        <v>0</v>
      </c>
      <c r="O41" s="68">
        <v>0</v>
      </c>
      <c r="P41" s="61" t="s">
        <v>140</v>
      </c>
      <c r="Q41" s="38">
        <f>IF(tblVerifyProjects[[#This Row],[Start]]="","",tblVerifyProjects[[#This Row],[Labor savings]]+tblVerifyProjects[[#This Row],[Scrap and material savings]]+tblVerifyProjects[[#This Row],[Other savings]]-tblVerifyProjects[[#This Row],[Added running cost]])</f>
        <v>4500</v>
      </c>
      <c r="R41" s="39">
        <f>IF(tblVerifyProjects[[#This Row],[Start]]="","",IF(tblVerifyProjects[[#This Row],[Net annual benefit]]&lt;=0,"",IF(tblVerifyProjects[[#This Row],[Investment]]&gt;0,tblVerifyProjects[[#This Row],[Investment]]/tblVerifyProjects[[#This Row],[Net annual benefit]]*12,0)))</f>
        <v>0</v>
      </c>
      <c r="S41" s="40">
        <f>IF(tblVerifyProjects[[#This Row],[Start]]="","",IF(tblVerifyProjects[[#This Row],[Investment]]&gt;0,tblVerifyProjects[[#This Row],[Net annual benefit]]/tblVerifyProjects[[#This Row],[Investment]],""))</f>
        <v/>
      </c>
      <c r="T41" s="41" t="str">
        <f>IF(tblVerifyProjects[[#This Row],[Start]]="","",IF(tblVerifyProjects[[#This Row],[Completed]]&lt;&gt;"","Complete",IF(tblVerifyProjects[[#This Row],[Target date]]="","",IF(tblVerifyProjects[[#This Row],[Target date]]&lt;$E$33,"Overdue",IF(tblVerifyProjects[[#This Row],[Target date]]-$E$33&lt;=$E$35,"Due soon","In progress")))))</f>
        <v>Complete</v>
      </c>
      <c r="U41" s="41" t="str">
        <f>IF(tblVerifyProjects[[#This Row],[Start]]="","",IF(OR(tblVerifyProjects[[#This Row],[Completed]]="",tblVerifyProjects[[#This Row],[Target date]]=""),"",IF(tblVerifyProjects[[#This Row],[Completed]]&lt;=tblVerifyProjects[[#This Row],[Target date]],"Yes","No")))</f>
        <v>No</v>
      </c>
      <c r="V41" s="38">
        <f>IF(tblVerifyProjects[[#This Row],[Start]]="","",IF(tblVerifyProjects[[#This Row],[Completed]]="",$E$33-tblVerifyProjects[[#This Row],[Start]],tblVerifyProjects[[#This Row],[Completed]]-tblVerifyProjects[[#This Row],[Start]]))</f>
        <v>18</v>
      </c>
      <c r="W41" s="42" t="str">
        <f>IF(tblVerifyProjects[[#This Row],[Start]]="","",IF(tblVerifyProjects[[#This Row],[ID]]="","Missing id",IF(tblVerifyProjects[[#This Row],[Area]]="","Missing area",IF(tblVerifyProjects[[#This Row],[Type]]="","Missing type",IF(tblVerifyProjects[[#This Row],[Target date]]="","Missing target date",IF(tblVerifyProjects[[#This Row],[Target date]]&lt;tblVerifyProjects[[#This Row],[Start]],"Target before start",IF(AND(tblVerifyProjects[[#This Row],[Completed]]&lt;&gt;"",tblVerifyProjects[[#This Row],[Completed]]&lt;tblVerifyProjects[[#This Row],[Start]]),"Completed before start",IF(OR(tblVerifyProjects[[#This Row],[Start]]&gt;$E$33,AND(tblVerifyProjects[[#This Row],[Completed]]&lt;&gt;"",tblVerifyProjects[[#This Row],[Completed]]&gt;$E$33)),"Date after the status date",IF(AND(tblVerifyProjects[[#This Row],[Completed]]="",tblVerifyProjects[[#This Row],[PDCA stage]]=""),"Open project with no PDCA stage",IF(AND(tblVerifyProjects[[#This Row],[Verified]]="Yes",tblVerifyProjects[[#This Row],[Completed]]=""),"Verified before completion",IF(COUNTIF(tblVerifyProjects[ID],tblVerifyProjects[[#This Row],[ID]])&gt;1,"Duplicate ID","OK")))))))))))</f>
        <v>OK</v>
      </c>
    </row>
    <row r="42" spans="2:23">
      <c r="B42" s="61" t="s">
        <v>319</v>
      </c>
      <c r="C42" s="61" t="s">
        <v>87</v>
      </c>
      <c r="D42" s="61" t="s">
        <v>315</v>
      </c>
      <c r="E42" s="61" t="s">
        <v>316</v>
      </c>
      <c r="F42" s="61" t="s">
        <v>317</v>
      </c>
      <c r="G42" s="73">
        <v>46204</v>
      </c>
      <c r="H42" s="73">
        <v>46295</v>
      </c>
      <c r="I42" s="73"/>
      <c r="J42" s="61" t="s">
        <v>197</v>
      </c>
      <c r="K42" s="68">
        <v>12000</v>
      </c>
      <c r="L42" s="68">
        <v>0</v>
      </c>
      <c r="M42" s="68">
        <v>18000</v>
      </c>
      <c r="N42" s="68">
        <v>0</v>
      </c>
      <c r="O42" s="68">
        <v>0</v>
      </c>
      <c r="P42" s="61" t="s">
        <v>140</v>
      </c>
      <c r="Q42" s="38">
        <f>IF(tblVerifyProjects[[#This Row],[Start]]="","",tblVerifyProjects[[#This Row],[Labor savings]]+tblVerifyProjects[[#This Row],[Scrap and material savings]]+tblVerifyProjects[[#This Row],[Other savings]]-tblVerifyProjects[[#This Row],[Added running cost]])</f>
        <v>18000</v>
      </c>
      <c r="R42" s="39">
        <f>IF(tblVerifyProjects[[#This Row],[Start]]="","",IF(tblVerifyProjects[[#This Row],[Net annual benefit]]&lt;=0,"",IF(tblVerifyProjects[[#This Row],[Investment]]&gt;0,tblVerifyProjects[[#This Row],[Investment]]/tblVerifyProjects[[#This Row],[Net annual benefit]]*12,0)))</f>
        <v>8</v>
      </c>
      <c r="S42" s="40">
        <f>IF(tblVerifyProjects[[#This Row],[Start]]="","",IF(tblVerifyProjects[[#This Row],[Investment]]&gt;0,tblVerifyProjects[[#This Row],[Net annual benefit]]/tblVerifyProjects[[#This Row],[Investment]],""))</f>
        <v>1.5</v>
      </c>
      <c r="T42" s="41" t="str">
        <f>IF(tblVerifyProjects[[#This Row],[Start]]="","",IF(tblVerifyProjects[[#This Row],[Completed]]&lt;&gt;"","Complete",IF(tblVerifyProjects[[#This Row],[Target date]]="","",IF(tblVerifyProjects[[#This Row],[Target date]]&lt;$E$33,"Overdue",IF(tblVerifyProjects[[#This Row],[Target date]]-$E$33&lt;=$E$35,"Due soon","In progress")))))</f>
        <v>Overdue</v>
      </c>
      <c r="U42" s="41">
        <f>IF(tblVerifyProjects[[#This Row],[Start]]="","",IF(OR(tblVerifyProjects[[#This Row],[Completed]]="",tblVerifyProjects[[#This Row],[Target date]]=""),"",IF(tblVerifyProjects[[#This Row],[Completed]]&lt;=tblVerifyProjects[[#This Row],[Target date]],"Yes","No")))</f>
        <v/>
      </c>
      <c r="V42" s="38">
        <f>IF(tblVerifyProjects[[#This Row],[Start]]="","",IF(tblVerifyProjects[[#This Row],[Completed]]="",$E$33-tblVerifyProjects[[#This Row],[Start]],tblVerifyProjects[[#This Row],[Completed]]-tblVerifyProjects[[#This Row],[Start]]))</f>
        <v>100</v>
      </c>
      <c r="W42" s="42" t="str">
        <f>IF(tblVerifyProjects[[#This Row],[Start]]="","",IF(tblVerifyProjects[[#This Row],[ID]]="","Missing id",IF(tblVerifyProjects[[#This Row],[Area]]="","Missing area",IF(tblVerifyProjects[[#This Row],[Type]]="","Missing type",IF(tblVerifyProjects[[#This Row],[Target date]]="","Missing target date",IF(tblVerifyProjects[[#This Row],[Target date]]&lt;tblVerifyProjects[[#This Row],[Start]],"Target before start",IF(AND(tblVerifyProjects[[#This Row],[Completed]]&lt;&gt;"",tblVerifyProjects[[#This Row],[Completed]]&lt;tblVerifyProjects[[#This Row],[Start]]),"Completed before start",IF(OR(tblVerifyProjects[[#This Row],[Start]]&gt;$E$33,AND(tblVerifyProjects[[#This Row],[Completed]]&lt;&gt;"",tblVerifyProjects[[#This Row],[Completed]]&gt;$E$33)),"Date after the status date",IF(AND(tblVerifyProjects[[#This Row],[Completed]]="",tblVerifyProjects[[#This Row],[PDCA stage]]=""),"Open project with no PDCA stage",IF(AND(tblVerifyProjects[[#This Row],[Verified]]="Yes",tblVerifyProjects[[#This Row],[Completed]]=""),"Verified before completion",IF(COUNTIF(tblVerifyProjects[ID],tblVerifyProjects[[#This Row],[ID]])&gt;1,"Duplicate ID","OK")))))))))))</f>
        <v>OK</v>
      </c>
    </row>
    <row r="43" spans="2:23">
      <c r="B43" s="61" t="s">
        <v>320</v>
      </c>
      <c r="C43" s="61" t="s">
        <v>87</v>
      </c>
      <c r="D43" s="61" t="s">
        <v>315</v>
      </c>
      <c r="E43" s="61" t="s">
        <v>316</v>
      </c>
      <c r="F43" s="61" t="s">
        <v>317</v>
      </c>
      <c r="G43" s="73">
        <v>46237</v>
      </c>
      <c r="H43" s="73">
        <v>46315</v>
      </c>
      <c r="I43" s="73"/>
      <c r="J43" s="61" t="s">
        <v>132</v>
      </c>
      <c r="K43" s="68">
        <v>5000</v>
      </c>
      <c r="L43" s="68">
        <v>0</v>
      </c>
      <c r="M43" s="68">
        <v>0</v>
      </c>
      <c r="N43" s="68">
        <v>1000</v>
      </c>
      <c r="O43" s="68">
        <v>1500</v>
      </c>
      <c r="P43" s="61" t="s">
        <v>140</v>
      </c>
      <c r="Q43" s="38">
        <f>IF(tblVerifyProjects[[#This Row],[Start]]="","",tblVerifyProjects[[#This Row],[Labor savings]]+tblVerifyProjects[[#This Row],[Scrap and material savings]]+tblVerifyProjects[[#This Row],[Other savings]]-tblVerifyProjects[[#This Row],[Added running cost]])</f>
        <v>-500</v>
      </c>
      <c r="R43" s="39">
        <f>IF(tblVerifyProjects[[#This Row],[Start]]="","",IF(tblVerifyProjects[[#This Row],[Net annual benefit]]&lt;=0,"",IF(tblVerifyProjects[[#This Row],[Investment]]&gt;0,tblVerifyProjects[[#This Row],[Investment]]/tblVerifyProjects[[#This Row],[Net annual benefit]]*12,0)))</f>
        <v/>
      </c>
      <c r="S43" s="40">
        <f>IF(tblVerifyProjects[[#This Row],[Start]]="","",IF(tblVerifyProjects[[#This Row],[Investment]]&gt;0,tblVerifyProjects[[#This Row],[Net annual benefit]]/tblVerifyProjects[[#This Row],[Investment]],""))</f>
        <v>-0.1</v>
      </c>
      <c r="T43" s="41" t="str">
        <f>IF(tblVerifyProjects[[#This Row],[Start]]="","",IF(tblVerifyProjects[[#This Row],[Completed]]&lt;&gt;"","Complete",IF(tblVerifyProjects[[#This Row],[Target date]]="","",IF(tblVerifyProjects[[#This Row],[Target date]]&lt;$E$33,"Overdue",IF(tblVerifyProjects[[#This Row],[Target date]]-$E$33&lt;=$E$35,"Due soon","In progress")))))</f>
        <v>Due soon</v>
      </c>
      <c r="U43" s="41">
        <f>IF(tblVerifyProjects[[#This Row],[Start]]="","",IF(OR(tblVerifyProjects[[#This Row],[Completed]]="",tblVerifyProjects[[#This Row],[Target date]]=""),"",IF(tblVerifyProjects[[#This Row],[Completed]]&lt;=tblVerifyProjects[[#This Row],[Target date]],"Yes","No")))</f>
        <v/>
      </c>
      <c r="V43" s="38">
        <f>IF(tblVerifyProjects[[#This Row],[Start]]="","",IF(tblVerifyProjects[[#This Row],[Completed]]="",$E$33-tblVerifyProjects[[#This Row],[Start]],tblVerifyProjects[[#This Row],[Completed]]-tblVerifyProjects[[#This Row],[Start]]))</f>
        <v>67</v>
      </c>
      <c r="W43" s="42" t="str">
        <f>IF(tblVerifyProjects[[#This Row],[Start]]="","",IF(tblVerifyProjects[[#This Row],[ID]]="","Missing id",IF(tblVerifyProjects[[#This Row],[Area]]="","Missing area",IF(tblVerifyProjects[[#This Row],[Type]]="","Missing type",IF(tblVerifyProjects[[#This Row],[Target date]]="","Missing target date",IF(tblVerifyProjects[[#This Row],[Target date]]&lt;tblVerifyProjects[[#This Row],[Start]],"Target before start",IF(AND(tblVerifyProjects[[#This Row],[Completed]]&lt;&gt;"",tblVerifyProjects[[#This Row],[Completed]]&lt;tblVerifyProjects[[#This Row],[Start]]),"Completed before start",IF(OR(tblVerifyProjects[[#This Row],[Start]]&gt;$E$33,AND(tblVerifyProjects[[#This Row],[Completed]]&lt;&gt;"",tblVerifyProjects[[#This Row],[Completed]]&gt;$E$33)),"Date after the status date",IF(AND(tblVerifyProjects[[#This Row],[Completed]]="",tblVerifyProjects[[#This Row],[PDCA stage]]=""),"Open project with no PDCA stage",IF(AND(tblVerifyProjects[[#This Row],[Verified]]="Yes",tblVerifyProjects[[#This Row],[Completed]]=""),"Verified before completion",IF(COUNTIF(tblVerifyProjects[ID],tblVerifyProjects[[#This Row],[ID]])&gt;1,"Duplicate ID","OK")))))))))))</f>
        <v>OK</v>
      </c>
    </row>
    <row r="44" spans="2:23">
      <c r="B44" s="61" t="s">
        <v>321</v>
      </c>
      <c r="C44" s="61" t="s">
        <v>87</v>
      </c>
      <c r="D44" s="61" t="s">
        <v>315</v>
      </c>
      <c r="E44" s="61" t="s">
        <v>316</v>
      </c>
      <c r="F44" s="61" t="s">
        <v>317</v>
      </c>
      <c r="G44" s="73">
        <v>45936</v>
      </c>
      <c r="H44" s="73">
        <v>46003</v>
      </c>
      <c r="I44" s="73">
        <v>46010</v>
      </c>
      <c r="J44" s="61"/>
      <c r="K44" s="68">
        <v>9000</v>
      </c>
      <c r="L44" s="68">
        <v>15000</v>
      </c>
      <c r="M44" s="68">
        <v>0</v>
      </c>
      <c r="N44" s="68">
        <v>0</v>
      </c>
      <c r="O44" s="68">
        <v>0</v>
      </c>
      <c r="P44" s="61" t="s">
        <v>137</v>
      </c>
      <c r="Q44" s="38">
        <f>IF(tblVerifyProjects[[#This Row],[Start]]="","",tblVerifyProjects[[#This Row],[Labor savings]]+tblVerifyProjects[[#This Row],[Scrap and material savings]]+tblVerifyProjects[[#This Row],[Other savings]]-tblVerifyProjects[[#This Row],[Added running cost]])</f>
        <v>15000</v>
      </c>
      <c r="R44" s="39">
        <f>IF(tblVerifyProjects[[#This Row],[Start]]="","",IF(tblVerifyProjects[[#This Row],[Net annual benefit]]&lt;=0,"",IF(tblVerifyProjects[[#This Row],[Investment]]&gt;0,tblVerifyProjects[[#This Row],[Investment]]/tblVerifyProjects[[#This Row],[Net annual benefit]]*12,0)))</f>
        <v>7.2</v>
      </c>
      <c r="S44" s="40">
        <f>IF(tblVerifyProjects[[#This Row],[Start]]="","",IF(tblVerifyProjects[[#This Row],[Investment]]&gt;0,tblVerifyProjects[[#This Row],[Net annual benefit]]/tblVerifyProjects[[#This Row],[Investment]],""))</f>
        <v>1.66666666666667</v>
      </c>
      <c r="T44" s="41" t="str">
        <f>IF(tblVerifyProjects[[#This Row],[Start]]="","",IF(tblVerifyProjects[[#This Row],[Completed]]&lt;&gt;"","Complete",IF(tblVerifyProjects[[#This Row],[Target date]]="","",IF(tblVerifyProjects[[#This Row],[Target date]]&lt;$E$33,"Overdue",IF(tblVerifyProjects[[#This Row],[Target date]]-$E$33&lt;=$E$35,"Due soon","In progress")))))</f>
        <v>Complete</v>
      </c>
      <c r="U44" s="41" t="str">
        <f>IF(tblVerifyProjects[[#This Row],[Start]]="","",IF(OR(tblVerifyProjects[[#This Row],[Completed]]="",tblVerifyProjects[[#This Row],[Target date]]=""),"",IF(tblVerifyProjects[[#This Row],[Completed]]&lt;=tblVerifyProjects[[#This Row],[Target date]],"Yes","No")))</f>
        <v>No</v>
      </c>
      <c r="V44" s="38">
        <f>IF(tblVerifyProjects[[#This Row],[Start]]="","",IF(tblVerifyProjects[[#This Row],[Completed]]="",$E$33-tblVerifyProjects[[#This Row],[Start]],tblVerifyProjects[[#This Row],[Completed]]-tblVerifyProjects[[#This Row],[Start]]))</f>
        <v>74</v>
      </c>
      <c r="W44" s="42" t="str">
        <f>IF(tblVerifyProjects[[#This Row],[Start]]="","",IF(tblVerifyProjects[[#This Row],[ID]]="","Missing id",IF(tblVerifyProjects[[#This Row],[Area]]="","Missing area",IF(tblVerifyProjects[[#This Row],[Type]]="","Missing type",IF(tblVerifyProjects[[#This Row],[Target date]]="","Missing target date",IF(tblVerifyProjects[[#This Row],[Target date]]&lt;tblVerifyProjects[[#This Row],[Start]],"Target before start",IF(AND(tblVerifyProjects[[#This Row],[Completed]]&lt;&gt;"",tblVerifyProjects[[#This Row],[Completed]]&lt;tblVerifyProjects[[#This Row],[Start]]),"Completed before start",IF(OR(tblVerifyProjects[[#This Row],[Start]]&gt;$E$33,AND(tblVerifyProjects[[#This Row],[Completed]]&lt;&gt;"",tblVerifyProjects[[#This Row],[Completed]]&gt;$E$33)),"Date after the status date",IF(AND(tblVerifyProjects[[#This Row],[Completed]]="",tblVerifyProjects[[#This Row],[PDCA stage]]=""),"Open project with no PDCA stage",IF(AND(tblVerifyProjects[[#This Row],[Verified]]="Yes",tblVerifyProjects[[#This Row],[Completed]]=""),"Verified before completion",IF(COUNTIF(tblVerifyProjects[ID],tblVerifyProjects[[#This Row],[ID]])&gt;1,"Duplicate ID","OK")))))))))))</f>
        <v>OK</v>
      </c>
    </row>
    <row r="45" spans="2:23">
      <c r="B45" s="61" t="s">
        <v>322</v>
      </c>
      <c r="C45" s="61" t="s">
        <v>87</v>
      </c>
      <c r="D45" s="61" t="s">
        <v>315</v>
      </c>
      <c r="E45" s="61" t="s">
        <v>316</v>
      </c>
      <c r="F45" s="61" t="s">
        <v>317</v>
      </c>
      <c r="G45" s="73">
        <v>46174</v>
      </c>
      <c r="H45" s="73">
        <v>46203</v>
      </c>
      <c r="I45" s="73">
        <v>46171</v>
      </c>
      <c r="J45" s="61"/>
      <c r="K45" s="68">
        <v>1000</v>
      </c>
      <c r="L45" s="68">
        <v>2000</v>
      </c>
      <c r="M45" s="68">
        <v>0</v>
      </c>
      <c r="N45" s="68">
        <v>0</v>
      </c>
      <c r="O45" s="68">
        <v>0</v>
      </c>
      <c r="P45" s="61" t="s">
        <v>140</v>
      </c>
      <c r="Q45" s="38">
        <f>IF(tblVerifyProjects[[#This Row],[Start]]="","",tblVerifyProjects[[#This Row],[Labor savings]]+tblVerifyProjects[[#This Row],[Scrap and material savings]]+tblVerifyProjects[[#This Row],[Other savings]]-tblVerifyProjects[[#This Row],[Added running cost]])</f>
        <v>2000</v>
      </c>
      <c r="R45" s="39">
        <f>IF(tblVerifyProjects[[#This Row],[Start]]="","",IF(tblVerifyProjects[[#This Row],[Net annual benefit]]&lt;=0,"",IF(tblVerifyProjects[[#This Row],[Investment]]&gt;0,tblVerifyProjects[[#This Row],[Investment]]/tblVerifyProjects[[#This Row],[Net annual benefit]]*12,0)))</f>
        <v>6</v>
      </c>
      <c r="S45" s="40">
        <f>IF(tblVerifyProjects[[#This Row],[Start]]="","",IF(tblVerifyProjects[[#This Row],[Investment]]&gt;0,tblVerifyProjects[[#This Row],[Net annual benefit]]/tblVerifyProjects[[#This Row],[Investment]],""))</f>
        <v>2</v>
      </c>
      <c r="T45" s="41" t="str">
        <f>IF(tblVerifyProjects[[#This Row],[Start]]="","",IF(tblVerifyProjects[[#This Row],[Completed]]&lt;&gt;"","Complete",IF(tblVerifyProjects[[#This Row],[Target date]]="","",IF(tblVerifyProjects[[#This Row],[Target date]]&lt;$E$33,"Overdue",IF(tblVerifyProjects[[#This Row],[Target date]]-$E$33&lt;=$E$35,"Due soon","In progress")))))</f>
        <v>Complete</v>
      </c>
      <c r="U45" s="41" t="str">
        <f>IF(tblVerifyProjects[[#This Row],[Start]]="","",IF(OR(tblVerifyProjects[[#This Row],[Completed]]="",tblVerifyProjects[[#This Row],[Target date]]=""),"",IF(tblVerifyProjects[[#This Row],[Completed]]&lt;=tblVerifyProjects[[#This Row],[Target date]],"Yes","No")))</f>
        <v>Yes</v>
      </c>
      <c r="V45" s="38">
        <f>IF(tblVerifyProjects[[#This Row],[Start]]="","",IF(tblVerifyProjects[[#This Row],[Completed]]="",$E$33-tblVerifyProjects[[#This Row],[Start]],tblVerifyProjects[[#This Row],[Completed]]-tblVerifyProjects[[#This Row],[Start]]))</f>
        <v>-3</v>
      </c>
      <c r="W45" s="42" t="str">
        <f>IF(tblVerifyProjects[[#This Row],[Start]]="","",IF(tblVerifyProjects[[#This Row],[ID]]="","Missing id",IF(tblVerifyProjects[[#This Row],[Area]]="","Missing area",IF(tblVerifyProjects[[#This Row],[Type]]="","Missing type",IF(tblVerifyProjects[[#This Row],[Target date]]="","Missing target date",IF(tblVerifyProjects[[#This Row],[Target date]]&lt;tblVerifyProjects[[#This Row],[Start]],"Target before start",IF(AND(tblVerifyProjects[[#This Row],[Completed]]&lt;&gt;"",tblVerifyProjects[[#This Row],[Completed]]&lt;tblVerifyProjects[[#This Row],[Start]]),"Completed before start",IF(OR(tblVerifyProjects[[#This Row],[Start]]&gt;$E$33,AND(tblVerifyProjects[[#This Row],[Completed]]&lt;&gt;"",tblVerifyProjects[[#This Row],[Completed]]&gt;$E$33)),"Date after the status date",IF(AND(tblVerifyProjects[[#This Row],[Completed]]="",tblVerifyProjects[[#This Row],[PDCA stage]]=""),"Open project with no PDCA stage",IF(AND(tblVerifyProjects[[#This Row],[Verified]]="Yes",tblVerifyProjects[[#This Row],[Completed]]=""),"Verified before completion",IF(COUNTIF(tblVerifyProjects[ID],tblVerifyProjects[[#This Row],[ID]])&gt;1,"Duplicate ID","OK")))))))))))</f>
        <v>Completed before start</v>
      </c>
    </row>
  </sheetData>
  <sheetProtection sheet="1" formatColumns="0" formatRows="0"/>
  <mergeCells count="32">
    <mergeCell ref="A1:W1"/>
    <mergeCell ref="B2:V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B29:L29"/>
    <mergeCell ref="B31:L31"/>
    <mergeCell ref="B32:F32"/>
    <mergeCell ref="B33:D33"/>
    <mergeCell ref="B34:D34"/>
    <mergeCell ref="B35:D35"/>
    <mergeCell ref="B37:L37"/>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W40:W45">
    <cfRule type="expression" dxfId="3" priority="41">
      <formula>$W40="OK"</formula>
    </cfRule>
    <cfRule type="expression" dxfId="1" priority="42">
      <formula>AND($W40&lt;&gt;"",$W40&lt;&gt;"OK")</formula>
    </cfRule>
  </conditionalFormatting>
  <hyperlinks>
    <hyperlink ref="W2" r:id="rId1" tooltip="Free manufacturing calculators and templates"/>
  </hyperlinks>
  <printOptions horizontalCentered="1"/>
  <pageMargins left="0.4" right="0.4" top="0.7" bottom="0.65" header="0.3" footer="0.3"/>
  <pageSetup fitToHeight="0" orientation="landscape"/>
  <headerFooter>
    <oddHeader>&amp;L&amp;8MFG Calcs - Kaizen Project Tracker&amp;R&amp;8&amp;A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26</vt:i4>
      </vt:variant>
    </vt:vector>
  </HeadingPairs>
  <TitlesOfParts>
    <vt:vector size="32" baseType="lpstr">
      <vt:lpstr>Start Here</vt:lpstr>
      <vt:lpstr>Setup</vt:lpstr>
      <vt:lpstr>Projects</vt:lpstr>
      <vt:lpstr>Dashboard</vt:lpstr>
      <vt:lpstr>Method</vt:lpstr>
      <vt:lpstr>Verify</vt:lpstr>
      <vt:lpstr>AsOf</vt:lpstr>
      <vt:lpstr>Currency</vt:lpstr>
      <vt:lpstr>DueSoonDays</vt:lpstr>
      <vt:lpstr>KpiDays</vt:lpstr>
      <vt:lpstr>KpiDone</vt:lpstr>
      <vt:lpstr>KpiNet</vt:lpstr>
      <vt:lpstr>KpiOnTime</vt:lpstr>
      <vt:lpstr>KpiOpen</vt:lpstr>
      <vt:lpstr>KpiOverdue</vt:lpstr>
      <vt:lpstr>KpiPayback</vt:lpstr>
      <vt:lpstr>KpiVerified</vt:lpstr>
      <vt:lpstr>PlantName</vt:lpstr>
      <vt:lpstr>PlanToDate</vt:lpstr>
      <vt:lpstr>Dashboard!Print_Area</vt:lpstr>
      <vt:lpstr>Method!Print_Area</vt:lpstr>
      <vt:lpstr>Projects!Print_Area</vt:lpstr>
      <vt:lpstr>Setup!Print_Area</vt:lpstr>
      <vt:lpstr>'Start Here'!Print_Area</vt:lpstr>
      <vt:lpstr>Verify!Print_Area</vt:lpstr>
      <vt:lpstr>Method!Print_Titles</vt:lpstr>
      <vt:lpstr>Projects!Print_Titles</vt:lpstr>
      <vt:lpstr>SavingsPlan</vt:lpstr>
      <vt:lpstr>SelfCheck</vt:lpstr>
      <vt:lpstr>SelfCheckSummary</vt:lpstr>
      <vt:lpstr>TargetOnTime</vt:lpstr>
      <vt:lpstr>YearStart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Kaizen Project Tracker - free Excel template from MFG Calcs</dc:title>
  <dc:subject>Keep every kaizen project in one register and see savings against plan, ROI, payback and the open and overdue projects by area, type and PDCA stage.</dc:subject>
  <dc:creator>MFG Calcs</dc:creator>
  <cp:keywords>kaizen, continuous improvement, project tracker, PDCA, savings tracker, ROI, payback, lean</cp:keywords>
  <dc:description>https://www.mfgcalcs.com/templates/kaizen-tracker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kaizen-tracker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https://www.mfgcalcs.com/templates/kaizen-tracker</vt:lpwstr>
  </property>
  <property fmtid="{D5CDD505-2E9C-101B-9397-08002B2CF9AE}" pid="7" name="Template sheet roles">
    <vt:lpwstr>Start Here=start;Setup=setup;Projects=work;Dashboard=dashboard;Method=method;Verify=verify</vt:lpwstr>
  </property>
</Properties>
</file>