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Kanban Loops" sheetId="3" r:id="rId3"/>
    <sheet name="Dashboard" sheetId="4" r:id="rId4"/>
    <sheet name="Method" sheetId="5" r:id="rId5"/>
    <sheet name="Verify" sheetId="6" r:id="rId6"/>
  </sheets>
  <definedNames>
    <definedName name="CompanyName">Setup!$C$6</definedName>
    <definedName name="Currency">Setup!$C$7</definedName>
    <definedName name="KpiChange">Dashboard!$J$7</definedName>
    <definedName name="KpiResize">Dashboard!$B$7</definedName>
    <definedName name="KpiShort">Dashboard!$D$7</definedName>
    <definedName name="KpiValue">Dashboard!$G$7</definedName>
    <definedName name="LoopTypes">tblLoopTypes[Loop type]</definedName>
    <definedName name="_xlnm.Print_Area" localSheetId="3">Dashboard!$A$1:$L$71</definedName>
    <definedName name="_xlnm.Print_Area" localSheetId="2">'Kanban Loops'!$A$1:$W$22</definedName>
    <definedName name="_xlnm.Print_Area" localSheetId="4">Method!$A$1:$D$55</definedName>
    <definedName name="_xlnm.Print_Area" localSheetId="1">Setup!$A$1:$E$26</definedName>
    <definedName name="_xlnm.Print_Area" localSheetId="0">'Start Here'!$A$1:$F$55</definedName>
    <definedName name="_xlnm.Print_Area" localSheetId="5">Verify!$A$1:$W$58</definedName>
    <definedName name="_xlnm.Print_Titles" localSheetId="2">'Kanban Loops'!$1:$6</definedName>
    <definedName name="_xlnm.Print_Titles" localSheetId="4">Method!$1:$2</definedName>
    <definedName name="SelfCheck">Verify!$D$4</definedName>
    <definedName name="SelfCheckSummary">Verify!$F$4</definedName>
    <definedName name="Sources">tblSources[Supplier or process]</definedName>
  </definedNames>
  <calcPr calcId="124519" fullCalcOnLoad="1"/>
</workbook>
</file>

<file path=xl/sharedStrings.xml><?xml version="1.0" encoding="utf-8"?>
<sst xmlns="http://schemas.openxmlformats.org/spreadsheetml/2006/main" count="489" uniqueCount="269">
  <si>
    <t>Kanban Sizing</t>
  </si>
  <si>
    <t>Read this first: what the workbook does and how to use it.</t>
  </si>
  <si>
    <t>mfgcalcs.com</t>
  </si>
  <si>
    <t>Size every kanban loop: the cards each part needs from demand, lead time, safety allowance and container size, and what resizing does to stock and cash.</t>
  </si>
  <si>
    <t>For: Lean and continuous-improvement engineers, material planners, production supervisors and supply-chain managers running pull systems.</t>
  </si>
  <si>
    <t>Version 1.0.0  ·  updated 15 October 2026</t>
  </si>
  <si>
    <t>Quick start</t>
  </si>
  <si>
    <t>1.</t>
  </si>
  <si>
    <t>On Setup, type your company name and currency, then list your suppliers and internal processes and your loop types.</t>
  </si>
  <si>
    <t>2.</t>
  </si>
  <si>
    <t>On Kanban Loops, add one row per part per loop: daily demand, replenishment lead time, safety allowance, container quantity, unit cost and cards in the loop today.</t>
  </si>
  <si>
    <t>3.</t>
  </si>
  <si>
    <t>Read the Status column: Below target means too few cards (stockout risk), Above target too many (excess stock). Card change says how many to add or pull.</t>
  </si>
  <si>
    <t>4.</t>
  </si>
  <si>
    <t>Open the Dashboard: loops to resize, cards in loop against required, and the inventory value resizing frees or adds, by supplier or process.</t>
  </si>
  <si>
    <t>What is in this workbook</t>
  </si>
  <si>
    <t>Start Here</t>
  </si>
  <si>
    <t>Setup</t>
  </si>
  <si>
    <t>Company, currency, the suppliers and processes that replenish your loops, and the loop types.</t>
  </si>
  <si>
    <t>Kanban Loops</t>
  </si>
  <si>
    <t>One row per part per loop: demand, lead time, safety and container size give the cards the loop needs.</t>
  </si>
  <si>
    <t>Dashboard</t>
  </si>
  <si>
    <t>Which loops carry too many or too few cards, and what resizing them does to inventory value.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</si>
  <si>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</si>
  <si>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</si>
  <si>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</si>
  <si>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</si>
  <si>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</si>
  <si>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</si>
  <si>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</si>
  <si>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</si>
  <si>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</si>
  <si>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</si>
  <si>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</si>
  <si>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</si>
  <si>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</si>
  <si>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</si>
  <si>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</si>
  <si>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</si>
  <si>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</si>
  <si>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</si>
  <si>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</si>
  <si>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</si>
  <si>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Kanban Card Count Calculator on mfgcalcs.com</t>
  </si>
  <si>
    <t>Latest version</t>
  </si>
  <si>
    <t>mfgcalcs.com/templates/kanban-sizing</t>
  </si>
  <si>
    <t>More free templates</t>
  </si>
  <si>
    <t>mfgcalcs.com/templates</t>
  </si>
  <si>
    <t>Version</t>
  </si>
  <si>
    <t>1.0.0 (updated 15 October 2026)</t>
  </si>
  <si>
    <t>About the example data</t>
  </si>
  <si>
    <t>Every number already in this workbook is example data for Aurora Hydraulics, a fictional business invented for this template, so the dashboard and charts show something meaningful on day one. It sizes 16 loops of a hydraulic cylinder maker (production, supplier and withdrawal kanbans), with demand, lead times and prices (EUR)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</si>
  <si>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</si>
  <si>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</si>
  <si>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</si>
  <si>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</si>
  <si>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</si>
  <si>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</si>
  <si>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</si>
  <si>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</si>
  <si>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Supplier or process</t>
  </si>
  <si>
    <t>Type</t>
  </si>
  <si>
    <t>Loop type</t>
  </si>
  <si>
    <t>Meaning</t>
  </si>
  <si>
    <t>Company</t>
  </si>
  <si>
    <t>Company or site</t>
  </si>
  <si>
    <t>Aurora Hydraulics (example)</t>
  </si>
  <si>
    <t>Currency label</t>
  </si>
  <si>
    <t>EUR</t>
  </si>
  <si>
    <t>Safety allowances are set per loop on the Kanban Loops sheet: they are your judgement of demand and supply variation, not an industry figure. Lead times are in the same days as daily demand (working days).</t>
  </si>
  <si>
    <t>Lists that feed the dropdowns</t>
  </si>
  <si>
    <t>Suppliers and processes</t>
  </si>
  <si>
    <t>Saw and machining cell</t>
  </si>
  <si>
    <t>Internal</t>
  </si>
  <si>
    <t>Weld cell</t>
  </si>
  <si>
    <t>Paint line</t>
  </si>
  <si>
    <t>Kessler Seals (example)</t>
  </si>
  <si>
    <t>Supplier</t>
  </si>
  <si>
    <t>Varga Tube (example)</t>
  </si>
  <si>
    <t>Nordbolt Fasteners (example)</t>
  </si>
  <si>
    <t>Loop types</t>
  </si>
  <si>
    <t>Production</t>
  </si>
  <si>
    <t>Card authorises the supplying process to make a container</t>
  </si>
  <si>
    <t>Card goes to the supplier as the order for a container</t>
  </si>
  <si>
    <t>Withdrawal</t>
  </si>
  <si>
    <t>Card authorises moving a container from the store to the line</t>
  </si>
  <si>
    <t>Part</t>
  </si>
  <si>
    <t>Description</t>
  </si>
  <si>
    <t>Daily demand (units/day)</t>
  </si>
  <si>
    <t>Lead time (days)</t>
  </si>
  <si>
    <t>Safety allowance</t>
  </si>
  <si>
    <t>Container qty (units)</t>
  </si>
  <si>
    <t>Unit cost</t>
  </si>
  <si>
    <t>Cards in loop now</t>
  </si>
  <si>
    <t>Lead-time demand (units)</t>
  </si>
  <si>
    <t>Safety stock (units)</t>
  </si>
  <si>
    <t>Cards required</t>
  </si>
  <si>
    <t>Kanban qty (units)</t>
  </si>
  <si>
    <t>Days of cover</t>
  </si>
  <si>
    <t>Card change</t>
  </si>
  <si>
    <t>Status</t>
  </si>
  <si>
    <t>Kanban value now</t>
  </si>
  <si>
    <t>Kanban value required</t>
  </si>
  <si>
    <t>Value change</t>
  </si>
  <si>
    <t>Check</t>
  </si>
  <si>
    <t>Notes</t>
  </si>
  <si>
    <t>Example data for Aurora Hydraulics (fictional; prices in EUR are examples). Replace it with your own: select the example rows, right-click, Delete &gt; Table Rows. A container bigger than the loop needs is allowed (the loop then runs two cards) but flagged.</t>
  </si>
  <si>
    <t>days</t>
  </si>
  <si>
    <t>ROD-25</t>
  </si>
  <si>
    <t>Piston rod, 25 mm</t>
  </si>
  <si>
    <t/>
  </si>
  <si>
    <t>ROD-40</t>
  </si>
  <si>
    <t>Piston rod, 40 mm</t>
  </si>
  <si>
    <t>PST-50</t>
  </si>
  <si>
    <t>Piston, 50 mm bore</t>
  </si>
  <si>
    <t>Line stopped twice in September waiting for pistons</t>
  </si>
  <si>
    <t>GLD-50</t>
  </si>
  <si>
    <t>Gland, 50 mm bore</t>
  </si>
  <si>
    <t>CAP-50</t>
  </si>
  <si>
    <t>End cap, welded, 50 mm</t>
  </si>
  <si>
    <t>CLV-50</t>
  </si>
  <si>
    <t>Clevis mount, welded</t>
  </si>
  <si>
    <t>BAR-50</t>
  </si>
  <si>
    <t>Barrel assembly, painted</t>
  </si>
  <si>
    <t>BAR-80</t>
  </si>
  <si>
    <t>Barrel assembly, 80 mm, painted</t>
  </si>
  <si>
    <t>SEAL-50</t>
  </si>
  <si>
    <t>Seal kit, 50 mm bore</t>
  </si>
  <si>
    <t>SEAL-80</t>
  </si>
  <si>
    <t>Seal kit, 80 mm bore</t>
  </si>
  <si>
    <t>WIP-RNG</t>
  </si>
  <si>
    <t>Wiper ring set</t>
  </si>
  <si>
    <t>TUBE-63</t>
  </si>
  <si>
    <t>Honed tube, 63 mm (per m)</t>
  </si>
  <si>
    <t>Supplier lead time cut from 12 to 8 days in August; cards not yet pulled</t>
  </si>
  <si>
    <t>TUBE-100</t>
  </si>
  <si>
    <t>Honed tube, 100 mm (per m)</t>
  </si>
  <si>
    <t>TIE-M16</t>
  </si>
  <si>
    <t>Tie rod set, M16</t>
  </si>
  <si>
    <t>BLT-KIT</t>
  </si>
  <si>
    <t>Mounting bolt kit</t>
  </si>
  <si>
    <t>SEAL-50L</t>
  </si>
  <si>
    <t>Seal kit, 50 mm, line-side</t>
  </si>
  <si>
    <t>Two-bin at the assembly line</t>
  </si>
  <si>
    <t>LOOPS TO RESIZE</t>
  </si>
  <si>
    <t>LOOPS SHORT OF CARDS</t>
  </si>
  <si>
    <t>Cards in loop differ from required</t>
  </si>
  <si>
    <t>Stockout risk: add cards first</t>
  </si>
  <si>
    <t>Inventory at the required cards</t>
  </si>
  <si>
    <t>Negative = inventory value freed</t>
  </si>
  <si>
    <t>Every loop (the first 16 rows of Kanban Loops)</t>
  </si>
  <si>
    <t>Row</t>
  </si>
  <si>
    <t>Cards now</t>
  </si>
  <si>
    <t>1</t>
  </si>
  <si>
    <t>2</t>
  </si>
  <si>
    <t>3</t>
  </si>
  <si>
    <t>4</t>
  </si>
  <si>
    <t>5</t>
  </si>
  <si>
    <t>6</t>
  </si>
  <si>
    <t>7</t>
  </si>
  <si>
    <t>8</t>
  </si>
  <si>
    <t>9</t>
  </si>
  <si>
    <t>10</t>
  </si>
  <si>
    <t>11</t>
  </si>
  <si>
    <t>12</t>
  </si>
  <si>
    <t>13</t>
  </si>
  <si>
    <t>14</t>
  </si>
  <si>
    <t>15</t>
  </si>
  <si>
    <t>16</t>
  </si>
  <si>
    <t>By supplier or process</t>
  </si>
  <si>
    <t>Loops</t>
  </si>
  <si>
    <t>Value now</t>
  </si>
  <si>
    <t>Value required</t>
  </si>
  <si>
    <t>Total</t>
  </si>
  <si>
    <t>By loop type</t>
  </si>
  <si>
    <t>Short of cards</t>
  </si>
  <si>
    <t>Too many cards</t>
  </si>
  <si>
    <t>The Dashboard shows the first 16 loops, the 6 suppliers and processes and the 3 loop types of the lists. If you add more, extend those blocks (see Method) or they will not appear here; the KPI tiles always cover every loop.</t>
  </si>
  <si>
    <t>What this workbook calculates</t>
  </si>
  <si>
    <t>A kanban loop holds a fixed number of cards; each card authorises one container. Enough cards must circulate to cover demand while a card travels round the loop (the replenishment lead time) plus a safety allowance; more cards than that only add stock. This workbook sizes each loop from its own demand, lead time, safety allowance and container quantity, compares the result with the cards in the loop today, and shows what resizing does to inventory and cash.</t>
  </si>
  <si>
    <t>Calculations</t>
  </si>
  <si>
    <t>Quantity</t>
  </si>
  <si>
    <t>How it is calculated</t>
  </si>
  <si>
    <t>Units</t>
  </si>
  <si>
    <t>Lead-time demand</t>
  </si>
  <si>
    <t>Daily demand x replenishment lead time.</t>
  </si>
  <si>
    <t>units</t>
  </si>
  <si>
    <t>Safety stock</t>
  </si>
  <si>
    <t>Lead-time demand x safety allowance.</t>
  </si>
  <si>
    <t>(Lead-time demand + safety stock) / container quantity, rounded up to a whole card.
Excel: =ROUNDUP(ROUND((LTD + SS) / container, 9), 0)</t>
  </si>
  <si>
    <t>cards</t>
  </si>
  <si>
    <t>Kanban quantity</t>
  </si>
  <si>
    <t>Cards required x container quantity: the most stock the loop can hold.</t>
  </si>
  <si>
    <t>Kanban quantity / daily demand.</t>
  </si>
  <si>
    <t>Cards required - cards in loop now: + add, - pull out.</t>
  </si>
  <si>
    <t>On target when the change is 0; Below target when cards are short (stockout risk); Above target when there are too many (excess stock).</t>
  </si>
  <si>
    <t>-</t>
  </si>
  <si>
    <t>Kanban value</t>
  </si>
  <si>
    <t>Now: cards now x container x unit cost. Required: kanban quantity x unit cost. Change: card change x container x unit cost.</t>
  </si>
  <si>
    <t>currency</t>
  </si>
  <si>
    <t>Roll-ups</t>
  </si>
  <si>
    <t>SUMIFS and COUNTIFS by supplier or process and by loop type; KPI tiles sum every loop.</t>
  </si>
  <si>
    <t>Assumptions</t>
  </si>
  <si>
    <t>Demand is level within the planning period; resize the loops when the plan changes (monthly is common).</t>
  </si>
  <si>
    <t>Lead time is the whole card cycle: waiting to be collected, queueing at the supplying process, making or shipping, and the trip back.</t>
  </si>
  <si>
    <t>One card = one container; partial containers are not used.</t>
  </si>
  <si>
    <t>The ROUND to 9 decimals before rounding up only removes floating-point noise (11.000000000000002 cards is 11).</t>
  </si>
  <si>
    <t>Limitations</t>
  </si>
  <si>
    <t>The safety allowance is a judgement; for supplier loops with measured demand and lead-time variation, size safety stock with the Reorder Point and EOQ Planner instead.</t>
  </si>
  <si>
    <t>Container quantity is taken as given; a container much larger than daily demand makes the loop lumpy (the Check column flags one bigger than the loop's whole need).</t>
  </si>
  <si>
    <t>The Dashboard lists the first 16 loops and fixed blocks for 6 suppliers or processes and 3 loop types; a warning appears when the lists are longer.</t>
  </si>
  <si>
    <t>Agreement with the live calculator</t>
  </si>
  <si>
    <t>For one loop, this workbook and the live Kanban Card Count calculator use the same inputs and formulas: demand during lead time = daily demand x lead time; safety stock = that x the allowance; cards = CEILING((lead-time demand + safety stock) / container); total kanban inventory = cards x container. The workbook adds the cards in the loop today, the change and its value, and the roll-ups. The build checks the reference against the calculator's engine for its own example (100 a day, 2 days, 10%, containers of 20: 11 cards, 220 units) and for an example loop.</t>
  </si>
  <si>
    <t>Open the Kanban Card Count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</si>
  <si>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</si>
  <si>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</si>
  <si>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Ohno, T., Toyota Production System: Beyond Large-Scale Production, Productivity Press, 1988 (kanban rules).</t>
  </si>
  <si>
    <t>Monden, Y., Toyota Production System, 4th ed., CRC Press, 2011 (number of kanbans = demand x lead time x (1 + safety factor) / container capacity).</t>
  </si>
  <si>
    <t>MFG Calcs Kanban Card Count calculator (kanban-card-count): the same formula for one loop.</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</si>
  <si>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</si>
  <si>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</si>
  <si>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</si>
  <si>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</si>
  <si>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</si>
  <si>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</si>
  <si>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</si>
  <si>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</si>
  <si>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</si>
  <si>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</si>
  <si>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</si>
  <si>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</si>
  <si>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</si>
  <si>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</si>
  <si>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</si>
  <si>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</si>
  <si>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Loop 1 (calculator example): lead-time demand</t>
  </si>
  <si>
    <t>Loop 1: safety stock</t>
  </si>
  <si>
    <t>Loop 1: cards required</t>
  </si>
  <si>
    <t>Loop 1: kanban quantity</t>
  </si>
  <si>
    <t>Loop 1: status with 11 cards</t>
  </si>
  <si>
    <t>On target</t>
  </si>
  <si>
    <t>exact</t>
  </si>
  <si>
    <t>Loop 2: exact multiple is not rounded up</t>
  </si>
  <si>
    <t>Loop 2: card change (15 now)</t>
  </si>
  <si>
    <t>Loop 2: value change</t>
  </si>
  <si>
    <t>Loop 2: status</t>
  </si>
  <si>
    <t>Above target</t>
  </si>
  <si>
    <t>Loop 3: cards required (63.8 units / 12, rounded up)</t>
  </si>
  <si>
    <t>Loop 3: status</t>
  </si>
  <si>
    <t>Below target</t>
  </si>
  <si>
    <t>Loop 3: days of cover</t>
  </si>
  <si>
    <t>Loop 4: Check flags the big container</t>
  </si>
  <si>
    <t>Container bigger than loop need</t>
  </si>
  <si>
    <t>All loops: loops to resize (Dashboard formula)</t>
  </si>
  <si>
    <t>All loops: change in kanban value (Dashboard formula)</t>
  </si>
  <si>
    <t>By source: Cell 1 cards required</t>
  </si>
  <si>
    <t>Fixed test inputs</t>
  </si>
  <si>
    <t>White cells are fixed test inputs; blue cells are the workbook's formulas evaluated on them.</t>
  </si>
  <si>
    <t>Test table: Sources</t>
  </si>
  <si>
    <t>Cell 1</t>
  </si>
  <si>
    <t>Supplier X</t>
  </si>
  <si>
    <t>Test table: LoopTypes</t>
  </si>
  <si>
    <t>Test</t>
  </si>
  <si>
    <t>Test table: Loops</t>
  </si>
  <si>
    <t>T-CALC</t>
  </si>
  <si>
    <t>T-EXACT</t>
  </si>
  <si>
    <t>T-SHORT</t>
  </si>
  <si>
    <t>T-BIG</t>
  </si>
  <si>
    <t>Test by supplier or process (same formulas as the Dashboard)</t>
  </si>
</sst>
</file>

<file path=xl/styles.xml><?xml version="1.0" encoding="utf-8"?>
<styleSheet xmlns="http://schemas.openxmlformats.org/spreadsheetml/2006/main">
  <numFmts count="6">
    <numFmt numFmtId="164" formatCode="#,##0.0"/>
    <numFmt numFmtId="165" formatCode="#,##0.00"/>
    <numFmt numFmtId="166" formatCode="0%"/>
    <numFmt numFmtId="167" formatCode="#,##0"/>
    <numFmt numFmtId="168" formatCode="+#,##0;-#,##0;0"/>
    <numFmt numFmtId="169"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0" fontId="19" fillId="7" borderId="2" xfId="0" applyFont="1" applyFill="1" applyBorder="1" applyAlignment="1">
      <alignment vertical="center" wrapText="1"/>
    </xf>
    <xf numFmtId="0" fontId="20" fillId="0" borderId="0" xfId="0" applyFont="1" applyAlignment="1">
      <alignment horizontal="center" vertical="center"/>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0" fontId="10" fillId="4" borderId="3" xfId="0" applyFont="1" applyFill="1" applyBorder="1" applyAlignment="1">
      <alignment vertical="center"/>
    </xf>
    <xf numFmtId="0" fontId="9" fillId="4" borderId="10" xfId="0" applyFont="1" applyFill="1" applyBorder="1" applyAlignment="1">
      <alignment vertical="center"/>
    </xf>
    <xf numFmtId="167" fontId="9" fillId="4" borderId="10" xfId="0" applyNumberFormat="1" applyFont="1" applyFill="1" applyBorder="1" applyAlignment="1">
      <alignment vertical="center"/>
    </xf>
    <xf numFmtId="168"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65" fontId="10" fillId="0" borderId="9" xfId="0" applyNumberFormat="1" applyFont="1" applyBorder="1" applyAlignment="1">
      <alignment vertical="center"/>
    </xf>
    <xf numFmtId="165"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9" fontId="10" fillId="0" borderId="9" xfId="0" applyNumberFormat="1" applyFont="1" applyBorder="1" applyAlignment="1">
      <alignment vertical="center"/>
    </xf>
    <xf numFmtId="167" fontId="10" fillId="0" borderId="9" xfId="0" applyNumberFormat="1" applyFont="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Cards in loop now vs required</a:t>
            </a:r>
          </a:p>
        </c:rich>
      </c:tx>
      <c:layout/>
    </c:title>
    <c:plotArea>
      <c:layout/>
      <c:barChart>
        <c:barDir val="bar"/>
        <c:grouping val="clustered"/>
        <c:ser>
          <c:idx val="0"/>
          <c:order val="0"/>
          <c:tx>
            <c:v>Cards now</c:v>
          </c:tx>
          <c:spPr>
            <a:solidFill>
              <a:srgbClr val="3B64D8"/>
            </a:solidFill>
            <a:ln w="9525">
              <a:solidFill>
                <a:srgbClr val="FFFFFF"/>
              </a:solidFill>
            </a:ln>
          </c:spPr>
          <c:cat>
            <c:strRef>
              <c:f>Dashboard!$C$34:$C$49</c:f>
              <c:strCache>
                <c:ptCount val="16"/>
                <c:pt idx="0">
                  <c:v>ROD-25</c:v>
                </c:pt>
                <c:pt idx="1">
                  <c:v>ROD-40</c:v>
                </c:pt>
                <c:pt idx="2">
                  <c:v>PST-50</c:v>
                </c:pt>
                <c:pt idx="3">
                  <c:v>GLD-50</c:v>
                </c:pt>
                <c:pt idx="4">
                  <c:v>CAP-50</c:v>
                </c:pt>
                <c:pt idx="5">
                  <c:v>CLV-50</c:v>
                </c:pt>
                <c:pt idx="6">
                  <c:v>BAR-50</c:v>
                </c:pt>
                <c:pt idx="7">
                  <c:v>BAR-80</c:v>
                </c:pt>
                <c:pt idx="8">
                  <c:v>SEAL-50</c:v>
                </c:pt>
                <c:pt idx="9">
                  <c:v>SEAL-80</c:v>
                </c:pt>
                <c:pt idx="10">
                  <c:v>WIP-RNG</c:v>
                </c:pt>
                <c:pt idx="11">
                  <c:v>TUBE-63</c:v>
                </c:pt>
                <c:pt idx="12">
                  <c:v>TUBE-100</c:v>
                </c:pt>
                <c:pt idx="13">
                  <c:v>TIE-M16</c:v>
                </c:pt>
                <c:pt idx="14">
                  <c:v>BLT-KIT</c:v>
                </c:pt>
                <c:pt idx="15">
                  <c:v>SEAL-50L</c:v>
                </c:pt>
              </c:strCache>
            </c:strRef>
          </c:cat>
          <c:val>
            <c:numRef>
              <c:f>Dashboard!$G$34:$G$49</c:f>
              <c:numCache>
                <c:formatCode>General</c:formatCode>
                <c:ptCount val="16"/>
                <c:pt idx="0">
                  <c:v>11</c:v>
                </c:pt>
                <c:pt idx="1">
                  <c:v>7</c:v>
                </c:pt>
                <c:pt idx="2">
                  <c:v>4</c:v>
                </c:pt>
                <c:pt idx="3">
                  <c:v>6</c:v>
                </c:pt>
                <c:pt idx="4">
                  <c:v>12</c:v>
                </c:pt>
                <c:pt idx="5">
                  <c:v>11</c:v>
                </c:pt>
                <c:pt idx="6">
                  <c:v>10</c:v>
                </c:pt>
                <c:pt idx="7">
                  <c:v>9</c:v>
                </c:pt>
                <c:pt idx="8">
                  <c:v>5</c:v>
                </c:pt>
                <c:pt idx="9">
                  <c:v>5</c:v>
                </c:pt>
                <c:pt idx="10">
                  <c:v>4</c:v>
                </c:pt>
                <c:pt idx="11">
                  <c:v>22</c:v>
                </c:pt>
                <c:pt idx="12">
                  <c:v>9</c:v>
                </c:pt>
                <c:pt idx="13">
                  <c:v>14</c:v>
                </c:pt>
                <c:pt idx="14">
                  <c:v>7</c:v>
                </c:pt>
                <c:pt idx="15">
                  <c:v>2</c:v>
                </c:pt>
              </c:numCache>
            </c:numRef>
          </c:val>
        </c:ser>
        <c:ser>
          <c:idx val="1"/>
          <c:order val="1"/>
          <c:tx>
            <c:v>Cards required</c:v>
          </c:tx>
          <c:spPr>
            <a:solidFill>
              <a:srgbClr val="E8702A"/>
            </a:solidFill>
            <a:ln w="9525">
              <a:solidFill>
                <a:srgbClr val="FFFFFF"/>
              </a:solidFill>
            </a:ln>
          </c:spPr>
          <c:cat>
            <c:strRef>
              <c:f>Dashboard!$C$34:$C$49</c:f>
              <c:strCache>
                <c:ptCount val="16"/>
                <c:pt idx="0">
                  <c:v>ROD-25</c:v>
                </c:pt>
                <c:pt idx="1">
                  <c:v>ROD-40</c:v>
                </c:pt>
                <c:pt idx="2">
                  <c:v>PST-50</c:v>
                </c:pt>
                <c:pt idx="3">
                  <c:v>GLD-50</c:v>
                </c:pt>
                <c:pt idx="4">
                  <c:v>CAP-50</c:v>
                </c:pt>
                <c:pt idx="5">
                  <c:v>CLV-50</c:v>
                </c:pt>
                <c:pt idx="6">
                  <c:v>BAR-50</c:v>
                </c:pt>
                <c:pt idx="7">
                  <c:v>BAR-80</c:v>
                </c:pt>
                <c:pt idx="8">
                  <c:v>SEAL-50</c:v>
                </c:pt>
                <c:pt idx="9">
                  <c:v>SEAL-80</c:v>
                </c:pt>
                <c:pt idx="10">
                  <c:v>WIP-RNG</c:v>
                </c:pt>
                <c:pt idx="11">
                  <c:v>TUBE-63</c:v>
                </c:pt>
                <c:pt idx="12">
                  <c:v>TUBE-100</c:v>
                </c:pt>
                <c:pt idx="13">
                  <c:v>TIE-M16</c:v>
                </c:pt>
                <c:pt idx="14">
                  <c:v>BLT-KIT</c:v>
                </c:pt>
                <c:pt idx="15">
                  <c:v>SEAL-50L</c:v>
                </c:pt>
              </c:strCache>
            </c:strRef>
          </c:cat>
          <c:val>
            <c:numRef>
              <c:f>Dashboard!$H$34:$H$49</c:f>
              <c:numCache>
                <c:formatCode>General</c:formatCode>
                <c:ptCount val="16"/>
                <c:pt idx="0">
                  <c:v>11</c:v>
                </c:pt>
                <c:pt idx="1">
                  <c:v>7</c:v>
                </c:pt>
                <c:pt idx="2">
                  <c:v>5</c:v>
                </c:pt>
                <c:pt idx="3">
                  <c:v>4</c:v>
                </c:pt>
                <c:pt idx="4">
                  <c:v>12</c:v>
                </c:pt>
                <c:pt idx="5">
                  <c:v>11</c:v>
                </c:pt>
                <c:pt idx="6">
                  <c:v>12</c:v>
                </c:pt>
                <c:pt idx="7">
                  <c:v>7</c:v>
                </c:pt>
                <c:pt idx="8">
                  <c:v>5</c:v>
                </c:pt>
                <c:pt idx="9">
                  <c:v>3</c:v>
                </c:pt>
                <c:pt idx="10">
                  <c:v>4</c:v>
                </c:pt>
                <c:pt idx="11">
                  <c:v>15</c:v>
                </c:pt>
                <c:pt idx="12">
                  <c:v>9</c:v>
                </c:pt>
                <c:pt idx="13">
                  <c:v>12</c:v>
                </c:pt>
                <c:pt idx="14">
                  <c:v>8</c:v>
                </c:pt>
                <c:pt idx="15">
                  <c:v>2</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Kanban inventory value by supplier or process</a:t>
            </a:r>
          </a:p>
        </c:rich>
      </c:tx>
      <c:layout/>
    </c:title>
    <c:plotArea>
      <c:layout/>
      <c:barChart>
        <c:barDir val="bar"/>
        <c:grouping val="clustered"/>
        <c:ser>
          <c:idx val="0"/>
          <c:order val="0"/>
          <c:tx>
            <c:v>Value now</c:v>
          </c:tx>
          <c:spPr>
            <a:solidFill>
              <a:srgbClr val="3B64D8"/>
            </a:solidFill>
            <a:ln w="9525">
              <a:solidFill>
                <a:srgbClr val="FFFFFF"/>
              </a:solidFill>
            </a:ln>
          </c:spPr>
          <c:cat>
            <c:strRef>
              <c:f>Dashboard!$B$54:$B$59</c:f>
              <c:strCache>
                <c:ptCount val="6"/>
                <c:pt idx="0">
                  <c:v>Saw and machining cell</c:v>
                </c:pt>
                <c:pt idx="1">
                  <c:v>Weld cell</c:v>
                </c:pt>
                <c:pt idx="2">
                  <c:v>Paint line</c:v>
                </c:pt>
                <c:pt idx="3">
                  <c:v>Kessler Seals (example)</c:v>
                </c:pt>
                <c:pt idx="4">
                  <c:v>Varga Tube (example)</c:v>
                </c:pt>
                <c:pt idx="5">
                  <c:v>Nordbolt Fasteners (example)</c:v>
                </c:pt>
              </c:strCache>
            </c:strRef>
          </c:cat>
          <c:val>
            <c:numRef>
              <c:f>Dashboard!$F$54:$F$59</c:f>
              <c:numCache>
                <c:formatCode>General</c:formatCode>
                <c:ptCount val="6"/>
                <c:pt idx="0">
                  <c:v>11585.4</c:v>
                </c:pt>
                <c:pt idx="1">
                  <c:v>7458</c:v>
                </c:pt>
                <c:pt idx="2">
                  <c:v>14052</c:v>
                </c:pt>
                <c:pt idx="3">
                  <c:v>8082</c:v>
                </c:pt>
                <c:pt idx="4">
                  <c:v>28890</c:v>
                </c:pt>
                <c:pt idx="5">
                  <c:v>7700</c:v>
                </c:pt>
              </c:numCache>
            </c:numRef>
          </c:val>
        </c:ser>
        <c:ser>
          <c:idx val="1"/>
          <c:order val="1"/>
          <c:tx>
            <c:v>Value required</c:v>
          </c:tx>
          <c:spPr>
            <a:solidFill>
              <a:srgbClr val="E8702A"/>
            </a:solidFill>
            <a:ln w="9525">
              <a:solidFill>
                <a:srgbClr val="FFFFFF"/>
              </a:solidFill>
            </a:ln>
          </c:spPr>
          <c:cat>
            <c:strRef>
              <c:f>Dashboard!$B$54:$B$59</c:f>
              <c:strCache>
                <c:ptCount val="6"/>
                <c:pt idx="0">
                  <c:v>Saw and machining cell</c:v>
                </c:pt>
                <c:pt idx="1">
                  <c:v>Weld cell</c:v>
                </c:pt>
                <c:pt idx="2">
                  <c:v>Paint line</c:v>
                </c:pt>
                <c:pt idx="3">
                  <c:v>Kessler Seals (example)</c:v>
                </c:pt>
                <c:pt idx="4">
                  <c:v>Varga Tube (example)</c:v>
                </c:pt>
                <c:pt idx="5">
                  <c:v>Nordbolt Fasteners (example)</c:v>
                </c:pt>
              </c:strCache>
            </c:strRef>
          </c:cat>
          <c:val>
            <c:numRef>
              <c:f>Dashboard!$G$54:$G$59</c:f>
              <c:numCache>
                <c:formatCode>General</c:formatCode>
                <c:ptCount val="6"/>
                <c:pt idx="0">
                  <c:v>11292.4</c:v>
                </c:pt>
                <c:pt idx="1">
                  <c:v>7458</c:v>
                </c:pt>
                <c:pt idx="2">
                  <c:v>14172</c:v>
                </c:pt>
                <c:pt idx="3">
                  <c:v>6942</c:v>
                </c:pt>
                <c:pt idx="4">
                  <c:v>22086</c:v>
                </c:pt>
                <c:pt idx="5">
                  <c:v>7080</c:v>
                </c:pt>
              </c:numCache>
            </c:numRef>
          </c:val>
        </c:ser>
        <c:gapWidth val="60"/>
        <c:overlap val="-1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28</xdr:row>
      <xdr:rowOff>152400</xdr:rowOff>
    </xdr:to>
    <xdr:graphicFrame macro="">
      <xdr:nvGraphicFramePr>
        <xdr:cNvPr id="2" name="Chart 1" descr="Clustered bar chart comparing, for each kanban loop, the cards circulating now with the cards the loop requir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28</xdr:row>
      <xdr:rowOff>152400</xdr:rowOff>
    </xdr:to>
    <xdr:graphicFrame macro="">
      <xdr:nvGraphicFramePr>
        <xdr:cNvPr id="3" name="Chart 2" descr="Clustered bar chart of kanban inventory value for each supplier or internal process, now and at the required card count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ources" displayName="tblSources" ref="B14:C20" totalsRowShown="0">
  <autoFilter ref="B14:C20"/>
  <tableColumns count="2">
    <tableColumn id="1" name="Supplier or process"/>
    <tableColumn id="2" name="Type"/>
  </tableColumns>
  <tableStyleInfo name="TableStyleLight1" showFirstColumn="0" showLastColumn="0" showRowStripes="0" showColumnStripes="0"/>
</table>
</file>

<file path=xl/tables/table2.xml><?xml version="1.0" encoding="utf-8"?>
<table xmlns="http://schemas.openxmlformats.org/spreadsheetml/2006/main" id="2" name="tblLoopTypes" displayName="tblLoopTypes" ref="B23:C26" totalsRowShown="0">
  <autoFilter ref="B23:C26"/>
  <tableColumns count="2">
    <tableColumn id="1" name="Loop type"/>
    <tableColumn id="2" name="Meaning"/>
  </tableColumns>
  <tableStyleInfo name="TableStyleLight1" showFirstColumn="0" showLastColumn="0" showRowStripes="0" showColumnStripes="0"/>
</table>
</file>

<file path=xl/tables/table3.xml><?xml version="1.0" encoding="utf-8"?>
<table xmlns="http://schemas.openxmlformats.org/spreadsheetml/2006/main" id="3" name="tblLoops" displayName="tblLoops" ref="B6:W22" totalsRowShown="0">
  <autoFilter ref="B6:W22"/>
  <tableColumns count="22">
    <tableColumn id="1" name="Part"/>
    <tableColumn id="2" name="Description"/>
    <tableColumn id="3" name="Loop type"/>
    <tableColumn id="4" name="Supplier or process"/>
    <tableColumn id="5" name="Daily demand (units/day)"/>
    <tableColumn id="6" name="Lead time (days)"/>
    <tableColumn id="7" name="Safety allowance"/>
    <tableColumn id="8" name="Container qty (units)"/>
    <tableColumn id="9" name="Unit cost"/>
    <tableColumn id="10" name="Cards in loop now"/>
    <tableColumn id="11" name="Lead-time demand (units)">
      <calculatedColumnFormula>IF(tblLoops[[#This Row],[Part]]="","",tblLoops[[#This Row],[Daily demand (units/day)]]*tblLoops[[#This Row],[Lead time (days)]])</calculatedColumnFormula>
    </tableColumn>
    <tableColumn id="12" name="Safety stock (units)">
      <calculatedColumnFormula>IF(tblLoops[[#This Row],[Part]]="","",tblLoops[[#This Row],[Lead-time demand (units)]]*tblLoops[[#This Row],[Safety allowance]])</calculatedColumnFormula>
    </tableColumn>
    <tableColumn id="13" name="Cards required">
      <calculatedColumnFormula>IF(tblLoops[[#This Row],[Part]]="","",IF(tblLoops[[#This Row],[Container qty (units)]]&gt;0,ROUNDUP(ROUND((tblLoops[[#This Row],[Lead-time demand (units)]]+tblLoops[[#This Row],[Safety stock (units)]])/tblLoops[[#This Row],[Container qty (units)]],9),0),""))</calculatedColumnFormula>
    </tableColumn>
    <tableColumn id="14" name="Kanban qty (units)">
      <calculatedColumnFormula>IF(tblLoops[[#This Row],[Part]]="","",IF(ISNUMBER(tblLoops[[#This Row],[Cards required]]),tblLoops[[#This Row],[Cards required]]*tblLoops[[#This Row],[Container qty (units)]],""))</calculatedColumnFormula>
    </tableColumn>
    <tableColumn id="15" name="Days of cover">
      <calculatedColumnFormula>IF(tblLoops[[#This Row],[Part]]="","",IF(AND(ISNUMBER(tblLoops[[#This Row],[Kanban qty (units)]]),tblLoops[[#This Row],[Daily demand (units/day)]]&gt;0),tblLoops[[#This Row],[Kanban qty (units)]]/tblLoops[[#This Row],[Daily demand (units/day)]],""))</calculatedColumnFormula>
    </tableColumn>
    <tableColumn id="16" name="Card change">
      <calculatedColumnFormula>IF(tblLoops[[#This Row],[Part]]="","",IF(ISNUMBER(tblLoops[[#This Row],[Cards required]]),tblLoops[[#This Row],[Cards required]]-tblLoops[[#This Row],[Cards in loop now]],""))</calculatedColumnFormula>
    </tableColumn>
    <tableColumn id="17" name="Status">
      <calculatedColumnFormula>IF(tblLoops[[#This Row],[Part]]="","",IF(NOT(ISNUMBER(tblLoops[[#This Row],[Card change]])),"",IF(tblLoops[[#This Row],[Card change]]=0,"On target",IF(tblLoops[[#This Row],[Card change]]&gt;0,"Below target","Above target"))))</calculatedColumnFormula>
    </tableColumn>
    <tableColumn id="18" name="Kanban value now">
      <calculatedColumnFormula>IF(tblLoops[[#This Row],[Part]]="","",tblLoops[[#This Row],[Cards in loop now]]*tblLoops[[#This Row],[Container qty (units)]]*tblLoops[[#This Row],[Unit cost]])</calculatedColumnFormula>
    </tableColumn>
    <tableColumn id="19" name="Kanban value required">
      <calculatedColumnFormula>IF(tblLoops[[#This Row],[Part]]="","",IF(ISNUMBER(tblLoops[[#This Row],[Kanban qty (units)]]),tblLoops[[#This Row],[Kanban qty (units)]]*tblLoops[[#This Row],[Unit cost]],""))</calculatedColumnFormula>
    </tableColumn>
    <tableColumn id="20" name="Value change">
      <calculatedColumnFormula>IF(tblLoops[[#This Row],[Part]]="","",IF(ISNUMBER(tblLoops[[#This Row],[Card change]]),tblLoops[[#This Row],[Card change]]*tblLoops[[#This Row],[Container qty (units)]]*tblLoops[[#This Row],[Unit cost]],""))</calculatedColumnFormula>
    </tableColumn>
    <tableColumn id="21" name="Check">
      <calculatedColumnFormula>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calculatedColumnFormula>
    </tableColumn>
    <tableColumn id="22" name="Notes"/>
  </tableColumns>
  <tableStyleInfo name="TableStyleLight1" showFirstColumn="0" showLastColumn="0" showRowStripes="0" showColumnStripes="0"/>
</table>
</file>

<file path=xl/tables/table4.xml><?xml version="1.0" encoding="utf-8"?>
<table xmlns="http://schemas.openxmlformats.org/spreadsheetml/2006/main" id="4" name="tblVerifySources" displayName="tblVerifySources" ref="B32:C34" totalsRowShown="0">
  <tableColumns count="2">
    <tableColumn id="1" name="Supplier or process"/>
    <tableColumn id="2" name="Type"/>
  </tableColumns>
  <tableStyleInfo name="TableStyleLight1" showFirstColumn="0" showLastColumn="0" showRowStripes="0" showColumnStripes="0"/>
</table>
</file>

<file path=xl/tables/table5.xml><?xml version="1.0" encoding="utf-8"?>
<table xmlns="http://schemas.openxmlformats.org/spreadsheetml/2006/main" id="5" name="tblVerifyLoopTypes" displayName="tblVerifyLoopTypes" ref="B37:C39" totalsRowShown="0">
  <tableColumns count="2">
    <tableColumn id="1" name="Loop type"/>
    <tableColumn id="2" name="Meaning"/>
  </tableColumns>
  <tableStyleInfo name="TableStyleLight1" showFirstColumn="0" showLastColumn="0" showRowStripes="0" showColumnStripes="0"/>
</table>
</file>

<file path=xl/tables/table6.xml><?xml version="1.0" encoding="utf-8"?>
<table xmlns="http://schemas.openxmlformats.org/spreadsheetml/2006/main" id="6" name="tblVerifyLoops" displayName="tblVerifyLoops" ref="B43:W47" totalsRowShown="0">
  <tableColumns count="22">
    <tableColumn id="1" name="Part"/>
    <tableColumn id="2" name="Description"/>
    <tableColumn id="3" name="Loop type"/>
    <tableColumn id="4" name="Supplier or process"/>
    <tableColumn id="5" name="Daily demand (units/day)"/>
    <tableColumn id="6" name="Lead time (days)"/>
    <tableColumn id="7" name="Safety allowance"/>
    <tableColumn id="8" name="Container qty (units)"/>
    <tableColumn id="9" name="Unit cost"/>
    <tableColumn id="10" name="Cards in loop now"/>
    <tableColumn id="11" name="Lead-time demand (units)">
      <calculatedColumnFormula>IF(tblVerifyLoops[[#This Row],[Part]]="","",tblVerifyLoops[[#This Row],[Daily demand (units/day)]]*tblVerifyLoops[[#This Row],[Lead time (days)]])</calculatedColumnFormula>
    </tableColumn>
    <tableColumn id="12" name="Safety stock (units)">
      <calculatedColumnFormula>IF(tblVerifyLoops[[#This Row],[Part]]="","",tblVerifyLoops[[#This Row],[Lead-time demand (units)]]*tblVerifyLoops[[#This Row],[Safety allowance]])</calculatedColumnFormula>
    </tableColumn>
    <tableColumn id="13" name="Cards required">
      <calculatedColumnFormula>IF(tblVerifyLoops[[#This Row],[Part]]="","",IF(tblVerifyLoops[[#This Row],[Container qty (units)]]&gt;0,ROUNDUP(ROUND((tblVerifyLoops[[#This Row],[Lead-time demand (units)]]+tblVerifyLoops[[#This Row],[Safety stock (units)]])/tblVerifyLoops[[#This Row],[Container qty (units)]],9),0),""))</calculatedColumnFormula>
    </tableColumn>
    <tableColumn id="14" name="Kanban qty (units)">
      <calculatedColumnFormula>IF(tblVerifyLoops[[#This Row],[Part]]="","",IF(ISNUMBER(tblVerifyLoops[[#This Row],[Cards required]]),tblVerifyLoops[[#This Row],[Cards required]]*tblVerifyLoops[[#This Row],[Container qty (units)]],""))</calculatedColumnFormula>
    </tableColumn>
    <tableColumn id="15" name="Days of cover">
      <calculatedColumnFormula>IF(tblVerifyLoops[[#This Row],[Part]]="","",IF(AND(ISNUMBER(tblVerifyLoops[[#This Row],[Kanban qty (units)]]),tblVerifyLoops[[#This Row],[Daily demand (units/day)]]&gt;0),tblVerifyLoops[[#This Row],[Kanban qty (units)]]/tblVerifyLoops[[#This Row],[Daily demand (units/day)]],""))</calculatedColumnFormula>
    </tableColumn>
    <tableColumn id="16" name="Card change">
      <calculatedColumnFormula>IF(tblVerifyLoops[[#This Row],[Part]]="","",IF(ISNUMBER(tblVerifyLoops[[#This Row],[Cards required]]),tblVerifyLoops[[#This Row],[Cards required]]-tblVerifyLoops[[#This Row],[Cards in loop now]],""))</calculatedColumnFormula>
    </tableColumn>
    <tableColumn id="17" name="Status">
      <calculatedColumnFormula>IF(tblVerifyLoops[[#This Row],[Part]]="","",IF(NOT(ISNUMBER(tblVerifyLoops[[#This Row],[Card change]])),"",IF(tblVerifyLoops[[#This Row],[Card change]]=0,"On target",IF(tblVerifyLoops[[#This Row],[Card change]]&gt;0,"Below target","Above target"))))</calculatedColumnFormula>
    </tableColumn>
    <tableColumn id="18" name="Kanban value now">
      <calculatedColumnFormula>IF(tblVerifyLoops[[#This Row],[Part]]="","",tblVerifyLoops[[#This Row],[Cards in loop now]]*tblVerifyLoops[[#This Row],[Container qty (units)]]*tblVerifyLoops[[#This Row],[Unit cost]])</calculatedColumnFormula>
    </tableColumn>
    <tableColumn id="19" name="Kanban value required">
      <calculatedColumnFormula>IF(tblVerifyLoops[[#This Row],[Part]]="","",IF(ISNUMBER(tblVerifyLoops[[#This Row],[Kanban qty (units)]]),tblVerifyLoops[[#This Row],[Kanban qty (units)]]*tblVerifyLoops[[#This Row],[Unit cost]],""))</calculatedColumnFormula>
    </tableColumn>
    <tableColumn id="20" name="Value change">
      <calculatedColumnFormula>IF(tblVerifyLoops[[#This Row],[Part]]="","",IF(ISNUMBER(tblVerifyLoops[[#This Row],[Card change]]),tblVerifyLoops[[#This Row],[Card change]]*tblVerifyLoops[[#This Row],[Container qty (units)]]*tblVerifyLoops[[#This Row],[Unit cost]],""))</calculatedColumnFormula>
    </tableColumn>
    <tableColumn id="21" name="Check">
      <calculatedColumnFormula>IF(tblVerifyLoops[[#This Row],[Part]]="","",IF(tblVerifyLoops[[#This Row],[Daily demand (units/day)]]="","Missing daily demand",IF(tblVerifyLoops[[#This Row],[Lead time (days)]]="","Missing lead time",IF(tblVerifyLoops[[#This Row],[Safety allowance]]="","Missing safety allowance",IF(tblVerifyLoops[[#This Row],[Container qty (units)]]="","Missing container qty",IF(tblVerifyLoops[[#This Row],[Unit cost]]="","Missing unit cost",IF(tblVerifyLoops[[#This Row],[Cards in loop now]]="","Missing cards in loop now",IF(COUNTIF(tblVerifySources[Supplier or process],tblVerifyLoops[[#This Row],[Supplier or process]])=0,"Supplier or process not on list",IF(COUNTIF(tblVerifyLoopTypes[Loop type],tblVerifyLoops[[#This Row],[Loop type]])=0,"Loop type not on list",IF(COUNTIFS(tblVerifyLoops[Part],tblVerifyLoops[[#This Row],[Part]],tblVerifyLoops[Loop type],tblVerifyLoops[[#This Row],[Loop type]])&gt;1,"Part and loop listed twice",IF(tblVerifyLoops[[#This Row],[Container qty (units)]]&gt;tblVerifyLoops[[#This Row],[Lead-time demand (units)]]+tblVerifyLoops[[#This Row],[Safety stock (units)]],"Container bigger than loop need","OK")))))))))))</calculatedColumnFormula>
    </tableColumn>
    <tableColumn id="22"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nban-sizing" TargetMode="External"/><Relationship Id="rId2" Type="http://schemas.openxmlformats.org/officeDocument/2006/relationships/hyperlink" Target="https://www.mfgcalcs.com/calculators/lean-manufacturing-operations/kanban-card-count?utm_source=mfgcalcs-template&amp;utm_medium=xlsx&amp;utm_campaign=kanban-sizing" TargetMode="External"/><Relationship Id="rId3" Type="http://schemas.openxmlformats.org/officeDocument/2006/relationships/hyperlink" Target="https://www.mfgcalcs.com/templates/kanban-sizing?utm_source=mfgcalcs-template&amp;utm_medium=xlsx&amp;utm_campaign=kanban-sizing" TargetMode="External"/><Relationship Id="rId4" Type="http://schemas.openxmlformats.org/officeDocument/2006/relationships/hyperlink" Target="https://www.mfgcalcs.com/templates?utm_source=mfgcalcs-template&amp;utm_medium=xlsx&amp;utm_campaign=kanban-sizin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nban-sizing"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nban-sizing"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nban-sizing"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nban-sizing" TargetMode="External"/><Relationship Id="rId2" Type="http://schemas.openxmlformats.org/officeDocument/2006/relationships/hyperlink" Target="https://www.mfgcalcs.com/calculators/lean-manufacturing-operations/kanban-card-count?utm_source=mfgcalcs-template&amp;utm_medium=xlsx&amp;utm_campaign=kanban-sizin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kanban-sizing"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16 of 16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Kanban Loops'!A1" tooltip="Go to Kanban Loops" display="Kanban Loops"/>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Kanban Sizing&amp;R&amp;8&amp;A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6"/>
  <sheetViews>
    <sheetView showGridLines="0" workbookViewId="0"/>
  </sheetViews>
  <sheetFormatPr defaultRowHeight="15"/>
  <cols>
    <col min="1" max="1" width="2.7109375" customWidth="1"/>
    <col min="2" max="2" width="34.7109375" customWidth="1"/>
    <col min="3" max="3" width="14.7109375" customWidth="1"/>
    <col min="4" max="4" width="50.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64</v>
      </c>
      <c r="C4" s="8"/>
      <c r="D4" s="8"/>
    </row>
    <row r="5" spans="1:5" ht="5" customHeight="1"/>
    <row r="6" spans="1:5">
      <c r="B6" s="27" t="s">
        <v>65</v>
      </c>
      <c r="C6" s="28" t="s">
        <v>66</v>
      </c>
      <c r="D6" s="28"/>
    </row>
    <row r="7" spans="1:5">
      <c r="B7" s="27" t="s">
        <v>67</v>
      </c>
      <c r="C7" s="28" t="s">
        <v>68</v>
      </c>
      <c r="D7" s="28"/>
    </row>
    <row r="9" spans="1:5" ht="35.4" customHeight="1">
      <c r="B9" s="25" t="s">
        <v>69</v>
      </c>
      <c r="C9" s="25"/>
      <c r="D9" s="25"/>
    </row>
    <row r="11" spans="1:5" ht="21" customHeight="1">
      <c r="B11" s="8" t="s">
        <v>70</v>
      </c>
      <c r="C11" s="8"/>
      <c r="D11" s="8"/>
    </row>
    <row r="12" spans="1:5" ht="5" customHeight="1"/>
    <row r="13" spans="1:5">
      <c r="B13" s="29" t="s">
        <v>71</v>
      </c>
      <c r="C13" s="29"/>
    </row>
    <row r="14" spans="1:5" ht="20" customHeight="1">
      <c r="B14" s="30" t="s">
        <v>60</v>
      </c>
      <c r="C14" s="30" t="s">
        <v>61</v>
      </c>
    </row>
    <row r="15" spans="1:5">
      <c r="B15" s="31" t="s">
        <v>72</v>
      </c>
      <c r="C15" s="28" t="s">
        <v>73</v>
      </c>
    </row>
    <row r="16" spans="1:5">
      <c r="B16" s="31" t="s">
        <v>74</v>
      </c>
      <c r="C16" s="28" t="s">
        <v>73</v>
      </c>
    </row>
    <row r="17" spans="2:3">
      <c r="B17" s="31" t="s">
        <v>75</v>
      </c>
      <c r="C17" s="28" t="s">
        <v>73</v>
      </c>
    </row>
    <row r="18" spans="2:3">
      <c r="B18" s="31" t="s">
        <v>76</v>
      </c>
      <c r="C18" s="28" t="s">
        <v>77</v>
      </c>
    </row>
    <row r="19" spans="2:3">
      <c r="B19" s="31" t="s">
        <v>78</v>
      </c>
      <c r="C19" s="28" t="s">
        <v>77</v>
      </c>
    </row>
    <row r="20" spans="2:3">
      <c r="B20" s="31" t="s">
        <v>79</v>
      </c>
      <c r="C20" s="28" t="s">
        <v>77</v>
      </c>
    </row>
    <row r="22" spans="2:3">
      <c r="B22" s="29" t="s">
        <v>80</v>
      </c>
      <c r="C22" s="29"/>
    </row>
    <row r="23" spans="2:3" ht="20" customHeight="1">
      <c r="B23" s="30" t="s">
        <v>62</v>
      </c>
      <c r="C23" s="30" t="s">
        <v>63</v>
      </c>
    </row>
    <row r="24" spans="2:3">
      <c r="B24" s="31" t="s">
        <v>81</v>
      </c>
      <c r="C24" s="31" t="s">
        <v>82</v>
      </c>
    </row>
    <row r="25" spans="2:3">
      <c r="B25" s="31" t="s">
        <v>77</v>
      </c>
      <c r="C25" s="31" t="s">
        <v>83</v>
      </c>
    </row>
    <row r="26" spans="2:3">
      <c r="B26" s="31" t="s">
        <v>84</v>
      </c>
      <c r="C26" s="31" t="s">
        <v>85</v>
      </c>
    </row>
  </sheetData>
  <mergeCells count="10">
    <mergeCell ref="A1:E1"/>
    <mergeCell ref="B2:C2"/>
    <mergeCell ref="D2:E2"/>
    <mergeCell ref="B4:D4"/>
    <mergeCell ref="C6:D6"/>
    <mergeCell ref="C7:D7"/>
    <mergeCell ref="B9:D9"/>
    <mergeCell ref="B11:D11"/>
    <mergeCell ref="B13:C13"/>
    <mergeCell ref="B22:C22"/>
  </mergeCells>
  <dataValidations count="6">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textLength" allowBlank="1" showInputMessage="1" showErrorMessage="1" errorTitle="Check this entry" error="Text up to 60 characters." promptTitle="Supplier or process" prompt="Text up to 60 characters." sqref="B15:B120">
      <formula1>0</formula1>
      <formula2>60</formula2>
    </dataValidation>
    <dataValidation type="list" allowBlank="1" showInputMessage="1" showErrorMessage="1" errorTitle="Check this entry" error="Pick one of: Internal, Supplier." promptTitle="Type" prompt="Pick one of: Internal, Supplier." sqref="C15:C120">
      <formula1>"Internal,Supplier"</formula1>
    </dataValidation>
    <dataValidation type="textLength" allowBlank="1" showInputMessage="1" showErrorMessage="1" errorTitle="Check this entry" error="Text up to 30 characters." promptTitle="Loop type" prompt="Text up to 30 characters." sqref="B24:B126">
      <formula1>0</formula1>
      <formula2>30</formula2>
    </dataValidation>
    <dataValidation type="textLength" allowBlank="1" showInputMessage="1" showErrorMessage="1" errorTitle="Check this entry" error="Text up to 160 characters." promptTitle="Meaning" prompt="Text up to 160 characters." sqref="C24:C126">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Kanban Sizing&amp;R&amp;8&amp;A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W22"/>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10.7109375" customWidth="1"/>
    <col min="3" max="3" width="22.7109375" customWidth="1"/>
    <col min="4" max="4" width="11.28515625" customWidth="1"/>
    <col min="5" max="5" width="20.7109375" customWidth="1"/>
    <col min="6" max="6" width="9.7109375" customWidth="1"/>
    <col min="7" max="7" width="8.7109375" customWidth="1"/>
    <col min="8" max="8" width="9.28515625" customWidth="1"/>
    <col min="9" max="9" width="9.7109375" customWidth="1"/>
    <col min="10" max="10" width="9.28515625" customWidth="1"/>
    <col min="11" max="11" width="8.7109375" customWidth="1"/>
    <col min="12" max="12" width="9.7109375" customWidth="1"/>
    <col min="13" max="13" width="9.28515625" customWidth="1"/>
    <col min="14" max="14" width="8.7109375" customWidth="1"/>
    <col min="15" max="15" width="9.28515625" customWidth="1"/>
    <col min="16" max="17" width="8.28515625" customWidth="1"/>
    <col min="18" max="18" width="11.7109375" customWidth="1"/>
    <col min="19" max="21" width="9.7109375" customWidth="1"/>
    <col min="22" max="22" width="18.7109375" customWidth="1"/>
    <col min="23" max="23" width="24.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20</v>
      </c>
      <c r="C2" s="2"/>
      <c r="D2" s="2"/>
      <c r="E2" s="2"/>
      <c r="F2" s="2"/>
      <c r="G2" s="2"/>
      <c r="H2" s="2"/>
      <c r="I2" s="2"/>
      <c r="J2" s="2"/>
      <c r="K2" s="2"/>
      <c r="L2" s="2"/>
      <c r="M2" s="2"/>
      <c r="N2" s="2"/>
      <c r="O2" s="2"/>
      <c r="P2" s="2"/>
      <c r="Q2" s="2"/>
      <c r="R2" s="2"/>
      <c r="S2" s="2"/>
      <c r="T2" s="2"/>
      <c r="U2" s="2"/>
      <c r="V2" s="2"/>
      <c r="W2" s="3" t="s">
        <v>2</v>
      </c>
    </row>
    <row r="3" spans="1:23" ht="6" customHeight="1"/>
    <row r="4" spans="1:23" ht="18" customHeight="1">
      <c r="B4" s="32" t="s">
        <v>106</v>
      </c>
      <c r="C4" s="32"/>
      <c r="D4" s="32"/>
      <c r="E4" s="32"/>
      <c r="F4" s="32"/>
      <c r="G4" s="32"/>
      <c r="H4" s="32"/>
      <c r="I4" s="32"/>
      <c r="J4" s="32"/>
      <c r="K4" s="32"/>
      <c r="L4" s="32"/>
      <c r="M4" s="32"/>
      <c r="N4" s="32"/>
      <c r="O4" s="32"/>
      <c r="P4" s="32"/>
      <c r="Q4" s="32"/>
      <c r="R4" s="32"/>
      <c r="S4" s="32"/>
      <c r="T4" s="32"/>
      <c r="U4" s="32"/>
      <c r="V4" s="32"/>
      <c r="W4" s="32"/>
    </row>
    <row r="5" spans="1:23" ht="14" customHeight="1">
      <c r="B5" s="33"/>
      <c r="C5" s="33"/>
      <c r="D5" s="33"/>
      <c r="E5" s="33"/>
      <c r="F5" s="33"/>
      <c r="G5" s="33"/>
      <c r="H5" s="33"/>
      <c r="I5" s="33"/>
      <c r="J5" s="33" t="str">
        <f>Currency&amp;"/unit"</f>
        <v>EUR/unit</v>
      </c>
      <c r="K5" s="33"/>
      <c r="L5" s="33"/>
      <c r="M5" s="33"/>
      <c r="N5" s="33"/>
      <c r="O5" s="33"/>
      <c r="P5" s="33" t="s">
        <v>107</v>
      </c>
      <c r="Q5" s="33"/>
      <c r="R5" s="33"/>
      <c r="S5" s="33" t="str">
        <f>Currency</f>
        <v>EUR</v>
      </c>
      <c r="T5" s="33" t="str">
        <f>Currency</f>
        <v>EUR</v>
      </c>
      <c r="U5" s="33" t="str">
        <f>Currency</f>
        <v>EUR</v>
      </c>
      <c r="V5" s="33"/>
      <c r="W5" s="33"/>
    </row>
    <row r="6" spans="1:23" ht="45.5" customHeight="1">
      <c r="B6" s="30" t="s">
        <v>86</v>
      </c>
      <c r="C6" s="30" t="s">
        <v>87</v>
      </c>
      <c r="D6" s="30" t="s">
        <v>62</v>
      </c>
      <c r="E6" s="30" t="s">
        <v>60</v>
      </c>
      <c r="F6" s="30" t="s">
        <v>88</v>
      </c>
      <c r="G6" s="30" t="s">
        <v>89</v>
      </c>
      <c r="H6" s="30" t="s">
        <v>90</v>
      </c>
      <c r="I6" s="30" t="s">
        <v>91</v>
      </c>
      <c r="J6" s="30" t="s">
        <v>92</v>
      </c>
      <c r="K6" s="30" t="s">
        <v>93</v>
      </c>
      <c r="L6" s="30" t="s">
        <v>94</v>
      </c>
      <c r="M6" s="30" t="s">
        <v>95</v>
      </c>
      <c r="N6" s="30" t="s">
        <v>96</v>
      </c>
      <c r="O6" s="30" t="s">
        <v>97</v>
      </c>
      <c r="P6" s="30" t="s">
        <v>98</v>
      </c>
      <c r="Q6" s="30" t="s">
        <v>99</v>
      </c>
      <c r="R6" s="30" t="s">
        <v>100</v>
      </c>
      <c r="S6" s="30" t="s">
        <v>101</v>
      </c>
      <c r="T6" s="30" t="s">
        <v>102</v>
      </c>
      <c r="U6" s="30" t="s">
        <v>103</v>
      </c>
      <c r="V6" s="30" t="s">
        <v>104</v>
      </c>
      <c r="W6" s="30" t="s">
        <v>105</v>
      </c>
    </row>
    <row r="7" spans="1:23">
      <c r="B7" s="28" t="s">
        <v>108</v>
      </c>
      <c r="C7" s="28" t="s">
        <v>109</v>
      </c>
      <c r="D7" s="28" t="s">
        <v>81</v>
      </c>
      <c r="E7" s="28" t="s">
        <v>72</v>
      </c>
      <c r="F7" s="34">
        <v>120</v>
      </c>
      <c r="G7" s="35">
        <v>1.5</v>
      </c>
      <c r="H7" s="36">
        <v>0.15</v>
      </c>
      <c r="I7" s="37">
        <v>20</v>
      </c>
      <c r="J7" s="35">
        <v>18.4</v>
      </c>
      <c r="K7" s="37">
        <v>11</v>
      </c>
      <c r="L7" s="38">
        <f>IF(tblLoops[[#This Row],[Part]]="","",tblLoops[[#This Row],[Daily demand (units/day)]]*tblLoops[[#This Row],[Lead time (days)]])</f>
        <v>180</v>
      </c>
      <c r="M7" s="38">
        <f>IF(tblLoops[[#This Row],[Part]]="","",tblLoops[[#This Row],[Lead-time demand (units)]]*tblLoops[[#This Row],[Safety allowance]])</f>
        <v>27</v>
      </c>
      <c r="N7" s="39">
        <f>IF(tblLoops[[#This Row],[Part]]="","",IF(tblLoops[[#This Row],[Container qty (units)]]&gt;0,ROUNDUP(ROUND((tblLoops[[#This Row],[Lead-time demand (units)]]+tblLoops[[#This Row],[Safety stock (units)]])/tblLoops[[#This Row],[Container qty (units)]],9),0),""))</f>
        <v>11</v>
      </c>
      <c r="O7" s="39">
        <f>IF(tblLoops[[#This Row],[Part]]="","",IF(ISNUMBER(tblLoops[[#This Row],[Cards required]]),tblLoops[[#This Row],[Cards required]]*tblLoops[[#This Row],[Container qty (units)]],""))</f>
        <v>220</v>
      </c>
      <c r="P7" s="38">
        <f>IF(tblLoops[[#This Row],[Part]]="","",IF(AND(ISNUMBER(tblLoops[[#This Row],[Kanban qty (units)]]),tblLoops[[#This Row],[Daily demand (units/day)]]&gt;0),tblLoops[[#This Row],[Kanban qty (units)]]/tblLoops[[#This Row],[Daily demand (units/day)]],""))</f>
        <v>1.83333333333333</v>
      </c>
      <c r="Q7" s="40">
        <f>IF(tblLoops[[#This Row],[Part]]="","",IF(ISNUMBER(tblLoops[[#This Row],[Cards required]]),tblLoops[[#This Row],[Cards required]]-tblLoops[[#This Row],[Cards in loop now]],""))</f>
        <v>0</v>
      </c>
      <c r="R7" s="41" t="str">
        <f>IF(tblLoops[[#This Row],[Part]]="","",IF(NOT(ISNUMBER(tblLoops[[#This Row],[Card change]])),"",IF(tblLoops[[#This Row],[Card change]]=0,"On target",IF(tblLoops[[#This Row],[Card change]]&gt;0,"Below target","Above target"))))</f>
        <v>On target</v>
      </c>
      <c r="S7" s="39">
        <f>IF(tblLoops[[#This Row],[Part]]="","",tblLoops[[#This Row],[Cards in loop now]]*tblLoops[[#This Row],[Container qty (units)]]*tblLoops[[#This Row],[Unit cost]])</f>
        <v>4048</v>
      </c>
      <c r="T7" s="39">
        <f>IF(tblLoops[[#This Row],[Part]]="","",IF(ISNUMBER(tblLoops[[#This Row],[Kanban qty (units)]]),tblLoops[[#This Row],[Kanban qty (units)]]*tblLoops[[#This Row],[Unit cost]],""))</f>
        <v>4048</v>
      </c>
      <c r="U7" s="39">
        <f>IF(tblLoops[[#This Row],[Part]]="","",IF(ISNUMBER(tblLoops[[#This Row],[Card change]]),tblLoops[[#This Row],[Card change]]*tblLoops[[#This Row],[Container qty (units)]]*tblLoops[[#This Row],[Unit cost]],""))</f>
        <v>0</v>
      </c>
      <c r="V7"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7" s="28" t="s">
        <v>110</v>
      </c>
    </row>
    <row r="8" spans="1:23">
      <c r="B8" s="28" t="s">
        <v>111</v>
      </c>
      <c r="C8" s="28" t="s">
        <v>112</v>
      </c>
      <c r="D8" s="28" t="s">
        <v>81</v>
      </c>
      <c r="E8" s="28" t="s">
        <v>72</v>
      </c>
      <c r="F8" s="34">
        <v>64</v>
      </c>
      <c r="G8" s="35">
        <v>1.5</v>
      </c>
      <c r="H8" s="36">
        <v>0.15</v>
      </c>
      <c r="I8" s="37">
        <v>16</v>
      </c>
      <c r="J8" s="35">
        <v>31.2</v>
      </c>
      <c r="K8" s="37">
        <v>7</v>
      </c>
      <c r="L8" s="38">
        <f>IF(tblLoops[[#This Row],[Part]]="","",tblLoops[[#This Row],[Daily demand (units/day)]]*tblLoops[[#This Row],[Lead time (days)]])</f>
        <v>96</v>
      </c>
      <c r="M8" s="38">
        <f>IF(tblLoops[[#This Row],[Part]]="","",tblLoops[[#This Row],[Lead-time demand (units)]]*tblLoops[[#This Row],[Safety allowance]])</f>
        <v>14.4</v>
      </c>
      <c r="N8" s="39">
        <f>IF(tblLoops[[#This Row],[Part]]="","",IF(tblLoops[[#This Row],[Container qty (units)]]&gt;0,ROUNDUP(ROUND((tblLoops[[#This Row],[Lead-time demand (units)]]+tblLoops[[#This Row],[Safety stock (units)]])/tblLoops[[#This Row],[Container qty (units)]],9),0),""))</f>
        <v>7</v>
      </c>
      <c r="O8" s="39">
        <f>IF(tblLoops[[#This Row],[Part]]="","",IF(ISNUMBER(tblLoops[[#This Row],[Cards required]]),tblLoops[[#This Row],[Cards required]]*tblLoops[[#This Row],[Container qty (units)]],""))</f>
        <v>112</v>
      </c>
      <c r="P8" s="38">
        <f>IF(tblLoops[[#This Row],[Part]]="","",IF(AND(ISNUMBER(tblLoops[[#This Row],[Kanban qty (units)]]),tblLoops[[#This Row],[Daily demand (units/day)]]&gt;0),tblLoops[[#This Row],[Kanban qty (units)]]/tblLoops[[#This Row],[Daily demand (units/day)]],""))</f>
        <v>1.75</v>
      </c>
      <c r="Q8" s="40">
        <f>IF(tblLoops[[#This Row],[Part]]="","",IF(ISNUMBER(tblLoops[[#This Row],[Cards required]]),tblLoops[[#This Row],[Cards required]]-tblLoops[[#This Row],[Cards in loop now]],""))</f>
        <v>0</v>
      </c>
      <c r="R8" s="41" t="str">
        <f>IF(tblLoops[[#This Row],[Part]]="","",IF(NOT(ISNUMBER(tblLoops[[#This Row],[Card change]])),"",IF(tblLoops[[#This Row],[Card change]]=0,"On target",IF(tblLoops[[#This Row],[Card change]]&gt;0,"Below target","Above target"))))</f>
        <v>On target</v>
      </c>
      <c r="S8" s="39">
        <f>IF(tblLoops[[#This Row],[Part]]="","",tblLoops[[#This Row],[Cards in loop now]]*tblLoops[[#This Row],[Container qty (units)]]*tblLoops[[#This Row],[Unit cost]])</f>
        <v>3494.4</v>
      </c>
      <c r="T8" s="39">
        <f>IF(tblLoops[[#This Row],[Part]]="","",IF(ISNUMBER(tblLoops[[#This Row],[Kanban qty (units)]]),tblLoops[[#This Row],[Kanban qty (units)]]*tblLoops[[#This Row],[Unit cost]],""))</f>
        <v>3494.4</v>
      </c>
      <c r="U8" s="39">
        <f>IF(tblLoops[[#This Row],[Part]]="","",IF(ISNUMBER(tblLoops[[#This Row],[Card change]]),tblLoops[[#This Row],[Card change]]*tblLoops[[#This Row],[Container qty (units)]]*tblLoops[[#This Row],[Unit cost]],""))</f>
        <v>0</v>
      </c>
      <c r="V8"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8" s="28" t="s">
        <v>110</v>
      </c>
    </row>
    <row r="9" spans="1:23">
      <c r="B9" s="28" t="s">
        <v>113</v>
      </c>
      <c r="C9" s="28" t="s">
        <v>114</v>
      </c>
      <c r="D9" s="28" t="s">
        <v>81</v>
      </c>
      <c r="E9" s="28" t="s">
        <v>72</v>
      </c>
      <c r="F9" s="34">
        <v>80</v>
      </c>
      <c r="G9" s="35">
        <v>1</v>
      </c>
      <c r="H9" s="36">
        <v>0.1</v>
      </c>
      <c r="I9" s="37">
        <v>20</v>
      </c>
      <c r="J9" s="35">
        <v>22.6</v>
      </c>
      <c r="K9" s="37">
        <v>4</v>
      </c>
      <c r="L9" s="38">
        <f>IF(tblLoops[[#This Row],[Part]]="","",tblLoops[[#This Row],[Daily demand (units/day)]]*tblLoops[[#This Row],[Lead time (days)]])</f>
        <v>80</v>
      </c>
      <c r="M9" s="38">
        <f>IF(tblLoops[[#This Row],[Part]]="","",tblLoops[[#This Row],[Lead-time demand (units)]]*tblLoops[[#This Row],[Safety allowance]])</f>
        <v>8</v>
      </c>
      <c r="N9" s="39">
        <f>IF(tblLoops[[#This Row],[Part]]="","",IF(tblLoops[[#This Row],[Container qty (units)]]&gt;0,ROUNDUP(ROUND((tblLoops[[#This Row],[Lead-time demand (units)]]+tblLoops[[#This Row],[Safety stock (units)]])/tblLoops[[#This Row],[Container qty (units)]],9),0),""))</f>
        <v>5</v>
      </c>
      <c r="O9" s="39">
        <f>IF(tblLoops[[#This Row],[Part]]="","",IF(ISNUMBER(tblLoops[[#This Row],[Cards required]]),tblLoops[[#This Row],[Cards required]]*tblLoops[[#This Row],[Container qty (units)]],""))</f>
        <v>100</v>
      </c>
      <c r="P9" s="38">
        <f>IF(tblLoops[[#This Row],[Part]]="","",IF(AND(ISNUMBER(tblLoops[[#This Row],[Kanban qty (units)]]),tblLoops[[#This Row],[Daily demand (units/day)]]&gt;0),tblLoops[[#This Row],[Kanban qty (units)]]/tblLoops[[#This Row],[Daily demand (units/day)]],""))</f>
        <v>1.25</v>
      </c>
      <c r="Q9" s="40">
        <f>IF(tblLoops[[#This Row],[Part]]="","",IF(ISNUMBER(tblLoops[[#This Row],[Cards required]]),tblLoops[[#This Row],[Cards required]]-tblLoops[[#This Row],[Cards in loop now]],""))</f>
        <v>1</v>
      </c>
      <c r="R9" s="41" t="str">
        <f>IF(tblLoops[[#This Row],[Part]]="","",IF(NOT(ISNUMBER(tblLoops[[#This Row],[Card change]])),"",IF(tblLoops[[#This Row],[Card change]]=0,"On target",IF(tblLoops[[#This Row],[Card change]]&gt;0,"Below target","Above target"))))</f>
        <v>Below target</v>
      </c>
      <c r="S9" s="39">
        <f>IF(tblLoops[[#This Row],[Part]]="","",tblLoops[[#This Row],[Cards in loop now]]*tblLoops[[#This Row],[Container qty (units)]]*tblLoops[[#This Row],[Unit cost]])</f>
        <v>1808</v>
      </c>
      <c r="T9" s="39">
        <f>IF(tblLoops[[#This Row],[Part]]="","",IF(ISNUMBER(tblLoops[[#This Row],[Kanban qty (units)]]),tblLoops[[#This Row],[Kanban qty (units)]]*tblLoops[[#This Row],[Unit cost]],""))</f>
        <v>2260</v>
      </c>
      <c r="U9" s="39">
        <f>IF(tblLoops[[#This Row],[Part]]="","",IF(ISNUMBER(tblLoops[[#This Row],[Card change]]),tblLoops[[#This Row],[Card change]]*tblLoops[[#This Row],[Container qty (units)]]*tblLoops[[#This Row],[Unit cost]],""))</f>
        <v>452</v>
      </c>
      <c r="V9"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9" s="28" t="s">
        <v>115</v>
      </c>
    </row>
    <row r="10" spans="1:23">
      <c r="B10" s="28" t="s">
        <v>116</v>
      </c>
      <c r="C10" s="28" t="s">
        <v>117</v>
      </c>
      <c r="D10" s="28" t="s">
        <v>81</v>
      </c>
      <c r="E10" s="28" t="s">
        <v>72</v>
      </c>
      <c r="F10" s="34">
        <v>80</v>
      </c>
      <c r="G10" s="35">
        <v>1</v>
      </c>
      <c r="H10" s="36">
        <v>0.1</v>
      </c>
      <c r="I10" s="37">
        <v>25</v>
      </c>
      <c r="J10" s="35">
        <v>14.9</v>
      </c>
      <c r="K10" s="37">
        <v>6</v>
      </c>
      <c r="L10" s="38">
        <f>IF(tblLoops[[#This Row],[Part]]="","",tblLoops[[#This Row],[Daily demand (units/day)]]*tblLoops[[#This Row],[Lead time (days)]])</f>
        <v>80</v>
      </c>
      <c r="M10" s="38">
        <f>IF(tblLoops[[#This Row],[Part]]="","",tblLoops[[#This Row],[Lead-time demand (units)]]*tblLoops[[#This Row],[Safety allowance]])</f>
        <v>8</v>
      </c>
      <c r="N10" s="39">
        <f>IF(tblLoops[[#This Row],[Part]]="","",IF(tblLoops[[#This Row],[Container qty (units)]]&gt;0,ROUNDUP(ROUND((tblLoops[[#This Row],[Lead-time demand (units)]]+tblLoops[[#This Row],[Safety stock (units)]])/tblLoops[[#This Row],[Container qty (units)]],9),0),""))</f>
        <v>4</v>
      </c>
      <c r="O10" s="39">
        <f>IF(tblLoops[[#This Row],[Part]]="","",IF(ISNUMBER(tblLoops[[#This Row],[Cards required]]),tblLoops[[#This Row],[Cards required]]*tblLoops[[#This Row],[Container qty (units)]],""))</f>
        <v>100</v>
      </c>
      <c r="P10" s="38">
        <f>IF(tblLoops[[#This Row],[Part]]="","",IF(AND(ISNUMBER(tblLoops[[#This Row],[Kanban qty (units)]]),tblLoops[[#This Row],[Daily demand (units/day)]]&gt;0),tblLoops[[#This Row],[Kanban qty (units)]]/tblLoops[[#This Row],[Daily demand (units/day)]],""))</f>
        <v>1.25</v>
      </c>
      <c r="Q10" s="40">
        <f>IF(tblLoops[[#This Row],[Part]]="","",IF(ISNUMBER(tblLoops[[#This Row],[Cards required]]),tblLoops[[#This Row],[Cards required]]-tblLoops[[#This Row],[Cards in loop now]],""))</f>
        <v>-2</v>
      </c>
      <c r="R10" s="41" t="str">
        <f>IF(tblLoops[[#This Row],[Part]]="","",IF(NOT(ISNUMBER(tblLoops[[#This Row],[Card change]])),"",IF(tblLoops[[#This Row],[Card change]]=0,"On target",IF(tblLoops[[#This Row],[Card change]]&gt;0,"Below target","Above target"))))</f>
        <v>Above target</v>
      </c>
      <c r="S10" s="39">
        <f>IF(tblLoops[[#This Row],[Part]]="","",tblLoops[[#This Row],[Cards in loop now]]*tblLoops[[#This Row],[Container qty (units)]]*tblLoops[[#This Row],[Unit cost]])</f>
        <v>2235</v>
      </c>
      <c r="T10" s="39">
        <f>IF(tblLoops[[#This Row],[Part]]="","",IF(ISNUMBER(tblLoops[[#This Row],[Kanban qty (units)]]),tblLoops[[#This Row],[Kanban qty (units)]]*tblLoops[[#This Row],[Unit cost]],""))</f>
        <v>1490</v>
      </c>
      <c r="U10" s="39">
        <f>IF(tblLoops[[#This Row],[Part]]="","",IF(ISNUMBER(tblLoops[[#This Row],[Card change]]),tblLoops[[#This Row],[Card change]]*tblLoops[[#This Row],[Container qty (units)]]*tblLoops[[#This Row],[Unit cost]],""))</f>
        <v>-745</v>
      </c>
      <c r="V10"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0" s="28" t="s">
        <v>110</v>
      </c>
    </row>
    <row r="11" spans="1:23">
      <c r="B11" s="28" t="s">
        <v>118</v>
      </c>
      <c r="C11" s="28" t="s">
        <v>119</v>
      </c>
      <c r="D11" s="28" t="s">
        <v>81</v>
      </c>
      <c r="E11" s="28" t="s">
        <v>74</v>
      </c>
      <c r="F11" s="34">
        <v>80</v>
      </c>
      <c r="G11" s="35">
        <v>2</v>
      </c>
      <c r="H11" s="36">
        <v>0.2</v>
      </c>
      <c r="I11" s="37">
        <v>16</v>
      </c>
      <c r="J11" s="35">
        <v>27.5</v>
      </c>
      <c r="K11" s="37">
        <v>12</v>
      </c>
      <c r="L11" s="38">
        <f>IF(tblLoops[[#This Row],[Part]]="","",tblLoops[[#This Row],[Daily demand (units/day)]]*tblLoops[[#This Row],[Lead time (days)]])</f>
        <v>160</v>
      </c>
      <c r="M11" s="38">
        <f>IF(tblLoops[[#This Row],[Part]]="","",tblLoops[[#This Row],[Lead-time demand (units)]]*tblLoops[[#This Row],[Safety allowance]])</f>
        <v>32</v>
      </c>
      <c r="N11" s="39">
        <f>IF(tblLoops[[#This Row],[Part]]="","",IF(tblLoops[[#This Row],[Container qty (units)]]&gt;0,ROUNDUP(ROUND((tblLoops[[#This Row],[Lead-time demand (units)]]+tblLoops[[#This Row],[Safety stock (units)]])/tblLoops[[#This Row],[Container qty (units)]],9),0),""))</f>
        <v>12</v>
      </c>
      <c r="O11" s="39">
        <f>IF(tblLoops[[#This Row],[Part]]="","",IF(ISNUMBER(tblLoops[[#This Row],[Cards required]]),tblLoops[[#This Row],[Cards required]]*tblLoops[[#This Row],[Container qty (units)]],""))</f>
        <v>192</v>
      </c>
      <c r="P11" s="38">
        <f>IF(tblLoops[[#This Row],[Part]]="","",IF(AND(ISNUMBER(tblLoops[[#This Row],[Kanban qty (units)]]),tblLoops[[#This Row],[Daily demand (units/day)]]&gt;0),tblLoops[[#This Row],[Kanban qty (units)]]/tblLoops[[#This Row],[Daily demand (units/day)]],""))</f>
        <v>2.4</v>
      </c>
      <c r="Q11" s="40">
        <f>IF(tblLoops[[#This Row],[Part]]="","",IF(ISNUMBER(tblLoops[[#This Row],[Cards required]]),tblLoops[[#This Row],[Cards required]]-tblLoops[[#This Row],[Cards in loop now]],""))</f>
        <v>0</v>
      </c>
      <c r="R11" s="41" t="str">
        <f>IF(tblLoops[[#This Row],[Part]]="","",IF(NOT(ISNUMBER(tblLoops[[#This Row],[Card change]])),"",IF(tblLoops[[#This Row],[Card change]]=0,"On target",IF(tblLoops[[#This Row],[Card change]]&gt;0,"Below target","Above target"))))</f>
        <v>On target</v>
      </c>
      <c r="S11" s="39">
        <f>IF(tblLoops[[#This Row],[Part]]="","",tblLoops[[#This Row],[Cards in loop now]]*tblLoops[[#This Row],[Container qty (units)]]*tblLoops[[#This Row],[Unit cost]])</f>
        <v>5280</v>
      </c>
      <c r="T11" s="39">
        <f>IF(tblLoops[[#This Row],[Part]]="","",IF(ISNUMBER(tblLoops[[#This Row],[Kanban qty (units)]]),tblLoops[[#This Row],[Kanban qty (units)]]*tblLoops[[#This Row],[Unit cost]],""))</f>
        <v>5280</v>
      </c>
      <c r="U11" s="39">
        <f>IF(tblLoops[[#This Row],[Part]]="","",IF(ISNUMBER(tblLoops[[#This Row],[Card change]]),tblLoops[[#This Row],[Card change]]*tblLoops[[#This Row],[Container qty (units)]]*tblLoops[[#This Row],[Unit cost]],""))</f>
        <v>0</v>
      </c>
      <c r="V11"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1" s="28" t="s">
        <v>110</v>
      </c>
    </row>
    <row r="12" spans="1:23">
      <c r="B12" s="28" t="s">
        <v>120</v>
      </c>
      <c r="C12" s="28" t="s">
        <v>121</v>
      </c>
      <c r="D12" s="28" t="s">
        <v>81</v>
      </c>
      <c r="E12" s="28" t="s">
        <v>74</v>
      </c>
      <c r="F12" s="34">
        <v>45</v>
      </c>
      <c r="G12" s="35">
        <v>2</v>
      </c>
      <c r="H12" s="36">
        <v>0.2</v>
      </c>
      <c r="I12" s="37">
        <v>10</v>
      </c>
      <c r="J12" s="35">
        <v>19.8</v>
      </c>
      <c r="K12" s="37">
        <v>11</v>
      </c>
      <c r="L12" s="38">
        <f>IF(tblLoops[[#This Row],[Part]]="","",tblLoops[[#This Row],[Daily demand (units/day)]]*tblLoops[[#This Row],[Lead time (days)]])</f>
        <v>90</v>
      </c>
      <c r="M12" s="38">
        <f>IF(tblLoops[[#This Row],[Part]]="","",tblLoops[[#This Row],[Lead-time demand (units)]]*tblLoops[[#This Row],[Safety allowance]])</f>
        <v>18</v>
      </c>
      <c r="N12" s="39">
        <f>IF(tblLoops[[#This Row],[Part]]="","",IF(tblLoops[[#This Row],[Container qty (units)]]&gt;0,ROUNDUP(ROUND((tblLoops[[#This Row],[Lead-time demand (units)]]+tblLoops[[#This Row],[Safety stock (units)]])/tblLoops[[#This Row],[Container qty (units)]],9),0),""))</f>
        <v>11</v>
      </c>
      <c r="O12" s="39">
        <f>IF(tblLoops[[#This Row],[Part]]="","",IF(ISNUMBER(tblLoops[[#This Row],[Cards required]]),tblLoops[[#This Row],[Cards required]]*tblLoops[[#This Row],[Container qty (units)]],""))</f>
        <v>110</v>
      </c>
      <c r="P12" s="38">
        <f>IF(tblLoops[[#This Row],[Part]]="","",IF(AND(ISNUMBER(tblLoops[[#This Row],[Kanban qty (units)]]),tblLoops[[#This Row],[Daily demand (units/day)]]&gt;0),tblLoops[[#This Row],[Kanban qty (units)]]/tblLoops[[#This Row],[Daily demand (units/day)]],""))</f>
        <v>2.44444444444444</v>
      </c>
      <c r="Q12" s="40">
        <f>IF(tblLoops[[#This Row],[Part]]="","",IF(ISNUMBER(tblLoops[[#This Row],[Cards required]]),tblLoops[[#This Row],[Cards required]]-tblLoops[[#This Row],[Cards in loop now]],""))</f>
        <v>0</v>
      </c>
      <c r="R12" s="41" t="str">
        <f>IF(tblLoops[[#This Row],[Part]]="","",IF(NOT(ISNUMBER(tblLoops[[#This Row],[Card change]])),"",IF(tblLoops[[#This Row],[Card change]]=0,"On target",IF(tblLoops[[#This Row],[Card change]]&gt;0,"Below target","Above target"))))</f>
        <v>On target</v>
      </c>
      <c r="S12" s="39">
        <f>IF(tblLoops[[#This Row],[Part]]="","",tblLoops[[#This Row],[Cards in loop now]]*tblLoops[[#This Row],[Container qty (units)]]*tblLoops[[#This Row],[Unit cost]])</f>
        <v>2178</v>
      </c>
      <c r="T12" s="39">
        <f>IF(tblLoops[[#This Row],[Part]]="","",IF(ISNUMBER(tblLoops[[#This Row],[Kanban qty (units)]]),tblLoops[[#This Row],[Kanban qty (units)]]*tblLoops[[#This Row],[Unit cost]],""))</f>
        <v>2178</v>
      </c>
      <c r="U12" s="39">
        <f>IF(tblLoops[[#This Row],[Part]]="","",IF(ISNUMBER(tblLoops[[#This Row],[Card change]]),tblLoops[[#This Row],[Card change]]*tblLoops[[#This Row],[Container qty (units)]]*tblLoops[[#This Row],[Unit cost]],""))</f>
        <v>0</v>
      </c>
      <c r="V12"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2" s="28" t="s">
        <v>110</v>
      </c>
    </row>
    <row r="13" spans="1:23">
      <c r="B13" s="28" t="s">
        <v>122</v>
      </c>
      <c r="C13" s="28" t="s">
        <v>123</v>
      </c>
      <c r="D13" s="28" t="s">
        <v>81</v>
      </c>
      <c r="E13" s="28" t="s">
        <v>75</v>
      </c>
      <c r="F13" s="34">
        <v>80</v>
      </c>
      <c r="G13" s="35">
        <v>1.5</v>
      </c>
      <c r="H13" s="36">
        <v>0.15</v>
      </c>
      <c r="I13" s="37">
        <v>12</v>
      </c>
      <c r="J13" s="35">
        <v>64</v>
      </c>
      <c r="K13" s="37">
        <v>10</v>
      </c>
      <c r="L13" s="38">
        <f>IF(tblLoops[[#This Row],[Part]]="","",tblLoops[[#This Row],[Daily demand (units/day)]]*tblLoops[[#This Row],[Lead time (days)]])</f>
        <v>120</v>
      </c>
      <c r="M13" s="38">
        <f>IF(tblLoops[[#This Row],[Part]]="","",tblLoops[[#This Row],[Lead-time demand (units)]]*tblLoops[[#This Row],[Safety allowance]])</f>
        <v>18</v>
      </c>
      <c r="N13" s="39">
        <f>IF(tblLoops[[#This Row],[Part]]="","",IF(tblLoops[[#This Row],[Container qty (units)]]&gt;0,ROUNDUP(ROUND((tblLoops[[#This Row],[Lead-time demand (units)]]+tblLoops[[#This Row],[Safety stock (units)]])/tblLoops[[#This Row],[Container qty (units)]],9),0),""))</f>
        <v>12</v>
      </c>
      <c r="O13" s="39">
        <f>IF(tblLoops[[#This Row],[Part]]="","",IF(ISNUMBER(tblLoops[[#This Row],[Cards required]]),tblLoops[[#This Row],[Cards required]]*tblLoops[[#This Row],[Container qty (units)]],""))</f>
        <v>144</v>
      </c>
      <c r="P13" s="38">
        <f>IF(tblLoops[[#This Row],[Part]]="","",IF(AND(ISNUMBER(tblLoops[[#This Row],[Kanban qty (units)]]),tblLoops[[#This Row],[Daily demand (units/day)]]&gt;0),tblLoops[[#This Row],[Kanban qty (units)]]/tblLoops[[#This Row],[Daily demand (units/day)]],""))</f>
        <v>1.8</v>
      </c>
      <c r="Q13" s="40">
        <f>IF(tblLoops[[#This Row],[Part]]="","",IF(ISNUMBER(tblLoops[[#This Row],[Cards required]]),tblLoops[[#This Row],[Cards required]]-tblLoops[[#This Row],[Cards in loop now]],""))</f>
        <v>2</v>
      </c>
      <c r="R13" s="41" t="str">
        <f>IF(tblLoops[[#This Row],[Part]]="","",IF(NOT(ISNUMBER(tblLoops[[#This Row],[Card change]])),"",IF(tblLoops[[#This Row],[Card change]]=0,"On target",IF(tblLoops[[#This Row],[Card change]]&gt;0,"Below target","Above target"))))</f>
        <v>Below target</v>
      </c>
      <c r="S13" s="39">
        <f>IF(tblLoops[[#This Row],[Part]]="","",tblLoops[[#This Row],[Cards in loop now]]*tblLoops[[#This Row],[Container qty (units)]]*tblLoops[[#This Row],[Unit cost]])</f>
        <v>7680</v>
      </c>
      <c r="T13" s="39">
        <f>IF(tblLoops[[#This Row],[Part]]="","",IF(ISNUMBER(tblLoops[[#This Row],[Kanban qty (units)]]),tblLoops[[#This Row],[Kanban qty (units)]]*tblLoops[[#This Row],[Unit cost]],""))</f>
        <v>9216</v>
      </c>
      <c r="U13" s="39">
        <f>IF(tblLoops[[#This Row],[Part]]="","",IF(ISNUMBER(tblLoops[[#This Row],[Card change]]),tblLoops[[#This Row],[Card change]]*tblLoops[[#This Row],[Container qty (units)]]*tblLoops[[#This Row],[Unit cost]],""))</f>
        <v>1536</v>
      </c>
      <c r="V13"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3" s="28" t="s">
        <v>110</v>
      </c>
    </row>
    <row r="14" spans="1:23">
      <c r="B14" s="28" t="s">
        <v>124</v>
      </c>
      <c r="C14" s="28" t="s">
        <v>125</v>
      </c>
      <c r="D14" s="28" t="s">
        <v>81</v>
      </c>
      <c r="E14" s="28" t="s">
        <v>75</v>
      </c>
      <c r="F14" s="34">
        <v>24</v>
      </c>
      <c r="G14" s="35">
        <v>1.5</v>
      </c>
      <c r="H14" s="36">
        <v>0.15</v>
      </c>
      <c r="I14" s="37">
        <v>6</v>
      </c>
      <c r="J14" s="35">
        <v>118</v>
      </c>
      <c r="K14" s="37">
        <v>9</v>
      </c>
      <c r="L14" s="38">
        <f>IF(tblLoops[[#This Row],[Part]]="","",tblLoops[[#This Row],[Daily demand (units/day)]]*tblLoops[[#This Row],[Lead time (days)]])</f>
        <v>36</v>
      </c>
      <c r="M14" s="38">
        <f>IF(tblLoops[[#This Row],[Part]]="","",tblLoops[[#This Row],[Lead-time demand (units)]]*tblLoops[[#This Row],[Safety allowance]])</f>
        <v>5.4</v>
      </c>
      <c r="N14" s="39">
        <f>IF(tblLoops[[#This Row],[Part]]="","",IF(tblLoops[[#This Row],[Container qty (units)]]&gt;0,ROUNDUP(ROUND((tblLoops[[#This Row],[Lead-time demand (units)]]+tblLoops[[#This Row],[Safety stock (units)]])/tblLoops[[#This Row],[Container qty (units)]],9),0),""))</f>
        <v>7</v>
      </c>
      <c r="O14" s="39">
        <f>IF(tblLoops[[#This Row],[Part]]="","",IF(ISNUMBER(tblLoops[[#This Row],[Cards required]]),tblLoops[[#This Row],[Cards required]]*tblLoops[[#This Row],[Container qty (units)]],""))</f>
        <v>42</v>
      </c>
      <c r="P14" s="38">
        <f>IF(tblLoops[[#This Row],[Part]]="","",IF(AND(ISNUMBER(tblLoops[[#This Row],[Kanban qty (units)]]),tblLoops[[#This Row],[Daily demand (units/day)]]&gt;0),tblLoops[[#This Row],[Kanban qty (units)]]/tblLoops[[#This Row],[Daily demand (units/day)]],""))</f>
        <v>1.75</v>
      </c>
      <c r="Q14" s="40">
        <f>IF(tblLoops[[#This Row],[Part]]="","",IF(ISNUMBER(tblLoops[[#This Row],[Cards required]]),tblLoops[[#This Row],[Cards required]]-tblLoops[[#This Row],[Cards in loop now]],""))</f>
        <v>-2</v>
      </c>
      <c r="R14" s="41" t="str">
        <f>IF(tblLoops[[#This Row],[Part]]="","",IF(NOT(ISNUMBER(tblLoops[[#This Row],[Card change]])),"",IF(tblLoops[[#This Row],[Card change]]=0,"On target",IF(tblLoops[[#This Row],[Card change]]&gt;0,"Below target","Above target"))))</f>
        <v>Above target</v>
      </c>
      <c r="S14" s="39">
        <f>IF(tblLoops[[#This Row],[Part]]="","",tblLoops[[#This Row],[Cards in loop now]]*tblLoops[[#This Row],[Container qty (units)]]*tblLoops[[#This Row],[Unit cost]])</f>
        <v>6372</v>
      </c>
      <c r="T14" s="39">
        <f>IF(tblLoops[[#This Row],[Part]]="","",IF(ISNUMBER(tblLoops[[#This Row],[Kanban qty (units)]]),tblLoops[[#This Row],[Kanban qty (units)]]*tblLoops[[#This Row],[Unit cost]],""))</f>
        <v>4956</v>
      </c>
      <c r="U14" s="39">
        <f>IF(tblLoops[[#This Row],[Part]]="","",IF(ISNUMBER(tblLoops[[#This Row],[Card change]]),tblLoops[[#This Row],[Card change]]*tblLoops[[#This Row],[Container qty (units)]]*tblLoops[[#This Row],[Unit cost]],""))</f>
        <v>-1416</v>
      </c>
      <c r="V14"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4" s="28" t="s">
        <v>110</v>
      </c>
    </row>
    <row r="15" spans="1:23">
      <c r="B15" s="28" t="s">
        <v>126</v>
      </c>
      <c r="C15" s="28" t="s">
        <v>127</v>
      </c>
      <c r="D15" s="28" t="s">
        <v>77</v>
      </c>
      <c r="E15" s="28" t="s">
        <v>76</v>
      </c>
      <c r="F15" s="34">
        <v>80</v>
      </c>
      <c r="G15" s="35">
        <v>5</v>
      </c>
      <c r="H15" s="36">
        <v>0.25</v>
      </c>
      <c r="I15" s="37">
        <v>100</v>
      </c>
      <c r="J15" s="35">
        <v>6.8</v>
      </c>
      <c r="K15" s="37">
        <v>5</v>
      </c>
      <c r="L15" s="38">
        <f>IF(tblLoops[[#This Row],[Part]]="","",tblLoops[[#This Row],[Daily demand (units/day)]]*tblLoops[[#This Row],[Lead time (days)]])</f>
        <v>400</v>
      </c>
      <c r="M15" s="38">
        <f>IF(tblLoops[[#This Row],[Part]]="","",tblLoops[[#This Row],[Lead-time demand (units)]]*tblLoops[[#This Row],[Safety allowance]])</f>
        <v>100</v>
      </c>
      <c r="N15" s="39">
        <f>IF(tblLoops[[#This Row],[Part]]="","",IF(tblLoops[[#This Row],[Container qty (units)]]&gt;0,ROUNDUP(ROUND((tblLoops[[#This Row],[Lead-time demand (units)]]+tblLoops[[#This Row],[Safety stock (units)]])/tblLoops[[#This Row],[Container qty (units)]],9),0),""))</f>
        <v>5</v>
      </c>
      <c r="O15" s="39">
        <f>IF(tblLoops[[#This Row],[Part]]="","",IF(ISNUMBER(tblLoops[[#This Row],[Cards required]]),tblLoops[[#This Row],[Cards required]]*tblLoops[[#This Row],[Container qty (units)]],""))</f>
        <v>500</v>
      </c>
      <c r="P15" s="38">
        <f>IF(tblLoops[[#This Row],[Part]]="","",IF(AND(ISNUMBER(tblLoops[[#This Row],[Kanban qty (units)]]),tblLoops[[#This Row],[Daily demand (units/day)]]&gt;0),tblLoops[[#This Row],[Kanban qty (units)]]/tblLoops[[#This Row],[Daily demand (units/day)]],""))</f>
        <v>6.25</v>
      </c>
      <c r="Q15" s="40">
        <f>IF(tblLoops[[#This Row],[Part]]="","",IF(ISNUMBER(tblLoops[[#This Row],[Cards required]]),tblLoops[[#This Row],[Cards required]]-tblLoops[[#This Row],[Cards in loop now]],""))</f>
        <v>0</v>
      </c>
      <c r="R15" s="41" t="str">
        <f>IF(tblLoops[[#This Row],[Part]]="","",IF(NOT(ISNUMBER(tblLoops[[#This Row],[Card change]])),"",IF(tblLoops[[#This Row],[Card change]]=0,"On target",IF(tblLoops[[#This Row],[Card change]]&gt;0,"Below target","Above target"))))</f>
        <v>On target</v>
      </c>
      <c r="S15" s="39">
        <f>IF(tblLoops[[#This Row],[Part]]="","",tblLoops[[#This Row],[Cards in loop now]]*tblLoops[[#This Row],[Container qty (units)]]*tblLoops[[#This Row],[Unit cost]])</f>
        <v>3400</v>
      </c>
      <c r="T15" s="39">
        <f>IF(tblLoops[[#This Row],[Part]]="","",IF(ISNUMBER(tblLoops[[#This Row],[Kanban qty (units)]]),tblLoops[[#This Row],[Kanban qty (units)]]*tblLoops[[#This Row],[Unit cost]],""))</f>
        <v>3400</v>
      </c>
      <c r="U15" s="39">
        <f>IF(tblLoops[[#This Row],[Part]]="","",IF(ISNUMBER(tblLoops[[#This Row],[Card change]]),tblLoops[[#This Row],[Card change]]*tblLoops[[#This Row],[Container qty (units)]]*tblLoops[[#This Row],[Unit cost]],""))</f>
        <v>0</v>
      </c>
      <c r="V15"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5" s="28" t="s">
        <v>110</v>
      </c>
    </row>
    <row r="16" spans="1:23">
      <c r="B16" s="28" t="s">
        <v>128</v>
      </c>
      <c r="C16" s="28" t="s">
        <v>129</v>
      </c>
      <c r="D16" s="28" t="s">
        <v>77</v>
      </c>
      <c r="E16" s="28" t="s">
        <v>76</v>
      </c>
      <c r="F16" s="34">
        <v>24</v>
      </c>
      <c r="G16" s="35">
        <v>5</v>
      </c>
      <c r="H16" s="36">
        <v>0.25</v>
      </c>
      <c r="I16" s="37">
        <v>50</v>
      </c>
      <c r="J16" s="35">
        <v>11.4</v>
      </c>
      <c r="K16" s="37">
        <v>5</v>
      </c>
      <c r="L16" s="38">
        <f>IF(tblLoops[[#This Row],[Part]]="","",tblLoops[[#This Row],[Daily demand (units/day)]]*tblLoops[[#This Row],[Lead time (days)]])</f>
        <v>120</v>
      </c>
      <c r="M16" s="38">
        <f>IF(tblLoops[[#This Row],[Part]]="","",tblLoops[[#This Row],[Lead-time demand (units)]]*tblLoops[[#This Row],[Safety allowance]])</f>
        <v>30</v>
      </c>
      <c r="N16" s="39">
        <f>IF(tblLoops[[#This Row],[Part]]="","",IF(tblLoops[[#This Row],[Container qty (units)]]&gt;0,ROUNDUP(ROUND((tblLoops[[#This Row],[Lead-time demand (units)]]+tblLoops[[#This Row],[Safety stock (units)]])/tblLoops[[#This Row],[Container qty (units)]],9),0),""))</f>
        <v>3</v>
      </c>
      <c r="O16" s="39">
        <f>IF(tblLoops[[#This Row],[Part]]="","",IF(ISNUMBER(tblLoops[[#This Row],[Cards required]]),tblLoops[[#This Row],[Cards required]]*tblLoops[[#This Row],[Container qty (units)]],""))</f>
        <v>150</v>
      </c>
      <c r="P16" s="38">
        <f>IF(tblLoops[[#This Row],[Part]]="","",IF(AND(ISNUMBER(tblLoops[[#This Row],[Kanban qty (units)]]),tblLoops[[#This Row],[Daily demand (units/day)]]&gt;0),tblLoops[[#This Row],[Kanban qty (units)]]/tblLoops[[#This Row],[Daily demand (units/day)]],""))</f>
        <v>6.25</v>
      </c>
      <c r="Q16" s="40">
        <f>IF(tblLoops[[#This Row],[Part]]="","",IF(ISNUMBER(tblLoops[[#This Row],[Cards required]]),tblLoops[[#This Row],[Cards required]]-tblLoops[[#This Row],[Cards in loop now]],""))</f>
        <v>-2</v>
      </c>
      <c r="R16" s="41" t="str">
        <f>IF(tblLoops[[#This Row],[Part]]="","",IF(NOT(ISNUMBER(tblLoops[[#This Row],[Card change]])),"",IF(tblLoops[[#This Row],[Card change]]=0,"On target",IF(tblLoops[[#This Row],[Card change]]&gt;0,"Below target","Above target"))))</f>
        <v>Above target</v>
      </c>
      <c r="S16" s="39">
        <f>IF(tblLoops[[#This Row],[Part]]="","",tblLoops[[#This Row],[Cards in loop now]]*tblLoops[[#This Row],[Container qty (units)]]*tblLoops[[#This Row],[Unit cost]])</f>
        <v>2850</v>
      </c>
      <c r="T16" s="39">
        <f>IF(tblLoops[[#This Row],[Part]]="","",IF(ISNUMBER(tblLoops[[#This Row],[Kanban qty (units)]]),tblLoops[[#This Row],[Kanban qty (units)]]*tblLoops[[#This Row],[Unit cost]],""))</f>
        <v>1710</v>
      </c>
      <c r="U16" s="39">
        <f>IF(tblLoops[[#This Row],[Part]]="","",IF(ISNUMBER(tblLoops[[#This Row],[Card change]]),tblLoops[[#This Row],[Card change]]*tblLoops[[#This Row],[Container qty (units)]]*tblLoops[[#This Row],[Unit cost]],""))</f>
        <v>-1140</v>
      </c>
      <c r="V16"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6" s="28" t="s">
        <v>110</v>
      </c>
    </row>
    <row r="17" spans="2:23">
      <c r="B17" s="28" t="s">
        <v>130</v>
      </c>
      <c r="C17" s="28" t="s">
        <v>131</v>
      </c>
      <c r="D17" s="28" t="s">
        <v>77</v>
      </c>
      <c r="E17" s="28" t="s">
        <v>76</v>
      </c>
      <c r="F17" s="34">
        <v>104</v>
      </c>
      <c r="G17" s="35">
        <v>5</v>
      </c>
      <c r="H17" s="36">
        <v>0.25</v>
      </c>
      <c r="I17" s="37">
        <v>200</v>
      </c>
      <c r="J17" s="35">
        <v>1.95</v>
      </c>
      <c r="K17" s="37">
        <v>4</v>
      </c>
      <c r="L17" s="38">
        <f>IF(tblLoops[[#This Row],[Part]]="","",tblLoops[[#This Row],[Daily demand (units/day)]]*tblLoops[[#This Row],[Lead time (days)]])</f>
        <v>520</v>
      </c>
      <c r="M17" s="38">
        <f>IF(tblLoops[[#This Row],[Part]]="","",tblLoops[[#This Row],[Lead-time demand (units)]]*tblLoops[[#This Row],[Safety allowance]])</f>
        <v>130</v>
      </c>
      <c r="N17" s="39">
        <f>IF(tblLoops[[#This Row],[Part]]="","",IF(tblLoops[[#This Row],[Container qty (units)]]&gt;0,ROUNDUP(ROUND((tblLoops[[#This Row],[Lead-time demand (units)]]+tblLoops[[#This Row],[Safety stock (units)]])/tblLoops[[#This Row],[Container qty (units)]],9),0),""))</f>
        <v>4</v>
      </c>
      <c r="O17" s="39">
        <f>IF(tblLoops[[#This Row],[Part]]="","",IF(ISNUMBER(tblLoops[[#This Row],[Cards required]]),tblLoops[[#This Row],[Cards required]]*tblLoops[[#This Row],[Container qty (units)]],""))</f>
        <v>800</v>
      </c>
      <c r="P17" s="38">
        <f>IF(tblLoops[[#This Row],[Part]]="","",IF(AND(ISNUMBER(tblLoops[[#This Row],[Kanban qty (units)]]),tblLoops[[#This Row],[Daily demand (units/day)]]&gt;0),tblLoops[[#This Row],[Kanban qty (units)]]/tblLoops[[#This Row],[Daily demand (units/day)]],""))</f>
        <v>7.69230769230769</v>
      </c>
      <c r="Q17" s="40">
        <f>IF(tblLoops[[#This Row],[Part]]="","",IF(ISNUMBER(tblLoops[[#This Row],[Cards required]]),tblLoops[[#This Row],[Cards required]]-tblLoops[[#This Row],[Cards in loop now]],""))</f>
        <v>0</v>
      </c>
      <c r="R17" s="41" t="str">
        <f>IF(tblLoops[[#This Row],[Part]]="","",IF(NOT(ISNUMBER(tblLoops[[#This Row],[Card change]])),"",IF(tblLoops[[#This Row],[Card change]]=0,"On target",IF(tblLoops[[#This Row],[Card change]]&gt;0,"Below target","Above target"))))</f>
        <v>On target</v>
      </c>
      <c r="S17" s="39">
        <f>IF(tblLoops[[#This Row],[Part]]="","",tblLoops[[#This Row],[Cards in loop now]]*tblLoops[[#This Row],[Container qty (units)]]*tblLoops[[#This Row],[Unit cost]])</f>
        <v>1560</v>
      </c>
      <c r="T17" s="39">
        <f>IF(tblLoops[[#This Row],[Part]]="","",IF(ISNUMBER(tblLoops[[#This Row],[Kanban qty (units)]]),tblLoops[[#This Row],[Kanban qty (units)]]*tblLoops[[#This Row],[Unit cost]],""))</f>
        <v>1560</v>
      </c>
      <c r="U17" s="39">
        <f>IF(tblLoops[[#This Row],[Part]]="","",IF(ISNUMBER(tblLoops[[#This Row],[Card change]]),tblLoops[[#This Row],[Card change]]*tblLoops[[#This Row],[Container qty (units)]]*tblLoops[[#This Row],[Unit cost]],""))</f>
        <v>0</v>
      </c>
      <c r="V17"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7" s="28" t="s">
        <v>110</v>
      </c>
    </row>
    <row r="18" spans="2:23">
      <c r="B18" s="28" t="s">
        <v>132</v>
      </c>
      <c r="C18" s="28" t="s">
        <v>133</v>
      </c>
      <c r="D18" s="28" t="s">
        <v>77</v>
      </c>
      <c r="E18" s="28" t="s">
        <v>78</v>
      </c>
      <c r="F18" s="34">
        <v>56</v>
      </c>
      <c r="G18" s="35">
        <v>8</v>
      </c>
      <c r="H18" s="36">
        <v>0.3</v>
      </c>
      <c r="I18" s="37">
        <v>40</v>
      </c>
      <c r="J18" s="35">
        <v>24.3</v>
      </c>
      <c r="K18" s="37">
        <v>22</v>
      </c>
      <c r="L18" s="38">
        <f>IF(tblLoops[[#This Row],[Part]]="","",tblLoops[[#This Row],[Daily demand (units/day)]]*tblLoops[[#This Row],[Lead time (days)]])</f>
        <v>448</v>
      </c>
      <c r="M18" s="38">
        <f>IF(tblLoops[[#This Row],[Part]]="","",tblLoops[[#This Row],[Lead-time demand (units)]]*tblLoops[[#This Row],[Safety allowance]])</f>
        <v>134.4</v>
      </c>
      <c r="N18" s="39">
        <f>IF(tblLoops[[#This Row],[Part]]="","",IF(tblLoops[[#This Row],[Container qty (units)]]&gt;0,ROUNDUP(ROUND((tblLoops[[#This Row],[Lead-time demand (units)]]+tblLoops[[#This Row],[Safety stock (units)]])/tblLoops[[#This Row],[Container qty (units)]],9),0),""))</f>
        <v>15</v>
      </c>
      <c r="O18" s="39">
        <f>IF(tblLoops[[#This Row],[Part]]="","",IF(ISNUMBER(tblLoops[[#This Row],[Cards required]]),tblLoops[[#This Row],[Cards required]]*tblLoops[[#This Row],[Container qty (units)]],""))</f>
        <v>600</v>
      </c>
      <c r="P18" s="38">
        <f>IF(tblLoops[[#This Row],[Part]]="","",IF(AND(ISNUMBER(tblLoops[[#This Row],[Kanban qty (units)]]),tblLoops[[#This Row],[Daily demand (units/day)]]&gt;0),tblLoops[[#This Row],[Kanban qty (units)]]/tblLoops[[#This Row],[Daily demand (units/day)]],""))</f>
        <v>10.7142857142857</v>
      </c>
      <c r="Q18" s="40">
        <f>IF(tblLoops[[#This Row],[Part]]="","",IF(ISNUMBER(tblLoops[[#This Row],[Cards required]]),tblLoops[[#This Row],[Cards required]]-tblLoops[[#This Row],[Cards in loop now]],""))</f>
        <v>-7</v>
      </c>
      <c r="R18" s="41" t="str">
        <f>IF(tblLoops[[#This Row],[Part]]="","",IF(NOT(ISNUMBER(tblLoops[[#This Row],[Card change]])),"",IF(tblLoops[[#This Row],[Card change]]=0,"On target",IF(tblLoops[[#This Row],[Card change]]&gt;0,"Below target","Above target"))))</f>
        <v>Above target</v>
      </c>
      <c r="S18" s="39">
        <f>IF(tblLoops[[#This Row],[Part]]="","",tblLoops[[#This Row],[Cards in loop now]]*tblLoops[[#This Row],[Container qty (units)]]*tblLoops[[#This Row],[Unit cost]])</f>
        <v>21384</v>
      </c>
      <c r="T18" s="39">
        <f>IF(tblLoops[[#This Row],[Part]]="","",IF(ISNUMBER(tblLoops[[#This Row],[Kanban qty (units)]]),tblLoops[[#This Row],[Kanban qty (units)]]*tblLoops[[#This Row],[Unit cost]],""))</f>
        <v>14580</v>
      </c>
      <c r="U18" s="39">
        <f>IF(tblLoops[[#This Row],[Part]]="","",IF(ISNUMBER(tblLoops[[#This Row],[Card change]]),tblLoops[[#This Row],[Card change]]*tblLoops[[#This Row],[Container qty (units)]]*tblLoops[[#This Row],[Unit cost]],""))</f>
        <v>-6804</v>
      </c>
      <c r="V18"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8" s="28" t="s">
        <v>134</v>
      </c>
    </row>
    <row r="19" spans="2:23">
      <c r="B19" s="28" t="s">
        <v>135</v>
      </c>
      <c r="C19" s="28" t="s">
        <v>136</v>
      </c>
      <c r="D19" s="28" t="s">
        <v>77</v>
      </c>
      <c r="E19" s="28" t="s">
        <v>78</v>
      </c>
      <c r="F19" s="34">
        <v>17</v>
      </c>
      <c r="G19" s="35">
        <v>8</v>
      </c>
      <c r="H19" s="36">
        <v>0.3</v>
      </c>
      <c r="I19" s="37">
        <v>20</v>
      </c>
      <c r="J19" s="35">
        <v>41.7</v>
      </c>
      <c r="K19" s="37">
        <v>9</v>
      </c>
      <c r="L19" s="38">
        <f>IF(tblLoops[[#This Row],[Part]]="","",tblLoops[[#This Row],[Daily demand (units/day)]]*tblLoops[[#This Row],[Lead time (days)]])</f>
        <v>136</v>
      </c>
      <c r="M19" s="38">
        <f>IF(tblLoops[[#This Row],[Part]]="","",tblLoops[[#This Row],[Lead-time demand (units)]]*tblLoops[[#This Row],[Safety allowance]])</f>
        <v>40.8</v>
      </c>
      <c r="N19" s="39">
        <f>IF(tblLoops[[#This Row],[Part]]="","",IF(tblLoops[[#This Row],[Container qty (units)]]&gt;0,ROUNDUP(ROUND((tblLoops[[#This Row],[Lead-time demand (units)]]+tblLoops[[#This Row],[Safety stock (units)]])/tblLoops[[#This Row],[Container qty (units)]],9),0),""))</f>
        <v>9</v>
      </c>
      <c r="O19" s="39">
        <f>IF(tblLoops[[#This Row],[Part]]="","",IF(ISNUMBER(tblLoops[[#This Row],[Cards required]]),tblLoops[[#This Row],[Cards required]]*tblLoops[[#This Row],[Container qty (units)]],""))</f>
        <v>180</v>
      </c>
      <c r="P19" s="38">
        <f>IF(tblLoops[[#This Row],[Part]]="","",IF(AND(ISNUMBER(tblLoops[[#This Row],[Kanban qty (units)]]),tblLoops[[#This Row],[Daily demand (units/day)]]&gt;0),tblLoops[[#This Row],[Kanban qty (units)]]/tblLoops[[#This Row],[Daily demand (units/day)]],""))</f>
        <v>10.5882352941176</v>
      </c>
      <c r="Q19" s="40">
        <f>IF(tblLoops[[#This Row],[Part]]="","",IF(ISNUMBER(tblLoops[[#This Row],[Cards required]]),tblLoops[[#This Row],[Cards required]]-tblLoops[[#This Row],[Cards in loop now]],""))</f>
        <v>0</v>
      </c>
      <c r="R19" s="41" t="str">
        <f>IF(tblLoops[[#This Row],[Part]]="","",IF(NOT(ISNUMBER(tblLoops[[#This Row],[Card change]])),"",IF(tblLoops[[#This Row],[Card change]]=0,"On target",IF(tblLoops[[#This Row],[Card change]]&gt;0,"Below target","Above target"))))</f>
        <v>On target</v>
      </c>
      <c r="S19" s="39">
        <f>IF(tblLoops[[#This Row],[Part]]="","",tblLoops[[#This Row],[Cards in loop now]]*tblLoops[[#This Row],[Container qty (units)]]*tblLoops[[#This Row],[Unit cost]])</f>
        <v>7506</v>
      </c>
      <c r="T19" s="39">
        <f>IF(tblLoops[[#This Row],[Part]]="","",IF(ISNUMBER(tblLoops[[#This Row],[Kanban qty (units)]]),tblLoops[[#This Row],[Kanban qty (units)]]*tblLoops[[#This Row],[Unit cost]],""))</f>
        <v>7506</v>
      </c>
      <c r="U19" s="39">
        <f>IF(tblLoops[[#This Row],[Part]]="","",IF(ISNUMBER(tblLoops[[#This Row],[Card change]]),tblLoops[[#This Row],[Card change]]*tblLoops[[#This Row],[Container qty (units)]]*tblLoops[[#This Row],[Unit cost]],""))</f>
        <v>0</v>
      </c>
      <c r="V19"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19" s="28" t="s">
        <v>110</v>
      </c>
    </row>
    <row r="20" spans="2:23">
      <c r="B20" s="28" t="s">
        <v>137</v>
      </c>
      <c r="C20" s="28" t="s">
        <v>138</v>
      </c>
      <c r="D20" s="28" t="s">
        <v>77</v>
      </c>
      <c r="E20" s="28" t="s">
        <v>79</v>
      </c>
      <c r="F20" s="34">
        <v>80</v>
      </c>
      <c r="G20" s="35">
        <v>6</v>
      </c>
      <c r="H20" s="36">
        <v>0.2</v>
      </c>
      <c r="I20" s="37">
        <v>50</v>
      </c>
      <c r="J20" s="35">
        <v>8.6</v>
      </c>
      <c r="K20" s="37">
        <v>14</v>
      </c>
      <c r="L20" s="38">
        <f>IF(tblLoops[[#This Row],[Part]]="","",tblLoops[[#This Row],[Daily demand (units/day)]]*tblLoops[[#This Row],[Lead time (days)]])</f>
        <v>480</v>
      </c>
      <c r="M20" s="38">
        <f>IF(tblLoops[[#This Row],[Part]]="","",tblLoops[[#This Row],[Lead-time demand (units)]]*tblLoops[[#This Row],[Safety allowance]])</f>
        <v>96</v>
      </c>
      <c r="N20" s="39">
        <f>IF(tblLoops[[#This Row],[Part]]="","",IF(tblLoops[[#This Row],[Container qty (units)]]&gt;0,ROUNDUP(ROUND((tblLoops[[#This Row],[Lead-time demand (units)]]+tblLoops[[#This Row],[Safety stock (units)]])/tblLoops[[#This Row],[Container qty (units)]],9),0),""))</f>
        <v>12</v>
      </c>
      <c r="O20" s="39">
        <f>IF(tblLoops[[#This Row],[Part]]="","",IF(ISNUMBER(tblLoops[[#This Row],[Cards required]]),tblLoops[[#This Row],[Cards required]]*tblLoops[[#This Row],[Container qty (units)]],""))</f>
        <v>600</v>
      </c>
      <c r="P20" s="38">
        <f>IF(tblLoops[[#This Row],[Part]]="","",IF(AND(ISNUMBER(tblLoops[[#This Row],[Kanban qty (units)]]),tblLoops[[#This Row],[Daily demand (units/day)]]&gt;0),tblLoops[[#This Row],[Kanban qty (units)]]/tblLoops[[#This Row],[Daily demand (units/day)]],""))</f>
        <v>7.5</v>
      </c>
      <c r="Q20" s="40">
        <f>IF(tblLoops[[#This Row],[Part]]="","",IF(ISNUMBER(tblLoops[[#This Row],[Cards required]]),tblLoops[[#This Row],[Cards required]]-tblLoops[[#This Row],[Cards in loop now]],""))</f>
        <v>-2</v>
      </c>
      <c r="R20" s="41" t="str">
        <f>IF(tblLoops[[#This Row],[Part]]="","",IF(NOT(ISNUMBER(tblLoops[[#This Row],[Card change]])),"",IF(tblLoops[[#This Row],[Card change]]=0,"On target",IF(tblLoops[[#This Row],[Card change]]&gt;0,"Below target","Above target"))))</f>
        <v>Above target</v>
      </c>
      <c r="S20" s="39">
        <f>IF(tblLoops[[#This Row],[Part]]="","",tblLoops[[#This Row],[Cards in loop now]]*tblLoops[[#This Row],[Container qty (units)]]*tblLoops[[#This Row],[Unit cost]])</f>
        <v>6020</v>
      </c>
      <c r="T20" s="39">
        <f>IF(tblLoops[[#This Row],[Part]]="","",IF(ISNUMBER(tblLoops[[#This Row],[Kanban qty (units)]]),tblLoops[[#This Row],[Kanban qty (units)]]*tblLoops[[#This Row],[Unit cost]],""))</f>
        <v>5160</v>
      </c>
      <c r="U20" s="39">
        <f>IF(tblLoops[[#This Row],[Part]]="","",IF(ISNUMBER(tblLoops[[#This Row],[Card change]]),tblLoops[[#This Row],[Card change]]*tblLoops[[#This Row],[Container qty (units)]]*tblLoops[[#This Row],[Unit cost]],""))</f>
        <v>-860</v>
      </c>
      <c r="V20"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20" s="28" t="s">
        <v>110</v>
      </c>
    </row>
    <row r="21" spans="2:23">
      <c r="B21" s="28" t="s">
        <v>139</v>
      </c>
      <c r="C21" s="28" t="s">
        <v>140</v>
      </c>
      <c r="D21" s="28" t="s">
        <v>77</v>
      </c>
      <c r="E21" s="28" t="s">
        <v>79</v>
      </c>
      <c r="F21" s="34">
        <v>104</v>
      </c>
      <c r="G21" s="35">
        <v>6</v>
      </c>
      <c r="H21" s="36">
        <v>0.2</v>
      </c>
      <c r="I21" s="37">
        <v>100</v>
      </c>
      <c r="J21" s="35">
        <v>2.4</v>
      </c>
      <c r="K21" s="37">
        <v>7</v>
      </c>
      <c r="L21" s="38">
        <f>IF(tblLoops[[#This Row],[Part]]="","",tblLoops[[#This Row],[Daily demand (units/day)]]*tblLoops[[#This Row],[Lead time (days)]])</f>
        <v>624</v>
      </c>
      <c r="M21" s="38">
        <f>IF(tblLoops[[#This Row],[Part]]="","",tblLoops[[#This Row],[Lead-time demand (units)]]*tblLoops[[#This Row],[Safety allowance]])</f>
        <v>124.8</v>
      </c>
      <c r="N21" s="39">
        <f>IF(tblLoops[[#This Row],[Part]]="","",IF(tblLoops[[#This Row],[Container qty (units)]]&gt;0,ROUNDUP(ROUND((tblLoops[[#This Row],[Lead-time demand (units)]]+tblLoops[[#This Row],[Safety stock (units)]])/tblLoops[[#This Row],[Container qty (units)]],9),0),""))</f>
        <v>8</v>
      </c>
      <c r="O21" s="39">
        <f>IF(tblLoops[[#This Row],[Part]]="","",IF(ISNUMBER(tblLoops[[#This Row],[Cards required]]),tblLoops[[#This Row],[Cards required]]*tblLoops[[#This Row],[Container qty (units)]],""))</f>
        <v>800</v>
      </c>
      <c r="P21" s="38">
        <f>IF(tblLoops[[#This Row],[Part]]="","",IF(AND(ISNUMBER(tblLoops[[#This Row],[Kanban qty (units)]]),tblLoops[[#This Row],[Daily demand (units/day)]]&gt;0),tblLoops[[#This Row],[Kanban qty (units)]]/tblLoops[[#This Row],[Daily demand (units/day)]],""))</f>
        <v>7.69230769230769</v>
      </c>
      <c r="Q21" s="40">
        <f>IF(tblLoops[[#This Row],[Part]]="","",IF(ISNUMBER(tblLoops[[#This Row],[Cards required]]),tblLoops[[#This Row],[Cards required]]-tblLoops[[#This Row],[Cards in loop now]],""))</f>
        <v>1</v>
      </c>
      <c r="R21" s="41" t="str">
        <f>IF(tblLoops[[#This Row],[Part]]="","",IF(NOT(ISNUMBER(tblLoops[[#This Row],[Card change]])),"",IF(tblLoops[[#This Row],[Card change]]=0,"On target",IF(tblLoops[[#This Row],[Card change]]&gt;0,"Below target","Above target"))))</f>
        <v>Below target</v>
      </c>
      <c r="S21" s="39">
        <f>IF(tblLoops[[#This Row],[Part]]="","",tblLoops[[#This Row],[Cards in loop now]]*tblLoops[[#This Row],[Container qty (units)]]*tblLoops[[#This Row],[Unit cost]])</f>
        <v>1680</v>
      </c>
      <c r="T21" s="39">
        <f>IF(tblLoops[[#This Row],[Part]]="","",IF(ISNUMBER(tblLoops[[#This Row],[Kanban qty (units)]]),tblLoops[[#This Row],[Kanban qty (units)]]*tblLoops[[#This Row],[Unit cost]],""))</f>
        <v>1920</v>
      </c>
      <c r="U21" s="39">
        <f>IF(tblLoops[[#This Row],[Part]]="","",IF(ISNUMBER(tblLoops[[#This Row],[Card change]]),tblLoops[[#This Row],[Card change]]*tblLoops[[#This Row],[Container qty (units)]]*tblLoops[[#This Row],[Unit cost]],""))</f>
        <v>240</v>
      </c>
      <c r="V21"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21" s="28" t="s">
        <v>110</v>
      </c>
    </row>
    <row r="22" spans="2:23">
      <c r="B22" s="28" t="s">
        <v>141</v>
      </c>
      <c r="C22" s="28" t="s">
        <v>142</v>
      </c>
      <c r="D22" s="28" t="s">
        <v>84</v>
      </c>
      <c r="E22" s="28" t="s">
        <v>76</v>
      </c>
      <c r="F22" s="34">
        <v>80</v>
      </c>
      <c r="G22" s="35">
        <v>0.25</v>
      </c>
      <c r="H22" s="36">
        <v>0.1</v>
      </c>
      <c r="I22" s="37">
        <v>20</v>
      </c>
      <c r="J22" s="35">
        <v>6.8</v>
      </c>
      <c r="K22" s="37">
        <v>2</v>
      </c>
      <c r="L22" s="38">
        <f>IF(tblLoops[[#This Row],[Part]]="","",tblLoops[[#This Row],[Daily demand (units/day)]]*tblLoops[[#This Row],[Lead time (days)]])</f>
        <v>20</v>
      </c>
      <c r="M22" s="38">
        <f>IF(tblLoops[[#This Row],[Part]]="","",tblLoops[[#This Row],[Lead-time demand (units)]]*tblLoops[[#This Row],[Safety allowance]])</f>
        <v>2</v>
      </c>
      <c r="N22" s="39">
        <f>IF(tblLoops[[#This Row],[Part]]="","",IF(tblLoops[[#This Row],[Container qty (units)]]&gt;0,ROUNDUP(ROUND((tblLoops[[#This Row],[Lead-time demand (units)]]+tblLoops[[#This Row],[Safety stock (units)]])/tblLoops[[#This Row],[Container qty (units)]],9),0),""))</f>
        <v>2</v>
      </c>
      <c r="O22" s="39">
        <f>IF(tblLoops[[#This Row],[Part]]="","",IF(ISNUMBER(tblLoops[[#This Row],[Cards required]]),tblLoops[[#This Row],[Cards required]]*tblLoops[[#This Row],[Container qty (units)]],""))</f>
        <v>40</v>
      </c>
      <c r="P22" s="38">
        <f>IF(tblLoops[[#This Row],[Part]]="","",IF(AND(ISNUMBER(tblLoops[[#This Row],[Kanban qty (units)]]),tblLoops[[#This Row],[Daily demand (units/day)]]&gt;0),tblLoops[[#This Row],[Kanban qty (units)]]/tblLoops[[#This Row],[Daily demand (units/day)]],""))</f>
        <v>0.5</v>
      </c>
      <c r="Q22" s="40">
        <f>IF(tblLoops[[#This Row],[Part]]="","",IF(ISNUMBER(tblLoops[[#This Row],[Cards required]]),tblLoops[[#This Row],[Cards required]]-tblLoops[[#This Row],[Cards in loop now]],""))</f>
        <v>0</v>
      </c>
      <c r="R22" s="41" t="str">
        <f>IF(tblLoops[[#This Row],[Part]]="","",IF(NOT(ISNUMBER(tblLoops[[#This Row],[Card change]])),"",IF(tblLoops[[#This Row],[Card change]]=0,"On target",IF(tblLoops[[#This Row],[Card change]]&gt;0,"Below target","Above target"))))</f>
        <v>On target</v>
      </c>
      <c r="S22" s="39">
        <f>IF(tblLoops[[#This Row],[Part]]="","",tblLoops[[#This Row],[Cards in loop now]]*tblLoops[[#This Row],[Container qty (units)]]*tblLoops[[#This Row],[Unit cost]])</f>
        <v>272</v>
      </c>
      <c r="T22" s="39">
        <f>IF(tblLoops[[#This Row],[Part]]="","",IF(ISNUMBER(tblLoops[[#This Row],[Kanban qty (units)]]),tblLoops[[#This Row],[Kanban qty (units)]]*tblLoops[[#This Row],[Unit cost]],""))</f>
        <v>272</v>
      </c>
      <c r="U22" s="39">
        <f>IF(tblLoops[[#This Row],[Part]]="","",IF(ISNUMBER(tblLoops[[#This Row],[Card change]]),tblLoops[[#This Row],[Card change]]*tblLoops[[#This Row],[Container qty (units)]]*tblLoops[[#This Row],[Unit cost]],""))</f>
        <v>0</v>
      </c>
      <c r="V22" s="42" t="str">
        <f>IF(tblLoops[[#This Row],[Part]]="","",IF(tblLoops[[#This Row],[Daily demand (units/day)]]="","Missing daily demand",IF(tblLoops[[#This Row],[Lead time (days)]]="","Missing lead time",IF(tblLoops[[#This Row],[Safety allowance]]="","Missing safety allowance",IF(tblLoops[[#This Row],[Container qty (units)]]="","Missing container qty",IF(tblLoops[[#This Row],[Unit cost]]="","Missing unit cost",IF(tblLoops[[#This Row],[Cards in loop now]]="","Missing cards in loop now",IF(COUNTIF(tblSources[Supplier or process],tblLoops[[#This Row],[Supplier or process]])=0,"Supplier or process not on list",IF(COUNTIF(tblLoopTypes[Loop type],tblLoops[[#This Row],[Loop type]])=0,"Loop type not on list",IF(COUNTIFS(tblLoops[Part],tblLoops[[#This Row],[Part]],tblLoops[Loop type],tblLoops[[#This Row],[Loop type]])&gt;1,"Part and loop listed twice",IF(tblLoops[[#This Row],[Container qty (units)]]&gt;tblLoops[[#This Row],[Lead-time demand (units)]]+tblLoops[[#This Row],[Safety stock (units)]],"Container bigger than loop need","OK")))))))))))</f>
        <v>OK</v>
      </c>
      <c r="W22" s="28" t="s">
        <v>143</v>
      </c>
    </row>
  </sheetData>
  <mergeCells count="3">
    <mergeCell ref="A1:W1"/>
    <mergeCell ref="B2:V2"/>
    <mergeCell ref="B4:W4"/>
  </mergeCells>
  <conditionalFormatting sqref="R7:R52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V7:V522">
    <cfRule type="expression" dxfId="3" priority="21">
      <formula>$V7="OK"</formula>
    </cfRule>
    <cfRule type="expression" dxfId="1" priority="22">
      <formula>AND($V7&lt;&gt;"",$V7&lt;&gt;"OK")</formula>
    </cfRule>
  </conditionalFormatting>
  <dataValidations count="11">
    <dataValidation type="textLength" allowBlank="1" showInputMessage="1" showErrorMessage="1" errorTitle="Check this entry" error="Text up to 40 characters." promptTitle="Part" prompt="Text up to 40 characters." sqref="B7:B522">
      <formula1>0</formula1>
      <formula2>40</formula2>
    </dataValidation>
    <dataValidation type="textLength" allowBlank="1" showInputMessage="1" showErrorMessage="1" errorTitle="Check this entry" error="Text up to 80 characters." promptTitle="Description" prompt="Text up to 80 characters." sqref="C7:C522">
      <formula1>0</formula1>
      <formula2>80</formula2>
    </dataValidation>
    <dataValidation type="list" allowBlank="1" showInputMessage="1" showErrorMessage="1" errorTitle="Check this entry" error="Pick from the list (edit the list on Setup: LoopTypes)." promptTitle="Loop type" prompt="Pick from the list (edit the list on Setup: LoopTypes)." sqref="D7:D522">
      <formula1>LoopTypes</formula1>
    </dataValidation>
    <dataValidation type="list" allowBlank="1" showInputMessage="1" showErrorMessage="1" errorTitle="Check this entry" error="Pick from the list (edit the list on Setup: Sources)." promptTitle="Supplier or process" prompt="Pick from the list (edit the list on Setup: Sources)." sqref="E7:E522">
      <formula1>Sources</formula1>
    </dataValidation>
    <dataValidation type="decimal" allowBlank="1" showInputMessage="1" showErrorMessage="1" errorTitle="Check this entry" error="Enter a number of at least 0.001." promptTitle="Daily demand (units/day)" prompt="Average units used per working day (from the plan or the last few weeks). Enter a number of at least 0.001." sqref="F7:F522">
      <formula1>0.001</formula1>
      <formula2>1000000000.0</formula2>
    </dataValidation>
    <dataValidation type="decimal" allowBlank="1" showInputMessage="1" showErrorMessage="1" errorTitle="Check this entry" error="Enter a number from 0 to 365." promptTitle="Lead time (days)" prompt="Replenishment lead time: card leaves the loop until the full container is back, in working days (include waiting, transport and the card's own travel). Enter a number from 0 to 365." sqref="G7:G522">
      <formula1>0</formula1>
      <formula2>365</formula2>
    </dataValidation>
    <dataValidation type="decimal" allowBlank="1" showInputMessage="1" showErrorMessage="1" errorTitle="Check this entry" error="Enter a percentage from 0% to 100% (type 85% or 0.85)." promptTitle="Safety allowance" prompt="Extra stock as a share of lead-time demand for demand and supply variation. Your judgement per loop. Enter a percentage from 0% to 100% (type 85% or 0.85)." sqref="H7:H522">
      <formula1>0</formula1>
      <formula2>1</formula2>
    </dataValidation>
    <dataValidation type="whole" allowBlank="1" showInputMessage="1" showErrorMessage="1" errorTitle="Check this entry" error="Enter a whole number of at least 1." promptTitle="Container qty (units)" prompt="Units in one container (one card). Enter a whole number of at least 1." sqref="I7:I522">
      <formula1>1</formula1>
      <formula2>1000000000.0</formula2>
    </dataValidation>
    <dataValidation type="decimal" allowBlank="1" showInputMessage="1" showErrorMessage="1" errorTitle="Check this entry" error="Enter a number of at least 0." promptTitle="Unit cost" prompt="Enter a number of at least 0." sqref="J7:J522">
      <formula1>0</formula1>
      <formula2>1000000000.0</formula2>
    </dataValidation>
    <dataValidation type="whole" allowBlank="1" showInputMessage="1" showErrorMessage="1" errorTitle="Check this entry" error="Enter a whole number from 0 to 100,000." promptTitle="Cards in loop now" prompt="Cards circulating in the loop today. Enter a whole number from 0 to 100,000." sqref="K7:K522">
      <formula1>0</formula1>
      <formula2>100000</formula2>
    </dataValidation>
    <dataValidation type="textLength" allowBlank="1" showInputMessage="1" showErrorMessage="1" errorTitle="Check this entry" error="Text up to 255 characters." promptTitle="Notes" prompt="Text up to 255 characters." sqref="W7:W522">
      <formula1>0</formula1>
      <formula2>255</formula2>
    </dataValidation>
  </dataValidations>
  <hyperlinks>
    <hyperlink ref="W2" r:id="rId1" tooltip="Free manufacturing calculators and templates"/>
  </hyperlinks>
  <pageMargins left="0.4" right="0.4" top="0.7" bottom="0.65" header="0.3" footer="0.3"/>
  <pageSetup fitToHeight="0" orientation="landscape"/>
  <headerFooter>
    <oddHeader>&amp;L&amp;8MFG Calcs - Kanban Sizing&amp;R&amp;8&amp;A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1"/>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3" t="str">
        <f>"Sizing "&amp;COUNTA(tblLoops[Part])&amp;" loops for "&amp;CompanyName&amp;". Cards required = (lead-time demand + safety stock) / container quantity, rounded up."</f>
        <v>Sizing 16 loops for Aurora Hydraulics (example). Cards required = (lead-time demand + safety stock) / container quantity, rounded up.</v>
      </c>
      <c r="C4" s="43"/>
      <c r="D4" s="43"/>
      <c r="E4" s="43"/>
      <c r="F4" s="43"/>
      <c r="G4" s="43"/>
      <c r="H4" s="43"/>
      <c r="I4" s="43"/>
      <c r="J4" s="43"/>
      <c r="K4" s="43"/>
      <c r="L4" s="43"/>
    </row>
    <row r="6" spans="1:12" ht="18" customHeight="1">
      <c r="B6" s="44" t="s">
        <v>144</v>
      </c>
      <c r="C6" s="44"/>
      <c r="D6" s="44" t="s">
        <v>145</v>
      </c>
      <c r="E6" s="44"/>
      <c r="F6" s="44"/>
      <c r="G6" s="44" t="str">
        <f>"KANBAN VALUE REQUIRED ("&amp;Currency&amp;")"</f>
        <v>KANBAN VALUE REQUIRED (EUR)</v>
      </c>
      <c r="H6" s="44"/>
      <c r="I6" s="44"/>
      <c r="J6" s="44" t="str">
        <f>"CHANGE FROM RESIZING ("&amp;Currency&amp;")"</f>
        <v>CHANGE FROM RESIZING (EUR)</v>
      </c>
      <c r="K6" s="44"/>
      <c r="L6" s="44"/>
    </row>
    <row r="7" spans="1:12" ht="21" customHeight="1">
      <c r="B7" s="45">
        <f>COUNTIF(tblLoops[Status],"Below target")+COUNTIF(tblLoops[Status],"Above target")</f>
        <v>8</v>
      </c>
      <c r="C7" s="45"/>
      <c r="D7" s="45">
        <f>COUNTIF(tblLoops[Status],"Below target")</f>
        <v>3</v>
      </c>
      <c r="E7" s="45"/>
      <c r="F7" s="45"/>
      <c r="G7" s="45">
        <f>SUM(tblLoops[Kanban value required])</f>
        <v>69030.4</v>
      </c>
      <c r="H7" s="45"/>
      <c r="I7" s="45"/>
      <c r="J7" s="46">
        <f>SUM(tblLoops[Value change])</f>
        <v>-8737</v>
      </c>
      <c r="K7" s="46"/>
      <c r="L7" s="46"/>
    </row>
    <row r="8" spans="1:12" ht="21" customHeight="1">
      <c r="B8" s="45"/>
      <c r="C8" s="45"/>
      <c r="D8" s="45"/>
      <c r="E8" s="45"/>
      <c r="F8" s="45"/>
      <c r="G8" s="45"/>
      <c r="H8" s="45"/>
      <c r="I8" s="45"/>
      <c r="J8" s="46"/>
      <c r="K8" s="46"/>
      <c r="L8" s="46"/>
    </row>
    <row r="9" spans="1:12">
      <c r="B9" s="47" t="s">
        <v>146</v>
      </c>
      <c r="C9" s="47"/>
      <c r="D9" s="47" t="s">
        <v>147</v>
      </c>
      <c r="E9" s="47"/>
      <c r="F9" s="47"/>
      <c r="G9" s="47" t="s">
        <v>148</v>
      </c>
      <c r="H9" s="47"/>
      <c r="I9" s="47"/>
      <c r="J9" s="47" t="s">
        <v>149</v>
      </c>
      <c r="K9" s="47"/>
      <c r="L9" s="47"/>
    </row>
    <row r="10" spans="1:12" ht="18" customHeight="1">
      <c r="B10" s="48"/>
      <c r="C10" s="48"/>
      <c r="D10" s="48"/>
      <c r="E10" s="48"/>
      <c r="F10" s="48"/>
      <c r="G10" s="48"/>
      <c r="H10" s="48"/>
      <c r="I10" s="48"/>
      <c r="J10" s="48"/>
      <c r="K10" s="48"/>
      <c r="L10" s="48"/>
    </row>
    <row r="31" spans="2:12">
      <c r="B31" s="29" t="s">
        <v>150</v>
      </c>
      <c r="C31" s="29"/>
      <c r="D31" s="29"/>
      <c r="E31" s="29"/>
      <c r="F31" s="29"/>
      <c r="G31" s="29"/>
      <c r="H31" s="29"/>
      <c r="I31" s="29"/>
      <c r="J31" s="29"/>
      <c r="K31" s="29"/>
      <c r="L31" s="29"/>
    </row>
    <row r="32" spans="2:12" ht="32" customHeight="1">
      <c r="B32" s="49" t="s">
        <v>151</v>
      </c>
      <c r="C32" s="30" t="s">
        <v>86</v>
      </c>
      <c r="D32" s="30" t="s">
        <v>87</v>
      </c>
      <c r="E32" s="30"/>
      <c r="F32" s="30"/>
      <c r="G32" s="30" t="s">
        <v>152</v>
      </c>
      <c r="H32" s="30" t="s">
        <v>96</v>
      </c>
      <c r="I32" s="30" t="s">
        <v>99</v>
      </c>
      <c r="J32" s="30" t="s">
        <v>100</v>
      </c>
      <c r="K32" s="30"/>
      <c r="L32" s="30" t="s">
        <v>103</v>
      </c>
    </row>
    <row r="33" spans="2:12" ht="14" customHeight="1">
      <c r="B33" s="33"/>
      <c r="C33" s="33"/>
      <c r="D33" s="33"/>
      <c r="E33" s="33"/>
      <c r="F33" s="33"/>
      <c r="G33" s="33"/>
      <c r="H33" s="33"/>
      <c r="I33" s="33"/>
      <c r="J33" s="33"/>
      <c r="K33" s="33"/>
      <c r="L33" s="33" t="str">
        <f>Currency</f>
        <v>EUR</v>
      </c>
    </row>
    <row r="34" spans="2:12">
      <c r="B34" s="50" t="s">
        <v>153</v>
      </c>
      <c r="C34" s="51" t="str">
        <f>IFERROR(INDEX(tblLoops[Part],1),"")</f>
        <v>ROD-25</v>
      </c>
      <c r="D34" s="51" t="str">
        <f>IFERROR(INDEX(tblLoops[Description],1),"")</f>
        <v>Piston rod, 25 mm</v>
      </c>
      <c r="E34" s="51"/>
      <c r="F34" s="51"/>
      <c r="G34" s="39">
        <f>IFERROR(INDEX(tblLoops[Cards in loop now],1),"")</f>
        <v>11</v>
      </c>
      <c r="H34" s="39">
        <f>IFERROR(INDEX(tblLoops[Cards required],1),"")</f>
        <v>11</v>
      </c>
      <c r="I34" s="40">
        <f>IFERROR(INDEX(tblLoops[Card change],1),"")</f>
        <v>0</v>
      </c>
      <c r="J34" s="41" t="str">
        <f>IFERROR(INDEX(tblLoops[Status],1),"")</f>
        <v>On target</v>
      </c>
      <c r="K34" s="41"/>
      <c r="L34" s="40">
        <f>IFERROR(INDEX(tblLoops[Value change],1),"")</f>
        <v>0</v>
      </c>
    </row>
    <row r="35" spans="2:12">
      <c r="B35" s="50" t="s">
        <v>154</v>
      </c>
      <c r="C35" s="51" t="str">
        <f>IFERROR(INDEX(tblLoops[Part],2),"")</f>
        <v>ROD-40</v>
      </c>
      <c r="D35" s="51" t="str">
        <f>IFERROR(INDEX(tblLoops[Description],2),"")</f>
        <v>Piston rod, 40 mm</v>
      </c>
      <c r="E35" s="51"/>
      <c r="F35" s="51"/>
      <c r="G35" s="39">
        <f>IFERROR(INDEX(tblLoops[Cards in loop now],2),"")</f>
        <v>7</v>
      </c>
      <c r="H35" s="39">
        <f>IFERROR(INDEX(tblLoops[Cards required],2),"")</f>
        <v>7</v>
      </c>
      <c r="I35" s="40">
        <f>IFERROR(INDEX(tblLoops[Card change],2),"")</f>
        <v>0</v>
      </c>
      <c r="J35" s="41" t="str">
        <f>IFERROR(INDEX(tblLoops[Status],2),"")</f>
        <v>On target</v>
      </c>
      <c r="K35" s="41"/>
      <c r="L35" s="40">
        <f>IFERROR(INDEX(tblLoops[Value change],2),"")</f>
        <v>0</v>
      </c>
    </row>
    <row r="36" spans="2:12">
      <c r="B36" s="50" t="s">
        <v>155</v>
      </c>
      <c r="C36" s="51" t="str">
        <f>IFERROR(INDEX(tblLoops[Part],3),"")</f>
        <v>PST-50</v>
      </c>
      <c r="D36" s="51" t="str">
        <f>IFERROR(INDEX(tblLoops[Description],3),"")</f>
        <v>Piston, 50 mm bore</v>
      </c>
      <c r="E36" s="51"/>
      <c r="F36" s="51"/>
      <c r="G36" s="39">
        <f>IFERROR(INDEX(tblLoops[Cards in loop now],3),"")</f>
        <v>4</v>
      </c>
      <c r="H36" s="39">
        <f>IFERROR(INDEX(tblLoops[Cards required],3),"")</f>
        <v>5</v>
      </c>
      <c r="I36" s="40">
        <f>IFERROR(INDEX(tblLoops[Card change],3),"")</f>
        <v>1</v>
      </c>
      <c r="J36" s="41" t="str">
        <f>IFERROR(INDEX(tblLoops[Status],3),"")</f>
        <v>Below target</v>
      </c>
      <c r="K36" s="41"/>
      <c r="L36" s="40">
        <f>IFERROR(INDEX(tblLoops[Value change],3),"")</f>
        <v>452</v>
      </c>
    </row>
    <row r="37" spans="2:12">
      <c r="B37" s="50" t="s">
        <v>156</v>
      </c>
      <c r="C37" s="51" t="str">
        <f>IFERROR(INDEX(tblLoops[Part],4),"")</f>
        <v>GLD-50</v>
      </c>
      <c r="D37" s="51" t="str">
        <f>IFERROR(INDEX(tblLoops[Description],4),"")</f>
        <v>Gland, 50 mm bore</v>
      </c>
      <c r="E37" s="51"/>
      <c r="F37" s="51"/>
      <c r="G37" s="39">
        <f>IFERROR(INDEX(tblLoops[Cards in loop now],4),"")</f>
        <v>6</v>
      </c>
      <c r="H37" s="39">
        <f>IFERROR(INDEX(tblLoops[Cards required],4),"")</f>
        <v>4</v>
      </c>
      <c r="I37" s="40">
        <f>IFERROR(INDEX(tblLoops[Card change],4),"")</f>
        <v>-2</v>
      </c>
      <c r="J37" s="41" t="str">
        <f>IFERROR(INDEX(tblLoops[Status],4),"")</f>
        <v>Above target</v>
      </c>
      <c r="K37" s="41"/>
      <c r="L37" s="40">
        <f>IFERROR(INDEX(tblLoops[Value change],4),"")</f>
        <v>-745</v>
      </c>
    </row>
    <row r="38" spans="2:12">
      <c r="B38" s="50" t="s">
        <v>157</v>
      </c>
      <c r="C38" s="51" t="str">
        <f>IFERROR(INDEX(tblLoops[Part],5),"")</f>
        <v>CAP-50</v>
      </c>
      <c r="D38" s="51" t="str">
        <f>IFERROR(INDEX(tblLoops[Description],5),"")</f>
        <v>End cap, welded, 50 mm</v>
      </c>
      <c r="E38" s="51"/>
      <c r="F38" s="51"/>
      <c r="G38" s="39">
        <f>IFERROR(INDEX(tblLoops[Cards in loop now],5),"")</f>
        <v>12</v>
      </c>
      <c r="H38" s="39">
        <f>IFERROR(INDEX(tblLoops[Cards required],5),"")</f>
        <v>12</v>
      </c>
      <c r="I38" s="40">
        <f>IFERROR(INDEX(tblLoops[Card change],5),"")</f>
        <v>0</v>
      </c>
      <c r="J38" s="41" t="str">
        <f>IFERROR(INDEX(tblLoops[Status],5),"")</f>
        <v>On target</v>
      </c>
      <c r="K38" s="41"/>
      <c r="L38" s="40">
        <f>IFERROR(INDEX(tblLoops[Value change],5),"")</f>
        <v>0</v>
      </c>
    </row>
    <row r="39" spans="2:12">
      <c r="B39" s="50" t="s">
        <v>158</v>
      </c>
      <c r="C39" s="51" t="str">
        <f>IFERROR(INDEX(tblLoops[Part],6),"")</f>
        <v>CLV-50</v>
      </c>
      <c r="D39" s="51" t="str">
        <f>IFERROR(INDEX(tblLoops[Description],6),"")</f>
        <v>Clevis mount, welded</v>
      </c>
      <c r="E39" s="51"/>
      <c r="F39" s="51"/>
      <c r="G39" s="39">
        <f>IFERROR(INDEX(tblLoops[Cards in loop now],6),"")</f>
        <v>11</v>
      </c>
      <c r="H39" s="39">
        <f>IFERROR(INDEX(tblLoops[Cards required],6),"")</f>
        <v>11</v>
      </c>
      <c r="I39" s="40">
        <f>IFERROR(INDEX(tblLoops[Card change],6),"")</f>
        <v>0</v>
      </c>
      <c r="J39" s="41" t="str">
        <f>IFERROR(INDEX(tblLoops[Status],6),"")</f>
        <v>On target</v>
      </c>
      <c r="K39" s="41"/>
      <c r="L39" s="40">
        <f>IFERROR(INDEX(tblLoops[Value change],6),"")</f>
        <v>0</v>
      </c>
    </row>
    <row r="40" spans="2:12">
      <c r="B40" s="50" t="s">
        <v>159</v>
      </c>
      <c r="C40" s="51" t="str">
        <f>IFERROR(INDEX(tblLoops[Part],7),"")</f>
        <v>BAR-50</v>
      </c>
      <c r="D40" s="51" t="str">
        <f>IFERROR(INDEX(tblLoops[Description],7),"")</f>
        <v>Barrel assembly, painted</v>
      </c>
      <c r="E40" s="51"/>
      <c r="F40" s="51"/>
      <c r="G40" s="39">
        <f>IFERROR(INDEX(tblLoops[Cards in loop now],7),"")</f>
        <v>10</v>
      </c>
      <c r="H40" s="39">
        <f>IFERROR(INDEX(tblLoops[Cards required],7),"")</f>
        <v>12</v>
      </c>
      <c r="I40" s="40">
        <f>IFERROR(INDEX(tblLoops[Card change],7),"")</f>
        <v>2</v>
      </c>
      <c r="J40" s="41" t="str">
        <f>IFERROR(INDEX(tblLoops[Status],7),"")</f>
        <v>Below target</v>
      </c>
      <c r="K40" s="41"/>
      <c r="L40" s="40">
        <f>IFERROR(INDEX(tblLoops[Value change],7),"")</f>
        <v>1536</v>
      </c>
    </row>
    <row r="41" spans="2:12">
      <c r="B41" s="50" t="s">
        <v>160</v>
      </c>
      <c r="C41" s="51" t="str">
        <f>IFERROR(INDEX(tblLoops[Part],8),"")</f>
        <v>BAR-80</v>
      </c>
      <c r="D41" s="51" t="str">
        <f>IFERROR(INDEX(tblLoops[Description],8),"")</f>
        <v>Barrel assembly, 80 mm, painted</v>
      </c>
      <c r="E41" s="51"/>
      <c r="F41" s="51"/>
      <c r="G41" s="39">
        <f>IFERROR(INDEX(tblLoops[Cards in loop now],8),"")</f>
        <v>9</v>
      </c>
      <c r="H41" s="39">
        <f>IFERROR(INDEX(tblLoops[Cards required],8),"")</f>
        <v>7</v>
      </c>
      <c r="I41" s="40">
        <f>IFERROR(INDEX(tblLoops[Card change],8),"")</f>
        <v>-2</v>
      </c>
      <c r="J41" s="41" t="str">
        <f>IFERROR(INDEX(tblLoops[Status],8),"")</f>
        <v>Above target</v>
      </c>
      <c r="K41" s="41"/>
      <c r="L41" s="40">
        <f>IFERROR(INDEX(tblLoops[Value change],8),"")</f>
        <v>-1416</v>
      </c>
    </row>
    <row r="42" spans="2:12">
      <c r="B42" s="50" t="s">
        <v>161</v>
      </c>
      <c r="C42" s="51" t="str">
        <f>IFERROR(INDEX(tblLoops[Part],9),"")</f>
        <v>SEAL-50</v>
      </c>
      <c r="D42" s="51" t="str">
        <f>IFERROR(INDEX(tblLoops[Description],9),"")</f>
        <v>Seal kit, 50 mm bore</v>
      </c>
      <c r="E42" s="51"/>
      <c r="F42" s="51"/>
      <c r="G42" s="39">
        <f>IFERROR(INDEX(tblLoops[Cards in loop now],9),"")</f>
        <v>5</v>
      </c>
      <c r="H42" s="39">
        <f>IFERROR(INDEX(tblLoops[Cards required],9),"")</f>
        <v>5</v>
      </c>
      <c r="I42" s="40">
        <f>IFERROR(INDEX(tblLoops[Card change],9),"")</f>
        <v>0</v>
      </c>
      <c r="J42" s="41" t="str">
        <f>IFERROR(INDEX(tblLoops[Status],9),"")</f>
        <v>On target</v>
      </c>
      <c r="K42" s="41"/>
      <c r="L42" s="40">
        <f>IFERROR(INDEX(tblLoops[Value change],9),"")</f>
        <v>0</v>
      </c>
    </row>
    <row r="43" spans="2:12">
      <c r="B43" s="50" t="s">
        <v>162</v>
      </c>
      <c r="C43" s="51" t="str">
        <f>IFERROR(INDEX(tblLoops[Part],10),"")</f>
        <v>SEAL-80</v>
      </c>
      <c r="D43" s="51" t="str">
        <f>IFERROR(INDEX(tblLoops[Description],10),"")</f>
        <v>Seal kit, 80 mm bore</v>
      </c>
      <c r="E43" s="51"/>
      <c r="F43" s="51"/>
      <c r="G43" s="39">
        <f>IFERROR(INDEX(tblLoops[Cards in loop now],10),"")</f>
        <v>5</v>
      </c>
      <c r="H43" s="39">
        <f>IFERROR(INDEX(tblLoops[Cards required],10),"")</f>
        <v>3</v>
      </c>
      <c r="I43" s="40">
        <f>IFERROR(INDEX(tblLoops[Card change],10),"")</f>
        <v>-2</v>
      </c>
      <c r="J43" s="41" t="str">
        <f>IFERROR(INDEX(tblLoops[Status],10),"")</f>
        <v>Above target</v>
      </c>
      <c r="K43" s="41"/>
      <c r="L43" s="40">
        <f>IFERROR(INDEX(tblLoops[Value change],10),"")</f>
        <v>-1140</v>
      </c>
    </row>
    <row r="44" spans="2:12">
      <c r="B44" s="50" t="s">
        <v>163</v>
      </c>
      <c r="C44" s="51" t="str">
        <f>IFERROR(INDEX(tblLoops[Part],11),"")</f>
        <v>WIP-RNG</v>
      </c>
      <c r="D44" s="51" t="str">
        <f>IFERROR(INDEX(tblLoops[Description],11),"")</f>
        <v>Wiper ring set</v>
      </c>
      <c r="E44" s="51"/>
      <c r="F44" s="51"/>
      <c r="G44" s="39">
        <f>IFERROR(INDEX(tblLoops[Cards in loop now],11),"")</f>
        <v>4</v>
      </c>
      <c r="H44" s="39">
        <f>IFERROR(INDEX(tblLoops[Cards required],11),"")</f>
        <v>4</v>
      </c>
      <c r="I44" s="40">
        <f>IFERROR(INDEX(tblLoops[Card change],11),"")</f>
        <v>0</v>
      </c>
      <c r="J44" s="41" t="str">
        <f>IFERROR(INDEX(tblLoops[Status],11),"")</f>
        <v>On target</v>
      </c>
      <c r="K44" s="41"/>
      <c r="L44" s="40">
        <f>IFERROR(INDEX(tblLoops[Value change],11),"")</f>
        <v>0</v>
      </c>
    </row>
    <row r="45" spans="2:12">
      <c r="B45" s="50" t="s">
        <v>164</v>
      </c>
      <c r="C45" s="51" t="str">
        <f>IFERROR(INDEX(tblLoops[Part],12),"")</f>
        <v>TUBE-63</v>
      </c>
      <c r="D45" s="51" t="str">
        <f>IFERROR(INDEX(tblLoops[Description],12),"")</f>
        <v>Honed tube, 63 mm (per m)</v>
      </c>
      <c r="E45" s="51"/>
      <c r="F45" s="51"/>
      <c r="G45" s="39">
        <f>IFERROR(INDEX(tblLoops[Cards in loop now],12),"")</f>
        <v>22</v>
      </c>
      <c r="H45" s="39">
        <f>IFERROR(INDEX(tblLoops[Cards required],12),"")</f>
        <v>15</v>
      </c>
      <c r="I45" s="40">
        <f>IFERROR(INDEX(tblLoops[Card change],12),"")</f>
        <v>-7</v>
      </c>
      <c r="J45" s="41" t="str">
        <f>IFERROR(INDEX(tblLoops[Status],12),"")</f>
        <v>Above target</v>
      </c>
      <c r="K45" s="41"/>
      <c r="L45" s="40">
        <f>IFERROR(INDEX(tblLoops[Value change],12),"")</f>
        <v>-6804</v>
      </c>
    </row>
    <row r="46" spans="2:12">
      <c r="B46" s="50" t="s">
        <v>165</v>
      </c>
      <c r="C46" s="51" t="str">
        <f>IFERROR(INDEX(tblLoops[Part],13),"")</f>
        <v>TUBE-100</v>
      </c>
      <c r="D46" s="51" t="str">
        <f>IFERROR(INDEX(tblLoops[Description],13),"")</f>
        <v>Honed tube, 100 mm (per m)</v>
      </c>
      <c r="E46" s="51"/>
      <c r="F46" s="51"/>
      <c r="G46" s="39">
        <f>IFERROR(INDEX(tblLoops[Cards in loop now],13),"")</f>
        <v>9</v>
      </c>
      <c r="H46" s="39">
        <f>IFERROR(INDEX(tblLoops[Cards required],13),"")</f>
        <v>9</v>
      </c>
      <c r="I46" s="40">
        <f>IFERROR(INDEX(tblLoops[Card change],13),"")</f>
        <v>0</v>
      </c>
      <c r="J46" s="41" t="str">
        <f>IFERROR(INDEX(tblLoops[Status],13),"")</f>
        <v>On target</v>
      </c>
      <c r="K46" s="41"/>
      <c r="L46" s="40">
        <f>IFERROR(INDEX(tblLoops[Value change],13),"")</f>
        <v>0</v>
      </c>
    </row>
    <row r="47" spans="2:12">
      <c r="B47" s="50" t="s">
        <v>166</v>
      </c>
      <c r="C47" s="51" t="str">
        <f>IFERROR(INDEX(tblLoops[Part],14),"")</f>
        <v>TIE-M16</v>
      </c>
      <c r="D47" s="51" t="str">
        <f>IFERROR(INDEX(tblLoops[Description],14),"")</f>
        <v>Tie rod set, M16</v>
      </c>
      <c r="E47" s="51"/>
      <c r="F47" s="51"/>
      <c r="G47" s="39">
        <f>IFERROR(INDEX(tblLoops[Cards in loop now],14),"")</f>
        <v>14</v>
      </c>
      <c r="H47" s="39">
        <f>IFERROR(INDEX(tblLoops[Cards required],14),"")</f>
        <v>12</v>
      </c>
      <c r="I47" s="40">
        <f>IFERROR(INDEX(tblLoops[Card change],14),"")</f>
        <v>-2</v>
      </c>
      <c r="J47" s="41" t="str">
        <f>IFERROR(INDEX(tblLoops[Status],14),"")</f>
        <v>Above target</v>
      </c>
      <c r="K47" s="41"/>
      <c r="L47" s="40">
        <f>IFERROR(INDEX(tblLoops[Value change],14),"")</f>
        <v>-860</v>
      </c>
    </row>
    <row r="48" spans="2:12">
      <c r="B48" s="50" t="s">
        <v>167</v>
      </c>
      <c r="C48" s="51" t="str">
        <f>IFERROR(INDEX(tblLoops[Part],15),"")</f>
        <v>BLT-KIT</v>
      </c>
      <c r="D48" s="51" t="str">
        <f>IFERROR(INDEX(tblLoops[Description],15),"")</f>
        <v>Mounting bolt kit</v>
      </c>
      <c r="E48" s="51"/>
      <c r="F48" s="51"/>
      <c r="G48" s="39">
        <f>IFERROR(INDEX(tblLoops[Cards in loop now],15),"")</f>
        <v>7</v>
      </c>
      <c r="H48" s="39">
        <f>IFERROR(INDEX(tblLoops[Cards required],15),"")</f>
        <v>8</v>
      </c>
      <c r="I48" s="40">
        <f>IFERROR(INDEX(tblLoops[Card change],15),"")</f>
        <v>1</v>
      </c>
      <c r="J48" s="41" t="str">
        <f>IFERROR(INDEX(tblLoops[Status],15),"")</f>
        <v>Below target</v>
      </c>
      <c r="K48" s="41"/>
      <c r="L48" s="40">
        <f>IFERROR(INDEX(tblLoops[Value change],15),"")</f>
        <v>240</v>
      </c>
    </row>
    <row r="49" spans="2:12">
      <c r="B49" s="50" t="s">
        <v>168</v>
      </c>
      <c r="C49" s="51" t="str">
        <f>IFERROR(INDEX(tblLoops[Part],16),"")</f>
        <v>SEAL-50L</v>
      </c>
      <c r="D49" s="51" t="str">
        <f>IFERROR(INDEX(tblLoops[Description],16),"")</f>
        <v>Seal kit, 50 mm, line-side</v>
      </c>
      <c r="E49" s="51"/>
      <c r="F49" s="51"/>
      <c r="G49" s="39">
        <f>IFERROR(INDEX(tblLoops[Cards in loop now],16),"")</f>
        <v>2</v>
      </c>
      <c r="H49" s="39">
        <f>IFERROR(INDEX(tblLoops[Cards required],16),"")</f>
        <v>2</v>
      </c>
      <c r="I49" s="40">
        <f>IFERROR(INDEX(tblLoops[Card change],16),"")</f>
        <v>0</v>
      </c>
      <c r="J49" s="41" t="str">
        <f>IFERROR(INDEX(tblLoops[Status],16),"")</f>
        <v>On target</v>
      </c>
      <c r="K49" s="41"/>
      <c r="L49" s="40">
        <f>IFERROR(INDEX(tblLoops[Value change],16),"")</f>
        <v>0</v>
      </c>
    </row>
    <row r="51" spans="2:12">
      <c r="B51" s="29" t="s">
        <v>169</v>
      </c>
      <c r="C51" s="29"/>
      <c r="D51" s="29"/>
      <c r="E51" s="29"/>
      <c r="F51" s="29"/>
      <c r="G51" s="29"/>
      <c r="H51" s="29"/>
    </row>
    <row r="52" spans="2:12" ht="32" customHeight="1">
      <c r="B52" s="49" t="s">
        <v>60</v>
      </c>
      <c r="C52" s="30" t="s">
        <v>170</v>
      </c>
      <c r="D52" s="30" t="s">
        <v>152</v>
      </c>
      <c r="E52" s="30" t="s">
        <v>96</v>
      </c>
      <c r="F52" s="30" t="s">
        <v>171</v>
      </c>
      <c r="G52" s="30" t="s">
        <v>172</v>
      </c>
      <c r="H52" s="30" t="s">
        <v>103</v>
      </c>
    </row>
    <row r="53" spans="2:12" ht="14" customHeight="1">
      <c r="B53" s="33"/>
      <c r="C53" s="33"/>
      <c r="D53" s="33"/>
      <c r="E53" s="33"/>
      <c r="F53" s="33" t="str">
        <f>Currency</f>
        <v>EUR</v>
      </c>
      <c r="G53" s="33" t="str">
        <f>Currency</f>
        <v>EUR</v>
      </c>
      <c r="H53" s="33" t="str">
        <f>Currency</f>
        <v>EUR</v>
      </c>
    </row>
    <row r="54" spans="2:12">
      <c r="B54" s="50" t="str">
        <f>IFERROR(INDEX(tblSources[Supplier or process],1)&amp;"","")</f>
        <v>Saw and machining cell</v>
      </c>
      <c r="C54" s="39">
        <f>IF($B$54="","",COUNTIFS(tblLoops[Supplier or process],$B$54))</f>
        <v>4</v>
      </c>
      <c r="D54" s="39">
        <f>IF($B$54="","",SUMIFS(tblLoops[Cards in loop now],tblLoops[Supplier or process],$B$54))</f>
        <v>28</v>
      </c>
      <c r="E54" s="39">
        <f>IF($B$54="","",SUMIFS(tblLoops[Cards required],tblLoops[Supplier or process],$B$54))</f>
        <v>27</v>
      </c>
      <c r="F54" s="39">
        <f>IF($B$54="","",SUMIFS(tblLoops[Kanban value now],tblLoops[Supplier or process],$B$54))</f>
        <v>11585.4</v>
      </c>
      <c r="G54" s="39">
        <f>IF($B$54="","",SUMIFS(tblLoops[Kanban value required],tblLoops[Supplier or process],$B$54))</f>
        <v>11292.4</v>
      </c>
      <c r="H54" s="40">
        <f>IF($B$54="","",SUMIFS(tblLoops[Value change],tblLoops[Supplier or process],$B$54))</f>
        <v>-293</v>
      </c>
    </row>
    <row r="55" spans="2:12">
      <c r="B55" s="50" t="str">
        <f>IFERROR(INDEX(tblSources[Supplier or process],2)&amp;"","")</f>
        <v>Weld cell</v>
      </c>
      <c r="C55" s="39">
        <f>IF($B$55="","",COUNTIFS(tblLoops[Supplier or process],$B$55))</f>
        <v>2</v>
      </c>
      <c r="D55" s="39">
        <f>IF($B$55="","",SUMIFS(tblLoops[Cards in loop now],tblLoops[Supplier or process],$B$55))</f>
        <v>23</v>
      </c>
      <c r="E55" s="39">
        <f>IF($B$55="","",SUMIFS(tblLoops[Cards required],tblLoops[Supplier or process],$B$55))</f>
        <v>23</v>
      </c>
      <c r="F55" s="39">
        <f>IF($B$55="","",SUMIFS(tblLoops[Kanban value now],tblLoops[Supplier or process],$B$55))</f>
        <v>7458</v>
      </c>
      <c r="G55" s="39">
        <f>IF($B$55="","",SUMIFS(tblLoops[Kanban value required],tblLoops[Supplier or process],$B$55))</f>
        <v>7458</v>
      </c>
      <c r="H55" s="40">
        <f>IF($B$55="","",SUMIFS(tblLoops[Value change],tblLoops[Supplier or process],$B$55))</f>
        <v>0</v>
      </c>
    </row>
    <row r="56" spans="2:12">
      <c r="B56" s="50" t="str">
        <f>IFERROR(INDEX(tblSources[Supplier or process],3)&amp;"","")</f>
        <v>Paint line</v>
      </c>
      <c r="C56" s="39">
        <f>IF($B$56="","",COUNTIFS(tblLoops[Supplier or process],$B$56))</f>
        <v>2</v>
      </c>
      <c r="D56" s="39">
        <f>IF($B$56="","",SUMIFS(tblLoops[Cards in loop now],tblLoops[Supplier or process],$B$56))</f>
        <v>19</v>
      </c>
      <c r="E56" s="39">
        <f>IF($B$56="","",SUMIFS(tblLoops[Cards required],tblLoops[Supplier or process],$B$56))</f>
        <v>19</v>
      </c>
      <c r="F56" s="39">
        <f>IF($B$56="","",SUMIFS(tblLoops[Kanban value now],tblLoops[Supplier or process],$B$56))</f>
        <v>14052</v>
      </c>
      <c r="G56" s="39">
        <f>IF($B$56="","",SUMIFS(tblLoops[Kanban value required],tblLoops[Supplier or process],$B$56))</f>
        <v>14172</v>
      </c>
      <c r="H56" s="40">
        <f>IF($B$56="","",SUMIFS(tblLoops[Value change],tblLoops[Supplier or process],$B$56))</f>
        <v>120</v>
      </c>
    </row>
    <row r="57" spans="2:12">
      <c r="B57" s="50" t="str">
        <f>IFERROR(INDEX(tblSources[Supplier or process],4)&amp;"","")</f>
        <v>Kessler Seals (example)</v>
      </c>
      <c r="C57" s="39">
        <f>IF($B$57="","",COUNTIFS(tblLoops[Supplier or process],$B$57))</f>
        <v>4</v>
      </c>
      <c r="D57" s="39">
        <f>IF($B$57="","",SUMIFS(tblLoops[Cards in loop now],tblLoops[Supplier or process],$B$57))</f>
        <v>16</v>
      </c>
      <c r="E57" s="39">
        <f>IF($B$57="","",SUMIFS(tblLoops[Cards required],tblLoops[Supplier or process],$B$57))</f>
        <v>14</v>
      </c>
      <c r="F57" s="39">
        <f>IF($B$57="","",SUMIFS(tblLoops[Kanban value now],tblLoops[Supplier or process],$B$57))</f>
        <v>8082</v>
      </c>
      <c r="G57" s="39">
        <f>IF($B$57="","",SUMIFS(tblLoops[Kanban value required],tblLoops[Supplier or process],$B$57))</f>
        <v>6942</v>
      </c>
      <c r="H57" s="40">
        <f>IF($B$57="","",SUMIFS(tblLoops[Value change],tblLoops[Supplier or process],$B$57))</f>
        <v>-1140</v>
      </c>
    </row>
    <row r="58" spans="2:12">
      <c r="B58" s="50" t="str">
        <f>IFERROR(INDEX(tblSources[Supplier or process],5)&amp;"","")</f>
        <v>Varga Tube (example)</v>
      </c>
      <c r="C58" s="39">
        <f>IF($B$58="","",COUNTIFS(tblLoops[Supplier or process],$B$58))</f>
        <v>2</v>
      </c>
      <c r="D58" s="39">
        <f>IF($B$58="","",SUMIFS(tblLoops[Cards in loop now],tblLoops[Supplier or process],$B$58))</f>
        <v>31</v>
      </c>
      <c r="E58" s="39">
        <f>IF($B$58="","",SUMIFS(tblLoops[Cards required],tblLoops[Supplier or process],$B$58))</f>
        <v>24</v>
      </c>
      <c r="F58" s="39">
        <f>IF($B$58="","",SUMIFS(tblLoops[Kanban value now],tblLoops[Supplier or process],$B$58))</f>
        <v>28890</v>
      </c>
      <c r="G58" s="39">
        <f>IF($B$58="","",SUMIFS(tblLoops[Kanban value required],tblLoops[Supplier or process],$B$58))</f>
        <v>22086</v>
      </c>
      <c r="H58" s="40">
        <f>IF($B$58="","",SUMIFS(tblLoops[Value change],tblLoops[Supplier or process],$B$58))</f>
        <v>-6804</v>
      </c>
    </row>
    <row r="59" spans="2:12">
      <c r="B59" s="50" t="str">
        <f>IFERROR(INDEX(tblSources[Supplier or process],6)&amp;"","")</f>
        <v>Nordbolt Fasteners (example)</v>
      </c>
      <c r="C59" s="39">
        <f>IF($B$59="","",COUNTIFS(tblLoops[Supplier or process],$B$59))</f>
        <v>2</v>
      </c>
      <c r="D59" s="39">
        <f>IF($B$59="","",SUMIFS(tblLoops[Cards in loop now],tblLoops[Supplier or process],$B$59))</f>
        <v>21</v>
      </c>
      <c r="E59" s="39">
        <f>IF($B$59="","",SUMIFS(tblLoops[Cards required],tblLoops[Supplier or process],$B$59))</f>
        <v>20</v>
      </c>
      <c r="F59" s="39">
        <f>IF($B$59="","",SUMIFS(tblLoops[Kanban value now],tblLoops[Supplier or process],$B$59))</f>
        <v>7700</v>
      </c>
      <c r="G59" s="39">
        <f>IF($B$59="","",SUMIFS(tblLoops[Kanban value required],tblLoops[Supplier or process],$B$59))</f>
        <v>7080</v>
      </c>
      <c r="H59" s="40">
        <f>IF($B$59="","",SUMIFS(tblLoops[Value change],tblLoops[Supplier or process],$B$59))</f>
        <v>-620</v>
      </c>
    </row>
    <row r="60" spans="2:12">
      <c r="B60" s="52" t="s">
        <v>173</v>
      </c>
      <c r="C60" s="53">
        <f>SUM($C$54:$C$59)</f>
        <v>16</v>
      </c>
      <c r="D60" s="53">
        <f>SUM($D$54:$D$59)</f>
        <v>138</v>
      </c>
      <c r="E60" s="53">
        <f>SUM($E$54:$E$59)</f>
        <v>127</v>
      </c>
      <c r="F60" s="53">
        <f>SUM($F$54:$F$59)</f>
        <v>77767.4</v>
      </c>
      <c r="G60" s="53">
        <f>SUM($G$54:$G$59)</f>
        <v>69030.4</v>
      </c>
      <c r="H60" s="54">
        <f>SUM($H$54:$H$59)</f>
        <v>-8737</v>
      </c>
    </row>
    <row r="62" spans="2:12">
      <c r="B62" s="29" t="s">
        <v>174</v>
      </c>
      <c r="C62" s="29"/>
      <c r="D62" s="29"/>
      <c r="E62" s="29"/>
      <c r="F62" s="29"/>
      <c r="G62" s="29"/>
    </row>
    <row r="63" spans="2:12" ht="32" customHeight="1">
      <c r="B63" s="49" t="s">
        <v>62</v>
      </c>
      <c r="C63" s="30" t="s">
        <v>170</v>
      </c>
      <c r="D63" s="30" t="s">
        <v>175</v>
      </c>
      <c r="E63" s="30" t="s">
        <v>176</v>
      </c>
      <c r="F63" s="30" t="s">
        <v>172</v>
      </c>
      <c r="G63" s="30" t="s">
        <v>103</v>
      </c>
    </row>
    <row r="64" spans="2:12" ht="14" customHeight="1">
      <c r="B64" s="33"/>
      <c r="C64" s="33"/>
      <c r="D64" s="33"/>
      <c r="E64" s="33"/>
      <c r="F64" s="33" t="str">
        <f>Currency</f>
        <v>EUR</v>
      </c>
      <c r="G64" s="33" t="str">
        <f>Currency</f>
        <v>EUR</v>
      </c>
    </row>
    <row r="65" spans="2:12">
      <c r="B65" s="50" t="str">
        <f>IFERROR(INDEX(tblLoopTypes[Loop type],1)&amp;"","")</f>
        <v>Production</v>
      </c>
      <c r="C65" s="39">
        <f>IF($B$65="","",COUNTIFS(tblLoops[Loop type],$B$65))</f>
        <v>8</v>
      </c>
      <c r="D65" s="39">
        <f>IF($B$65="","",COUNTIFS(tblLoops[Loop type],$B$65,tblLoops[Status],"Below target"))</f>
        <v>2</v>
      </c>
      <c r="E65" s="39">
        <f>IF($B$65="","",COUNTIFS(tblLoops[Loop type],$B$65,tblLoops[Status],"Above target"))</f>
        <v>2</v>
      </c>
      <c r="F65" s="39">
        <f>IF($B$65="","",SUMIFS(tblLoops[Kanban value required],tblLoops[Loop type],$B$65))</f>
        <v>32922.4</v>
      </c>
      <c r="G65" s="40">
        <f>IF($B$65="","",SUMIFS(tblLoops[Value change],tblLoops[Loop type],$B$65))</f>
        <v>-173</v>
      </c>
    </row>
    <row r="66" spans="2:12">
      <c r="B66" s="50" t="str">
        <f>IFERROR(INDEX(tblLoopTypes[Loop type],2)&amp;"","")</f>
        <v>Supplier</v>
      </c>
      <c r="C66" s="39">
        <f>IF($B$66="","",COUNTIFS(tblLoops[Loop type],$B$66))</f>
        <v>7</v>
      </c>
      <c r="D66" s="39">
        <f>IF($B$66="","",COUNTIFS(tblLoops[Loop type],$B$66,tblLoops[Status],"Below target"))</f>
        <v>1</v>
      </c>
      <c r="E66" s="39">
        <f>IF($B$66="","",COUNTIFS(tblLoops[Loop type],$B$66,tblLoops[Status],"Above target"))</f>
        <v>3</v>
      </c>
      <c r="F66" s="39">
        <f>IF($B$66="","",SUMIFS(tblLoops[Kanban value required],tblLoops[Loop type],$B$66))</f>
        <v>35836</v>
      </c>
      <c r="G66" s="40">
        <f>IF($B$66="","",SUMIFS(tblLoops[Value change],tblLoops[Loop type],$B$66))</f>
        <v>-8564</v>
      </c>
    </row>
    <row r="67" spans="2:12">
      <c r="B67" s="50" t="str">
        <f>IFERROR(INDEX(tblLoopTypes[Loop type],3)&amp;"","")</f>
        <v>Withdrawal</v>
      </c>
      <c r="C67" s="39">
        <f>IF($B$67="","",COUNTIFS(tblLoops[Loop type],$B$67))</f>
        <v>1</v>
      </c>
      <c r="D67" s="39">
        <f>IF($B$67="","",COUNTIFS(tblLoops[Loop type],$B$67,tblLoops[Status],"Below target"))</f>
        <v>0</v>
      </c>
      <c r="E67" s="39">
        <f>IF($B$67="","",COUNTIFS(tblLoops[Loop type],$B$67,tblLoops[Status],"Above target"))</f>
        <v>0</v>
      </c>
      <c r="F67" s="39">
        <f>IF($B$67="","",SUMIFS(tblLoops[Kanban value required],tblLoops[Loop type],$B$67))</f>
        <v>272</v>
      </c>
      <c r="G67" s="40">
        <f>IF($B$67="","",SUMIFS(tblLoops[Value change],tblLoops[Loop type],$B$67))</f>
        <v>0</v>
      </c>
    </row>
    <row r="68" spans="2:12">
      <c r="B68" s="52" t="s">
        <v>173</v>
      </c>
      <c r="C68" s="53">
        <f>SUM($C$65:$C$67)</f>
        <v>16</v>
      </c>
      <c r="D68" s="53">
        <f>SUM($D$65:$D$67)</f>
        <v>3</v>
      </c>
      <c r="E68" s="53">
        <f>SUM($E$65:$E$67)</f>
        <v>5</v>
      </c>
      <c r="F68" s="53">
        <f>SUM($F$65:$F$67)</f>
        <v>69030.4</v>
      </c>
      <c r="G68" s="54">
        <f>SUM($G$65:$G$67)</f>
        <v>-8737</v>
      </c>
    </row>
    <row r="69" spans="2:12" ht="8" customHeight="1"/>
    <row r="70" spans="2:12" ht="26.76" customHeight="1">
      <c r="B70" s="21" t="s">
        <v>177</v>
      </c>
      <c r="C70" s="21"/>
      <c r="D70" s="21"/>
      <c r="E70" s="21"/>
      <c r="F70" s="21"/>
      <c r="G70" s="21"/>
      <c r="H70" s="21"/>
      <c r="I70" s="21"/>
      <c r="J70" s="21"/>
      <c r="K70" s="21"/>
      <c r="L70" s="21"/>
    </row>
    <row r="71" spans="2:12">
      <c r="B71" s="55">
        <f>IF(OR(COUNTA(tblLoops[Part])&gt;16,COUNTA(tblSources[Supplier or process])&gt;6,COUNTA(tblLoopTypes[Loop type])&gt;3),"Lists are longer than the Dashboard blocks: some loops, suppliers or loop types are not shown.","")</f>
        <v/>
      </c>
      <c r="C71" s="55"/>
      <c r="D71" s="55"/>
      <c r="E71" s="55"/>
      <c r="F71" s="55"/>
      <c r="G71" s="55"/>
      <c r="H71" s="55"/>
      <c r="I71" s="55"/>
      <c r="J71" s="55"/>
      <c r="K71" s="55"/>
      <c r="L71" s="55"/>
    </row>
  </sheetData>
  <sheetProtection sheet="1" formatColumns="0" formatRows="0"/>
  <mergeCells count="61">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1:L31"/>
    <mergeCell ref="D32:F32"/>
    <mergeCell ref="J32:K32"/>
    <mergeCell ref="D33:F33"/>
    <mergeCell ref="J33:K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J34:K34"/>
    <mergeCell ref="J35:K35"/>
    <mergeCell ref="J36:K36"/>
    <mergeCell ref="J37:K37"/>
    <mergeCell ref="J38:K38"/>
    <mergeCell ref="J39:K39"/>
    <mergeCell ref="J40:K40"/>
    <mergeCell ref="J41:K41"/>
    <mergeCell ref="J42:K42"/>
    <mergeCell ref="J43:K43"/>
    <mergeCell ref="J44:K44"/>
    <mergeCell ref="J45:K45"/>
    <mergeCell ref="J46:K46"/>
    <mergeCell ref="J47:K47"/>
    <mergeCell ref="J48:K48"/>
    <mergeCell ref="J49:K49"/>
    <mergeCell ref="B51:H51"/>
    <mergeCell ref="B62:G62"/>
    <mergeCell ref="B70:L70"/>
    <mergeCell ref="B71:L71"/>
  </mergeCells>
  <conditionalFormatting sqref="J34:J4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Kanban Sizing&amp;R&amp;8&amp;A</oddHeader>
    <oddFooter>&amp;L&amp;8mfgcalcs.com - free manufacturing templates&amp;R&amp;8Page &amp;P of &amp;N</oddFooter>
  </headerFooter>
  <rowBreaks count="2" manualBreakCount="2">
    <brk id="29" max="16383" man="1"/>
    <brk id="50"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178</v>
      </c>
      <c r="C4" s="8"/>
      <c r="D4" s="8"/>
    </row>
    <row r="5" spans="1:4" ht="5" customHeight="1"/>
    <row r="6" spans="1:4" ht="55.8" customHeight="1">
      <c r="B6" s="10" t="s">
        <v>179</v>
      </c>
      <c r="C6" s="10"/>
      <c r="D6" s="10"/>
    </row>
    <row r="8" spans="1:4" ht="21" customHeight="1">
      <c r="B8" s="8" t="s">
        <v>180</v>
      </c>
      <c r="C8" s="8"/>
      <c r="D8" s="8"/>
    </row>
    <row r="9" spans="1:4" ht="5" customHeight="1"/>
    <row r="10" spans="1:4" ht="20" customHeight="1">
      <c r="B10" s="49" t="s">
        <v>181</v>
      </c>
      <c r="C10" s="49" t="s">
        <v>182</v>
      </c>
      <c r="D10" s="30" t="s">
        <v>183</v>
      </c>
    </row>
    <row r="11" spans="1:4" ht="17.2" customHeight="1">
      <c r="B11" s="56" t="s">
        <v>184</v>
      </c>
      <c r="C11" s="57" t="s">
        <v>185</v>
      </c>
      <c r="D11" s="58" t="s">
        <v>186</v>
      </c>
    </row>
    <row r="12" spans="1:4" ht="17.2" customHeight="1">
      <c r="B12" s="56" t="s">
        <v>187</v>
      </c>
      <c r="C12" s="57" t="s">
        <v>188</v>
      </c>
      <c r="D12" s="58" t="s">
        <v>186</v>
      </c>
    </row>
    <row r="13" spans="1:4" ht="43.6" customHeight="1">
      <c r="B13" s="56" t="s">
        <v>96</v>
      </c>
      <c r="C13" s="57" t="s">
        <v>189</v>
      </c>
      <c r="D13" s="58" t="s">
        <v>190</v>
      </c>
    </row>
    <row r="14" spans="1:4" ht="17.2" customHeight="1">
      <c r="B14" s="56" t="s">
        <v>191</v>
      </c>
      <c r="C14" s="57" t="s">
        <v>192</v>
      </c>
      <c r="D14" s="58" t="s">
        <v>186</v>
      </c>
    </row>
    <row r="15" spans="1:4" ht="17.2" customHeight="1">
      <c r="B15" s="56" t="s">
        <v>98</v>
      </c>
      <c r="C15" s="57" t="s">
        <v>193</v>
      </c>
      <c r="D15" s="58" t="s">
        <v>107</v>
      </c>
    </row>
    <row r="16" spans="1:4" ht="17.2" customHeight="1">
      <c r="B16" s="56" t="s">
        <v>99</v>
      </c>
      <c r="C16" s="57" t="s">
        <v>194</v>
      </c>
      <c r="D16" s="58" t="s">
        <v>190</v>
      </c>
    </row>
    <row r="17" spans="2:4" ht="30.4" customHeight="1">
      <c r="B17" s="56" t="s">
        <v>100</v>
      </c>
      <c r="C17" s="57" t="s">
        <v>195</v>
      </c>
      <c r="D17" s="58" t="s">
        <v>196</v>
      </c>
    </row>
    <row r="18" spans="2:4" ht="30.4" customHeight="1">
      <c r="B18" s="56" t="s">
        <v>197</v>
      </c>
      <c r="C18" s="57" t="s">
        <v>198</v>
      </c>
      <c r="D18" s="58" t="s">
        <v>199</v>
      </c>
    </row>
    <row r="19" spans="2:4" ht="30.4" customHeight="1">
      <c r="B19" s="56" t="s">
        <v>200</v>
      </c>
      <c r="C19" s="57" t="s">
        <v>201</v>
      </c>
      <c r="D19" s="58" t="s">
        <v>196</v>
      </c>
    </row>
    <row r="21" spans="2:4" ht="21" customHeight="1">
      <c r="B21" s="8" t="s">
        <v>202</v>
      </c>
      <c r="C21" s="8"/>
      <c r="D21" s="8"/>
    </row>
    <row r="22" spans="2:4" ht="5" customHeight="1"/>
    <row r="23" spans="2:4" ht="29.4" customHeight="1">
      <c r="B23" s="26" t="s">
        <v>53</v>
      </c>
      <c r="C23" s="10" t="s">
        <v>203</v>
      </c>
      <c r="D23" s="10"/>
    </row>
    <row r="24" spans="2:4" ht="29.4" customHeight="1">
      <c r="B24" s="26" t="s">
        <v>53</v>
      </c>
      <c r="C24" s="10" t="s">
        <v>204</v>
      </c>
      <c r="D24" s="10"/>
    </row>
    <row r="25" spans="2:4" ht="16.2" customHeight="1">
      <c r="B25" s="26" t="s">
        <v>53</v>
      </c>
      <c r="C25" s="10" t="s">
        <v>205</v>
      </c>
      <c r="D25" s="10"/>
    </row>
    <row r="26" spans="2:4" ht="29.4" customHeight="1">
      <c r="B26" s="26" t="s">
        <v>53</v>
      </c>
      <c r="C26" s="10" t="s">
        <v>206</v>
      </c>
      <c r="D26" s="10"/>
    </row>
    <row r="28" spans="2:4" ht="21" customHeight="1">
      <c r="B28" s="8" t="s">
        <v>207</v>
      </c>
      <c r="C28" s="8"/>
      <c r="D28" s="8"/>
    </row>
    <row r="29" spans="2:4" ht="5" customHeight="1"/>
    <row r="30" spans="2:4" ht="29.4" customHeight="1">
      <c r="B30" s="26" t="s">
        <v>53</v>
      </c>
      <c r="C30" s="10" t="s">
        <v>208</v>
      </c>
      <c r="D30" s="10"/>
    </row>
    <row r="31" spans="2:4" ht="29.4" customHeight="1">
      <c r="B31" s="26" t="s">
        <v>53</v>
      </c>
      <c r="C31" s="10" t="s">
        <v>209</v>
      </c>
      <c r="D31" s="10"/>
    </row>
    <row r="32" spans="2:4" ht="29.4" customHeight="1">
      <c r="B32" s="26" t="s">
        <v>53</v>
      </c>
      <c r="C32" s="10" t="s">
        <v>210</v>
      </c>
      <c r="D32" s="10"/>
    </row>
    <row r="34" spans="2:4" ht="21" customHeight="1">
      <c r="B34" s="8" t="s">
        <v>211</v>
      </c>
      <c r="C34" s="8"/>
      <c r="D34" s="8"/>
    </row>
    <row r="35" spans="2:4" ht="5" customHeight="1"/>
    <row r="36" spans="2:4" ht="69" customHeight="1">
      <c r="B36" s="10" t="s">
        <v>212</v>
      </c>
      <c r="C36" s="10"/>
      <c r="D36" s="10"/>
    </row>
    <row r="37" spans="2:4">
      <c r="B37" s="24" t="s">
        <v>213</v>
      </c>
      <c r="C37" s="24"/>
      <c r="D37" s="24"/>
    </row>
    <row r="39" spans="2:4" ht="21" customHeight="1">
      <c r="B39" s="8" t="s">
        <v>40</v>
      </c>
      <c r="C39" s="8"/>
      <c r="D39" s="8"/>
    </row>
    <row r="40" spans="2:4" ht="5" customHeight="1"/>
    <row r="41" spans="2:4" ht="42.6" customHeight="1">
      <c r="B41" s="10" t="s">
        <v>214</v>
      </c>
      <c r="C41" s="10"/>
      <c r="D41" s="10"/>
    </row>
    <row r="43" spans="2:4" ht="21" customHeight="1">
      <c r="B43" s="8" t="s">
        <v>215</v>
      </c>
      <c r="C43" s="8"/>
      <c r="D43" s="8"/>
    </row>
    <row r="44" spans="2:4" ht="5" customHeight="1"/>
    <row r="45" spans="2:4" ht="29.4" customHeight="1">
      <c r="B45" s="26" t="s">
        <v>53</v>
      </c>
      <c r="C45" s="10" t="s">
        <v>216</v>
      </c>
      <c r="D45" s="10"/>
    </row>
    <row r="46" spans="2:4" ht="29.4" customHeight="1">
      <c r="B46" s="26" t="s">
        <v>53</v>
      </c>
      <c r="C46" s="10" t="s">
        <v>217</v>
      </c>
      <c r="D46" s="10"/>
    </row>
    <row r="47" spans="2:4" ht="16.2" customHeight="1">
      <c r="B47" s="26" t="s">
        <v>53</v>
      </c>
      <c r="C47" s="10" t="s">
        <v>218</v>
      </c>
      <c r="D47" s="10"/>
    </row>
    <row r="48" spans="2:4">
      <c r="B48" s="21" t="s">
        <v>219</v>
      </c>
      <c r="C48" s="21"/>
      <c r="D48" s="21"/>
    </row>
    <row r="50" spans="2:4" ht="21" customHeight="1">
      <c r="B50" s="8" t="s">
        <v>220</v>
      </c>
      <c r="C50" s="8"/>
      <c r="D50" s="8"/>
    </row>
    <row r="51" spans="2:4" ht="5" customHeight="1"/>
    <row r="52" spans="2:4">
      <c r="B52" s="49" t="s">
        <v>48</v>
      </c>
      <c r="C52" s="49" t="s">
        <v>221</v>
      </c>
      <c r="D52" s="30" t="s">
        <v>222</v>
      </c>
    </row>
    <row r="53" spans="2:4" ht="16.2" customHeight="1">
      <c r="B53" s="59" t="s">
        <v>223</v>
      </c>
      <c r="C53" s="60" t="s">
        <v>224</v>
      </c>
      <c r="D53" s="61" t="s">
        <v>225</v>
      </c>
    </row>
    <row r="55" spans="2:4">
      <c r="B55" s="21" t="s">
        <v>59</v>
      </c>
      <c r="C55" s="21"/>
      <c r="D55" s="21"/>
    </row>
  </sheetData>
  <sheetProtection sheet="1" formatColumns="0" formatRows="0"/>
  <mergeCells count="26">
    <mergeCell ref="A1:D1"/>
    <mergeCell ref="B2:C2"/>
    <mergeCell ref="B4:D4"/>
    <mergeCell ref="B6:D6"/>
    <mergeCell ref="B8:D8"/>
    <mergeCell ref="B21:D21"/>
    <mergeCell ref="C23:D23"/>
    <mergeCell ref="C24:D24"/>
    <mergeCell ref="C25:D25"/>
    <mergeCell ref="C26:D26"/>
    <mergeCell ref="B28:D28"/>
    <mergeCell ref="C30:D30"/>
    <mergeCell ref="C31:D31"/>
    <mergeCell ref="C32:D32"/>
    <mergeCell ref="B34:D34"/>
    <mergeCell ref="B36:D36"/>
    <mergeCell ref="B37:D37"/>
    <mergeCell ref="B39:D39"/>
    <mergeCell ref="B41:D41"/>
    <mergeCell ref="B43:D43"/>
    <mergeCell ref="C45:D45"/>
    <mergeCell ref="C46:D46"/>
    <mergeCell ref="C47:D47"/>
    <mergeCell ref="B48:D48"/>
    <mergeCell ref="B50:D50"/>
    <mergeCell ref="B55:D55"/>
  </mergeCells>
  <hyperlinks>
    <hyperlink ref="D2" r:id="rId1" tooltip="Free manufacturing calculators and templates"/>
    <hyperlink ref="B37" r:id="rId2"/>
  </hyperlinks>
  <printOptions horizontalCentered="1"/>
  <pageMargins left="0.4" right="0.4" top="0.7" bottom="0.65" header="0.3" footer="0.3"/>
  <pageSetup fitToHeight="0" orientation="portrait"/>
  <headerFooter>
    <oddHeader>&amp;L&amp;8MFG Calcs - Kanban Sizing&amp;R&amp;8&amp;A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W58"/>
  <sheetViews>
    <sheetView showGridLines="0" workbookViewId="0"/>
  </sheetViews>
  <sheetFormatPr defaultRowHeight="15"/>
  <cols>
    <col min="1" max="1" width="2.7109375" customWidth="1"/>
    <col min="2" max="19" width="12.7109375" customWidth="1"/>
    <col min="20" max="21" width="9.7109375" customWidth="1"/>
    <col min="22" max="22" width="18.7109375" customWidth="1"/>
    <col min="23" max="23" width="24.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26</v>
      </c>
      <c r="C2" s="2"/>
      <c r="D2" s="2"/>
      <c r="E2" s="2"/>
      <c r="F2" s="2"/>
      <c r="G2" s="2"/>
      <c r="H2" s="2"/>
      <c r="I2" s="2"/>
      <c r="J2" s="2"/>
      <c r="K2" s="2"/>
      <c r="L2" s="2"/>
      <c r="M2" s="2"/>
      <c r="N2" s="2"/>
      <c r="O2" s="2"/>
      <c r="P2" s="2"/>
      <c r="Q2" s="2"/>
      <c r="R2" s="2"/>
      <c r="S2" s="2"/>
      <c r="T2" s="2"/>
      <c r="U2" s="2"/>
      <c r="V2" s="2"/>
      <c r="W2" s="3" t="s">
        <v>2</v>
      </c>
    </row>
    <row r="3" spans="1:23" ht="6" customHeight="1"/>
    <row r="4" spans="1:23" ht="30" customHeight="1">
      <c r="B4" s="62" t="s">
        <v>226</v>
      </c>
      <c r="C4" s="62"/>
      <c r="D4" s="22" t="str">
        <f>IF(COUNTIF($K$11:$K$26,"PASS")=16,"PASS","FAIL")</f>
        <v>PASS</v>
      </c>
      <c r="E4" s="22"/>
      <c r="F4" s="23" t="str">
        <f>COUNTIF($K$11:$K$26,"PASS")&amp;" of 16 checks pass"</f>
        <v>16 of 16 checks pass</v>
      </c>
      <c r="G4" s="23"/>
      <c r="H4" s="23"/>
      <c r="I4" s="23"/>
      <c r="J4" s="23"/>
    </row>
    <row r="6" spans="1:23" ht="29.4" customHeight="1">
      <c r="B6" s="10" t="s">
        <v>227</v>
      </c>
      <c r="C6" s="10"/>
      <c r="D6" s="10"/>
      <c r="E6" s="10"/>
      <c r="F6" s="10"/>
      <c r="G6" s="10"/>
      <c r="H6" s="10"/>
      <c r="I6" s="10"/>
      <c r="J6" s="10"/>
      <c r="K6" s="10"/>
      <c r="L6" s="10"/>
    </row>
    <row r="8" spans="1:23" ht="21" customHeight="1">
      <c r="B8" s="8" t="s">
        <v>228</v>
      </c>
      <c r="C8" s="8"/>
      <c r="D8" s="8"/>
      <c r="E8" s="8"/>
      <c r="F8" s="8"/>
      <c r="G8" s="8"/>
      <c r="H8" s="8"/>
      <c r="I8" s="8"/>
      <c r="J8" s="8"/>
      <c r="K8" s="8"/>
      <c r="L8" s="8"/>
    </row>
    <row r="9" spans="1:23" ht="5" customHeight="1"/>
    <row r="10" spans="1:23" ht="30" customHeight="1">
      <c r="B10" s="30" t="s">
        <v>229</v>
      </c>
      <c r="C10" s="49" t="s">
        <v>104</v>
      </c>
      <c r="D10" s="49"/>
      <c r="E10" s="49"/>
      <c r="F10" s="49"/>
      <c r="G10" s="30" t="s">
        <v>230</v>
      </c>
      <c r="H10" s="30" t="s">
        <v>231</v>
      </c>
      <c r="I10" s="30" t="s">
        <v>232</v>
      </c>
      <c r="J10" s="30" t="s">
        <v>233</v>
      </c>
      <c r="K10" s="30" t="s">
        <v>234</v>
      </c>
    </row>
    <row r="11" spans="1:23" ht="16.2" customHeight="1">
      <c r="B11" s="63">
        <v>1</v>
      </c>
      <c r="C11" s="60" t="s">
        <v>235</v>
      </c>
      <c r="D11" s="60"/>
      <c r="E11" s="60"/>
      <c r="F11" s="60"/>
      <c r="G11" s="64">
        <v>200</v>
      </c>
      <c r="H11" s="65">
        <f>$L$44</f>
        <v>200</v>
      </c>
      <c r="I11" s="66">
        <f>IF(AND(ISNUMBER($G$11),ISNUMBER($H$11)),ABS($H$11-$G$11),"")</f>
        <v>0</v>
      </c>
      <c r="J11" s="67">
        <v>1E-09</v>
      </c>
      <c r="K11" s="41" t="str">
        <f>IF(AND(ISNUMBER($G$11),ISNUMBER($H$11)),IF(ABS($H$11-$G$11)&lt;=$J$11,"PASS","FAIL"),"FAIL")</f>
        <v>PASS</v>
      </c>
    </row>
    <row r="12" spans="1:23" ht="16.2" customHeight="1">
      <c r="B12" s="63">
        <v>2</v>
      </c>
      <c r="C12" s="60" t="s">
        <v>236</v>
      </c>
      <c r="D12" s="60"/>
      <c r="E12" s="60"/>
      <c r="F12" s="60"/>
      <c r="G12" s="64">
        <v>20</v>
      </c>
      <c r="H12" s="65">
        <f>$M$44</f>
        <v>20</v>
      </c>
      <c r="I12" s="66">
        <f>IF(AND(ISNUMBER($G$12),ISNUMBER($H$12)),ABS($H$12-$G$12),"")</f>
        <v>0</v>
      </c>
      <c r="J12" s="67">
        <v>1E-09</v>
      </c>
      <c r="K12" s="41" t="str">
        <f>IF(AND(ISNUMBER($G$12),ISNUMBER($H$12)),IF(ABS($H$12-$G$12)&lt;=$J$12,"PASS","FAIL"),"FAIL")</f>
        <v>PASS</v>
      </c>
    </row>
    <row r="13" spans="1:23" ht="16.2" customHeight="1">
      <c r="B13" s="63">
        <v>3</v>
      </c>
      <c r="C13" s="60" t="s">
        <v>237</v>
      </c>
      <c r="D13" s="60"/>
      <c r="E13" s="60"/>
      <c r="F13" s="60"/>
      <c r="G13" s="68">
        <v>11</v>
      </c>
      <c r="H13" s="39">
        <f>$N$44</f>
        <v>11</v>
      </c>
      <c r="I13" s="66">
        <f>IF(AND(ISNUMBER($G$13),ISNUMBER($H$13)),ABS($H$13-$G$13),"")</f>
        <v>0</v>
      </c>
      <c r="J13" s="67">
        <v>1E-09</v>
      </c>
      <c r="K13" s="41" t="str">
        <f>IF(AND(ISNUMBER($G$13),ISNUMBER($H$13)),IF(ABS($H$13-$G$13)&lt;=$J$13,"PASS","FAIL"),"FAIL")</f>
        <v>PASS</v>
      </c>
    </row>
    <row r="14" spans="1:23" ht="16.2" customHeight="1">
      <c r="B14" s="63">
        <v>4</v>
      </c>
      <c r="C14" s="60" t="s">
        <v>238</v>
      </c>
      <c r="D14" s="60"/>
      <c r="E14" s="60"/>
      <c r="F14" s="60"/>
      <c r="G14" s="68">
        <v>220</v>
      </c>
      <c r="H14" s="39">
        <f>$O$44</f>
        <v>220</v>
      </c>
      <c r="I14" s="66">
        <f>IF(AND(ISNUMBER($G$14),ISNUMBER($H$14)),ABS($H$14-$G$14),"")</f>
        <v>0</v>
      </c>
      <c r="J14" s="67">
        <v>1E-09</v>
      </c>
      <c r="K14" s="41" t="str">
        <f>IF(AND(ISNUMBER($G$14),ISNUMBER($H$14)),IF(ABS($H$14-$G$14)&lt;=$J$14,"PASS","FAIL"),"FAIL")</f>
        <v>PASS</v>
      </c>
    </row>
    <row r="15" spans="1:23" ht="16.2" customHeight="1">
      <c r="B15" s="63">
        <v>5</v>
      </c>
      <c r="C15" s="60" t="s">
        <v>239</v>
      </c>
      <c r="D15" s="60"/>
      <c r="E15" s="60"/>
      <c r="F15" s="60"/>
      <c r="G15" s="59" t="s">
        <v>240</v>
      </c>
      <c r="H15" s="51" t="str">
        <f>$R$44</f>
        <v>On target</v>
      </c>
      <c r="I15" s="51"/>
      <c r="J15" s="61" t="s">
        <v>241</v>
      </c>
      <c r="K15" s="41" t="str">
        <f>IF($H$15&amp;""=$G$15&amp;"","PASS","FAIL")</f>
        <v>PASS</v>
      </c>
    </row>
    <row r="16" spans="1:23" ht="16.2" customHeight="1">
      <c r="B16" s="63">
        <v>6</v>
      </c>
      <c r="C16" s="60" t="s">
        <v>242</v>
      </c>
      <c r="D16" s="60"/>
      <c r="E16" s="60"/>
      <c r="F16" s="60"/>
      <c r="G16" s="68">
        <v>12</v>
      </c>
      <c r="H16" s="39">
        <f>$N$45</f>
        <v>12</v>
      </c>
      <c r="I16" s="66">
        <f>IF(AND(ISNUMBER($G$16),ISNUMBER($H$16)),ABS($H$16-$G$16),"")</f>
        <v>0</v>
      </c>
      <c r="J16" s="67">
        <v>1E-09</v>
      </c>
      <c r="K16" s="41" t="str">
        <f>IF(AND(ISNUMBER($G$16),ISNUMBER($H$16)),IF(ABS($H$16-$G$16)&lt;=$J$16,"PASS","FAIL"),"FAIL")</f>
        <v>PASS</v>
      </c>
    </row>
    <row r="17" spans="2:12" ht="16.2" customHeight="1">
      <c r="B17" s="63">
        <v>7</v>
      </c>
      <c r="C17" s="60" t="s">
        <v>243</v>
      </c>
      <c r="D17" s="60"/>
      <c r="E17" s="60"/>
      <c r="F17" s="60"/>
      <c r="G17" s="68">
        <v>-3</v>
      </c>
      <c r="H17" s="39">
        <f>$Q$45</f>
        <v>-3</v>
      </c>
      <c r="I17" s="66">
        <f>IF(AND(ISNUMBER($G$17),ISNUMBER($H$17)),ABS($H$17-$G$17),"")</f>
        <v>0</v>
      </c>
      <c r="J17" s="67">
        <v>1E-09</v>
      </c>
      <c r="K17" s="41" t="str">
        <f>IF(AND(ISNUMBER($G$17),ISNUMBER($H$17)),IF(ABS($H$17-$G$17)&lt;=$J$17,"PASS","FAIL"),"FAIL")</f>
        <v>PASS</v>
      </c>
    </row>
    <row r="18" spans="2:12" ht="16.2" customHeight="1">
      <c r="B18" s="63">
        <v>8</v>
      </c>
      <c r="C18" s="60" t="s">
        <v>244</v>
      </c>
      <c r="D18" s="60"/>
      <c r="E18" s="60"/>
      <c r="F18" s="60"/>
      <c r="G18" s="64">
        <v>-270</v>
      </c>
      <c r="H18" s="65">
        <f>$U$45</f>
        <v>-270</v>
      </c>
      <c r="I18" s="66">
        <f>IF(AND(ISNUMBER($G$18),ISNUMBER($H$18)),ABS($H$18-$G$18),"")</f>
        <v>0</v>
      </c>
      <c r="J18" s="67">
        <v>1E-09</v>
      </c>
      <c r="K18" s="41" t="str">
        <f>IF(AND(ISNUMBER($G$18),ISNUMBER($H$18)),IF(ABS($H$18-$G$18)&lt;=$J$18,"PASS","FAIL"),"FAIL")</f>
        <v>PASS</v>
      </c>
    </row>
    <row r="19" spans="2:12" ht="16.2" customHeight="1">
      <c r="B19" s="63">
        <v>9</v>
      </c>
      <c r="C19" s="60" t="s">
        <v>245</v>
      </c>
      <c r="D19" s="60"/>
      <c r="E19" s="60"/>
      <c r="F19" s="60"/>
      <c r="G19" s="59" t="s">
        <v>246</v>
      </c>
      <c r="H19" s="51" t="str">
        <f>$R$45</f>
        <v>Above target</v>
      </c>
      <c r="I19" s="51"/>
      <c r="J19" s="61" t="s">
        <v>241</v>
      </c>
      <c r="K19" s="41" t="str">
        <f>IF($H$19&amp;""=$G$19&amp;"","PASS","FAIL")</f>
        <v>PASS</v>
      </c>
    </row>
    <row r="20" spans="2:12" ht="16.2" customHeight="1">
      <c r="B20" s="63">
        <v>10</v>
      </c>
      <c r="C20" s="60" t="s">
        <v>247</v>
      </c>
      <c r="D20" s="60"/>
      <c r="E20" s="60"/>
      <c r="F20" s="60"/>
      <c r="G20" s="68">
        <v>6</v>
      </c>
      <c r="H20" s="39">
        <f>$N$46</f>
        <v>6</v>
      </c>
      <c r="I20" s="66">
        <f>IF(AND(ISNUMBER($G$20),ISNUMBER($H$20)),ABS($H$20-$G$20),"")</f>
        <v>0</v>
      </c>
      <c r="J20" s="67">
        <v>1E-09</v>
      </c>
      <c r="K20" s="41" t="str">
        <f>IF(AND(ISNUMBER($G$20),ISNUMBER($H$20)),IF(ABS($H$20-$G$20)&lt;=$J$20,"PASS","FAIL"),"FAIL")</f>
        <v>PASS</v>
      </c>
    </row>
    <row r="21" spans="2:12" ht="16.2" customHeight="1">
      <c r="B21" s="63">
        <v>11</v>
      </c>
      <c r="C21" s="60" t="s">
        <v>248</v>
      </c>
      <c r="D21" s="60"/>
      <c r="E21" s="60"/>
      <c r="F21" s="60"/>
      <c r="G21" s="59" t="s">
        <v>249</v>
      </c>
      <c r="H21" s="51" t="str">
        <f>$R$46</f>
        <v>Below target</v>
      </c>
      <c r="I21" s="51"/>
      <c r="J21" s="61" t="s">
        <v>241</v>
      </c>
      <c r="K21" s="41" t="str">
        <f>IF($H$21&amp;""=$G$21&amp;"","PASS","FAIL")</f>
        <v>PASS</v>
      </c>
    </row>
    <row r="22" spans="2:12" ht="16.2" customHeight="1">
      <c r="B22" s="63">
        <v>12</v>
      </c>
      <c r="C22" s="60" t="s">
        <v>250</v>
      </c>
      <c r="D22" s="60"/>
      <c r="E22" s="60"/>
      <c r="F22" s="60"/>
      <c r="G22" s="64">
        <v>1.945945945945946</v>
      </c>
      <c r="H22" s="65">
        <f>$P$46</f>
        <v>1.94594594594595</v>
      </c>
      <c r="I22" s="66">
        <f>IF(AND(ISNUMBER($G$22),ISNUMBER($H$22)),ABS($H$22-$G$22),"")</f>
        <v>0</v>
      </c>
      <c r="J22" s="67">
        <v>1E-09</v>
      </c>
      <c r="K22" s="41" t="str">
        <f>IF(AND(ISNUMBER($G$22),ISNUMBER($H$22)),IF(ABS($H$22-$G$22)&lt;=$J$22,"PASS","FAIL"),"FAIL")</f>
        <v>PASS</v>
      </c>
    </row>
    <row r="23" spans="2:12" ht="16.2" customHeight="1">
      <c r="B23" s="63">
        <v>13</v>
      </c>
      <c r="C23" s="60" t="s">
        <v>251</v>
      </c>
      <c r="D23" s="60"/>
      <c r="E23" s="60"/>
      <c r="F23" s="60"/>
      <c r="G23" s="59" t="s">
        <v>252</v>
      </c>
      <c r="H23" s="51" t="str">
        <f>$V$47</f>
        <v>Container bigger than loop need</v>
      </c>
      <c r="I23" s="51"/>
      <c r="J23" s="61" t="s">
        <v>241</v>
      </c>
      <c r="K23" s="41" t="str">
        <f>IF($H$23&amp;""=$G$23&amp;"","PASS","FAIL")</f>
        <v>PASS</v>
      </c>
    </row>
    <row r="24" spans="2:12" ht="16.2" customHeight="1">
      <c r="B24" s="63">
        <v>14</v>
      </c>
      <c r="C24" s="60" t="s">
        <v>253</v>
      </c>
      <c r="D24" s="60"/>
      <c r="E24" s="60"/>
      <c r="F24" s="60"/>
      <c r="G24" s="68">
        <v>2</v>
      </c>
      <c r="H24" s="39">
        <f>COUNTIF(tblVerifyLoops[Status],"Below target")+COUNTIF(tblVerifyLoops[Status],"Above target")</f>
        <v>2</v>
      </c>
      <c r="I24" s="66">
        <f>IF(AND(ISNUMBER($G$24),ISNUMBER($H$24)),ABS($H$24-$G$24),"")</f>
        <v>0</v>
      </c>
      <c r="J24" s="67">
        <v>1E-09</v>
      </c>
      <c r="K24" s="41" t="str">
        <f>IF(AND(ISNUMBER($G$24),ISNUMBER($H$24)),IF(ABS($H$24-$G$24)&lt;=$J$24,"PASS","FAIL"),"FAIL")</f>
        <v>PASS</v>
      </c>
    </row>
    <row r="25" spans="2:12" ht="16.2" customHeight="1">
      <c r="B25" s="63">
        <v>15</v>
      </c>
      <c r="C25" s="60" t="s">
        <v>254</v>
      </c>
      <c r="D25" s="60"/>
      <c r="E25" s="60"/>
      <c r="F25" s="60"/>
      <c r="G25" s="64">
        <v>90</v>
      </c>
      <c r="H25" s="65">
        <f>SUM(tblVerifyLoops[Value change])</f>
        <v>90</v>
      </c>
      <c r="I25" s="66">
        <f>IF(AND(ISNUMBER($G$25),ISNUMBER($H$25)),ABS($H$25-$G$25),"")</f>
        <v>0</v>
      </c>
      <c r="J25" s="67">
        <v>1E-06</v>
      </c>
      <c r="K25" s="41" t="str">
        <f>IF(AND(ISNUMBER($G$25),ISNUMBER($H$25)),IF(ABS($H$25-$G$25)&lt;=$J$25,"PASS","FAIL"),"FAIL")</f>
        <v>PASS</v>
      </c>
    </row>
    <row r="26" spans="2:12" ht="16.2" customHeight="1">
      <c r="B26" s="63">
        <v>16</v>
      </c>
      <c r="C26" s="60" t="s">
        <v>255</v>
      </c>
      <c r="D26" s="60"/>
      <c r="E26" s="60"/>
      <c r="F26" s="60"/>
      <c r="G26" s="68">
        <v>18</v>
      </c>
      <c r="H26" s="39">
        <f>$E$52</f>
        <v>18</v>
      </c>
      <c r="I26" s="66">
        <f>IF(AND(ISNUMBER($G$26),ISNUMBER($H$26)),ABS($H$26-$G$26),"")</f>
        <v>0</v>
      </c>
      <c r="J26" s="67">
        <v>1E-09</v>
      </c>
      <c r="K26" s="41" t="str">
        <f>IF(AND(ISNUMBER($G$26),ISNUMBER($H$26)),IF(ABS($H$26-$G$26)&lt;=$J$26,"PASS","FAIL"),"FAIL")</f>
        <v>PASS</v>
      </c>
    </row>
    <row r="28" spans="2:12" ht="21" customHeight="1">
      <c r="B28" s="8" t="s">
        <v>256</v>
      </c>
      <c r="C28" s="8"/>
      <c r="D28" s="8"/>
      <c r="E28" s="8"/>
      <c r="F28" s="8"/>
      <c r="G28" s="8"/>
      <c r="H28" s="8"/>
      <c r="I28" s="8"/>
      <c r="J28" s="8"/>
      <c r="K28" s="8"/>
      <c r="L28" s="8"/>
    </row>
    <row r="29" spans="2:12" ht="5" customHeight="1"/>
    <row r="30" spans="2:12">
      <c r="B30" s="21" t="s">
        <v>257</v>
      </c>
      <c r="C30" s="21"/>
      <c r="D30" s="21"/>
      <c r="E30" s="21"/>
      <c r="F30" s="21"/>
      <c r="G30" s="21"/>
      <c r="H30" s="21"/>
      <c r="I30" s="21"/>
      <c r="J30" s="21"/>
      <c r="K30" s="21"/>
      <c r="L30" s="21"/>
    </row>
    <row r="31" spans="2:12">
      <c r="B31" s="29" t="s">
        <v>258</v>
      </c>
      <c r="C31" s="29"/>
      <c r="D31" s="29"/>
      <c r="E31" s="29"/>
      <c r="F31" s="29"/>
      <c r="G31" s="29"/>
      <c r="H31" s="29"/>
      <c r="I31" s="29"/>
      <c r="J31" s="29"/>
      <c r="K31" s="29"/>
      <c r="L31" s="29"/>
    </row>
    <row r="32" spans="2:12" ht="20" customHeight="1">
      <c r="B32" s="30" t="s">
        <v>60</v>
      </c>
      <c r="C32" s="30" t="s">
        <v>61</v>
      </c>
    </row>
    <row r="33" spans="2:23">
      <c r="B33" s="59" t="s">
        <v>259</v>
      </c>
      <c r="C33" s="59" t="s">
        <v>73</v>
      </c>
    </row>
    <row r="34" spans="2:23">
      <c r="B34" s="59" t="s">
        <v>260</v>
      </c>
      <c r="C34" s="59" t="s">
        <v>77</v>
      </c>
    </row>
    <row r="36" spans="2:23">
      <c r="B36" s="29" t="s">
        <v>261</v>
      </c>
      <c r="C36" s="29"/>
      <c r="D36" s="29"/>
      <c r="E36" s="29"/>
      <c r="F36" s="29"/>
      <c r="G36" s="29"/>
      <c r="H36" s="29"/>
      <c r="I36" s="29"/>
      <c r="J36" s="29"/>
      <c r="K36" s="29"/>
      <c r="L36" s="29"/>
    </row>
    <row r="37" spans="2:23" ht="20" customHeight="1">
      <c r="B37" s="30" t="s">
        <v>62</v>
      </c>
      <c r="C37" s="30" t="s">
        <v>63</v>
      </c>
    </row>
    <row r="38" spans="2:23">
      <c r="B38" s="59" t="s">
        <v>81</v>
      </c>
      <c r="C38" s="59" t="s">
        <v>262</v>
      </c>
    </row>
    <row r="39" spans="2:23">
      <c r="B39" s="59" t="s">
        <v>77</v>
      </c>
      <c r="C39" s="59" t="s">
        <v>262</v>
      </c>
    </row>
    <row r="41" spans="2:23">
      <c r="B41" s="29" t="s">
        <v>263</v>
      </c>
      <c r="C41" s="29"/>
      <c r="D41" s="29"/>
      <c r="E41" s="29"/>
      <c r="F41" s="29"/>
      <c r="G41" s="29"/>
      <c r="H41" s="29"/>
      <c r="I41" s="29"/>
      <c r="J41" s="29"/>
      <c r="K41" s="29"/>
      <c r="L41" s="29"/>
    </row>
    <row r="42" spans="2:23" ht="14" customHeight="1">
      <c r="B42" s="33"/>
      <c r="C42" s="33"/>
      <c r="D42" s="33"/>
      <c r="E42" s="33"/>
      <c r="F42" s="33"/>
      <c r="G42" s="33"/>
      <c r="H42" s="33"/>
      <c r="I42" s="33"/>
      <c r="J42" s="33" t="str">
        <f>Currency&amp;"/unit"</f>
        <v>EUR/unit</v>
      </c>
      <c r="K42" s="33"/>
      <c r="L42" s="33"/>
      <c r="M42" s="33"/>
      <c r="N42" s="33"/>
      <c r="O42" s="33"/>
      <c r="P42" s="33" t="s">
        <v>107</v>
      </c>
      <c r="Q42" s="33"/>
      <c r="R42" s="33"/>
      <c r="S42" s="33" t="str">
        <f>Currency</f>
        <v>EUR</v>
      </c>
      <c r="T42" s="33" t="str">
        <f>Currency</f>
        <v>EUR</v>
      </c>
      <c r="U42" s="33" t="str">
        <f>Currency</f>
        <v>EUR</v>
      </c>
      <c r="V42" s="33"/>
      <c r="W42" s="33"/>
    </row>
    <row r="43" spans="2:23" ht="45.5" customHeight="1">
      <c r="B43" s="30" t="s">
        <v>86</v>
      </c>
      <c r="C43" s="30" t="s">
        <v>87</v>
      </c>
      <c r="D43" s="30" t="s">
        <v>62</v>
      </c>
      <c r="E43" s="30" t="s">
        <v>60</v>
      </c>
      <c r="F43" s="30" t="s">
        <v>88</v>
      </c>
      <c r="G43" s="30" t="s">
        <v>89</v>
      </c>
      <c r="H43" s="30" t="s">
        <v>90</v>
      </c>
      <c r="I43" s="30" t="s">
        <v>91</v>
      </c>
      <c r="J43" s="30" t="s">
        <v>92</v>
      </c>
      <c r="K43" s="30" t="s">
        <v>93</v>
      </c>
      <c r="L43" s="30" t="s">
        <v>94</v>
      </c>
      <c r="M43" s="30" t="s">
        <v>95</v>
      </c>
      <c r="N43" s="30" t="s">
        <v>96</v>
      </c>
      <c r="O43" s="30" t="s">
        <v>97</v>
      </c>
      <c r="P43" s="30" t="s">
        <v>98</v>
      </c>
      <c r="Q43" s="30" t="s">
        <v>99</v>
      </c>
      <c r="R43" s="30" t="s">
        <v>100</v>
      </c>
      <c r="S43" s="30" t="s">
        <v>101</v>
      </c>
      <c r="T43" s="30" t="s">
        <v>102</v>
      </c>
      <c r="U43" s="30" t="s">
        <v>103</v>
      </c>
      <c r="V43" s="30" t="s">
        <v>104</v>
      </c>
      <c r="W43" s="30" t="s">
        <v>105</v>
      </c>
    </row>
    <row r="44" spans="2:23">
      <c r="B44" s="59" t="s">
        <v>264</v>
      </c>
      <c r="C44" s="59" t="s">
        <v>262</v>
      </c>
      <c r="D44" s="59" t="s">
        <v>81</v>
      </c>
      <c r="E44" s="59" t="s">
        <v>259</v>
      </c>
      <c r="F44" s="69">
        <v>100</v>
      </c>
      <c r="G44" s="64">
        <v>2</v>
      </c>
      <c r="H44" s="70">
        <v>0.1</v>
      </c>
      <c r="I44" s="68">
        <v>20</v>
      </c>
      <c r="J44" s="64">
        <v>10</v>
      </c>
      <c r="K44" s="68">
        <v>11</v>
      </c>
      <c r="L44" s="38">
        <f>IF(tblVerifyLoops[[#This Row],[Part]]="","",tblVerifyLoops[[#This Row],[Daily demand (units/day)]]*tblVerifyLoops[[#This Row],[Lead time (days)]])</f>
        <v>200</v>
      </c>
      <c r="M44" s="38">
        <f>IF(tblVerifyLoops[[#This Row],[Part]]="","",tblVerifyLoops[[#This Row],[Lead-time demand (units)]]*tblVerifyLoops[[#This Row],[Safety allowance]])</f>
        <v>20</v>
      </c>
      <c r="N44" s="39">
        <f>IF(tblVerifyLoops[[#This Row],[Part]]="","",IF(tblVerifyLoops[[#This Row],[Container qty (units)]]&gt;0,ROUNDUP(ROUND((tblVerifyLoops[[#This Row],[Lead-time demand (units)]]+tblVerifyLoops[[#This Row],[Safety stock (units)]])/tblVerifyLoops[[#This Row],[Container qty (units)]],9),0),""))</f>
        <v>11</v>
      </c>
      <c r="O44" s="39">
        <f>IF(tblVerifyLoops[[#This Row],[Part]]="","",IF(ISNUMBER(tblVerifyLoops[[#This Row],[Cards required]]),tblVerifyLoops[[#This Row],[Cards required]]*tblVerifyLoops[[#This Row],[Container qty (units)]],""))</f>
        <v>220</v>
      </c>
      <c r="P44" s="38">
        <f>IF(tblVerifyLoops[[#This Row],[Part]]="","",IF(AND(ISNUMBER(tblVerifyLoops[[#This Row],[Kanban qty (units)]]),tblVerifyLoops[[#This Row],[Daily demand (units/day)]]&gt;0),tblVerifyLoops[[#This Row],[Kanban qty (units)]]/tblVerifyLoops[[#This Row],[Daily demand (units/day)]],""))</f>
        <v>2.2</v>
      </c>
      <c r="Q44" s="40">
        <f>IF(tblVerifyLoops[[#This Row],[Part]]="","",IF(ISNUMBER(tblVerifyLoops[[#This Row],[Cards required]]),tblVerifyLoops[[#This Row],[Cards required]]-tblVerifyLoops[[#This Row],[Cards in loop now]],""))</f>
        <v>0</v>
      </c>
      <c r="R44" s="41" t="str">
        <f>IF(tblVerifyLoops[[#This Row],[Part]]="","",IF(NOT(ISNUMBER(tblVerifyLoops[[#This Row],[Card change]])),"",IF(tblVerifyLoops[[#This Row],[Card change]]=0,"On target",IF(tblVerifyLoops[[#This Row],[Card change]]&gt;0,"Below target","Above target"))))</f>
        <v>On target</v>
      </c>
      <c r="S44" s="39">
        <f>IF(tblVerifyLoops[[#This Row],[Part]]="","",tblVerifyLoops[[#This Row],[Cards in loop now]]*tblVerifyLoops[[#This Row],[Container qty (units)]]*tblVerifyLoops[[#This Row],[Unit cost]])</f>
        <v>2200</v>
      </c>
      <c r="T44" s="39">
        <f>IF(tblVerifyLoops[[#This Row],[Part]]="","",IF(ISNUMBER(tblVerifyLoops[[#This Row],[Kanban qty (units)]]),tblVerifyLoops[[#This Row],[Kanban qty (units)]]*tblVerifyLoops[[#This Row],[Unit cost]],""))</f>
        <v>2200</v>
      </c>
      <c r="U44" s="39">
        <f>IF(tblVerifyLoops[[#This Row],[Part]]="","",IF(ISNUMBER(tblVerifyLoops[[#This Row],[Card change]]),tblVerifyLoops[[#This Row],[Card change]]*tblVerifyLoops[[#This Row],[Container qty (units)]]*tblVerifyLoops[[#This Row],[Unit cost]],""))</f>
        <v>0</v>
      </c>
      <c r="V44" s="42" t="str">
        <f>IF(tblVerifyLoops[[#This Row],[Part]]="","",IF(tblVerifyLoops[[#This Row],[Daily demand (units/day)]]="","Missing daily demand",IF(tblVerifyLoops[[#This Row],[Lead time (days)]]="","Missing lead time",IF(tblVerifyLoops[[#This Row],[Safety allowance]]="","Missing safety allowance",IF(tblVerifyLoops[[#This Row],[Container qty (units)]]="","Missing container qty",IF(tblVerifyLoops[[#This Row],[Unit cost]]="","Missing unit cost",IF(tblVerifyLoops[[#This Row],[Cards in loop now]]="","Missing cards in loop now",IF(COUNTIF(tblVerifySources[Supplier or process],tblVerifyLoops[[#This Row],[Supplier or process]])=0,"Supplier or process not on list",IF(COUNTIF(tblVerifyLoopTypes[Loop type],tblVerifyLoops[[#This Row],[Loop type]])=0,"Loop type not on list",IF(COUNTIFS(tblVerifyLoops[Part],tblVerifyLoops[[#This Row],[Part]],tblVerifyLoops[Loop type],tblVerifyLoops[[#This Row],[Loop type]])&gt;1,"Part and loop listed twice",IF(tblVerifyLoops[[#This Row],[Container qty (units)]]&gt;tblVerifyLoops[[#This Row],[Lead-time demand (units)]]+tblVerifyLoops[[#This Row],[Safety stock (units)]],"Container bigger than loop need","OK")))))))))))</f>
        <v>OK</v>
      </c>
      <c r="W44" s="59" t="s">
        <v>110</v>
      </c>
    </row>
    <row r="45" spans="2:23">
      <c r="B45" s="59" t="s">
        <v>265</v>
      </c>
      <c r="C45" s="59" t="s">
        <v>262</v>
      </c>
      <c r="D45" s="59" t="s">
        <v>77</v>
      </c>
      <c r="E45" s="59" t="s">
        <v>260</v>
      </c>
      <c r="F45" s="69">
        <v>50</v>
      </c>
      <c r="G45" s="64">
        <v>4</v>
      </c>
      <c r="H45" s="70">
        <v>0.2</v>
      </c>
      <c r="I45" s="68">
        <v>20</v>
      </c>
      <c r="J45" s="64">
        <v>4.5</v>
      </c>
      <c r="K45" s="68">
        <v>15</v>
      </c>
      <c r="L45" s="38">
        <f>IF(tblVerifyLoops[[#This Row],[Part]]="","",tblVerifyLoops[[#This Row],[Daily demand (units/day)]]*tblVerifyLoops[[#This Row],[Lead time (days)]])</f>
        <v>200</v>
      </c>
      <c r="M45" s="38">
        <f>IF(tblVerifyLoops[[#This Row],[Part]]="","",tblVerifyLoops[[#This Row],[Lead-time demand (units)]]*tblVerifyLoops[[#This Row],[Safety allowance]])</f>
        <v>40</v>
      </c>
      <c r="N45" s="39">
        <f>IF(tblVerifyLoops[[#This Row],[Part]]="","",IF(tblVerifyLoops[[#This Row],[Container qty (units)]]&gt;0,ROUNDUP(ROUND((tblVerifyLoops[[#This Row],[Lead-time demand (units)]]+tblVerifyLoops[[#This Row],[Safety stock (units)]])/tblVerifyLoops[[#This Row],[Container qty (units)]],9),0),""))</f>
        <v>12</v>
      </c>
      <c r="O45" s="39">
        <f>IF(tblVerifyLoops[[#This Row],[Part]]="","",IF(ISNUMBER(tblVerifyLoops[[#This Row],[Cards required]]),tblVerifyLoops[[#This Row],[Cards required]]*tblVerifyLoops[[#This Row],[Container qty (units)]],""))</f>
        <v>240</v>
      </c>
      <c r="P45" s="38">
        <f>IF(tblVerifyLoops[[#This Row],[Part]]="","",IF(AND(ISNUMBER(tblVerifyLoops[[#This Row],[Kanban qty (units)]]),tblVerifyLoops[[#This Row],[Daily demand (units/day)]]&gt;0),tblVerifyLoops[[#This Row],[Kanban qty (units)]]/tblVerifyLoops[[#This Row],[Daily demand (units/day)]],""))</f>
        <v>4.8</v>
      </c>
      <c r="Q45" s="40">
        <f>IF(tblVerifyLoops[[#This Row],[Part]]="","",IF(ISNUMBER(tblVerifyLoops[[#This Row],[Cards required]]),tblVerifyLoops[[#This Row],[Cards required]]-tblVerifyLoops[[#This Row],[Cards in loop now]],""))</f>
        <v>-3</v>
      </c>
      <c r="R45" s="41" t="str">
        <f>IF(tblVerifyLoops[[#This Row],[Part]]="","",IF(NOT(ISNUMBER(tblVerifyLoops[[#This Row],[Card change]])),"",IF(tblVerifyLoops[[#This Row],[Card change]]=0,"On target",IF(tblVerifyLoops[[#This Row],[Card change]]&gt;0,"Below target","Above target"))))</f>
        <v>Above target</v>
      </c>
      <c r="S45" s="39">
        <f>IF(tblVerifyLoops[[#This Row],[Part]]="","",tblVerifyLoops[[#This Row],[Cards in loop now]]*tblVerifyLoops[[#This Row],[Container qty (units)]]*tblVerifyLoops[[#This Row],[Unit cost]])</f>
        <v>1350</v>
      </c>
      <c r="T45" s="39">
        <f>IF(tblVerifyLoops[[#This Row],[Part]]="","",IF(ISNUMBER(tblVerifyLoops[[#This Row],[Kanban qty (units)]]),tblVerifyLoops[[#This Row],[Kanban qty (units)]]*tblVerifyLoops[[#This Row],[Unit cost]],""))</f>
        <v>1080</v>
      </c>
      <c r="U45" s="39">
        <f>IF(tblVerifyLoops[[#This Row],[Part]]="","",IF(ISNUMBER(tblVerifyLoops[[#This Row],[Card change]]),tblVerifyLoops[[#This Row],[Card change]]*tblVerifyLoops[[#This Row],[Container qty (units)]]*tblVerifyLoops[[#This Row],[Unit cost]],""))</f>
        <v>-270</v>
      </c>
      <c r="V45" s="42" t="str">
        <f>IF(tblVerifyLoops[[#This Row],[Part]]="","",IF(tblVerifyLoops[[#This Row],[Daily demand (units/day)]]="","Missing daily demand",IF(tblVerifyLoops[[#This Row],[Lead time (days)]]="","Missing lead time",IF(tblVerifyLoops[[#This Row],[Safety allowance]]="","Missing safety allowance",IF(tblVerifyLoops[[#This Row],[Container qty (units)]]="","Missing container qty",IF(tblVerifyLoops[[#This Row],[Unit cost]]="","Missing unit cost",IF(tblVerifyLoops[[#This Row],[Cards in loop now]]="","Missing cards in loop now",IF(COUNTIF(tblVerifySources[Supplier or process],tblVerifyLoops[[#This Row],[Supplier or process]])=0,"Supplier or process not on list",IF(COUNTIF(tblVerifyLoopTypes[Loop type],tblVerifyLoops[[#This Row],[Loop type]])=0,"Loop type not on list",IF(COUNTIFS(tblVerifyLoops[Part],tblVerifyLoops[[#This Row],[Part]],tblVerifyLoops[Loop type],tblVerifyLoops[[#This Row],[Loop type]])&gt;1,"Part and loop listed twice",IF(tblVerifyLoops[[#This Row],[Container qty (units)]]&gt;tblVerifyLoops[[#This Row],[Lead-time demand (units)]]+tblVerifyLoops[[#This Row],[Safety stock (units)]],"Container bigger than loop need","OK")))))))))))</f>
        <v>OK</v>
      </c>
      <c r="W45" s="59" t="s">
        <v>110</v>
      </c>
    </row>
    <row r="46" spans="2:23">
      <c r="B46" s="59" t="s">
        <v>266</v>
      </c>
      <c r="C46" s="59" t="s">
        <v>262</v>
      </c>
      <c r="D46" s="59" t="s">
        <v>81</v>
      </c>
      <c r="E46" s="59" t="s">
        <v>259</v>
      </c>
      <c r="F46" s="69">
        <v>37</v>
      </c>
      <c r="G46" s="64">
        <v>1.5</v>
      </c>
      <c r="H46" s="70">
        <v>0.15</v>
      </c>
      <c r="I46" s="68">
        <v>12</v>
      </c>
      <c r="J46" s="64">
        <v>10</v>
      </c>
      <c r="K46" s="68">
        <v>3</v>
      </c>
      <c r="L46" s="38">
        <f>IF(tblVerifyLoops[[#This Row],[Part]]="","",tblVerifyLoops[[#This Row],[Daily demand (units/day)]]*tblVerifyLoops[[#This Row],[Lead time (days)]])</f>
        <v>55.5</v>
      </c>
      <c r="M46" s="38">
        <f>IF(tblVerifyLoops[[#This Row],[Part]]="","",tblVerifyLoops[[#This Row],[Lead-time demand (units)]]*tblVerifyLoops[[#This Row],[Safety allowance]])</f>
        <v>8.325</v>
      </c>
      <c r="N46" s="39">
        <f>IF(tblVerifyLoops[[#This Row],[Part]]="","",IF(tblVerifyLoops[[#This Row],[Container qty (units)]]&gt;0,ROUNDUP(ROUND((tblVerifyLoops[[#This Row],[Lead-time demand (units)]]+tblVerifyLoops[[#This Row],[Safety stock (units)]])/tblVerifyLoops[[#This Row],[Container qty (units)]],9),0),""))</f>
        <v>6</v>
      </c>
      <c r="O46" s="39">
        <f>IF(tblVerifyLoops[[#This Row],[Part]]="","",IF(ISNUMBER(tblVerifyLoops[[#This Row],[Cards required]]),tblVerifyLoops[[#This Row],[Cards required]]*tblVerifyLoops[[#This Row],[Container qty (units)]],""))</f>
        <v>72</v>
      </c>
      <c r="P46" s="38">
        <f>IF(tblVerifyLoops[[#This Row],[Part]]="","",IF(AND(ISNUMBER(tblVerifyLoops[[#This Row],[Kanban qty (units)]]),tblVerifyLoops[[#This Row],[Daily demand (units/day)]]&gt;0),tblVerifyLoops[[#This Row],[Kanban qty (units)]]/tblVerifyLoops[[#This Row],[Daily demand (units/day)]],""))</f>
        <v>1.94594594594595</v>
      </c>
      <c r="Q46" s="40">
        <f>IF(tblVerifyLoops[[#This Row],[Part]]="","",IF(ISNUMBER(tblVerifyLoops[[#This Row],[Cards required]]),tblVerifyLoops[[#This Row],[Cards required]]-tblVerifyLoops[[#This Row],[Cards in loop now]],""))</f>
        <v>3</v>
      </c>
      <c r="R46" s="41" t="str">
        <f>IF(tblVerifyLoops[[#This Row],[Part]]="","",IF(NOT(ISNUMBER(tblVerifyLoops[[#This Row],[Card change]])),"",IF(tblVerifyLoops[[#This Row],[Card change]]=0,"On target",IF(tblVerifyLoops[[#This Row],[Card change]]&gt;0,"Below target","Above target"))))</f>
        <v>Below target</v>
      </c>
      <c r="S46" s="39">
        <f>IF(tblVerifyLoops[[#This Row],[Part]]="","",tblVerifyLoops[[#This Row],[Cards in loop now]]*tblVerifyLoops[[#This Row],[Container qty (units)]]*tblVerifyLoops[[#This Row],[Unit cost]])</f>
        <v>360</v>
      </c>
      <c r="T46" s="39">
        <f>IF(tblVerifyLoops[[#This Row],[Part]]="","",IF(ISNUMBER(tblVerifyLoops[[#This Row],[Kanban qty (units)]]),tblVerifyLoops[[#This Row],[Kanban qty (units)]]*tblVerifyLoops[[#This Row],[Unit cost]],""))</f>
        <v>720</v>
      </c>
      <c r="U46" s="39">
        <f>IF(tblVerifyLoops[[#This Row],[Part]]="","",IF(ISNUMBER(tblVerifyLoops[[#This Row],[Card change]]),tblVerifyLoops[[#This Row],[Card change]]*tblVerifyLoops[[#This Row],[Container qty (units)]]*tblVerifyLoops[[#This Row],[Unit cost]],""))</f>
        <v>360</v>
      </c>
      <c r="V46" s="42" t="str">
        <f>IF(tblVerifyLoops[[#This Row],[Part]]="","",IF(tblVerifyLoops[[#This Row],[Daily demand (units/day)]]="","Missing daily demand",IF(tblVerifyLoops[[#This Row],[Lead time (days)]]="","Missing lead time",IF(tblVerifyLoops[[#This Row],[Safety allowance]]="","Missing safety allowance",IF(tblVerifyLoops[[#This Row],[Container qty (units)]]="","Missing container qty",IF(tblVerifyLoops[[#This Row],[Unit cost]]="","Missing unit cost",IF(tblVerifyLoops[[#This Row],[Cards in loop now]]="","Missing cards in loop now",IF(COUNTIF(tblVerifySources[Supplier or process],tblVerifyLoops[[#This Row],[Supplier or process]])=0,"Supplier or process not on list",IF(COUNTIF(tblVerifyLoopTypes[Loop type],tblVerifyLoops[[#This Row],[Loop type]])=0,"Loop type not on list",IF(COUNTIFS(tblVerifyLoops[Part],tblVerifyLoops[[#This Row],[Part]],tblVerifyLoops[Loop type],tblVerifyLoops[[#This Row],[Loop type]])&gt;1,"Part and loop listed twice",IF(tblVerifyLoops[[#This Row],[Container qty (units)]]&gt;tblVerifyLoops[[#This Row],[Lead-time demand (units)]]+tblVerifyLoops[[#This Row],[Safety stock (units)]],"Container bigger than loop need","OK")))))))))))</f>
        <v>OK</v>
      </c>
      <c r="W46" s="59" t="s">
        <v>110</v>
      </c>
    </row>
    <row r="47" spans="2:23">
      <c r="B47" s="59" t="s">
        <v>267</v>
      </c>
      <c r="C47" s="59" t="s">
        <v>262</v>
      </c>
      <c r="D47" s="59" t="s">
        <v>81</v>
      </c>
      <c r="E47" s="59" t="s">
        <v>259</v>
      </c>
      <c r="F47" s="69">
        <v>5</v>
      </c>
      <c r="G47" s="64">
        <v>1</v>
      </c>
      <c r="H47" s="70">
        <v>0</v>
      </c>
      <c r="I47" s="68">
        <v>50</v>
      </c>
      <c r="J47" s="64">
        <v>10</v>
      </c>
      <c r="K47" s="68">
        <v>1</v>
      </c>
      <c r="L47" s="38">
        <f>IF(tblVerifyLoops[[#This Row],[Part]]="","",tblVerifyLoops[[#This Row],[Daily demand (units/day)]]*tblVerifyLoops[[#This Row],[Lead time (days)]])</f>
        <v>5</v>
      </c>
      <c r="M47" s="38">
        <f>IF(tblVerifyLoops[[#This Row],[Part]]="","",tblVerifyLoops[[#This Row],[Lead-time demand (units)]]*tblVerifyLoops[[#This Row],[Safety allowance]])</f>
        <v>0</v>
      </c>
      <c r="N47" s="39">
        <f>IF(tblVerifyLoops[[#This Row],[Part]]="","",IF(tblVerifyLoops[[#This Row],[Container qty (units)]]&gt;0,ROUNDUP(ROUND((tblVerifyLoops[[#This Row],[Lead-time demand (units)]]+tblVerifyLoops[[#This Row],[Safety stock (units)]])/tblVerifyLoops[[#This Row],[Container qty (units)]],9),0),""))</f>
        <v>1</v>
      </c>
      <c r="O47" s="39">
        <f>IF(tblVerifyLoops[[#This Row],[Part]]="","",IF(ISNUMBER(tblVerifyLoops[[#This Row],[Cards required]]),tblVerifyLoops[[#This Row],[Cards required]]*tblVerifyLoops[[#This Row],[Container qty (units)]],""))</f>
        <v>50</v>
      </c>
      <c r="P47" s="38">
        <f>IF(tblVerifyLoops[[#This Row],[Part]]="","",IF(AND(ISNUMBER(tblVerifyLoops[[#This Row],[Kanban qty (units)]]),tblVerifyLoops[[#This Row],[Daily demand (units/day)]]&gt;0),tblVerifyLoops[[#This Row],[Kanban qty (units)]]/tblVerifyLoops[[#This Row],[Daily demand (units/day)]],""))</f>
        <v>10</v>
      </c>
      <c r="Q47" s="40">
        <f>IF(tblVerifyLoops[[#This Row],[Part]]="","",IF(ISNUMBER(tblVerifyLoops[[#This Row],[Cards required]]),tblVerifyLoops[[#This Row],[Cards required]]-tblVerifyLoops[[#This Row],[Cards in loop now]],""))</f>
        <v>0</v>
      </c>
      <c r="R47" s="41" t="str">
        <f>IF(tblVerifyLoops[[#This Row],[Part]]="","",IF(NOT(ISNUMBER(tblVerifyLoops[[#This Row],[Card change]])),"",IF(tblVerifyLoops[[#This Row],[Card change]]=0,"On target",IF(tblVerifyLoops[[#This Row],[Card change]]&gt;0,"Below target","Above target"))))</f>
        <v>On target</v>
      </c>
      <c r="S47" s="39">
        <f>IF(tblVerifyLoops[[#This Row],[Part]]="","",tblVerifyLoops[[#This Row],[Cards in loop now]]*tblVerifyLoops[[#This Row],[Container qty (units)]]*tblVerifyLoops[[#This Row],[Unit cost]])</f>
        <v>500</v>
      </c>
      <c r="T47" s="39">
        <f>IF(tblVerifyLoops[[#This Row],[Part]]="","",IF(ISNUMBER(tblVerifyLoops[[#This Row],[Kanban qty (units)]]),tblVerifyLoops[[#This Row],[Kanban qty (units)]]*tblVerifyLoops[[#This Row],[Unit cost]],""))</f>
        <v>500</v>
      </c>
      <c r="U47" s="39">
        <f>IF(tblVerifyLoops[[#This Row],[Part]]="","",IF(ISNUMBER(tblVerifyLoops[[#This Row],[Card change]]),tblVerifyLoops[[#This Row],[Card change]]*tblVerifyLoops[[#This Row],[Container qty (units)]]*tblVerifyLoops[[#This Row],[Unit cost]],""))</f>
        <v>0</v>
      </c>
      <c r="V47" s="42" t="str">
        <f>IF(tblVerifyLoops[[#This Row],[Part]]="","",IF(tblVerifyLoops[[#This Row],[Daily demand (units/day)]]="","Missing daily demand",IF(tblVerifyLoops[[#This Row],[Lead time (days)]]="","Missing lead time",IF(tblVerifyLoops[[#This Row],[Safety allowance]]="","Missing safety allowance",IF(tblVerifyLoops[[#This Row],[Container qty (units)]]="","Missing container qty",IF(tblVerifyLoops[[#This Row],[Unit cost]]="","Missing unit cost",IF(tblVerifyLoops[[#This Row],[Cards in loop now]]="","Missing cards in loop now",IF(COUNTIF(tblVerifySources[Supplier or process],tblVerifyLoops[[#This Row],[Supplier or process]])=0,"Supplier or process not on list",IF(COUNTIF(tblVerifyLoopTypes[Loop type],tblVerifyLoops[[#This Row],[Loop type]])=0,"Loop type not on list",IF(COUNTIFS(tblVerifyLoops[Part],tblVerifyLoops[[#This Row],[Part]],tblVerifyLoops[Loop type],tblVerifyLoops[[#This Row],[Loop type]])&gt;1,"Part and loop listed twice",IF(tblVerifyLoops[[#This Row],[Container qty (units)]]&gt;tblVerifyLoops[[#This Row],[Lead-time demand (units)]]+tblVerifyLoops[[#This Row],[Safety stock (units)]],"Container bigger than loop need","OK")))))))))))</f>
        <v>Container bigger than loop need</v>
      </c>
      <c r="W47" s="59" t="s">
        <v>110</v>
      </c>
    </row>
    <row r="49" spans="2:12">
      <c r="B49" s="29" t="s">
        <v>268</v>
      </c>
      <c r="C49" s="29"/>
      <c r="D49" s="29"/>
      <c r="E49" s="29"/>
      <c r="F49" s="29"/>
      <c r="G49" s="29"/>
      <c r="H49" s="29"/>
      <c r="I49" s="29"/>
      <c r="J49" s="29"/>
      <c r="K49" s="29"/>
      <c r="L49" s="29"/>
    </row>
    <row r="50" spans="2:12" ht="32" customHeight="1">
      <c r="B50" s="49" t="s">
        <v>60</v>
      </c>
      <c r="C50" s="30" t="s">
        <v>170</v>
      </c>
      <c r="D50" s="30" t="s">
        <v>152</v>
      </c>
      <c r="E50" s="30" t="s">
        <v>96</v>
      </c>
      <c r="F50" s="30" t="s">
        <v>171</v>
      </c>
      <c r="G50" s="30" t="s">
        <v>172</v>
      </c>
      <c r="H50" s="30" t="s">
        <v>103</v>
      </c>
    </row>
    <row r="51" spans="2:12" ht="14" customHeight="1">
      <c r="B51" s="33"/>
      <c r="C51" s="33"/>
      <c r="D51" s="33"/>
      <c r="E51" s="33"/>
      <c r="F51" s="33" t="str">
        <f>Currency</f>
        <v>EUR</v>
      </c>
      <c r="G51" s="33" t="str">
        <f>Currency</f>
        <v>EUR</v>
      </c>
      <c r="H51" s="33" t="str">
        <f>Currency</f>
        <v>EUR</v>
      </c>
    </row>
    <row r="52" spans="2:12">
      <c r="B52" s="50" t="str">
        <f>IFERROR(INDEX(tblVerifySources[Supplier or process],1)&amp;"","")</f>
        <v>Cell 1</v>
      </c>
      <c r="C52" s="39">
        <f>IF($B$52="","",COUNTIFS(tblVerifyLoops[Supplier or process],$B$52))</f>
        <v>3</v>
      </c>
      <c r="D52" s="39">
        <f>IF($B$52="","",SUMIFS(tblVerifyLoops[Cards in loop now],tblVerifyLoops[Supplier or process],$B$52))</f>
        <v>15</v>
      </c>
      <c r="E52" s="39">
        <f>IF($B$52="","",SUMIFS(tblVerifyLoops[Cards required],tblVerifyLoops[Supplier or process],$B$52))</f>
        <v>18</v>
      </c>
      <c r="F52" s="39">
        <f>IF($B$52="","",SUMIFS(tblVerifyLoops[Kanban value now],tblVerifyLoops[Supplier or process],$B$52))</f>
        <v>3060</v>
      </c>
      <c r="G52" s="39">
        <f>IF($B$52="","",SUMIFS(tblVerifyLoops[Kanban value required],tblVerifyLoops[Supplier or process],$B$52))</f>
        <v>3420</v>
      </c>
      <c r="H52" s="40">
        <f>IF($B$52="","",SUMIFS(tblVerifyLoops[Value change],tblVerifyLoops[Supplier or process],$B$52))</f>
        <v>360</v>
      </c>
    </row>
    <row r="53" spans="2:12">
      <c r="B53" s="50" t="str">
        <f>IFERROR(INDEX(tblVerifySources[Supplier or process],2)&amp;"","")</f>
        <v>Supplier X</v>
      </c>
      <c r="C53" s="39">
        <f>IF($B$53="","",COUNTIFS(tblVerifyLoops[Supplier or process],$B$53))</f>
        <v>1</v>
      </c>
      <c r="D53" s="39">
        <f>IF($B$53="","",SUMIFS(tblVerifyLoops[Cards in loop now],tblVerifyLoops[Supplier or process],$B$53))</f>
        <v>15</v>
      </c>
      <c r="E53" s="39">
        <f>IF($B$53="","",SUMIFS(tblVerifyLoops[Cards required],tblVerifyLoops[Supplier or process],$B$53))</f>
        <v>12</v>
      </c>
      <c r="F53" s="39">
        <f>IF($B$53="","",SUMIFS(tblVerifyLoops[Kanban value now],tblVerifyLoops[Supplier or process],$B$53))</f>
        <v>1350</v>
      </c>
      <c r="G53" s="39">
        <f>IF($B$53="","",SUMIFS(tblVerifyLoops[Kanban value required],tblVerifyLoops[Supplier or process],$B$53))</f>
        <v>1080</v>
      </c>
      <c r="H53" s="40">
        <f>IF($B$53="","",SUMIFS(tblVerifyLoops[Value change],tblVerifyLoops[Supplier or process],$B$53))</f>
        <v>-270</v>
      </c>
    </row>
    <row r="54" spans="2:12">
      <c r="B54" s="50">
        <f>IFERROR(INDEX(tblVerifySources[Supplier or process],3)&amp;"","")</f>
        <v/>
      </c>
      <c r="C54" s="39">
        <f>IF($B$54="","",COUNTIFS(tblVerifyLoops[Supplier or process],$B$54))</f>
        <v/>
      </c>
      <c r="D54" s="39">
        <f>IF($B$54="","",SUMIFS(tblVerifyLoops[Cards in loop now],tblVerifyLoops[Supplier or process],$B$54))</f>
        <v/>
      </c>
      <c r="E54" s="39">
        <f>IF($B$54="","",SUMIFS(tblVerifyLoops[Cards required],tblVerifyLoops[Supplier or process],$B$54))</f>
        <v/>
      </c>
      <c r="F54" s="39">
        <f>IF($B$54="","",SUMIFS(tblVerifyLoops[Kanban value now],tblVerifyLoops[Supplier or process],$B$54))</f>
        <v/>
      </c>
      <c r="G54" s="39">
        <f>IF($B$54="","",SUMIFS(tblVerifyLoops[Kanban value required],tblVerifyLoops[Supplier or process],$B$54))</f>
        <v/>
      </c>
      <c r="H54" s="40">
        <f>IF($B$54="","",SUMIFS(tblVerifyLoops[Value change],tblVerifyLoops[Supplier or process],$B$54))</f>
        <v/>
      </c>
    </row>
    <row r="55" spans="2:12">
      <c r="B55" s="50">
        <f>IFERROR(INDEX(tblVerifySources[Supplier or process],4)&amp;"","")</f>
        <v/>
      </c>
      <c r="C55" s="39">
        <f>IF($B$55="","",COUNTIFS(tblVerifyLoops[Supplier or process],$B$55))</f>
        <v/>
      </c>
      <c r="D55" s="39">
        <f>IF($B$55="","",SUMIFS(tblVerifyLoops[Cards in loop now],tblVerifyLoops[Supplier or process],$B$55))</f>
        <v/>
      </c>
      <c r="E55" s="39">
        <f>IF($B$55="","",SUMIFS(tblVerifyLoops[Cards required],tblVerifyLoops[Supplier or process],$B$55))</f>
        <v/>
      </c>
      <c r="F55" s="39">
        <f>IF($B$55="","",SUMIFS(tblVerifyLoops[Kanban value now],tblVerifyLoops[Supplier or process],$B$55))</f>
        <v/>
      </c>
      <c r="G55" s="39">
        <f>IF($B$55="","",SUMIFS(tblVerifyLoops[Kanban value required],tblVerifyLoops[Supplier or process],$B$55))</f>
        <v/>
      </c>
      <c r="H55" s="40">
        <f>IF($B$55="","",SUMIFS(tblVerifyLoops[Value change],tblVerifyLoops[Supplier or process],$B$55))</f>
        <v/>
      </c>
    </row>
    <row r="56" spans="2:12">
      <c r="B56" s="50">
        <f>IFERROR(INDEX(tblVerifySources[Supplier or process],5)&amp;"","")</f>
        <v/>
      </c>
      <c r="C56" s="39">
        <f>IF($B$56="","",COUNTIFS(tblVerifyLoops[Supplier or process],$B$56))</f>
        <v/>
      </c>
      <c r="D56" s="39">
        <f>IF($B$56="","",SUMIFS(tblVerifyLoops[Cards in loop now],tblVerifyLoops[Supplier or process],$B$56))</f>
        <v/>
      </c>
      <c r="E56" s="39">
        <f>IF($B$56="","",SUMIFS(tblVerifyLoops[Cards required],tblVerifyLoops[Supplier or process],$B$56))</f>
        <v/>
      </c>
      <c r="F56" s="39">
        <f>IF($B$56="","",SUMIFS(tblVerifyLoops[Kanban value now],tblVerifyLoops[Supplier or process],$B$56))</f>
        <v/>
      </c>
      <c r="G56" s="39">
        <f>IF($B$56="","",SUMIFS(tblVerifyLoops[Kanban value required],tblVerifyLoops[Supplier or process],$B$56))</f>
        <v/>
      </c>
      <c r="H56" s="40">
        <f>IF($B$56="","",SUMIFS(tblVerifyLoops[Value change],tblVerifyLoops[Supplier or process],$B$56))</f>
        <v/>
      </c>
    </row>
    <row r="57" spans="2:12">
      <c r="B57" s="50">
        <f>IFERROR(INDEX(tblVerifySources[Supplier or process],6)&amp;"","")</f>
        <v/>
      </c>
      <c r="C57" s="39">
        <f>IF($B$57="","",COUNTIFS(tblVerifyLoops[Supplier or process],$B$57))</f>
        <v/>
      </c>
      <c r="D57" s="39">
        <f>IF($B$57="","",SUMIFS(tblVerifyLoops[Cards in loop now],tblVerifyLoops[Supplier or process],$B$57))</f>
        <v/>
      </c>
      <c r="E57" s="39">
        <f>IF($B$57="","",SUMIFS(tblVerifyLoops[Cards required],tblVerifyLoops[Supplier or process],$B$57))</f>
        <v/>
      </c>
      <c r="F57" s="39">
        <f>IF($B$57="","",SUMIFS(tblVerifyLoops[Kanban value now],tblVerifyLoops[Supplier or process],$B$57))</f>
        <v/>
      </c>
      <c r="G57" s="39">
        <f>IF($B$57="","",SUMIFS(tblVerifyLoops[Kanban value required],tblVerifyLoops[Supplier or process],$B$57))</f>
        <v/>
      </c>
      <c r="H57" s="40">
        <f>IF($B$57="","",SUMIFS(tblVerifyLoops[Value change],tblVerifyLoops[Supplier or process],$B$57))</f>
        <v/>
      </c>
    </row>
    <row r="58" spans="2:12">
      <c r="B58" s="52" t="s">
        <v>173</v>
      </c>
      <c r="C58" s="53">
        <f>SUM($C$52:$C$57)</f>
        <v>4</v>
      </c>
      <c r="D58" s="53">
        <f>SUM($D$52:$D$57)</f>
        <v>30</v>
      </c>
      <c r="E58" s="53">
        <f>SUM($E$52:$E$57)</f>
        <v>30</v>
      </c>
      <c r="F58" s="53">
        <f>SUM($F$52:$F$57)</f>
        <v>4410</v>
      </c>
      <c r="G58" s="53">
        <f>SUM($G$52:$G$57)</f>
        <v>4500</v>
      </c>
      <c r="H58" s="54">
        <f>SUM($H$52:$H$57)</f>
        <v>90</v>
      </c>
    </row>
  </sheetData>
  <sheetProtection sheet="1" formatColumns="0" formatRows="0"/>
  <mergeCells count="30">
    <mergeCell ref="A1:W1"/>
    <mergeCell ref="B2:V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L31"/>
    <mergeCell ref="B36:L36"/>
    <mergeCell ref="B41:L41"/>
    <mergeCell ref="B49:L4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V44:V47">
    <cfRule type="expression" dxfId="3" priority="41">
      <formula>$V44="OK"</formula>
    </cfRule>
    <cfRule type="expression" dxfId="1" priority="42">
      <formula>AND($V44&lt;&gt;"",$V44&lt;&gt;"OK")</formula>
    </cfRule>
  </conditionalFormatting>
  <hyperlinks>
    <hyperlink ref="W2" r:id="rId1" tooltip="Free manufacturing calculators and templates"/>
  </hyperlinks>
  <printOptions horizontalCentered="1"/>
  <pageMargins left="0.4" right="0.4" top="0.7" bottom="0.65" header="0.3" footer="0.3"/>
  <pageSetup fitToHeight="0" orientation="landscape"/>
  <headerFooter>
    <oddHeader>&amp;L&amp;8MFG Calcs - Kanban Sizing&amp;R&amp;8&amp;A</oddHeader>
    <oddFooter>&amp;L&amp;8mfgcalcs.com - free manufacturing templates&amp;R&amp;8Page &amp;P of &amp;N</oddFooter>
  </headerFooter>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16</vt:i4>
      </vt:variant>
    </vt:vector>
  </HeadingPairs>
  <TitlesOfParts>
    <vt:vector size="22" baseType="lpstr">
      <vt:lpstr>Start Here</vt:lpstr>
      <vt:lpstr>Setup</vt:lpstr>
      <vt:lpstr>Kanban Loops</vt:lpstr>
      <vt:lpstr>Dashboard</vt:lpstr>
      <vt:lpstr>Method</vt:lpstr>
      <vt:lpstr>Verify</vt:lpstr>
      <vt:lpstr>CompanyName</vt:lpstr>
      <vt:lpstr>Currency</vt:lpstr>
      <vt:lpstr>KpiChange</vt:lpstr>
      <vt:lpstr>KpiResize</vt:lpstr>
      <vt:lpstr>KpiShort</vt:lpstr>
      <vt:lpstr>KpiValue</vt:lpstr>
      <vt:lpstr>Dashboard!Print_Area</vt:lpstr>
      <vt:lpstr>'Kanban Loops'!Print_Area</vt:lpstr>
      <vt:lpstr>Method!Print_Area</vt:lpstr>
      <vt:lpstr>Setup!Print_Area</vt:lpstr>
      <vt:lpstr>'Start Here'!Print_Area</vt:lpstr>
      <vt:lpstr>Verify!Print_Area</vt:lpstr>
      <vt:lpstr>'Kanban Loops'!Print_Titles</vt:lpstr>
      <vt:lpstr>Method!Print_Titles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Kanban Sizing - free Excel template from MFG Calcs</dc:title>
  <dc:subject>Size every kanban loop: the cards each part needs from demand, lead time, safety allowance and container size, and what resizing does to stock and cash.</dc:subject>
  <dc:creator>MFG Calcs</dc:creator>
  <cp:keywords>kanban sizing, kanban card calculation, number of kanbans, pull system, supermarket sizing, lean inventory, replenishment loop</cp:keywords>
  <dc:description>https://www.mfgcalcs.com/templates/kanban-sizing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kanban-sizing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https://www.mfgcalcs.com/templates/kanban-sizing</vt:lpwstr>
  </property>
  <property fmtid="{D5CDD505-2E9C-101B-9397-08002B2CF9AE}" pid="7" name="Template sheet roles">
    <vt:lpwstr>Start Here=start;Setup=setup;Kanban Loops=work;Dashboard=dashboard;Method=method;Verify=verify</vt:lpwstr>
  </property>
</Properties>
</file>