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Labour Rates" sheetId="3" r:id="rId3"/>
    <sheet name="Shift Log" sheetId="4" r:id="rId4"/>
    <sheet name="Dashboard" sheetId="5" r:id="rId5"/>
    <sheet name="Method" sheetId="6" r:id="rId6"/>
    <sheet name="Verify" sheetId="7" r:id="rId7"/>
  </sheets>
  <definedNames>
    <definedName name="CoName">Setup!$C$6</definedName>
    <definedName name="Currency">Setup!$C$7</definedName>
    <definedName name="DashFrom">Dashboard!$I$4</definedName>
    <definedName name="DashLine">Dashboard!$C$4</definedName>
    <definedName name="DashProduct">Dashboard!$F$4</definedName>
    <definedName name="DashTo">Dashboard!$L$4</definedName>
    <definedName name="FFrom">IF(DashFrom="",0,DashFrom)</definedName>
    <definedName name="FTo">IF(DashTo="",2958465,DashTo)</definedName>
    <definedName name="KpiCost">Dashboard!$D$8</definedName>
    <definedName name="KpiEff">Dashboard!$B$8</definedName>
    <definedName name="KpiPayroll">Dashboard!$J$8</definedName>
    <definedName name="KpiVar">Dashboard!$G$8</definedName>
    <definedName name="LineList">tblLineList[Line]</definedName>
    <definedName name="_xlnm.Print_Area" localSheetId="4">Dashboard!$A$1:$L$65</definedName>
    <definedName name="_xlnm.Print_Area" localSheetId="2">'Labour Rates'!$A$1:$U$12</definedName>
    <definedName name="_xlnm.Print_Area" localSheetId="5">Method!$A$1:$D$59</definedName>
    <definedName name="_xlnm.Print_Area" localSheetId="1">Setup!$A$1:$F$26</definedName>
    <definedName name="_xlnm.Print_Area" localSheetId="3">'Shift Log'!$A$1:$X$126</definedName>
    <definedName name="_xlnm.Print_Area" localSheetId="0">'Start Here'!$A$1:$F$57</definedName>
    <definedName name="_xlnm.Print_Area" localSheetId="6">Verify!$A$1:$X$61</definedName>
    <definedName name="_xlnm.Print_Titles" localSheetId="2">'Labour Rates'!$1:$6</definedName>
    <definedName name="_xlnm.Print_Titles" localSheetId="5">Method!$1:$2</definedName>
    <definedName name="_xlnm.Print_Titles" localSheetId="3">'Shift Log'!$1:$6</definedName>
    <definedName name="Products">tblProducts[Product]</definedName>
    <definedName name="RoleList">tblRoles[Role]</definedName>
    <definedName name="SelfCheck">Verify!$D$4</definedName>
    <definedName name="SelfCheckSummary">Verify!$F$4</definedName>
    <definedName name="ShiftList">tblShiftList[Shift]</definedName>
    <definedName name="TargetEff">Setup!$C$8</definedName>
  </definedNames>
  <calcPr calcId="124519" fullCalcOnLoad="1"/>
</workbook>
</file>

<file path=xl/sharedStrings.xml><?xml version="1.0" encoding="utf-8"?>
<sst xmlns="http://schemas.openxmlformats.org/spreadsheetml/2006/main" count="1153" uniqueCount="279">
  <si>
    <t>Labor Cost</t>
  </si>
  <si>
    <t>Read this first: what the workbook does and how to use it.</t>
  </si>
  <si>
    <t>mfgcalcs.com</t>
  </si>
  <si>
    <t>Build the real hourly cost of every role from wage, premiums, taxes, benefits and paid absence, and track labour cost per good unit shift by shift against the routing standard.</t>
  </si>
  <si>
    <t>For: Estimators, cost accountants, plant and operations managers, and owners who price labour or explain labour cost per unit.</t>
  </si>
  <si>
    <t>Version 1.0.0  ·  updated 15 October 2026</t>
  </si>
  <si>
    <t>Quick start</t>
  </si>
  <si>
    <t>1.</t>
  </si>
  <si>
    <t>On Setup, type your currency and labour efficiency target, and list your shifts, lines and products with their standard cycle and crew.</t>
  </si>
  <si>
    <t>2.</t>
  </si>
  <si>
    <t>On Labour Rates, give each role its wage, premiums, payroll taxes, benefits, paid hours, paid absence and headcount.</t>
  </si>
  <si>
    <t>3.</t>
  </si>
  <si>
    <t>On Shift Log, add one row per crew per shift: line, product, role, operators, hours and good units.</t>
  </si>
  <si>
    <t>4.</t>
  </si>
  <si>
    <t>Read labour cost per unit, efficiency and variance per row; the Check column names a role or product not on its list.</t>
  </si>
  <si>
    <t>5.</t>
  </si>
  <si>
    <t>On the Dashboard, filter by line, product or dates to see labour efficiency, cost per unit against standard and the rate build-up.</t>
  </si>
  <si>
    <t>What is in this workbook</t>
  </si>
  <si>
    <t>Start Here</t>
  </si>
  <si>
    <t>Setup</t>
  </si>
  <si>
    <t>Currency, the efficiency target, and the shift, line and product lists with their routing standards.</t>
  </si>
  <si>
    <t>Labour Rates</t>
  </si>
  <si>
    <t>One row per role: what an hour of that role costs once premiums, taxes, benefits, absence and non-productive time are in.</t>
  </si>
  <si>
    <t>Shift Log</t>
  </si>
  <si>
    <t>One row per crew per shift and line: operators, hours on shift and good units, against the routing standard.</t>
  </si>
  <si>
    <t>Dashboard</t>
  </si>
  <si>
    <t>Labour efficiency and cost against the routing standard, and what an hour of each role really costs.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</si>
  <si>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</si>
  <si>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</si>
  <si>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</si>
  <si>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</si>
  <si>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</si>
  <si>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</si>
  <si>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</si>
  <si>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</si>
  <si>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</si>
  <si>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</si>
  <si>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</si>
  <si>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</si>
  <si>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</si>
  <si>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</si>
  <si>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</si>
  <si>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</si>
  <si>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</si>
  <si>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</si>
  <si>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</si>
  <si>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</si>
  <si>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Labor Cost Calculator on mfgcalcs.com</t>
  </si>
  <si>
    <t>Latest version</t>
  </si>
  <si>
    <t>mfgcalcs.com/templates/labor-cost</t>
  </si>
  <si>
    <t>More free templates</t>
  </si>
  <si>
    <t>mfgcalcs.com/templates</t>
  </si>
  <si>
    <t>Version</t>
  </si>
  <si>
    <t>1.0.0 (updated 15 October 2026)</t>
  </si>
  <si>
    <t>About the example data</t>
  </si>
  <si>
    <t>Every number already in this workbook is example data for Lakeview Assembly, a fictional business invented for this template, so the dashboard and charts show something meaningful on day one. It rates six roles and logs four weeks of shifts (two assembly lines and a weld cell, day and evening) generated from a fixed seed; wages, burden rates and standards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</si>
  <si>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</si>
  <si>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</si>
  <si>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</si>
  <si>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</si>
  <si>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</si>
  <si>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</si>
  <si>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</si>
  <si>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</si>
  <si>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Shift</t>
  </si>
  <si>
    <t>Line</t>
  </si>
  <si>
    <t>Product</t>
  </si>
  <si>
    <t>Description</t>
  </si>
  <si>
    <t>Std cycle (s/unit)</t>
  </si>
  <si>
    <t>Std crew (people)</t>
  </si>
  <si>
    <t>Notes</t>
  </si>
  <si>
    <t>Company, currency and target</t>
  </si>
  <si>
    <t>Company or plant</t>
  </si>
  <si>
    <t>Lakeview Assembly (example)</t>
  </si>
  <si>
    <t>Currency label</t>
  </si>
  <si>
    <t>CAD</t>
  </si>
  <si>
    <t>Labour efficiency target</t>
  </si>
  <si>
    <t>Efficiency is On target at or above the target, Near target within 5% of it (80.75% to 85% against 85%), Below target otherwise. Standards and rates are examples: use your routings and payroll figures.</t>
  </si>
  <si>
    <t>Lists</t>
  </si>
  <si>
    <t>Shifts</t>
  </si>
  <si>
    <t>Lines and cells</t>
  </si>
  <si>
    <t>Day</t>
  </si>
  <si>
    <t>Line A</t>
  </si>
  <si>
    <t>Evening</t>
  </si>
  <si>
    <t>Line B</t>
  </si>
  <si>
    <t>Weld cell</t>
  </si>
  <si>
    <t>Products and routing standards (example)</t>
  </si>
  <si>
    <t>PA-100</t>
  </si>
  <si>
    <t>Pump assembly</t>
  </si>
  <si>
    <t>CB-200</t>
  </si>
  <si>
    <t>Control box, wired</t>
  </si>
  <si>
    <t>VK-150</t>
  </si>
  <si>
    <t>Valve kit</t>
  </si>
  <si>
    <t>WF-300</t>
  </si>
  <si>
    <t>Welded frame</t>
  </si>
  <si>
    <t>Role</t>
  </si>
  <si>
    <t>Base wage</t>
  </si>
  <si>
    <t>Premiums</t>
  </si>
  <si>
    <t>Payroll taxes</t>
  </si>
  <si>
    <t>Benefits</t>
  </si>
  <si>
    <t>Fixed benefits</t>
  </si>
  <si>
    <t>Paid hours</t>
  </si>
  <si>
    <t>Paid absence</t>
  </si>
  <si>
    <t>Non-productive</t>
  </si>
  <si>
    <t>Headcount</t>
  </si>
  <si>
    <t>Annual pay</t>
  </si>
  <si>
    <t>On-costs</t>
  </si>
  <si>
    <t>Cost per person</t>
  </si>
  <si>
    <t>Hours worked</t>
  </si>
  <si>
    <t>Loaded rate</t>
  </si>
  <si>
    <t>Productive hours</t>
  </si>
  <si>
    <t>Cost per productive hour</t>
  </si>
  <si>
    <t>Burden over base</t>
  </si>
  <si>
    <t>Annual cost, all heads</t>
  </si>
  <si>
    <t>Check</t>
  </si>
  <si>
    <t>Example rates for Lakeview Assembly (fictional): use your payroll figures. Loaded rate = cost per person / hours worked; cost per productive hour also spreads breaks, meetings and training. To clear: select the rows, right-click, Delete &gt; Table Rows.</t>
  </si>
  <si>
    <t>% of wage</t>
  </si>
  <si>
    <t>% of pay</t>
  </si>
  <si>
    <t>h/yr</t>
  </si>
  <si>
    <t>% of worked</t>
  </si>
  <si>
    <t>people</t>
  </si>
  <si>
    <t>%</t>
  </si>
  <si>
    <t>Assembler</t>
  </si>
  <si>
    <t>Welder</t>
  </si>
  <si>
    <t>Machine operator</t>
  </si>
  <si>
    <t>Material handler</t>
  </si>
  <si>
    <t>Quality inspector</t>
  </si>
  <si>
    <t>Team lead</t>
  </si>
  <si>
    <t>Date</t>
  </si>
  <si>
    <t>Operators</t>
  </si>
  <si>
    <t>Hours</t>
  </si>
  <si>
    <t>Good units</t>
  </si>
  <si>
    <t>Std cycle</t>
  </si>
  <si>
    <t>Std crew</t>
  </si>
  <si>
    <t>Crew hours</t>
  </si>
  <si>
    <t>Labour cost</t>
  </si>
  <si>
    <t>Cost per unit</t>
  </si>
  <si>
    <t>Std cost per unit</t>
  </si>
  <si>
    <t>Earned hours</t>
  </si>
  <si>
    <t>Efficiency</t>
  </si>
  <si>
    <t>Efficiency status</t>
  </si>
  <si>
    <t>Variance per unit</t>
  </si>
  <si>
    <t>Labour variance</t>
  </si>
  <si>
    <t>View date</t>
  </si>
  <si>
    <t>Example data for Lakeview Assembly (fictional): four weeks, two shifts, three lines. Variance = actual - standard: positive costs more than the routing allows. To clear: select the example rows, right-click, Delete &gt; Table Rows.</t>
  </si>
  <si>
    <t>h/shift</t>
  </si>
  <si>
    <t>units</t>
  </si>
  <si>
    <t>s/unit</t>
  </si>
  <si>
    <t>h</t>
  </si>
  <si>
    <t/>
  </si>
  <si>
    <t>New evening crew starts</t>
  </si>
  <si>
    <t>From</t>
  </si>
  <si>
    <t>To</t>
  </si>
  <si>
    <t>LABOUR EFFICIENCY</t>
  </si>
  <si>
    <t>Crew hours x loaded rate, in view</t>
  </si>
  <si>
    <t>Actual - standard; + costs more</t>
  </si>
  <si>
    <t>Cost per person x headcount</t>
  </si>
  <si>
    <t>By product (shifts in view)</t>
  </si>
  <si>
    <t>Status</t>
  </si>
  <si>
    <t>By line (shifts in view)</t>
  </si>
  <si>
    <t>Day shift</t>
  </si>
  <si>
    <t>Target</t>
  </si>
  <si>
    <t>Other shifts</t>
  </si>
  <si>
    <t>% eff.</t>
  </si>
  <si>
    <t>Weekly (newest first)</t>
  </si>
  <si>
    <t>Week starting (Mon)</t>
  </si>
  <si>
    <t>Chart data: cost of a productive hour by role (first roles of the Labour Rates table)</t>
  </si>
  <si>
    <t>Taxes and % benefits</t>
  </si>
  <si>
    <t>Non-productive time</t>
  </si>
  <si>
    <t>The Dashboard shows the 4 products, 3 lines and 6 roles of the lists. If you add more, extend the By product, By line and chart data blocks (see Method) or they will not appear here; the tiles always cover every row.</t>
  </si>
  <si>
    <t>What this workbook calculates</t>
  </si>
  <si>
    <t>Labour costs more than the wage: premiums, payroll taxes and benefits come on top of every paid hour, paid absence is paid but not worked, and part of every worked hour goes to breaks, meetings and training. The Labour Rates sheet turns those into two rates per role: the loaded rate per hour worked, which the Shift Log charges for every crew hour, and the cost per productive hour, the rate to price standard work content at. The Shift Log compares what each crew cost per good unit with what the routing standard allows.</t>
  </si>
  <si>
    <t>Calculations</t>
  </si>
  <si>
    <t>Quantity</t>
  </si>
  <si>
    <t>How it is calculated</t>
  </si>
  <si>
    <t>Units</t>
  </si>
  <si>
    <t>Base wage x (1 + premiums) x paid hours.</t>
  </si>
  <si>
    <t>currency/yr</t>
  </si>
  <si>
    <t>Annual pay x (payroll taxes + benefits) + fixed benefits.</t>
  </si>
  <si>
    <t>Annual pay + on-costs; x headcount = annual cost, all heads.</t>
  </si>
  <si>
    <t>Cost per person / hours worked (paid hours - paid absence).</t>
  </si>
  <si>
    <t>currency/h</t>
  </si>
  <si>
    <t>Cost per person / (hours worked x (1 - non-productive share)).</t>
  </si>
  <si>
    <t>Loaded rate / base wage - 1.</t>
  </si>
  <si>
    <t>Labour cost (shift)</t>
  </si>
  <si>
    <t>Operators x hours x loaded rate of the role (crew hours x rate).</t>
  </si>
  <si>
    <t>currency</t>
  </si>
  <si>
    <t>Labour cost / good units.</t>
  </si>
  <si>
    <t>currency/unit</t>
  </si>
  <si>
    <t>Std crew x loaded rate x std cycle / 3600.</t>
  </si>
  <si>
    <t>Earned hours, efficiency</t>
  </si>
  <si>
    <t>Good units x std crew x std cycle / 3600; efficiency = earned hours / crew hours, with status against the target.</t>
  </si>
  <si>
    <t>h, %</t>
  </si>
  <si>
    <t>Labour cost - std cost per unit x good units (per unit: cost per unit - std cost per unit).</t>
  </si>
  <si>
    <t>Dashboard roll-ups</t>
  </si>
  <si>
    <t>SUMIFS over rows whose View date is filled (inside the line, product and date filters); efficiency = sum of earned hours / sum of crew hours.</t>
  </si>
  <si>
    <t>-</t>
  </si>
  <si>
    <t>Assumptions</t>
  </si>
  <si>
    <t>Shift hours are paid hours on shift, breaks included, so efficiency and cost per unit carry the breaks (as the live calculator does).</t>
  </si>
  <si>
    <t>The standard is valued at the same loaded rate as the actual hours, so the labour variance is an efficiency variance; a wage rate variance would need a separate standard rate.</t>
  </si>
  <si>
    <t>Premiums are an annual average share of base pay; a week of heavy overtime is not charged at a higher rate in the log.</t>
  </si>
  <si>
    <t>Every crew hour on the log is direct labour on the product shown; indirect roles are costed on Labour Rates only.</t>
  </si>
  <si>
    <t>Limitations</t>
  </si>
  <si>
    <t>Payroll taxes, benefits and absence are your inputs: the workbook holds no country's statutory rates.</t>
  </si>
  <si>
    <t>One role per log row: a mixed crew needs one row per role with the same good units split, or a blended role.</t>
  </si>
  <si>
    <t>The Dashboard blocks show 4 products, 3 lines and 6 roles; a warning appears when the lists are longer.</t>
  </si>
  <si>
    <t>Salaried staff with unpaid overtime are costed on their paid hours only.</t>
  </si>
  <si>
    <t>Agreement with the live calculator</t>
  </si>
  <si>
    <t>The live Labor Cost calculator takes operators, a loaded labour rate, paid hours per shift, good units, the standard cycle and the standard crew, and returns shift labour cost, labour cost per good unit, standard labour cost per unit, labour variance per unit and per shift, labour efficiency and crew cost per hour. Each Shift Log row is that calculation, with the rate looked up from Labour Rates and the standard from Setup; the workbook adds the rate build-up, the log, the roll-ups and the Dashboard. The build checks the reference against the calculator's engine for its own example (3 operators at 38.00 for 8 h, 520 good units, 52 s, crew of 3: 1.7538 per unit, efficiency 93.9%) and for one example shift.</t>
  </si>
  <si>
    <t>Open the Labor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</si>
  <si>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</si>
  <si>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</si>
  <si>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Labour cost build-up and standard costing of direct labour as described in management accounting texts, e.g. Horngren, Datar and Rajan, Cost Accounting: A Managerial Emphasis.</t>
  </si>
  <si>
    <t>Earned hours and labour efficiency (standard hours of good output / actual hours) as defined in standard costing practice.</t>
  </si>
  <si>
    <t>MFG Calcs Labor Cost calculator (labor-cost): shift labour cost, cost per good unit, standard cost per unit, efficiency and variance.</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</si>
  <si>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</si>
  <si>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</si>
  <si>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</si>
  <si>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</si>
  <si>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</si>
  <si>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</si>
  <si>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</si>
  <si>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</si>
  <si>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</si>
  <si>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</si>
  <si>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</si>
  <si>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</si>
  <si>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</si>
  <si>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</si>
  <si>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</si>
  <si>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Role 1: annual pay</t>
  </si>
  <si>
    <t>Role 1: on-costs</t>
  </si>
  <si>
    <t>Role 1: loaded rate per hour worked</t>
  </si>
  <si>
    <t>Role 1: cost per productive hour</t>
  </si>
  <si>
    <t>Role 1: burden over base</t>
  </si>
  <si>
    <t>Role 1: annual cost, all heads</t>
  </si>
  <si>
    <t>Role 2 (no absence, no fixed benefits): loaded rate</t>
  </si>
  <si>
    <t>Role 3: Check reports absence equal to paid hours</t>
  </si>
  <si>
    <t>Absence not below paid hours</t>
  </si>
  <si>
    <t>exact</t>
  </si>
  <si>
    <t>Role 3: loaded rate is blank, not an error</t>
  </si>
  <si>
    <t>Shift 1 (calculator example): labour cost (calculator: 912.00)</t>
  </si>
  <si>
    <t>Shift 1: cost per unit (calculator: 1.7538)</t>
  </si>
  <si>
    <t>Shift 1: std cost per unit (calculator: 1.6467)</t>
  </si>
  <si>
    <t>Shift 1: efficiency (calculator: 93.9%)</t>
  </si>
  <si>
    <t>Shift 1: variance per unit (calculator: 0.1072)</t>
  </si>
  <si>
    <t>Shift 1: labour variance (calculator: 55.73)</t>
  </si>
  <si>
    <t>Shift 1: efficiency status against 85%</t>
  </si>
  <si>
    <t>On target</t>
  </si>
  <si>
    <t>Shift 2 (extra operator): efficiency</t>
  </si>
  <si>
    <t>Shift 2: status</t>
  </si>
  <si>
    <t>Below target</t>
  </si>
  <si>
    <t>Shift 3 (10-hour shift): earned hours</t>
  </si>
  <si>
    <t>Shift 3: labour variance</t>
  </si>
  <si>
    <t>Shift 4: Check reports a role not on Labour Rates</t>
  </si>
  <si>
    <t>Role not on Labour Rates</t>
  </si>
  <si>
    <t>Shift 4: labour cost stays blank</t>
  </si>
  <si>
    <t>All shifts: labour efficiency (Dashboard formula)</t>
  </si>
  <si>
    <t>All shifts: labour cost (Dashboard formula)</t>
  </si>
  <si>
    <t>All shifts: labour variance (Dashboard formula)</t>
  </si>
  <si>
    <t>Annual cost, all roles (Dashboard formula)</t>
  </si>
  <si>
    <t>Fixed test inputs</t>
  </si>
  <si>
    <t>White cells are fixed test inputs; blue cells are the workbook's formulas evaluated on them.</t>
  </si>
  <si>
    <t>Parameters</t>
  </si>
  <si>
    <t>Filter: from (0 = no limit)</t>
  </si>
  <si>
    <t>Filter: to (2958465 = no limit)</t>
  </si>
  <si>
    <t>Filter: line (blank = all)</t>
  </si>
  <si>
    <t>Filter: product (blank = all)</t>
  </si>
  <si>
    <t>Efficiency target</t>
  </si>
  <si>
    <t>Test table: Roles</t>
  </si>
  <si>
    <t>Operator</t>
  </si>
  <si>
    <t>Lead</t>
  </si>
  <si>
    <t>Bad input</t>
  </si>
  <si>
    <t>Test table: Shifts</t>
  </si>
  <si>
    <t>L1</t>
  </si>
  <si>
    <t>P1</t>
  </si>
  <si>
    <t>L2</t>
  </si>
  <si>
    <t>P2</t>
  </si>
  <si>
    <t>Typo</t>
  </si>
</sst>
</file>

<file path=xl/styles.xml><?xml version="1.0" encoding="utf-8"?>
<styleSheet xmlns="http://schemas.openxmlformats.org/spreadsheetml/2006/main">
  <numFmts count="10">
    <numFmt numFmtId="164" formatCode="0.0%"/>
    <numFmt numFmtId="165" formatCode="#,##0.0"/>
    <numFmt numFmtId="166" formatCode="#,##0.00"/>
    <numFmt numFmtId="167" formatCode="#,##0"/>
    <numFmt numFmtId="168" formatCode="0%"/>
    <numFmt numFmtId="169" formatCode="d mmm yyyy"/>
    <numFmt numFmtId="170" formatCode="#,##0.0000"/>
    <numFmt numFmtId="171" formatCode="&quot;Target &quot;0.0%"/>
    <numFmt numFmtId="172" formatCode="0.0E+00"/>
    <numFmt numFmtId="173"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7" fontId="9" fillId="4" borderId="3" xfId="0" applyNumberFormat="1" applyFont="1" applyFill="1" applyBorder="1" applyAlignment="1">
      <alignment vertical="center"/>
    </xf>
    <xf numFmtId="166" fontId="9"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169"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9" fontId="10"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4" fontId="10" fillId="0" borderId="9" xfId="0" applyNumberFormat="1" applyFont="1" applyBorder="1" applyAlignment="1">
      <alignment vertical="center"/>
    </xf>
    <xf numFmtId="169"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70"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0" fontId="10" fillId="4" borderId="3" xfId="0" applyFont="1" applyFill="1" applyBorder="1" applyAlignment="1">
      <alignment vertical="center"/>
    </xf>
    <xf numFmtId="167" fontId="10" fillId="0" borderId="9" xfId="0" applyNumberFormat="1" applyFont="1" applyBorder="1" applyAlignment="1">
      <alignment vertical="center"/>
    </xf>
    <xf numFmtId="165" fontId="10" fillId="0" borderId="9" xfId="0" applyNumberFormat="1" applyFont="1" applyBorder="1" applyAlignment="1">
      <alignment vertical="center"/>
    </xf>
    <xf numFmtId="169"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of a productive hour, by role</a:t>
            </a:r>
          </a:p>
        </c:rich>
      </c:tx>
      <c:layout/>
    </c:title>
    <c:plotArea>
      <c:layout/>
      <c:barChart>
        <c:barDir val="bar"/>
        <c:grouping val="stacked"/>
        <c:ser>
          <c:idx val="0"/>
          <c:order val="0"/>
          <c:tx>
            <c:v>Base wage</c:v>
          </c:tx>
          <c:spPr>
            <a:solidFill>
              <a:srgbClr val="3B64D8"/>
            </a:solidFill>
            <a:ln w="9525">
              <a:solidFill>
                <a:srgbClr val="FFFFFF"/>
              </a:solidFill>
            </a:ln>
          </c:spPr>
          <c:cat>
            <c:strRef>
              <c:f>Dashboard!$B$57:$B$62</c:f>
              <c:strCache>
                <c:ptCount val="6"/>
                <c:pt idx="0">
                  <c:v>Assembler</c:v>
                </c:pt>
                <c:pt idx="1">
                  <c:v>Welder</c:v>
                </c:pt>
                <c:pt idx="2">
                  <c:v>Machine operator</c:v>
                </c:pt>
                <c:pt idx="3">
                  <c:v>Material handler</c:v>
                </c:pt>
                <c:pt idx="4">
                  <c:v>Quality inspector</c:v>
                </c:pt>
                <c:pt idx="5">
                  <c:v>Team lead</c:v>
                </c:pt>
              </c:strCache>
            </c:strRef>
          </c:cat>
          <c:val>
            <c:numRef>
              <c:f>Dashboard!$C$57:$C$62</c:f>
              <c:numCache>
                <c:formatCode>General</c:formatCode>
                <c:ptCount val="6"/>
                <c:pt idx="0">
                  <c:v>24.5</c:v>
                </c:pt>
                <c:pt idx="1">
                  <c:v>32</c:v>
                </c:pt>
                <c:pt idx="2">
                  <c:v>27</c:v>
                </c:pt>
                <c:pt idx="3">
                  <c:v>23</c:v>
                </c:pt>
                <c:pt idx="4">
                  <c:v>29</c:v>
                </c:pt>
                <c:pt idx="5">
                  <c:v>34</c:v>
                </c:pt>
              </c:numCache>
            </c:numRef>
          </c:val>
        </c:ser>
        <c:ser>
          <c:idx val="1"/>
          <c:order val="1"/>
          <c:tx>
            <c:v>Premiums</c:v>
          </c:tx>
          <c:spPr>
            <a:solidFill>
              <a:srgbClr val="E8702A"/>
            </a:solidFill>
            <a:ln w="9525">
              <a:solidFill>
                <a:srgbClr val="FFFFFF"/>
              </a:solidFill>
            </a:ln>
          </c:spPr>
          <c:cat>
            <c:strRef>
              <c:f>Dashboard!$B$57:$B$62</c:f>
              <c:strCache>
                <c:ptCount val="6"/>
                <c:pt idx="0">
                  <c:v>Assembler</c:v>
                </c:pt>
                <c:pt idx="1">
                  <c:v>Welder</c:v>
                </c:pt>
                <c:pt idx="2">
                  <c:v>Machine operator</c:v>
                </c:pt>
                <c:pt idx="3">
                  <c:v>Material handler</c:v>
                </c:pt>
                <c:pt idx="4">
                  <c:v>Quality inspector</c:v>
                </c:pt>
                <c:pt idx="5">
                  <c:v>Team lead</c:v>
                </c:pt>
              </c:strCache>
            </c:strRef>
          </c:cat>
          <c:val>
            <c:numRef>
              <c:f>Dashboard!$D$57:$D$62</c:f>
              <c:numCache>
                <c:formatCode>General</c:formatCode>
                <c:ptCount val="6"/>
                <c:pt idx="0">
                  <c:v>1.225</c:v>
                </c:pt>
                <c:pt idx="1">
                  <c:v>2.24</c:v>
                </c:pt>
                <c:pt idx="2">
                  <c:v>1.35</c:v>
                </c:pt>
                <c:pt idx="3">
                  <c:v>0.92</c:v>
                </c:pt>
                <c:pt idx="4">
                  <c:v>0.87</c:v>
                </c:pt>
                <c:pt idx="5">
                  <c:v>1.36</c:v>
                </c:pt>
              </c:numCache>
            </c:numRef>
          </c:val>
        </c:ser>
        <c:ser>
          <c:idx val="2"/>
          <c:order val="2"/>
          <c:tx>
            <c:v>Taxes and % benefits</c:v>
          </c:tx>
          <c:spPr>
            <a:solidFill>
              <a:srgbClr val="1BA37A"/>
            </a:solidFill>
            <a:ln w="9525">
              <a:solidFill>
                <a:srgbClr val="FFFFFF"/>
              </a:solidFill>
            </a:ln>
          </c:spPr>
          <c:cat>
            <c:strRef>
              <c:f>Dashboard!$B$57:$B$62</c:f>
              <c:strCache>
                <c:ptCount val="6"/>
                <c:pt idx="0">
                  <c:v>Assembler</c:v>
                </c:pt>
                <c:pt idx="1">
                  <c:v>Welder</c:v>
                </c:pt>
                <c:pt idx="2">
                  <c:v>Machine operator</c:v>
                </c:pt>
                <c:pt idx="3">
                  <c:v>Material handler</c:v>
                </c:pt>
                <c:pt idx="4">
                  <c:v>Quality inspector</c:v>
                </c:pt>
                <c:pt idx="5">
                  <c:v>Team lead</c:v>
                </c:pt>
              </c:strCache>
            </c:strRef>
          </c:cat>
          <c:val>
            <c:numRef>
              <c:f>Dashboard!$E$57:$E$62</c:f>
              <c:numCache>
                <c:formatCode>General</c:formatCode>
                <c:ptCount val="6"/>
                <c:pt idx="0">
                  <c:v>3.85875</c:v>
                </c:pt>
                <c:pt idx="1">
                  <c:v>5.136</c:v>
                </c:pt>
                <c:pt idx="2">
                  <c:v>4.2525</c:v>
                </c:pt>
                <c:pt idx="3">
                  <c:v>3.588</c:v>
                </c:pt>
                <c:pt idx="4">
                  <c:v>4.4805</c:v>
                </c:pt>
                <c:pt idx="5">
                  <c:v>6.0112</c:v>
                </c:pt>
              </c:numCache>
            </c:numRef>
          </c:val>
        </c:ser>
        <c:ser>
          <c:idx val="3"/>
          <c:order val="3"/>
          <c:tx>
            <c:v>Fixed benefits</c:v>
          </c:tx>
          <c:spPr>
            <a:solidFill>
              <a:srgbClr val="E0A100"/>
            </a:solidFill>
            <a:ln w="9525">
              <a:solidFill>
                <a:srgbClr val="FFFFFF"/>
              </a:solidFill>
            </a:ln>
          </c:spPr>
          <c:cat>
            <c:strRef>
              <c:f>Dashboard!$B$57:$B$62</c:f>
              <c:strCache>
                <c:ptCount val="6"/>
                <c:pt idx="0">
                  <c:v>Assembler</c:v>
                </c:pt>
                <c:pt idx="1">
                  <c:v>Welder</c:v>
                </c:pt>
                <c:pt idx="2">
                  <c:v>Machine operator</c:v>
                </c:pt>
                <c:pt idx="3">
                  <c:v>Material handler</c:v>
                </c:pt>
                <c:pt idx="4">
                  <c:v>Quality inspector</c:v>
                </c:pt>
                <c:pt idx="5">
                  <c:v>Team lead</c:v>
                </c:pt>
              </c:strCache>
            </c:strRef>
          </c:cat>
          <c:val>
            <c:numRef>
              <c:f>Dashboard!$F$57:$F$62</c:f>
              <c:numCache>
                <c:formatCode>General</c:formatCode>
                <c:ptCount val="6"/>
                <c:pt idx="0">
                  <c:v>2.01923076923077</c:v>
                </c:pt>
                <c:pt idx="1">
                  <c:v>2.01923076923077</c:v>
                </c:pt>
                <c:pt idx="2">
                  <c:v>2.01923076923077</c:v>
                </c:pt>
                <c:pt idx="3">
                  <c:v>2.01923076923077</c:v>
                </c:pt>
                <c:pt idx="4">
                  <c:v>2.01923076923077</c:v>
                </c:pt>
                <c:pt idx="5">
                  <c:v>2.30769230769231</c:v>
                </c:pt>
              </c:numCache>
            </c:numRef>
          </c:val>
        </c:ser>
        <c:ser>
          <c:idx val="4"/>
          <c:order val="4"/>
          <c:tx>
            <c:v>Paid absence</c:v>
          </c:tx>
          <c:spPr>
            <a:solidFill>
              <a:srgbClr val="D0558A"/>
            </a:solidFill>
            <a:ln w="9525">
              <a:solidFill>
                <a:srgbClr val="FFFFFF"/>
              </a:solidFill>
            </a:ln>
          </c:spPr>
          <c:cat>
            <c:strRef>
              <c:f>Dashboard!$B$57:$B$62</c:f>
              <c:strCache>
                <c:ptCount val="6"/>
                <c:pt idx="0">
                  <c:v>Assembler</c:v>
                </c:pt>
                <c:pt idx="1">
                  <c:v>Welder</c:v>
                </c:pt>
                <c:pt idx="2">
                  <c:v>Machine operator</c:v>
                </c:pt>
                <c:pt idx="3">
                  <c:v>Material handler</c:v>
                </c:pt>
                <c:pt idx="4">
                  <c:v>Quality inspector</c:v>
                </c:pt>
                <c:pt idx="5">
                  <c:v>Team lead</c:v>
                </c:pt>
              </c:strCache>
            </c:strRef>
          </c:cat>
          <c:val>
            <c:numRef>
              <c:f>Dashboard!$G$57:$G$62</c:f>
              <c:numCache>
                <c:formatCode>General</c:formatCode>
                <c:ptCount val="6"/>
                <c:pt idx="0">
                  <c:v>2.92128393665158</c:v>
                </c:pt>
                <c:pt idx="1">
                  <c:v>3.82644990303814</c:v>
                </c:pt>
                <c:pt idx="2">
                  <c:v>3.20032805429864</c:v>
                </c:pt>
                <c:pt idx="3">
                  <c:v>2.72940788623142</c:v>
                </c:pt>
                <c:pt idx="4">
                  <c:v>3.36190788623142</c:v>
                </c:pt>
                <c:pt idx="5">
                  <c:v>4.03754466709761</c:v>
                </c:pt>
              </c:numCache>
            </c:numRef>
          </c:val>
        </c:ser>
        <c:ser>
          <c:idx val="5"/>
          <c:order val="5"/>
          <c:tx>
            <c:v>Non-productive time</c:v>
          </c:tx>
          <c:spPr>
            <a:solidFill>
              <a:srgbClr val="6250D6"/>
            </a:solidFill>
            <a:ln w="9525">
              <a:solidFill>
                <a:srgbClr val="FFFFFF"/>
              </a:solidFill>
            </a:ln>
          </c:spPr>
          <c:cat>
            <c:strRef>
              <c:f>Dashboard!$B$57:$B$62</c:f>
              <c:strCache>
                <c:ptCount val="6"/>
                <c:pt idx="0">
                  <c:v>Assembler</c:v>
                </c:pt>
                <c:pt idx="1">
                  <c:v>Welder</c:v>
                </c:pt>
                <c:pt idx="2">
                  <c:v>Machine operator</c:v>
                </c:pt>
                <c:pt idx="3">
                  <c:v>Material handler</c:v>
                </c:pt>
                <c:pt idx="4">
                  <c:v>Quality inspector</c:v>
                </c:pt>
                <c:pt idx="5">
                  <c:v>Team lead</c:v>
                </c:pt>
              </c:strCache>
            </c:strRef>
          </c:cat>
          <c:val>
            <c:numRef>
              <c:f>Dashboard!$H$57:$H$62</c:f>
              <c:numCache>
                <c:formatCode>General</c:formatCode>
                <c:ptCount val="6"/>
                <c:pt idx="0">
                  <c:v>3.00210997442455</c:v>
                </c:pt>
                <c:pt idx="1">
                  <c:v>5.02463118580765</c:v>
                </c:pt>
                <c:pt idx="2">
                  <c:v>3.2888746803069</c:v>
                </c:pt>
                <c:pt idx="3">
                  <c:v>4.39863254392666</c:v>
                </c:pt>
                <c:pt idx="4">
                  <c:v>3.45492510047497</c:v>
                </c:pt>
                <c:pt idx="5">
                  <c:v>8.42054770143352</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Labour efficiency by line: day vs other shifts</a:t>
            </a:r>
          </a:p>
        </c:rich>
      </c:tx>
      <c:layout/>
    </c:title>
    <c:plotArea>
      <c:layout/>
      <c:barChart>
        <c:barDir val="col"/>
        <c:grouping val="clustered"/>
        <c:ser>
          <c:idx val="0"/>
          <c:order val="0"/>
          <c:tx>
            <c:v>Day shift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Dashboard!$B$40:$B$42</c:f>
              <c:strCache>
                <c:ptCount val="3"/>
                <c:pt idx="0">
                  <c:v>Line A</c:v>
                </c:pt>
                <c:pt idx="1">
                  <c:v>Line B</c:v>
                </c:pt>
                <c:pt idx="2">
                  <c:v>Weld cell</c:v>
                </c:pt>
              </c:strCache>
            </c:strRef>
          </c:cat>
          <c:val>
            <c:numRef>
              <c:f>Dashboard!$G$40:$G$42</c:f>
              <c:numCache>
                <c:formatCode>General</c:formatCode>
                <c:ptCount val="3"/>
                <c:pt idx="0">
                  <c:v>0.900830078125</c:v>
                </c:pt>
                <c:pt idx="1">
                  <c:v>0.9009670781893</c:v>
                </c:pt>
                <c:pt idx="2">
                  <c:v>0.907941176470588</c:v>
                </c:pt>
              </c:numCache>
            </c:numRef>
          </c:val>
        </c:ser>
        <c:ser>
          <c:idx val="1"/>
          <c:order val="1"/>
          <c:tx>
            <c:v>Other shifts</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Dashboard!$B$40:$B$42</c:f>
              <c:strCache>
                <c:ptCount val="3"/>
                <c:pt idx="0">
                  <c:v>Line A</c:v>
                </c:pt>
                <c:pt idx="1">
                  <c:v>Line B</c:v>
                </c:pt>
                <c:pt idx="2">
                  <c:v>Weld cell</c:v>
                </c:pt>
              </c:strCache>
            </c:strRef>
          </c:cat>
          <c:val>
            <c:numRef>
              <c:f>Dashboard!$I$40:$I$42</c:f>
              <c:numCache>
                <c:formatCode>General</c:formatCode>
                <c:ptCount val="3"/>
                <c:pt idx="0">
                  <c:v>0.879979482323232</c:v>
                </c:pt>
                <c:pt idx="1">
                  <c:v>0.761747967479675</c:v>
                </c:pt>
                <c:pt idx="2">
                  <c:v>0.908333333333333</c:v>
                </c:pt>
              </c:numCache>
            </c:numRef>
          </c:val>
        </c:ser>
        <c:gapWidth val="60"/>
        <c:overlap val="-10"/>
        <c:axId val="50020001"/>
        <c:axId val="50020002"/>
      </c:barChart>
      <c:lineChart>
        <c:grouping val="standard"/>
        <c:ser>
          <c:idx val="2"/>
          <c:order val="2"/>
          <c:tx>
            <c:v>Target</c:v>
          </c:tx>
          <c:spPr>
            <a:ln w="19050">
              <a:solidFill>
                <a:srgbClr val="4A5361"/>
              </a:solidFill>
              <a:prstDash val="dash"/>
            </a:ln>
          </c:spPr>
          <c:marker>
            <c:symbol val="none"/>
          </c:marker>
          <c:cat>
            <c:strRef>
              <c:f>Dashboard!$B$40:$B$42</c:f>
              <c:strCache>
                <c:ptCount val="3"/>
                <c:pt idx="0">
                  <c:v>Line A</c:v>
                </c:pt>
                <c:pt idx="1">
                  <c:v>Line B</c:v>
                </c:pt>
                <c:pt idx="2">
                  <c:v>Weld cell</c:v>
                </c:pt>
              </c:strCache>
            </c:strRef>
          </c:cat>
          <c:val>
            <c:numRef>
              <c:f>Dashboard!$H$40:$H$42</c:f>
              <c:numCache>
                <c:formatCode>General</c:formatCode>
                <c:ptCount val="3"/>
                <c:pt idx="0">
                  <c:v>0.85</c:v>
                </c:pt>
                <c:pt idx="1">
                  <c:v>0.85</c:v>
                </c:pt>
                <c:pt idx="2">
                  <c:v>0.85</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bar chart of each role's cost per productive hour split into base wage, premiums, payroll taxes and percentage benefits, fixed benefits, paid absence and non-productive ti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labour efficiency for each line, day shift next to the other shifts, with the efficienc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hiftList" displayName="tblShiftList" ref="B15:B17" totalsRowShown="0">
  <autoFilter ref="B15:B17"/>
  <tableColumns count="1">
    <tableColumn id="1" name="Shift"/>
  </tableColumns>
  <tableStyleInfo name="TableStyleLight1" showFirstColumn="0" showLastColumn="0" showRowStripes="0" showColumnStripes="0"/>
</table>
</file>

<file path=xl/tables/table2.xml><?xml version="1.0" encoding="utf-8"?>
<table xmlns="http://schemas.openxmlformats.org/spreadsheetml/2006/main" id="2" name="tblLineList" displayName="tblLineList" ref="C15:C18" totalsRowShown="0">
  <autoFilter ref="C15:C18"/>
  <tableColumns count="1">
    <tableColumn id="1" name="Line"/>
  </tableColumns>
  <tableStyleInfo name="TableStyleLight1" showFirstColumn="0" showLastColumn="0" showRowStripes="0" showColumnStripes="0"/>
</table>
</file>

<file path=xl/tables/table3.xml><?xml version="1.0" encoding="utf-8"?>
<table xmlns="http://schemas.openxmlformats.org/spreadsheetml/2006/main" id="3" name="tblProducts" displayName="tblProducts" ref="B22:F26" totalsRowShown="0">
  <autoFilter ref="B22:F26"/>
  <tableColumns count="5">
    <tableColumn id="1" name="Product"/>
    <tableColumn id="2" name="Description"/>
    <tableColumn id="3" name="Std cycle (s/unit)"/>
    <tableColumn id="4" name="Std crew (people)"/>
    <tableColumn id="5" name="Notes"/>
  </tableColumns>
  <tableStyleInfo name="TableStyleLight1" showFirstColumn="0" showLastColumn="0" showRowStripes="0" showColumnStripes="0"/>
</table>
</file>

<file path=xl/tables/table4.xml><?xml version="1.0" encoding="utf-8"?>
<table xmlns="http://schemas.openxmlformats.org/spreadsheetml/2006/main" id="4" name="tblRoles" displayName="tblRoles" ref="B6:U12" totalsRowShown="0">
  <autoFilter ref="B6:U12"/>
  <tableColumns count="20">
    <tableColumn id="1" name="Role"/>
    <tableColumn id="2" name="Base wage"/>
    <tableColumn id="3" name="Premiums"/>
    <tableColumn id="4" name="Payroll taxes"/>
    <tableColumn id="5" name="Benefits"/>
    <tableColumn id="6" name="Fixed benefits"/>
    <tableColumn id="7" name="Paid hours"/>
    <tableColumn id="8" name="Paid absence"/>
    <tableColumn id="9" name="Non-productive"/>
    <tableColumn id="10" name="Headcount"/>
    <tableColumn id="11" name="Annual pay">
      <calculatedColumnFormula>IF(tblRoles[[#This Row],[Role]]="","",tblRoles[[#This Row],[Base wage]]*(1+tblRoles[[#This Row],[Premiums]])*tblRoles[[#This Row],[Paid hours]])</calculatedColumnFormula>
    </tableColumn>
    <tableColumn id="12" name="On-costs">
      <calculatedColumnFormula>IF(tblRoles[[#This Row],[Role]]="","",tblRoles[[#This Row],[Annual pay]]*(tblRoles[[#This Row],[Payroll taxes]]+tblRoles[[#This Row],[Benefits]])+tblRoles[[#This Row],[Fixed benefits]])</calculatedColumnFormula>
    </tableColumn>
    <tableColumn id="13" name="Cost per person">
      <calculatedColumnFormula>IF(tblRoles[[#This Row],[Role]]="","",tblRoles[[#This Row],[Annual pay]]+tblRoles[[#This Row],[On-costs]])</calculatedColumnFormula>
    </tableColumn>
    <tableColumn id="14" name="Hours worked">
      <calculatedColumnFormula>IF(tblRoles[[#This Row],[Role]]="","",tblRoles[[#This Row],[Paid hours]]-tblRoles[[#This Row],[Paid absence]])</calculatedColumnFormula>
    </tableColumn>
    <tableColumn id="15" name="Loaded rate">
      <calculatedColumnFormula>IF(tblRoles[[#This Row],[Role]]="","",IF((tblRoles[[#This Row],[Hours worked]])=0,"",(tblRoles[[#This Row],[Cost per person]])/(tblRoles[[#This Row],[Hours worked]])))</calculatedColumnFormula>
    </tableColumn>
    <tableColumn id="16" name="Productive hours">
      <calculatedColumnFormula>IF(tblRoles[[#This Row],[Role]]="","",tblRoles[[#This Row],[Hours worked]]*(1-tblRoles[[#This Row],[Non-productive]]))</calculatedColumnFormula>
    </tableColumn>
    <tableColumn id="17" name="Cost per productive hour">
      <calculatedColumnFormula>IF(tblRoles[[#This Row],[Role]]="","",IF((tblRoles[[#This Row],[Productive hours]])=0,"",(tblRoles[[#This Row],[Cost per person]])/(tblRoles[[#This Row],[Productive hours]])))</calculatedColumnFormula>
    </tableColumn>
    <tableColumn id="18" name="Burden over base">
      <calculatedColumnFormula>IF(tblRoles[[#This Row],[Role]]="","",IF(OR(N(tblRoles[[#This Row],[Base wage]])=0,N(tblRoles[[#This Row],[Loaded rate]])=0),"",tblRoles[[#This Row],[Loaded rate]]/tblRoles[[#This Row],[Base wage]]-1))</calculatedColumnFormula>
    </tableColumn>
    <tableColumn id="19" name="Annual cost, all heads">
      <calculatedColumnFormula>IF(tblRoles[[#This Row],[Role]]="","",tblRoles[[#This Row],[Cost per person]]*tblRoles[[#This Row],[Headcount]])</calculatedColumnFormula>
    </tableColumn>
    <tableColumn id="20" name="Check">
      <calculatedColumnFormula>IF(tblRoles[[#This Row],[Role]]="","",IF(tblRoles[[#This Row],[Base wage]]="","Missing base wage",IF(tblRoles[[#This Row],[Paid hours]]="","Missing paid hours",IF(tblRoles[[#This Row],[Paid absence]]&gt;=tblRoles[[#This Row],[Paid hours]],"Absence not below paid hours",IF(COUNTIF(tblRoles[Role],tblRoles[[#This Row],[Role]])&gt;1,"Duplicate role","OK")))))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Shifts" displayName="tblShifts" ref="B6:X126" totalsRowShown="0">
  <autoFilter ref="B6:X126"/>
  <tableColumns count="23">
    <tableColumn id="1" name="Date"/>
    <tableColumn id="2" name="Shift"/>
    <tableColumn id="3" name="Line"/>
    <tableColumn id="4" name="Product"/>
    <tableColumn id="5" name="Role"/>
    <tableColumn id="6" name="Operators"/>
    <tableColumn id="7" name="Hours"/>
    <tableColumn id="8" name="Good units"/>
    <tableColumn id="9" name="Loaded rate">
      <calculatedColumnFormula>IF(tblShifts[[#This Row],[Date]]="","",IFERROR(INDEX(tblRoles[Loaded rate],MATCH(tblShifts[[#This Row],[Role]],tblRoles[Role],0)),""))</calculatedColumnFormula>
    </tableColumn>
    <tableColumn id="10" name="Std cycle">
      <calculatedColumnFormula>IF(tblShifts[[#This Row],[Date]]="","",IFERROR(INDEX(tblProducts[Std cycle (s/unit)],MATCH(tblShifts[[#This Row],[Product]],tblProducts[Product],0)),""))</calculatedColumnFormula>
    </tableColumn>
    <tableColumn id="11" name="Std crew">
      <calculatedColumnFormula>IF(tblShifts[[#This Row],[Date]]="","",IFERROR(INDEX(tblProducts[Std crew (people)],MATCH(tblShifts[[#This Row],[Product]],tblProducts[Product],0)),""))</calculatedColumnFormula>
    </tableColumn>
    <tableColumn id="12" name="Crew hours">
      <calculatedColumnFormula>IF(tblShifts[[#This Row],[Date]]="","",tblShifts[[#This Row],[Operators]]*tblShifts[[#This Row],[Hours]])</calculatedColumnFormula>
    </tableColumn>
    <tableColumn id="13" name="Labour cost">
      <calculatedColumnFormula>IF(tblShifts[[#This Row],[Date]]="","",IF(tblShifts[[#This Row],[Loaded rate]]="","",tblShifts[[#This Row],[Crew hours]]*tblShifts[[#This Row],[Loaded rate]]))</calculatedColumnFormula>
    </tableColumn>
    <tableColumn id="14" name="Cost per unit">
      <calculatedColumnFormula>IF(tblShifts[[#This Row],[Date]]="","",IF(OR(tblShifts[[#This Row],[Labour cost]]="",N(tblShifts[[#This Row],[Good units]])=0),"",tblShifts[[#This Row],[Labour cost]]/tblShifts[[#This Row],[Good units]]))</calculatedColumnFormula>
    </tableColumn>
    <tableColumn id="15" name="Std cost per unit">
      <calculatedColumnFormula>IF(tblShifts[[#This Row],[Date]]="","",IF(OR(tblShifts[[#This Row],[Loaded rate]]="",tblShifts[[#This Row],[Std cycle]]=""),"",tblShifts[[#This Row],[Std crew]]*tblShifts[[#This Row],[Loaded rate]]*tblShifts[[#This Row],[Std cycle]]/3600))</calculatedColumnFormula>
    </tableColumn>
    <tableColumn id="16" name="Earned hours">
      <calculatedColumnFormula>IF(tblShifts[[#This Row],[Date]]="","",IF(tblShifts[[#This Row],[Std cycle]]="","",tblShifts[[#This Row],[Good units]]*tblShifts[[#This Row],[Std crew]]*tblShifts[[#This Row],[Std cycle]]/3600))</calculatedColumnFormula>
    </tableColumn>
    <tableColumn id="17" name="Efficiency">
      <calculatedColumnFormula>IF(tblShifts[[#This Row],[Date]]="","",IF(OR(tblShifts[[#This Row],[Earned hours]]="",N(tblShifts[[#This Row],[Crew hours]])=0),"",tblShifts[[#This Row],[Earned hours]]/tblShifts[[#This Row],[Crew hours]]))</calculatedColumnFormula>
    </tableColumn>
    <tableColumn id="18" name="Efficiency status">
      <calculatedColumnFormula>IF(NOT(ISNUMBER(tblShifts[[#This Row],[Efficiency]])),"",IF(tblShifts[[#This Row],[Efficiency]]&gt;=TargetEff,"On target",IF(tblShifts[[#This Row],[Efficiency]]&gt;=TargetEff*(1-0.05),"Near target","Below target")))</calculatedColumnFormula>
    </tableColumn>
    <tableColumn id="19" name="Variance per unit">
      <calculatedColumnFormula>IF(tblShifts[[#This Row],[Date]]="","",IF(OR(tblShifts[[#This Row],[Cost per unit]]="",tblShifts[[#This Row],[Std cost per unit]]=""),"",tblShifts[[#This Row],[Cost per unit]]-tblShifts[[#This Row],[Std cost per unit]]))</calculatedColumnFormula>
    </tableColumn>
    <tableColumn id="20" name="Labour variance">
      <calculatedColumnFormula>IF(tblShifts[[#This Row],[Date]]="","",IF(OR(tblShifts[[#This Row],[Labour cost]]="",tblShifts[[#This Row],[Std cost per unit]]=""),"",tblShifts[[#This Row],[Labour cost]]-tblShifts[[#This Row],[Std cost per unit]]*tblShifts[[#This Row],[Good units]]))</calculatedColumnFormula>
    </tableColumn>
    <tableColumn id="21" name="Check">
      <calculatedColumnFormula>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calculatedColumnFormula>
    </tableColumn>
    <tableColumn id="22" name="View date">
      <calculatedColumnFormula>IF(tblShifts[[#This Row],[Date]]="","",IF(AND(tblShifts[[#This Row],[Date]]&gt;=FFrom,tblShifts[[#This Row],[Date]]&lt;=FTo,OR(DashLine="",tblShifts[[#This Row],[Line]]=DashLine),OR(DashProduct="",tblShifts[[#This Row],[Product]]=DashProduct)),tblShifts[[#This Row],[Date]],""))</calculatedColumnFormula>
    </tableColumn>
    <tableColumn id="23" name="Notes"/>
  </tableColumns>
  <tableStyleInfo name="TableStyleLight1" showFirstColumn="0" showLastColumn="0" showRowStripes="0" showColumnStripes="0"/>
</table>
</file>

<file path=xl/tables/table6.xml><?xml version="1.0" encoding="utf-8"?>
<table xmlns="http://schemas.openxmlformats.org/spreadsheetml/2006/main" id="6" name="tblVerifyRoles" displayName="tblVerifyRoles" ref="B50:U53" totalsRowShown="0">
  <tableColumns count="20">
    <tableColumn id="1" name="Role"/>
    <tableColumn id="2" name="Base wage"/>
    <tableColumn id="3" name="Premiums"/>
    <tableColumn id="4" name="Payroll taxes"/>
    <tableColumn id="5" name="Benefits"/>
    <tableColumn id="6" name="Fixed benefits"/>
    <tableColumn id="7" name="Paid hours"/>
    <tableColumn id="8" name="Paid absence"/>
    <tableColumn id="9" name="Non-productive"/>
    <tableColumn id="10" name="Headcount"/>
    <tableColumn id="11" name="Annual pay">
      <calculatedColumnFormula>IF(tblVerifyRoles[[#This Row],[Role]]="","",tblVerifyRoles[[#This Row],[Base wage]]*(1+tblVerifyRoles[[#This Row],[Premiums]])*tblVerifyRoles[[#This Row],[Paid hours]])</calculatedColumnFormula>
    </tableColumn>
    <tableColumn id="12" name="On-costs">
      <calculatedColumnFormula>IF(tblVerifyRoles[[#This Row],[Role]]="","",tblVerifyRoles[[#This Row],[Annual pay]]*(tblVerifyRoles[[#This Row],[Payroll taxes]]+tblVerifyRoles[[#This Row],[Benefits]])+tblVerifyRoles[[#This Row],[Fixed benefits]])</calculatedColumnFormula>
    </tableColumn>
    <tableColumn id="13" name="Cost per person">
      <calculatedColumnFormula>IF(tblVerifyRoles[[#This Row],[Role]]="","",tblVerifyRoles[[#This Row],[Annual pay]]+tblVerifyRoles[[#This Row],[On-costs]])</calculatedColumnFormula>
    </tableColumn>
    <tableColumn id="14" name="Hours worked">
      <calculatedColumnFormula>IF(tblVerifyRoles[[#This Row],[Role]]="","",tblVerifyRoles[[#This Row],[Paid hours]]-tblVerifyRoles[[#This Row],[Paid absence]])</calculatedColumnFormula>
    </tableColumn>
    <tableColumn id="15" name="Loaded rate">
      <calculatedColumnFormula>IF(tblVerifyRoles[[#This Row],[Role]]="","",IF((tblVerifyRoles[[#This Row],[Hours worked]])=0,"",(tblVerifyRoles[[#This Row],[Cost per person]])/(tblVerifyRoles[[#This Row],[Hours worked]])))</calculatedColumnFormula>
    </tableColumn>
    <tableColumn id="16" name="Productive hours">
      <calculatedColumnFormula>IF(tblVerifyRoles[[#This Row],[Role]]="","",tblVerifyRoles[[#This Row],[Hours worked]]*(1-tblVerifyRoles[[#This Row],[Non-productive]]))</calculatedColumnFormula>
    </tableColumn>
    <tableColumn id="17" name="Cost per productive hour">
      <calculatedColumnFormula>IF(tblVerifyRoles[[#This Row],[Role]]="","",IF((tblVerifyRoles[[#This Row],[Productive hours]])=0,"",(tblVerifyRoles[[#This Row],[Cost per person]])/(tblVerifyRoles[[#This Row],[Productive hours]])))</calculatedColumnFormula>
    </tableColumn>
    <tableColumn id="18" name="Burden over base">
      <calculatedColumnFormula>IF(tblVerifyRoles[[#This Row],[Role]]="","",IF(OR(N(tblVerifyRoles[[#This Row],[Base wage]])=0,N(tblVerifyRoles[[#This Row],[Loaded rate]])=0),"",tblVerifyRoles[[#This Row],[Loaded rate]]/tblVerifyRoles[[#This Row],[Base wage]]-1))</calculatedColumnFormula>
    </tableColumn>
    <tableColumn id="19" name="Annual cost, all heads">
      <calculatedColumnFormula>IF(tblVerifyRoles[[#This Row],[Role]]="","",tblVerifyRoles[[#This Row],[Cost per person]]*tblVerifyRoles[[#This Row],[Headcount]])</calculatedColumnFormula>
    </tableColumn>
    <tableColumn id="20" name="Check">
      <calculatedColumnFormula>IF(tblVerifyRoles[[#This Row],[Role]]="","",IF(tblVerifyRoles[[#This Row],[Base wage]]="","Missing base wage",IF(tblVerifyRoles[[#This Row],[Paid hours]]="","Missing paid hours",IF(tblVerifyRoles[[#This Row],[Paid absence]]&gt;=tblVerifyRoles[[#This Row],[Paid hours]],"Absence not below paid hours",IF(COUNTIF(tblVerifyRoles[Role],tblVerifyRoles[[#This Row],[Role]])&gt;1,"Duplicate role","OK")))))</calculatedColumnFormula>
    </tableColumn>
  </tableColumns>
  <tableStyleInfo name="TableStyleLight1" showFirstColumn="0" showLastColumn="0" showRowStripes="0" showColumnStripes="0"/>
</table>
</file>

<file path=xl/tables/table7.xml><?xml version="1.0" encoding="utf-8"?>
<table xmlns="http://schemas.openxmlformats.org/spreadsheetml/2006/main" id="7" name="tblVerifyShifts" displayName="tblVerifyShifts" ref="B57:X61" totalsRowShown="0">
  <tableColumns count="23">
    <tableColumn id="1" name="Date"/>
    <tableColumn id="2" name="Shift"/>
    <tableColumn id="3" name="Line"/>
    <tableColumn id="4" name="Product"/>
    <tableColumn id="5" name="Role"/>
    <tableColumn id="6" name="Operators"/>
    <tableColumn id="7" name="Hours"/>
    <tableColumn id="8" name="Good units"/>
    <tableColumn id="9" name="Loaded rate"/>
    <tableColumn id="10" name="Std cycle"/>
    <tableColumn id="11" name="Std crew"/>
    <tableColumn id="12" name="Crew hours">
      <calculatedColumnFormula>IF(tblVerifyShifts[[#This Row],[Date]]="","",tblVerifyShifts[[#This Row],[Operators]]*tblVerifyShifts[[#This Row],[Hours]])</calculatedColumnFormula>
    </tableColumn>
    <tableColumn id="13" name="Labour cost">
      <calculatedColumnFormula>IF(tblVerifyShifts[[#This Row],[Date]]="","",IF(tblVerifyShifts[[#This Row],[Loaded rate]]="","",tblVerifyShifts[[#This Row],[Crew hours]]*tblVerifyShifts[[#This Row],[Loaded rate]]))</calculatedColumnFormula>
    </tableColumn>
    <tableColumn id="14" name="Cost per unit">
      <calculatedColumnFormula>IF(tblVerifyShifts[[#This Row],[Date]]="","",IF(OR(tblVerifyShifts[[#This Row],[Labour cost]]="",N(tblVerifyShifts[[#This Row],[Good units]])=0),"",tblVerifyShifts[[#This Row],[Labour cost]]/tblVerifyShifts[[#This Row],[Good units]]))</calculatedColumnFormula>
    </tableColumn>
    <tableColumn id="15" name="Std cost per unit">
      <calculatedColumnFormula>IF(tblVerifyShifts[[#This Row],[Date]]="","",IF(OR(tblVerifyShifts[[#This Row],[Loaded rate]]="",tblVerifyShifts[[#This Row],[Std cycle]]=""),"",tblVerifyShifts[[#This Row],[Std crew]]*tblVerifyShifts[[#This Row],[Loaded rate]]*tblVerifyShifts[[#This Row],[Std cycle]]/3600))</calculatedColumnFormula>
    </tableColumn>
    <tableColumn id="16" name="Earned hours">
      <calculatedColumnFormula>IF(tblVerifyShifts[[#This Row],[Date]]="","",IF(tblVerifyShifts[[#This Row],[Std cycle]]="","",tblVerifyShifts[[#This Row],[Good units]]*tblVerifyShifts[[#This Row],[Std crew]]*tblVerifyShifts[[#This Row],[Std cycle]]/3600))</calculatedColumnFormula>
    </tableColumn>
    <tableColumn id="17" name="Efficiency">
      <calculatedColumnFormula>IF(tblVerifyShifts[[#This Row],[Date]]="","",IF(OR(tblVerifyShifts[[#This Row],[Earned hours]]="",N(tblVerifyShifts[[#This Row],[Crew hours]])=0),"",tblVerifyShifts[[#This Row],[Earned hours]]/tblVerifyShifts[[#This Row],[Crew hours]]))</calculatedColumnFormula>
    </tableColumn>
    <tableColumn id="18" name="Efficiency status">
      <calculatedColumnFormula>IF(NOT(ISNUMBER(tblVerifyShifts[[#This Row],[Efficiency]])),"",IF(tblVerifyShifts[[#This Row],[Efficiency]]&gt;=$E$46,"On target",IF(tblVerifyShifts[[#This Row],[Efficiency]]&gt;=$E$46*(1-0.05),"Near target","Below target")))</calculatedColumnFormula>
    </tableColumn>
    <tableColumn id="19" name="Variance per unit">
      <calculatedColumnFormula>IF(tblVerifyShifts[[#This Row],[Date]]="","",IF(OR(tblVerifyShifts[[#This Row],[Cost per unit]]="",tblVerifyShifts[[#This Row],[Std cost per unit]]=""),"",tblVerifyShifts[[#This Row],[Cost per unit]]-tblVerifyShifts[[#This Row],[Std cost per unit]]))</calculatedColumnFormula>
    </tableColumn>
    <tableColumn id="20" name="Labour variance">
      <calculatedColumnFormula>IF(tblVerifyShifts[[#This Row],[Date]]="","",IF(OR(tblVerifyShifts[[#This Row],[Labour cost]]="",tblVerifyShifts[[#This Row],[Std cost per unit]]=""),"",tblVerifyShifts[[#This Row],[Labour cost]]-tblVerifyShifts[[#This Row],[Std cost per unit]]*tblVerifyShifts[[#This Row],[Good units]]))</calculatedColumnFormula>
    </tableColumn>
    <tableColumn id="21" name="Check">
      <calculatedColumnFormula>IF(tblVerifyShifts[[#This Row],[Date]]="","",IF(tblVerifyShifts[[#This Row],[Line]]="","Missing line",IF(tblVerifyShifts[[#This Row],[Product]]="","Missing product",IF(tblVerifyShifts[[#This Row],[Role]]="","Missing role",IF(tblVerifyShifts[[#This Row],[Operators]]="","Missing operators",IF(tblVerifyShifts[[#This Row],[Hours]]="","Missing hours",IF(tblVerifyShifts[[#This Row],[Loaded rate]]="","Role not on Labour Rates",IF(tblVerifyShifts[[#This Row],[Std cycle]]="","Product not on Setup list",IF(tblVerifyShifts[[#This Row],[Hours]]&gt;24,"More than 24 hours",IF(tblVerifyShifts[[#This Row],[Good units]]=0,"No good units","OK"))))))))))</calculatedColumnFormula>
    </tableColumn>
    <tableColumn id="22" name="View date">
      <calculatedColumnFormula>IF(tblVerifyShifts[[#This Row],[Date]]="","",IF(AND(tblVerifyShifts[[#This Row],[Date]]&gt;=$E$42,tblVerifyShifts[[#This Row],[Date]]&lt;=$E$43,OR($E$44="",tblVerifyShifts[[#This Row],[Line]]=$E$44),OR($E$45="",tblVerifyShifts[[#This Row],[Product]]=$E$45)),tblVerifyShifts[[#This Row],[Date]],""))</calculatedColumnFormula>
    </tableColumn>
    <tableColumn id="2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hyperlink" Target="https://www.mfgcalcs.com/calculators/lean-manufacturing-operations/labor-cost?utm_source=mfgcalcs-template&amp;utm_medium=xlsx&amp;utm_campaign=labor-cost" TargetMode="External"/><Relationship Id="rId3" Type="http://schemas.openxmlformats.org/officeDocument/2006/relationships/hyperlink" Target="https://www.mfgcalcs.com/templates/labor-cost?utm_source=mfgcalcs-template&amp;utm_medium=xlsx&amp;utm_campaign=labor-cost" TargetMode="External"/><Relationship Id="rId4" Type="http://schemas.openxmlformats.org/officeDocument/2006/relationships/hyperlink" Target="https://www.mfgcalcs.com/templates?utm_source=mfgcalcs-template&amp;utm_medium=xlsx&amp;utm_campaign=labor-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hyperlink" Target="https://www.mfgcalcs.com/calculators/lean-manufacturing-operations/labor-cost?utm_source=mfgcalcs-template&amp;utm_medium=xlsx&amp;utm_campaign=labor-cos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cost" TargetMode="External"/><Relationship Id="rId2" Type="http://schemas.openxmlformats.org/officeDocument/2006/relationships/table" Target="../tables/table6.xml"/><Relationship Id="rId3"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26 of 26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Labour Rates'!A1" tooltip="Go to Labour Rates" display="Labour Rates"/>
    <hyperlink ref="C23" location="'Shift Log'!A1" tooltip="Go to Shift Log" display="Shift Log"/>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Labor Cost&amp;R&amp;8&amp;A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26"/>
  <sheetViews>
    <sheetView showGridLines="0" workbookViewId="0"/>
  </sheetViews>
  <sheetFormatPr defaultRowHeight="15"/>
  <cols>
    <col min="1" max="1" width="2.7109375" customWidth="1"/>
    <col min="2" max="2" width="30.7109375" customWidth="1"/>
    <col min="3" max="3" width="26.7109375" customWidth="1"/>
    <col min="4" max="4" width="16.7109375" customWidth="1"/>
    <col min="5" max="5" width="14.7109375" customWidth="1"/>
    <col min="6" max="6" width="36.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71</v>
      </c>
      <c r="C4" s="8"/>
      <c r="D4" s="8"/>
      <c r="E4" s="8"/>
      <c r="F4" s="8"/>
    </row>
    <row r="5" spans="1:6" ht="5" customHeight="1"/>
    <row r="6" spans="1:6">
      <c r="B6" s="27" t="s">
        <v>72</v>
      </c>
      <c r="C6" s="28" t="s">
        <v>73</v>
      </c>
      <c r="D6" s="28"/>
    </row>
    <row r="7" spans="1:6">
      <c r="B7" s="27" t="s">
        <v>74</v>
      </c>
      <c r="C7" s="28" t="s">
        <v>75</v>
      </c>
      <c r="D7" s="28"/>
    </row>
    <row r="8" spans="1:6">
      <c r="B8" s="27" t="s">
        <v>76</v>
      </c>
      <c r="C8" s="29">
        <v>0.85</v>
      </c>
      <c r="D8" s="7"/>
    </row>
    <row r="10" spans="1:6" ht="35.4" customHeight="1">
      <c r="B10" s="25" t="s">
        <v>77</v>
      </c>
      <c r="C10" s="25"/>
      <c r="D10" s="25"/>
      <c r="E10" s="25"/>
      <c r="F10" s="25"/>
    </row>
    <row r="12" spans="1:6" ht="21" customHeight="1">
      <c r="B12" s="8" t="s">
        <v>78</v>
      </c>
      <c r="C12" s="8"/>
      <c r="D12" s="8"/>
      <c r="E12" s="8"/>
      <c r="F12" s="8"/>
    </row>
    <row r="13" spans="1:6" ht="5" customHeight="1"/>
    <row r="14" spans="1:6">
      <c r="B14" s="30" t="s">
        <v>79</v>
      </c>
      <c r="C14" s="30" t="s">
        <v>80</v>
      </c>
    </row>
    <row r="15" spans="1:6" ht="20" customHeight="1">
      <c r="B15" s="31" t="s">
        <v>64</v>
      </c>
      <c r="C15" s="31" t="s">
        <v>65</v>
      </c>
    </row>
    <row r="16" spans="1:6">
      <c r="B16" s="28" t="s">
        <v>81</v>
      </c>
      <c r="C16" s="28" t="s">
        <v>82</v>
      </c>
    </row>
    <row r="17" spans="2:6">
      <c r="B17" s="28" t="s">
        <v>83</v>
      </c>
      <c r="C17" s="28" t="s">
        <v>84</v>
      </c>
    </row>
    <row r="18" spans="2:6">
      <c r="C18" s="28" t="s">
        <v>85</v>
      </c>
    </row>
    <row r="21" spans="2:6">
      <c r="B21" s="30" t="s">
        <v>86</v>
      </c>
      <c r="C21" s="30"/>
      <c r="D21" s="30"/>
      <c r="E21" s="30"/>
      <c r="F21" s="30"/>
    </row>
    <row r="22" spans="2:6" ht="32" customHeight="1">
      <c r="B22" s="31" t="s">
        <v>66</v>
      </c>
      <c r="C22" s="31" t="s">
        <v>67</v>
      </c>
      <c r="D22" s="31" t="s">
        <v>68</v>
      </c>
      <c r="E22" s="31" t="s">
        <v>69</v>
      </c>
      <c r="F22" s="31" t="s">
        <v>70</v>
      </c>
    </row>
    <row r="23" spans="2:6">
      <c r="B23" s="28" t="s">
        <v>87</v>
      </c>
      <c r="C23" s="28" t="s">
        <v>88</v>
      </c>
      <c r="D23" s="32">
        <v>95</v>
      </c>
      <c r="E23" s="32">
        <v>3</v>
      </c>
      <c r="F23" s="28"/>
    </row>
    <row r="24" spans="2:6">
      <c r="B24" s="28" t="s">
        <v>89</v>
      </c>
      <c r="C24" s="28" t="s">
        <v>90</v>
      </c>
      <c r="D24" s="32">
        <v>140</v>
      </c>
      <c r="E24" s="32">
        <v>2</v>
      </c>
      <c r="F24" s="28"/>
    </row>
    <row r="25" spans="2:6">
      <c r="B25" s="28" t="s">
        <v>91</v>
      </c>
      <c r="C25" s="28" t="s">
        <v>92</v>
      </c>
      <c r="D25" s="32">
        <v>48</v>
      </c>
      <c r="E25" s="32">
        <v>2</v>
      </c>
      <c r="F25" s="28"/>
    </row>
    <row r="26" spans="2:6">
      <c r="B26" s="28" t="s">
        <v>93</v>
      </c>
      <c r="C26" s="28" t="s">
        <v>94</v>
      </c>
      <c r="D26" s="32">
        <v>420</v>
      </c>
      <c r="E26" s="32">
        <v>2</v>
      </c>
      <c r="F26" s="28"/>
    </row>
  </sheetData>
  <mergeCells count="8">
    <mergeCell ref="A1:F1"/>
    <mergeCell ref="B2:E2"/>
    <mergeCell ref="B4:F4"/>
    <mergeCell ref="C6:D6"/>
    <mergeCell ref="C7:D7"/>
    <mergeCell ref="B10:F10"/>
    <mergeCell ref="B12:F12"/>
    <mergeCell ref="B21:F21"/>
  </mergeCells>
  <dataValidations count="10">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12 characters." promptTitle="Currency label" prompt="Text shown next to every amount, e.g. USD, EUR, GBP, INR, MXN. No exchange rate is applied. Text up to 12 characters." sqref="C7">
      <formula1>0</formula1>
      <formula2>12</formula2>
    </dataValidation>
    <dataValidation type="decimal" allowBlank="1" showInputMessage="1" showErrorMessage="1" errorTitle="Check this entry" error="Enter a percentage from 0% to 200% (type 85% or 0.85)." promptTitle="Labour efficiency target" prompt="Earned standard hours / crew hours on shift. Your own target; no industry benchmark is assumed. Enter a percentage from 0% to 200% (type 85% or 0.85)." sqref="C8">
      <formula1>0</formula1>
      <formula2>2</formula2>
    </dataValidation>
    <dataValidation type="textLength" allowBlank="1" showInputMessage="1" showErrorMessage="1" errorTitle="Check this entry" error="Text up to 20 characters." promptTitle="Shift" prompt="Text up to 20 characters." sqref="B16:B117">
      <formula1>0</formula1>
      <formula2>20</formula2>
    </dataValidation>
    <dataValidation type="textLength" allowBlank="1" showInputMessage="1" showErrorMessage="1" errorTitle="Check this entry" error="Text up to 30 characters." promptTitle="Line" prompt="Text up to 30 characters." sqref="C16:C118">
      <formula1>0</formula1>
      <formula2>30</formula2>
    </dataValidation>
    <dataValidation type="textLength" allowBlank="1" showInputMessage="1" showErrorMessage="1" errorTitle="Check this entry" error="Text up to 30 characters." promptTitle="Product" prompt="Text up to 30 characters." sqref="B23:B126">
      <formula1>0</formula1>
      <formula2>30</formula2>
    </dataValidation>
    <dataValidation type="textLength" allowBlank="1" showInputMessage="1" showErrorMessage="1" errorTitle="Check this entry" error="Text up to 60 characters." promptTitle="Description" prompt="Text up to 60 characters." sqref="C23:C126">
      <formula1>0</formula1>
      <formula2>60</formula2>
    </dataValidation>
    <dataValidation type="decimal" allowBlank="1" showInputMessage="1" showErrorMessage="1" errorTitle="Check this entry" error="Enter a number from 0 to 1,000,000." promptTitle="Std cycle (s/unit)" prompt="Standard crew time per good unit from the routing: seconds the crew needs for one unit. Enter a number from 0 to 1,000,000." sqref="D23:D126">
      <formula1>0</formula1>
      <formula2>1000000.0</formula2>
    </dataValidation>
    <dataValidation type="decimal" allowBlank="1" showInputMessage="1" showErrorMessage="1" errorTitle="Check this entry" error="Enter a number from 0 to 100." promptTitle="Std crew (people)" prompt="Operators the routing standard assumes for that cycle. Enter a number from 0 to 100." sqref="E23:E126">
      <formula1>0</formula1>
      <formula2>100</formula2>
    </dataValidation>
    <dataValidation type="textLength" allowBlank="1" showInputMessage="1" showErrorMessage="1" errorTitle="Check this entry" error="Text up to 120 characters." promptTitle="Notes" prompt="Text up to 120 characters." sqref="F23:F126">
      <formula1>0</formula1>
      <formula2>120</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Labor Cost&amp;R&amp;8&amp;A</oddHeader>
    <oddFooter>&amp;L&amp;8mfgcalcs.com - free manufacturing templates&amp;R&amp;8Page &amp;P of &amp;N</oddFooter>
  </headerFooter>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U12"/>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6.7109375" customWidth="1"/>
    <col min="3" max="6" width="9.28515625" customWidth="1"/>
    <col min="7" max="7" width="9.7109375" customWidth="1"/>
    <col min="8" max="9" width="8.7109375" customWidth="1"/>
    <col min="10" max="10" width="9.7109375" customWidth="1"/>
    <col min="11" max="11" width="9.28515625" customWidth="1"/>
    <col min="12" max="12" width="10.28515625" customWidth="1"/>
    <col min="13" max="13" width="9.7109375" customWidth="1"/>
    <col min="14" max="14" width="10.28515625" customWidth="1"/>
    <col min="15" max="15" width="8.7109375" customWidth="1"/>
    <col min="16" max="16" width="10.28515625" customWidth="1"/>
    <col min="17" max="17" width="9.7109375" customWidth="1"/>
    <col min="18" max="18" width="11.28515625" customWidth="1"/>
    <col min="19" max="19" width="9.28515625" customWidth="1"/>
    <col min="20" max="20" width="11.28515625" customWidth="1"/>
    <col min="21" max="21" width="15.7109375" customWidth="1"/>
  </cols>
  <sheetData>
    <row r="1" spans="1:21" ht="30" customHeight="1">
      <c r="A1" s="1" t="s">
        <v>0</v>
      </c>
      <c r="B1" s="1"/>
      <c r="C1" s="1"/>
      <c r="D1" s="1"/>
      <c r="E1" s="1"/>
      <c r="F1" s="1"/>
      <c r="G1" s="1"/>
      <c r="H1" s="1"/>
      <c r="I1" s="1"/>
      <c r="J1" s="1"/>
      <c r="K1" s="1"/>
      <c r="L1" s="1"/>
      <c r="M1" s="1"/>
      <c r="N1" s="1"/>
      <c r="O1" s="1"/>
      <c r="P1" s="1"/>
      <c r="Q1" s="1"/>
      <c r="R1" s="1"/>
      <c r="S1" s="1"/>
      <c r="T1" s="1"/>
      <c r="U1" s="1"/>
    </row>
    <row r="2" spans="1:21" ht="21" customHeight="1">
      <c r="B2" s="2" t="s">
        <v>22</v>
      </c>
      <c r="C2" s="2"/>
      <c r="D2" s="2"/>
      <c r="E2" s="2"/>
      <c r="F2" s="2"/>
      <c r="G2" s="2"/>
      <c r="H2" s="2"/>
      <c r="I2" s="2"/>
      <c r="J2" s="2"/>
      <c r="K2" s="2"/>
      <c r="L2" s="2"/>
      <c r="M2" s="2"/>
      <c r="N2" s="2"/>
      <c r="O2" s="2"/>
      <c r="P2" s="2"/>
      <c r="Q2" s="2"/>
      <c r="R2" s="2"/>
      <c r="S2" s="2"/>
      <c r="T2" s="2"/>
      <c r="U2" s="3" t="s">
        <v>2</v>
      </c>
    </row>
    <row r="3" spans="1:21" ht="6" customHeight="1"/>
    <row r="4" spans="1:21" ht="29.76" customHeight="1">
      <c r="B4" s="33" t="s">
        <v>115</v>
      </c>
      <c r="C4" s="33"/>
      <c r="D4" s="33"/>
      <c r="E4" s="33"/>
      <c r="F4" s="33"/>
      <c r="G4" s="33"/>
      <c r="H4" s="33"/>
      <c r="I4" s="33"/>
      <c r="J4" s="33"/>
      <c r="K4" s="33"/>
      <c r="L4" s="33"/>
      <c r="M4" s="33"/>
      <c r="N4" s="33"/>
      <c r="O4" s="33"/>
      <c r="P4" s="33"/>
      <c r="Q4" s="33"/>
      <c r="R4" s="33"/>
      <c r="S4" s="33"/>
      <c r="T4" s="33"/>
      <c r="U4" s="33"/>
    </row>
    <row r="5" spans="1:21" ht="14" customHeight="1">
      <c r="B5" s="34"/>
      <c r="C5" s="34" t="str">
        <f>Currency&amp;"/h"</f>
        <v>CAD/h</v>
      </c>
      <c r="D5" s="34" t="s">
        <v>116</v>
      </c>
      <c r="E5" s="34" t="s">
        <v>117</v>
      </c>
      <c r="F5" s="34" t="s">
        <v>117</v>
      </c>
      <c r="G5" s="34" t="str">
        <f>Currency&amp;"/yr"</f>
        <v>CAD/yr</v>
      </c>
      <c r="H5" s="34" t="s">
        <v>118</v>
      </c>
      <c r="I5" s="34" t="s">
        <v>118</v>
      </c>
      <c r="J5" s="34" t="s">
        <v>119</v>
      </c>
      <c r="K5" s="34" t="s">
        <v>120</v>
      </c>
      <c r="L5" s="34" t="str">
        <f>Currency&amp;"/yr"</f>
        <v>CAD/yr</v>
      </c>
      <c r="M5" s="34" t="str">
        <f>Currency&amp;"/yr"</f>
        <v>CAD/yr</v>
      </c>
      <c r="N5" s="34" t="str">
        <f>Currency&amp;"/yr"</f>
        <v>CAD/yr</v>
      </c>
      <c r="O5" s="34" t="s">
        <v>118</v>
      </c>
      <c r="P5" s="34" t="str">
        <f>Currency&amp;"/h worked"</f>
        <v>CAD/h worked</v>
      </c>
      <c r="Q5" s="34" t="s">
        <v>118</v>
      </c>
      <c r="R5" s="34" t="str">
        <f>Currency&amp;"/h"</f>
        <v>CAD/h</v>
      </c>
      <c r="S5" s="34" t="s">
        <v>121</v>
      </c>
      <c r="T5" s="34" t="str">
        <f>Currency&amp;"/yr"</f>
        <v>CAD/yr</v>
      </c>
      <c r="U5" s="34"/>
    </row>
    <row r="6" spans="1:21" ht="45.5" customHeight="1">
      <c r="B6" s="31" t="s">
        <v>95</v>
      </c>
      <c r="C6" s="31" t="s">
        <v>96</v>
      </c>
      <c r="D6" s="31" t="s">
        <v>97</v>
      </c>
      <c r="E6" s="31" t="s">
        <v>98</v>
      </c>
      <c r="F6" s="31" t="s">
        <v>99</v>
      </c>
      <c r="G6" s="31" t="s">
        <v>100</v>
      </c>
      <c r="H6" s="31" t="s">
        <v>101</v>
      </c>
      <c r="I6" s="31" t="s">
        <v>102</v>
      </c>
      <c r="J6" s="31" t="s">
        <v>103</v>
      </c>
      <c r="K6" s="31" t="s">
        <v>104</v>
      </c>
      <c r="L6" s="31" t="s">
        <v>105</v>
      </c>
      <c r="M6" s="31" t="s">
        <v>106</v>
      </c>
      <c r="N6" s="31" t="s">
        <v>107</v>
      </c>
      <c r="O6" s="31" t="s">
        <v>108</v>
      </c>
      <c r="P6" s="31" t="s">
        <v>109</v>
      </c>
      <c r="Q6" s="31" t="s">
        <v>110</v>
      </c>
      <c r="R6" s="31" t="s">
        <v>111</v>
      </c>
      <c r="S6" s="31" t="s">
        <v>112</v>
      </c>
      <c r="T6" s="31" t="s">
        <v>113</v>
      </c>
      <c r="U6" s="31" t="s">
        <v>114</v>
      </c>
    </row>
    <row r="7" spans="1:21">
      <c r="B7" s="28" t="s">
        <v>122</v>
      </c>
      <c r="C7" s="35">
        <v>24.5</v>
      </c>
      <c r="D7" s="29">
        <v>0.05</v>
      </c>
      <c r="E7" s="29">
        <v>0.09</v>
      </c>
      <c r="F7" s="29">
        <v>0.06</v>
      </c>
      <c r="G7" s="36">
        <v>4200</v>
      </c>
      <c r="H7" s="36">
        <v>2080</v>
      </c>
      <c r="I7" s="36">
        <v>176</v>
      </c>
      <c r="J7" s="29">
        <v>0.08</v>
      </c>
      <c r="K7" s="32">
        <v>18</v>
      </c>
      <c r="L7" s="37">
        <f>IF(tblRoles[[#This Row],[Role]]="","",tblRoles[[#This Row],[Base wage]]*(1+tblRoles[[#This Row],[Premiums]])*tblRoles[[#This Row],[Paid hours]])</f>
        <v>53508</v>
      </c>
      <c r="M7" s="37">
        <f>IF(tblRoles[[#This Row],[Role]]="","",tblRoles[[#This Row],[Annual pay]]*(tblRoles[[#This Row],[Payroll taxes]]+tblRoles[[#This Row],[Benefits]])+tblRoles[[#This Row],[Fixed benefits]])</f>
        <v>12226.2</v>
      </c>
      <c r="N7" s="38">
        <f>IF(tblRoles[[#This Row],[Role]]="","",tblRoles[[#This Row],[Annual pay]]+tblRoles[[#This Row],[On-costs]])</f>
        <v>65734.2</v>
      </c>
      <c r="O7" s="37">
        <f>IF(tblRoles[[#This Row],[Role]]="","",tblRoles[[#This Row],[Paid hours]]-tblRoles[[#This Row],[Paid absence]])</f>
        <v>1904</v>
      </c>
      <c r="P7" s="39">
        <f>IF(tblRoles[[#This Row],[Role]]="","",IF((tblRoles[[#This Row],[Hours worked]])=0,"",(tblRoles[[#This Row],[Cost per person]])/(tblRoles[[#This Row],[Hours worked]])))</f>
        <v>34.5242647058824</v>
      </c>
      <c r="Q7" s="37">
        <f>IF(tblRoles[[#This Row],[Role]]="","",tblRoles[[#This Row],[Hours worked]]*(1-tblRoles[[#This Row],[Non-productive]]))</f>
        <v>1751.68</v>
      </c>
      <c r="R7" s="39">
        <f>IF(tblRoles[[#This Row],[Role]]="","",IF((tblRoles[[#This Row],[Productive hours]])=0,"",(tblRoles[[#This Row],[Cost per person]])/(tblRoles[[#This Row],[Productive hours]])))</f>
        <v>37.5263746803069</v>
      </c>
      <c r="S7" s="40">
        <f>IF(tblRoles[[#This Row],[Role]]="","",IF(OR(N(tblRoles[[#This Row],[Base wage]])=0,N(tblRoles[[#This Row],[Loaded rate]])=0),"",tblRoles[[#This Row],[Loaded rate]]/tblRoles[[#This Row],[Base wage]]-1))</f>
        <v>0.409153661464586</v>
      </c>
      <c r="T7" s="37">
        <f>IF(tblRoles[[#This Row],[Role]]="","",tblRoles[[#This Row],[Cost per person]]*tblRoles[[#This Row],[Headcount]])</f>
        <v>1183215.6</v>
      </c>
      <c r="U7" s="41" t="str">
        <f>IF(tblRoles[[#This Row],[Role]]="","",IF(tblRoles[[#This Row],[Base wage]]="","Missing base wage",IF(tblRoles[[#This Row],[Paid hours]]="","Missing paid hours",IF(tblRoles[[#This Row],[Paid absence]]&gt;=tblRoles[[#This Row],[Paid hours]],"Absence not below paid hours",IF(COUNTIF(tblRoles[Role],tblRoles[[#This Row],[Role]])&gt;1,"Duplicate role","OK")))))</f>
        <v>OK</v>
      </c>
    </row>
    <row r="8" spans="1:21">
      <c r="B8" s="28" t="s">
        <v>123</v>
      </c>
      <c r="C8" s="35">
        <v>32</v>
      </c>
      <c r="D8" s="29">
        <v>0.07000000000000001</v>
      </c>
      <c r="E8" s="29">
        <v>0.09</v>
      </c>
      <c r="F8" s="29">
        <v>0.06</v>
      </c>
      <c r="G8" s="36">
        <v>4200</v>
      </c>
      <c r="H8" s="36">
        <v>2080</v>
      </c>
      <c r="I8" s="36">
        <v>176</v>
      </c>
      <c r="J8" s="29">
        <v>0.1</v>
      </c>
      <c r="K8" s="32">
        <v>4</v>
      </c>
      <c r="L8" s="37">
        <f>IF(tblRoles[[#This Row],[Role]]="","",tblRoles[[#This Row],[Base wage]]*(1+tblRoles[[#This Row],[Premiums]])*tblRoles[[#This Row],[Paid hours]])</f>
        <v>71219.2</v>
      </c>
      <c r="M8" s="37">
        <f>IF(tblRoles[[#This Row],[Role]]="","",tblRoles[[#This Row],[Annual pay]]*(tblRoles[[#This Row],[Payroll taxes]]+tblRoles[[#This Row],[Benefits]])+tblRoles[[#This Row],[Fixed benefits]])</f>
        <v>14882.88</v>
      </c>
      <c r="N8" s="38">
        <f>IF(tblRoles[[#This Row],[Role]]="","",tblRoles[[#This Row],[Annual pay]]+tblRoles[[#This Row],[On-costs]])</f>
        <v>86102.08</v>
      </c>
      <c r="O8" s="37">
        <f>IF(tblRoles[[#This Row],[Role]]="","",tblRoles[[#This Row],[Paid hours]]-tblRoles[[#This Row],[Paid absence]])</f>
        <v>1904</v>
      </c>
      <c r="P8" s="39">
        <f>IF(tblRoles[[#This Row],[Role]]="","",IF((tblRoles[[#This Row],[Hours worked]])=0,"",(tblRoles[[#This Row],[Cost per person]])/(tblRoles[[#This Row],[Hours worked]])))</f>
        <v>45.2216806722689</v>
      </c>
      <c r="Q8" s="37">
        <f>IF(tblRoles[[#This Row],[Role]]="","",tblRoles[[#This Row],[Hours worked]]*(1-tblRoles[[#This Row],[Non-productive]]))</f>
        <v>1713.6</v>
      </c>
      <c r="R8" s="39">
        <f>IF(tblRoles[[#This Row],[Role]]="","",IF((tblRoles[[#This Row],[Productive hours]])=0,"",(tblRoles[[#This Row],[Cost per person]])/(tblRoles[[#This Row],[Productive hours]])))</f>
        <v>50.2463118580766</v>
      </c>
      <c r="S8" s="40">
        <f>IF(tblRoles[[#This Row],[Role]]="","",IF(OR(N(tblRoles[[#This Row],[Base wage]])=0,N(tblRoles[[#This Row],[Loaded rate]])=0),"",tblRoles[[#This Row],[Loaded rate]]/tblRoles[[#This Row],[Base wage]]-1))</f>
        <v>0.413177521008403</v>
      </c>
      <c r="T8" s="37">
        <f>IF(tblRoles[[#This Row],[Role]]="","",tblRoles[[#This Row],[Cost per person]]*tblRoles[[#This Row],[Headcount]])</f>
        <v>344408.32</v>
      </c>
      <c r="U8" s="41" t="str">
        <f>IF(tblRoles[[#This Row],[Role]]="","",IF(tblRoles[[#This Row],[Base wage]]="","Missing base wage",IF(tblRoles[[#This Row],[Paid hours]]="","Missing paid hours",IF(tblRoles[[#This Row],[Paid absence]]&gt;=tblRoles[[#This Row],[Paid hours]],"Absence not below paid hours",IF(COUNTIF(tblRoles[Role],tblRoles[[#This Row],[Role]])&gt;1,"Duplicate role","OK")))))</f>
        <v>OK</v>
      </c>
    </row>
    <row r="9" spans="1:21">
      <c r="B9" s="28" t="s">
        <v>124</v>
      </c>
      <c r="C9" s="35">
        <v>27</v>
      </c>
      <c r="D9" s="29">
        <v>0.05</v>
      </c>
      <c r="E9" s="29">
        <v>0.09</v>
      </c>
      <c r="F9" s="29">
        <v>0.06</v>
      </c>
      <c r="G9" s="36">
        <v>4200</v>
      </c>
      <c r="H9" s="36">
        <v>2080</v>
      </c>
      <c r="I9" s="36">
        <v>176</v>
      </c>
      <c r="J9" s="29">
        <v>0.08</v>
      </c>
      <c r="K9" s="32">
        <v>3</v>
      </c>
      <c r="L9" s="37">
        <f>IF(tblRoles[[#This Row],[Role]]="","",tblRoles[[#This Row],[Base wage]]*(1+tblRoles[[#This Row],[Premiums]])*tblRoles[[#This Row],[Paid hours]])</f>
        <v>58968</v>
      </c>
      <c r="M9" s="37">
        <f>IF(tblRoles[[#This Row],[Role]]="","",tblRoles[[#This Row],[Annual pay]]*(tblRoles[[#This Row],[Payroll taxes]]+tblRoles[[#This Row],[Benefits]])+tblRoles[[#This Row],[Fixed benefits]])</f>
        <v>13045.2</v>
      </c>
      <c r="N9" s="38">
        <f>IF(tblRoles[[#This Row],[Role]]="","",tblRoles[[#This Row],[Annual pay]]+tblRoles[[#This Row],[On-costs]])</f>
        <v>72013.2</v>
      </c>
      <c r="O9" s="37">
        <f>IF(tblRoles[[#This Row],[Role]]="","",tblRoles[[#This Row],[Paid hours]]-tblRoles[[#This Row],[Paid absence]])</f>
        <v>1904</v>
      </c>
      <c r="P9" s="39">
        <f>IF(tblRoles[[#This Row],[Role]]="","",IF((tblRoles[[#This Row],[Hours worked]])=0,"",(tblRoles[[#This Row],[Cost per person]])/(tblRoles[[#This Row],[Hours worked]])))</f>
        <v>37.8220588235294</v>
      </c>
      <c r="Q9" s="37">
        <f>IF(tblRoles[[#This Row],[Role]]="","",tblRoles[[#This Row],[Hours worked]]*(1-tblRoles[[#This Row],[Non-productive]]))</f>
        <v>1751.68</v>
      </c>
      <c r="R9" s="39">
        <f>IF(tblRoles[[#This Row],[Role]]="","",IF((tblRoles[[#This Row],[Productive hours]])=0,"",(tblRoles[[#This Row],[Cost per person]])/(tblRoles[[#This Row],[Productive hours]])))</f>
        <v>41.1109335038363</v>
      </c>
      <c r="S9" s="40">
        <f>IF(tblRoles[[#This Row],[Role]]="","",IF(OR(N(tblRoles[[#This Row],[Base wage]])=0,N(tblRoles[[#This Row],[Loaded rate]])=0),"",tblRoles[[#This Row],[Loaded rate]]/tblRoles[[#This Row],[Base wage]]-1))</f>
        <v>0.400816993464052</v>
      </c>
      <c r="T9" s="37">
        <f>IF(tblRoles[[#This Row],[Role]]="","",tblRoles[[#This Row],[Cost per person]]*tblRoles[[#This Row],[Headcount]])</f>
        <v>216039.6</v>
      </c>
      <c r="U9" s="41" t="str">
        <f>IF(tblRoles[[#This Row],[Role]]="","",IF(tblRoles[[#This Row],[Base wage]]="","Missing base wage",IF(tblRoles[[#This Row],[Paid hours]]="","Missing paid hours",IF(tblRoles[[#This Row],[Paid absence]]&gt;=tblRoles[[#This Row],[Paid hours]],"Absence not below paid hours",IF(COUNTIF(tblRoles[Role],tblRoles[[#This Row],[Role]])&gt;1,"Duplicate role","OK")))))</f>
        <v>OK</v>
      </c>
    </row>
    <row r="10" spans="1:21">
      <c r="B10" s="28" t="s">
        <v>125</v>
      </c>
      <c r="C10" s="35">
        <v>23</v>
      </c>
      <c r="D10" s="29">
        <v>0.04</v>
      </c>
      <c r="E10" s="29">
        <v>0.09</v>
      </c>
      <c r="F10" s="29">
        <v>0.06</v>
      </c>
      <c r="G10" s="36">
        <v>4200</v>
      </c>
      <c r="H10" s="36">
        <v>2080</v>
      </c>
      <c r="I10" s="36">
        <v>176</v>
      </c>
      <c r="J10" s="29">
        <v>0.12</v>
      </c>
      <c r="K10" s="32">
        <v>3</v>
      </c>
      <c r="L10" s="37">
        <f>IF(tblRoles[[#This Row],[Role]]="","",tblRoles[[#This Row],[Base wage]]*(1+tblRoles[[#This Row],[Premiums]])*tblRoles[[#This Row],[Paid hours]])</f>
        <v>49753.6</v>
      </c>
      <c r="M10" s="37">
        <f>IF(tblRoles[[#This Row],[Role]]="","",tblRoles[[#This Row],[Annual pay]]*(tblRoles[[#This Row],[Payroll taxes]]+tblRoles[[#This Row],[Benefits]])+tblRoles[[#This Row],[Fixed benefits]])</f>
        <v>11663.04</v>
      </c>
      <c r="N10" s="38">
        <f>IF(tblRoles[[#This Row],[Role]]="","",tblRoles[[#This Row],[Annual pay]]+tblRoles[[#This Row],[On-costs]])</f>
        <v>61416.64</v>
      </c>
      <c r="O10" s="37">
        <f>IF(tblRoles[[#This Row],[Role]]="","",tblRoles[[#This Row],[Paid hours]]-tblRoles[[#This Row],[Paid absence]])</f>
        <v>1904</v>
      </c>
      <c r="P10" s="39">
        <f>IF(tblRoles[[#This Row],[Role]]="","",IF((tblRoles[[#This Row],[Hours worked]])=0,"",(tblRoles[[#This Row],[Cost per person]])/(tblRoles[[#This Row],[Hours worked]])))</f>
        <v>32.2566386554622</v>
      </c>
      <c r="Q10" s="37">
        <f>IF(tblRoles[[#This Row],[Role]]="","",tblRoles[[#This Row],[Hours worked]]*(1-tblRoles[[#This Row],[Non-productive]]))</f>
        <v>1675.52</v>
      </c>
      <c r="R10" s="39">
        <f>IF(tblRoles[[#This Row],[Role]]="","",IF((tblRoles[[#This Row],[Productive hours]])=0,"",(tblRoles[[#This Row],[Cost per person]])/(tblRoles[[#This Row],[Productive hours]])))</f>
        <v>36.6552711993889</v>
      </c>
      <c r="S10" s="40">
        <f>IF(tblRoles[[#This Row],[Role]]="","",IF(OR(N(tblRoles[[#This Row],[Base wage]])=0,N(tblRoles[[#This Row],[Loaded rate]])=0),"",tblRoles[[#This Row],[Loaded rate]]/tblRoles[[#This Row],[Base wage]]-1))</f>
        <v>0.402462550237487</v>
      </c>
      <c r="T10" s="37">
        <f>IF(tblRoles[[#This Row],[Role]]="","",tblRoles[[#This Row],[Cost per person]]*tblRoles[[#This Row],[Headcount]])</f>
        <v>184249.92</v>
      </c>
      <c r="U10" s="41" t="str">
        <f>IF(tblRoles[[#This Row],[Role]]="","",IF(tblRoles[[#This Row],[Base wage]]="","Missing base wage",IF(tblRoles[[#This Row],[Paid hours]]="","Missing paid hours",IF(tblRoles[[#This Row],[Paid absence]]&gt;=tblRoles[[#This Row],[Paid hours]],"Absence not below paid hours",IF(COUNTIF(tblRoles[Role],tblRoles[[#This Row],[Role]])&gt;1,"Duplicate role","OK")))))</f>
        <v>OK</v>
      </c>
    </row>
    <row r="11" spans="1:21">
      <c r="B11" s="28" t="s">
        <v>126</v>
      </c>
      <c r="C11" s="35">
        <v>29</v>
      </c>
      <c r="D11" s="29">
        <v>0.03</v>
      </c>
      <c r="E11" s="29">
        <v>0.09</v>
      </c>
      <c r="F11" s="29">
        <v>0.06</v>
      </c>
      <c r="G11" s="36">
        <v>4200</v>
      </c>
      <c r="H11" s="36">
        <v>2080</v>
      </c>
      <c r="I11" s="36">
        <v>176</v>
      </c>
      <c r="J11" s="29">
        <v>0.08</v>
      </c>
      <c r="K11" s="32">
        <v>2</v>
      </c>
      <c r="L11" s="37">
        <f>IF(tblRoles[[#This Row],[Role]]="","",tblRoles[[#This Row],[Base wage]]*(1+tblRoles[[#This Row],[Premiums]])*tblRoles[[#This Row],[Paid hours]])</f>
        <v>62129.6</v>
      </c>
      <c r="M11" s="37">
        <f>IF(tblRoles[[#This Row],[Role]]="","",tblRoles[[#This Row],[Annual pay]]*(tblRoles[[#This Row],[Payroll taxes]]+tblRoles[[#This Row],[Benefits]])+tblRoles[[#This Row],[Fixed benefits]])</f>
        <v>13519.44</v>
      </c>
      <c r="N11" s="38">
        <f>IF(tblRoles[[#This Row],[Role]]="","",tblRoles[[#This Row],[Annual pay]]+tblRoles[[#This Row],[On-costs]])</f>
        <v>75649.04</v>
      </c>
      <c r="O11" s="37">
        <f>IF(tblRoles[[#This Row],[Role]]="","",tblRoles[[#This Row],[Paid hours]]-tblRoles[[#This Row],[Paid absence]])</f>
        <v>1904</v>
      </c>
      <c r="P11" s="39">
        <f>IF(tblRoles[[#This Row],[Role]]="","",IF((tblRoles[[#This Row],[Hours worked]])=0,"",(tblRoles[[#This Row],[Cost per person]])/(tblRoles[[#This Row],[Hours worked]])))</f>
        <v>39.7316386554622</v>
      </c>
      <c r="Q11" s="37">
        <f>IF(tblRoles[[#This Row],[Role]]="","",tblRoles[[#This Row],[Hours worked]]*(1-tblRoles[[#This Row],[Non-productive]]))</f>
        <v>1751.68</v>
      </c>
      <c r="R11" s="39">
        <f>IF(tblRoles[[#This Row],[Role]]="","",IF((tblRoles[[#This Row],[Productive hours]])=0,"",(tblRoles[[#This Row],[Cost per person]])/(tblRoles[[#This Row],[Productive hours]])))</f>
        <v>43.1865637559372</v>
      </c>
      <c r="S11" s="40">
        <f>IF(tblRoles[[#This Row],[Role]]="","",IF(OR(N(tblRoles[[#This Row],[Base wage]])=0,N(tblRoles[[#This Row],[Loaded rate]])=0),"",tblRoles[[#This Row],[Loaded rate]]/tblRoles[[#This Row],[Base wage]]-1))</f>
        <v>0.370056505360765</v>
      </c>
      <c r="T11" s="37">
        <f>IF(tblRoles[[#This Row],[Role]]="","",tblRoles[[#This Row],[Cost per person]]*tblRoles[[#This Row],[Headcount]])</f>
        <v>151298.08</v>
      </c>
      <c r="U11" s="41" t="str">
        <f>IF(tblRoles[[#This Row],[Role]]="","",IF(tblRoles[[#This Row],[Base wage]]="","Missing base wage",IF(tblRoles[[#This Row],[Paid hours]]="","Missing paid hours",IF(tblRoles[[#This Row],[Paid absence]]&gt;=tblRoles[[#This Row],[Paid hours]],"Absence not below paid hours",IF(COUNTIF(tblRoles[Role],tblRoles[[#This Row],[Role]])&gt;1,"Duplicate role","OK")))))</f>
        <v>OK</v>
      </c>
    </row>
    <row r="12" spans="1:21">
      <c r="B12" s="28" t="s">
        <v>127</v>
      </c>
      <c r="C12" s="35">
        <v>34</v>
      </c>
      <c r="D12" s="29">
        <v>0.04</v>
      </c>
      <c r="E12" s="29">
        <v>0.09</v>
      </c>
      <c r="F12" s="29">
        <v>0.08</v>
      </c>
      <c r="G12" s="36">
        <v>4800</v>
      </c>
      <c r="H12" s="36">
        <v>2080</v>
      </c>
      <c r="I12" s="36">
        <v>176</v>
      </c>
      <c r="J12" s="29">
        <v>0.15</v>
      </c>
      <c r="K12" s="32">
        <v>2</v>
      </c>
      <c r="L12" s="37">
        <f>IF(tblRoles[[#This Row],[Role]]="","",tblRoles[[#This Row],[Base wage]]*(1+tblRoles[[#This Row],[Premiums]])*tblRoles[[#This Row],[Paid hours]])</f>
        <v>73548.8</v>
      </c>
      <c r="M12" s="37">
        <f>IF(tblRoles[[#This Row],[Role]]="","",tblRoles[[#This Row],[Annual pay]]*(tblRoles[[#This Row],[Payroll taxes]]+tblRoles[[#This Row],[Benefits]])+tblRoles[[#This Row],[Fixed benefits]])</f>
        <v>17303.296</v>
      </c>
      <c r="N12" s="38">
        <f>IF(tblRoles[[#This Row],[Role]]="","",tblRoles[[#This Row],[Annual pay]]+tblRoles[[#This Row],[On-costs]])</f>
        <v>90852.096</v>
      </c>
      <c r="O12" s="37">
        <f>IF(tblRoles[[#This Row],[Role]]="","",tblRoles[[#This Row],[Paid hours]]-tblRoles[[#This Row],[Paid absence]])</f>
        <v>1904</v>
      </c>
      <c r="P12" s="39">
        <f>IF(tblRoles[[#This Row],[Role]]="","",IF((tblRoles[[#This Row],[Hours worked]])=0,"",(tblRoles[[#This Row],[Cost per person]])/(tblRoles[[#This Row],[Hours worked]])))</f>
        <v>47.7164369747899</v>
      </c>
      <c r="Q12" s="37">
        <f>IF(tblRoles[[#This Row],[Role]]="","",tblRoles[[#This Row],[Hours worked]]*(1-tblRoles[[#This Row],[Non-productive]]))</f>
        <v>1618.4</v>
      </c>
      <c r="R12" s="39">
        <f>IF(tblRoles[[#This Row],[Role]]="","",IF((tblRoles[[#This Row],[Productive hours]])=0,"",(tblRoles[[#This Row],[Cost per person]])/(tblRoles[[#This Row],[Productive hours]])))</f>
        <v>56.1369846762234</v>
      </c>
      <c r="S12" s="40">
        <f>IF(tblRoles[[#This Row],[Role]]="","",IF(OR(N(tblRoles[[#This Row],[Base wage]])=0,N(tblRoles[[#This Row],[Loaded rate]])=0),"",tblRoles[[#This Row],[Loaded rate]]/tblRoles[[#This Row],[Base wage]]-1))</f>
        <v>0.403424616905586</v>
      </c>
      <c r="T12" s="37">
        <f>IF(tblRoles[[#This Row],[Role]]="","",tblRoles[[#This Row],[Cost per person]]*tblRoles[[#This Row],[Headcount]])</f>
        <v>181704.192</v>
      </c>
      <c r="U12" s="41" t="str">
        <f>IF(tblRoles[[#This Row],[Role]]="","",IF(tblRoles[[#This Row],[Base wage]]="","Missing base wage",IF(tblRoles[[#This Row],[Paid hours]]="","Missing paid hours",IF(tblRoles[[#This Row],[Paid absence]]&gt;=tblRoles[[#This Row],[Paid hours]],"Absence not below paid hours",IF(COUNTIF(tblRoles[Role],tblRoles[[#This Row],[Role]])&gt;1,"Duplicate role","OK")))))</f>
        <v>OK</v>
      </c>
    </row>
  </sheetData>
  <mergeCells count="3">
    <mergeCell ref="A1:U1"/>
    <mergeCell ref="B2:T2"/>
    <mergeCell ref="B4:U4"/>
  </mergeCells>
  <conditionalFormatting sqref="U7:U512">
    <cfRule type="expression" dxfId="3" priority="1">
      <formula>$U7="OK"</formula>
    </cfRule>
    <cfRule type="expression" dxfId="1" priority="2">
      <formula>AND($U7&lt;&gt;"",$U7&lt;&gt;"OK")</formula>
    </cfRule>
  </conditionalFormatting>
  <dataValidations count="10">
    <dataValidation type="textLength" allowBlank="1" showInputMessage="1" showErrorMessage="1" errorTitle="Check this entry" error="Text up to 30 characters." promptTitle="Role" prompt="Text up to 30 characters." sqref="B7:B512">
      <formula1>0</formula1>
      <formula2>30</formula2>
    </dataValidation>
    <dataValidation type="decimal" allowBlank="1" showInputMessage="1" showErrorMessage="1" errorTitle="Check this entry" error="Enter a number from 0 to 10,000." promptTitle="Base wage" prompt="Basic hourly wage (or salary / paid hours). Enter a number from 0 to 10,000." sqref="C7:C512">
      <formula1>0</formula1>
      <formula2>10000</formula2>
    </dataValidation>
    <dataValidation type="decimal" allowBlank="1" showInputMessage="1" showErrorMessage="1" errorTitle="Check this entry" error="Enter a percentage from 0% to 200% (type 85% or 0.85)." promptTitle="Premiums" prompt="Average shift, overtime and other premiums as a share of base pay over the year. Enter a percentage from 0% to 200% (type 85% or 0.85)." sqref="D7:D512">
      <formula1>0</formula1>
      <formula2>2</formula2>
    </dataValidation>
    <dataValidation type="decimal" allowBlank="1" showInputMessage="1" showErrorMessage="1" errorTitle="Check this entry" error="Enter a percentage from 0% to 100% (type 85% or 0.85)." promptTitle="Payroll taxes" prompt="Employer payroll taxes, social insurance and workers' compensation as a share of pay. Use your payroll provider's rates. Enter a percentage from 0% to 100% (type 85% or 0.85)." sqref="E7:E512">
      <formula1>0</formula1>
      <formula2>1</formula2>
    </dataValidation>
    <dataValidation type="decimal" allowBlank="1" showInputMessage="1" showErrorMessage="1" errorTitle="Check this entry" error="Enter a percentage from 0% to 100% (type 85% or 0.85)." promptTitle="Benefits" prompt="Benefits that scale with pay: pension or retirement contributions, bonus, other percentage items. Enter a percentage from 0% to 100% (type 85% or 0.85)." sqref="F7:F512">
      <formula1>0</formula1>
      <formula2>1</formula2>
    </dataValidation>
    <dataValidation type="decimal" allowBlank="1" showInputMessage="1" showErrorMessage="1" errorTitle="Check this entry" error="Enter a number from 0 to 1,000,000." promptTitle="Fixed benefits" prompt="Benefits per person per year that do not scale with pay: health and dental plans, uniforms, safety gear, training. Enter a number from 0 to 1,000,000." sqref="G7:G512">
      <formula1>0</formula1>
      <formula2>1000000.0</formula2>
    </dataValidation>
    <dataValidation type="whole" allowBlank="1" showInputMessage="1" showErrorMessage="1" errorTitle="Check this entry" error="Enter a whole number from 1 to 8,784." promptTitle="Paid hours" prompt="Hours paid per person per year, including paid holidays, vacation and sick time (e.g. 40 h x 52 = 2,080). Enter a whole number from 1 to 8,784." sqref="H7:H512">
      <formula1>1</formula1>
      <formula2>8784</formula2>
    </dataValidation>
    <dataValidation type="whole" allowBlank="1" showInputMessage="1" showErrorMessage="1" errorTitle="Check this entry" error="Enter a whole number from 0 to 8,784." promptTitle="Paid absence" prompt="Paid hours not worked: vacation, public holidays, paid sick leave. Enter a whole number from 0 to 8,784." sqref="I7:I512">
      <formula1>0</formula1>
      <formula2>8784</formula2>
    </dataValidation>
    <dataValidation type="decimal" allowBlank="1" showInputMessage="1" showErrorMessage="1" errorTitle="Check this entry" error="Enter a percentage from 0% to 90% (type 85% or 0.85)." promptTitle="Non-productive" prompt="Share of worked hours not on standard work: breaks, meetings, training, waiting. Enter a percentage from 0% to 90% (type 85% or 0.85)." sqref="J7:J512">
      <formula1>0</formula1>
      <formula2>0.9</formula2>
    </dataValidation>
    <dataValidation type="decimal" allowBlank="1" showInputMessage="1" showErrorMessage="1" errorTitle="Check this entry" error="Enter a number from 0 to 1,000,000." promptTitle="Headcount" prompt="People in this role (full-time equivalents). Enter a number from 0 to 1,000,000." sqref="K7:K512">
      <formula1>0</formula1>
      <formula2>1000000.0</formula2>
    </dataValidation>
  </dataValidations>
  <hyperlinks>
    <hyperlink ref="U2" r:id="rId1" tooltip="Free manufacturing calculators and templates"/>
  </hyperlinks>
  <pageMargins left="0.4" right="0.4" top="0.7" bottom="0.65" header="0.3" footer="0.3"/>
  <pageSetup fitToHeight="0" orientation="landscape"/>
  <headerFooter>
    <oddHeader>&amp;L&amp;8MFG Calcs - Labor Cost&amp;R&amp;8&amp;A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X126"/>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1.7109375" customWidth="1"/>
    <col min="3" max="3" width="9.28515625" customWidth="1"/>
    <col min="4" max="4" width="10.28515625" customWidth="1"/>
    <col min="5" max="5" width="9.28515625" customWidth="1"/>
    <col min="6" max="6" width="11.7109375" customWidth="1"/>
    <col min="7" max="7" width="9.28515625" customWidth="1"/>
    <col min="8" max="8" width="8.28515625" customWidth="1"/>
    <col min="9" max="9" width="8.7109375" customWidth="1"/>
    <col min="10" max="10" width="9.28515625" customWidth="1"/>
    <col min="11" max="11" width="8.28515625" customWidth="1"/>
    <col min="12" max="12" width="7.7109375" customWidth="1"/>
    <col min="13" max="13" width="8.28515625" customWidth="1"/>
    <col min="14" max="14" width="9.7109375" customWidth="1"/>
    <col min="15" max="16" width="9.28515625" customWidth="1"/>
    <col min="17" max="17" width="8.7109375" customWidth="1"/>
    <col min="18" max="18" width="9.28515625" customWidth="1"/>
    <col min="19" max="19" width="11.28515625" customWidth="1"/>
    <col min="20" max="20" width="9.28515625" customWidth="1"/>
    <col min="21" max="21" width="9.7109375" customWidth="1"/>
    <col min="22" max="22" width="16.7109375" customWidth="1"/>
    <col min="23" max="23" width="11.28515625" customWidth="1"/>
    <col min="24" max="24" width="20.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24</v>
      </c>
      <c r="C2" s="2"/>
      <c r="D2" s="2"/>
      <c r="E2" s="2"/>
      <c r="F2" s="2"/>
      <c r="G2" s="2"/>
      <c r="H2" s="2"/>
      <c r="I2" s="2"/>
      <c r="J2" s="2"/>
      <c r="K2" s="2"/>
      <c r="L2" s="2"/>
      <c r="M2" s="2"/>
      <c r="N2" s="2"/>
      <c r="O2" s="2"/>
      <c r="P2" s="2"/>
      <c r="Q2" s="2"/>
      <c r="R2" s="2"/>
      <c r="S2" s="2"/>
      <c r="T2" s="2"/>
      <c r="U2" s="2"/>
      <c r="V2" s="2"/>
      <c r="W2" s="2"/>
      <c r="X2" s="3" t="s">
        <v>2</v>
      </c>
    </row>
    <row r="3" spans="1:24" ht="6" customHeight="1"/>
    <row r="4" spans="1:24" ht="18" customHeight="1">
      <c r="B4" s="33" t="s">
        <v>144</v>
      </c>
      <c r="C4" s="33"/>
      <c r="D4" s="33"/>
      <c r="E4" s="33"/>
      <c r="F4" s="33"/>
      <c r="G4" s="33"/>
      <c r="H4" s="33"/>
      <c r="I4" s="33"/>
      <c r="J4" s="33"/>
      <c r="K4" s="33"/>
      <c r="L4" s="33"/>
      <c r="M4" s="33"/>
      <c r="N4" s="33"/>
      <c r="O4" s="33"/>
      <c r="P4" s="33"/>
      <c r="Q4" s="33"/>
      <c r="R4" s="33"/>
      <c r="S4" s="33"/>
      <c r="T4" s="33"/>
      <c r="U4" s="33"/>
      <c r="V4" s="33"/>
      <c r="W4" s="33"/>
      <c r="X4" s="33"/>
    </row>
    <row r="5" spans="1:24" ht="14" customHeight="1">
      <c r="B5" s="34"/>
      <c r="C5" s="34"/>
      <c r="D5" s="34"/>
      <c r="E5" s="34"/>
      <c r="F5" s="34"/>
      <c r="G5" s="34" t="s">
        <v>120</v>
      </c>
      <c r="H5" s="34" t="s">
        <v>145</v>
      </c>
      <c r="I5" s="34" t="s">
        <v>146</v>
      </c>
      <c r="J5" s="34" t="str">
        <f>Currency&amp;"/h"</f>
        <v>CAD/h</v>
      </c>
      <c r="K5" s="34" t="s">
        <v>147</v>
      </c>
      <c r="L5" s="34" t="s">
        <v>120</v>
      </c>
      <c r="M5" s="34" t="s">
        <v>148</v>
      </c>
      <c r="N5" s="34" t="str">
        <f>Currency</f>
        <v>CAD</v>
      </c>
      <c r="O5" s="34" t="str">
        <f>Currency&amp;"/unit"</f>
        <v>CAD/unit</v>
      </c>
      <c r="P5" s="34" t="str">
        <f>Currency&amp;"/unit"</f>
        <v>CAD/unit</v>
      </c>
      <c r="Q5" s="34" t="s">
        <v>148</v>
      </c>
      <c r="R5" s="34" t="s">
        <v>121</v>
      </c>
      <c r="S5" s="34"/>
      <c r="T5" s="34" t="str">
        <f>Currency&amp;"/unit"</f>
        <v>CAD/unit</v>
      </c>
      <c r="U5" s="34" t="str">
        <f>Currency</f>
        <v>CAD</v>
      </c>
      <c r="V5" s="34"/>
      <c r="W5" s="34"/>
      <c r="X5" s="34"/>
    </row>
    <row r="6" spans="1:24" ht="32" customHeight="1">
      <c r="B6" s="31" t="s">
        <v>128</v>
      </c>
      <c r="C6" s="31" t="s">
        <v>64</v>
      </c>
      <c r="D6" s="31" t="s">
        <v>65</v>
      </c>
      <c r="E6" s="31" t="s">
        <v>66</v>
      </c>
      <c r="F6" s="31" t="s">
        <v>95</v>
      </c>
      <c r="G6" s="31" t="s">
        <v>129</v>
      </c>
      <c r="H6" s="31" t="s">
        <v>130</v>
      </c>
      <c r="I6" s="31" t="s">
        <v>131</v>
      </c>
      <c r="J6" s="31" t="s">
        <v>109</v>
      </c>
      <c r="K6" s="31" t="s">
        <v>132</v>
      </c>
      <c r="L6" s="31" t="s">
        <v>133</v>
      </c>
      <c r="M6" s="31" t="s">
        <v>134</v>
      </c>
      <c r="N6" s="31" t="s">
        <v>135</v>
      </c>
      <c r="O6" s="31" t="s">
        <v>136</v>
      </c>
      <c r="P6" s="31" t="s">
        <v>137</v>
      </c>
      <c r="Q6" s="31" t="s">
        <v>138</v>
      </c>
      <c r="R6" s="31" t="s">
        <v>139</v>
      </c>
      <c r="S6" s="31" t="s">
        <v>140</v>
      </c>
      <c r="T6" s="31" t="s">
        <v>141</v>
      </c>
      <c r="U6" s="31" t="s">
        <v>142</v>
      </c>
      <c r="V6" s="31" t="s">
        <v>114</v>
      </c>
      <c r="W6" s="31" t="s">
        <v>143</v>
      </c>
      <c r="X6" s="31" t="s">
        <v>70</v>
      </c>
    </row>
    <row r="7" spans="1:24">
      <c r="B7" s="42">
        <v>46279</v>
      </c>
      <c r="C7" s="28" t="s">
        <v>81</v>
      </c>
      <c r="D7" s="28" t="s">
        <v>82</v>
      </c>
      <c r="E7" s="28" t="s">
        <v>87</v>
      </c>
      <c r="F7" s="28" t="s">
        <v>122</v>
      </c>
      <c r="G7" s="32">
        <v>3</v>
      </c>
      <c r="H7" s="32">
        <v>8</v>
      </c>
      <c r="I7" s="36">
        <v>267</v>
      </c>
      <c r="J7" s="43">
        <f>IF(tblShifts[[#This Row],[Date]]="","",IFERROR(INDEX(tblRoles[Loaded rate],MATCH(tblShifts[[#This Row],[Role]],tblRoles[Role],0)),""))</f>
        <v>34.5242647058824</v>
      </c>
      <c r="K7" s="44">
        <f>IF(tblShifts[[#This Row],[Date]]="","",IFERROR(INDEX(tblProducts[Std cycle (s/unit)],MATCH(tblShifts[[#This Row],[Product]],tblProducts[Product],0)),""))</f>
        <v>95</v>
      </c>
      <c r="L7" s="44">
        <f>IF(tblShifts[[#This Row],[Date]]="","",IFERROR(INDEX(tblProducts[Std crew (people)],MATCH(tblShifts[[#This Row],[Product]],tblProducts[Product],0)),""))</f>
        <v>3</v>
      </c>
      <c r="M7" s="44">
        <f>IF(tblShifts[[#This Row],[Date]]="","",tblShifts[[#This Row],[Operators]]*tblShifts[[#This Row],[Hours]])</f>
        <v>24</v>
      </c>
      <c r="N7" s="43">
        <f>IF(tblShifts[[#This Row],[Date]]="","",IF(tblShifts[[#This Row],[Loaded rate]]="","",tblShifts[[#This Row],[Crew hours]]*tblShifts[[#This Row],[Loaded rate]]))</f>
        <v>828.582352941176</v>
      </c>
      <c r="O7" s="45">
        <f>IF(tblShifts[[#This Row],[Date]]="","",IF(OR(tblShifts[[#This Row],[Labour cost]]="",N(tblShifts[[#This Row],[Good units]])=0),"",tblShifts[[#This Row],[Labour cost]]/tblShifts[[#This Row],[Good units]]))</f>
        <v>3.10330469266358</v>
      </c>
      <c r="P7" s="45">
        <f>IF(tblShifts[[#This Row],[Date]]="","",IF(OR(tblShifts[[#This Row],[Loaded rate]]="",tblShifts[[#This Row],[Std cycle]]=""),"",tblShifts[[#This Row],[Std crew]]*tblShifts[[#This Row],[Loaded rate]]*tblShifts[[#This Row],[Std cycle]]/3600))</f>
        <v>2.73317095588235</v>
      </c>
      <c r="Q7" s="43">
        <f>IF(tblShifts[[#This Row],[Date]]="","",IF(tblShifts[[#This Row],[Std cycle]]="","",tblShifts[[#This Row],[Good units]]*tblShifts[[#This Row],[Std crew]]*tblShifts[[#This Row],[Std cycle]]/3600))</f>
        <v>21.1375</v>
      </c>
      <c r="R7" s="46">
        <f>IF(tblShifts[[#This Row],[Date]]="","",IF(OR(tblShifts[[#This Row],[Earned hours]]="",N(tblShifts[[#This Row],[Crew hours]])=0),"",tblShifts[[#This Row],[Earned hours]]/tblShifts[[#This Row],[Crew hours]]))</f>
        <v>0.880729166666667</v>
      </c>
      <c r="S7" s="47" t="str">
        <f>IF(NOT(ISNUMBER(tblShifts[[#This Row],[Efficiency]])),"",IF(tblShifts[[#This Row],[Efficiency]]&gt;=TargetEff,"On target",IF(tblShifts[[#This Row],[Efficiency]]&gt;=TargetEff*(1-0.05),"Near target","Below target")))</f>
        <v>On target</v>
      </c>
      <c r="T7" s="45">
        <f>IF(tblShifts[[#This Row],[Date]]="","",IF(OR(tblShifts[[#This Row],[Cost per unit]]="",tblShifts[[#This Row],[Std cost per unit]]=""),"",tblShifts[[#This Row],[Cost per unit]]-tblShifts[[#This Row],[Std cost per unit]]))</f>
        <v>0.370133736781229</v>
      </c>
      <c r="U7" s="43">
        <f>IF(tblShifts[[#This Row],[Date]]="","",IF(OR(tblShifts[[#This Row],[Labour cost]]="",tblShifts[[#This Row],[Std cost per unit]]=""),"",tblShifts[[#This Row],[Labour cost]]-tblShifts[[#This Row],[Std cost per unit]]*tblShifts[[#This Row],[Good units]]))</f>
        <v>98.8257077205882</v>
      </c>
      <c r="V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 s="48">
        <f>IF(tblShifts[[#This Row],[Date]]="","",IF(AND(tblShifts[[#This Row],[Date]]&gt;=FFrom,tblShifts[[#This Row],[Date]]&lt;=FTo,OR(DashLine="",tblShifts[[#This Row],[Line]]=DashLine),OR(DashProduct="",tblShifts[[#This Row],[Product]]=DashProduct)),tblShifts[[#This Row],[Date]],""))</f>
        <v>46279</v>
      </c>
      <c r="X7" s="28" t="s">
        <v>149</v>
      </c>
    </row>
    <row r="8" spans="1:24">
      <c r="B8" s="42">
        <v>46279</v>
      </c>
      <c r="C8" s="28" t="s">
        <v>81</v>
      </c>
      <c r="D8" s="28" t="s">
        <v>84</v>
      </c>
      <c r="E8" s="28" t="s">
        <v>89</v>
      </c>
      <c r="F8" s="28" t="s">
        <v>122</v>
      </c>
      <c r="G8" s="32">
        <v>2</v>
      </c>
      <c r="H8" s="32">
        <v>8</v>
      </c>
      <c r="I8" s="36">
        <v>184</v>
      </c>
      <c r="J8" s="43">
        <f>IF(tblShifts[[#This Row],[Date]]="","",IFERROR(INDEX(tblRoles[Loaded rate],MATCH(tblShifts[[#This Row],[Role]],tblRoles[Role],0)),""))</f>
        <v>34.5242647058824</v>
      </c>
      <c r="K8" s="44">
        <f>IF(tblShifts[[#This Row],[Date]]="","",IFERROR(INDEX(tblProducts[Std cycle (s/unit)],MATCH(tblShifts[[#This Row],[Product]],tblProducts[Product],0)),""))</f>
        <v>140</v>
      </c>
      <c r="L8" s="44">
        <f>IF(tblShifts[[#This Row],[Date]]="","",IFERROR(INDEX(tblProducts[Std crew (people)],MATCH(tblShifts[[#This Row],[Product]],tblProducts[Product],0)),""))</f>
        <v>2</v>
      </c>
      <c r="M8" s="44">
        <f>IF(tblShifts[[#This Row],[Date]]="","",tblShifts[[#This Row],[Operators]]*tblShifts[[#This Row],[Hours]])</f>
        <v>16</v>
      </c>
      <c r="N8" s="43">
        <f>IF(tblShifts[[#This Row],[Date]]="","",IF(tblShifts[[#This Row],[Loaded rate]]="","",tblShifts[[#This Row],[Crew hours]]*tblShifts[[#This Row],[Loaded rate]]))</f>
        <v>552.388235294118</v>
      </c>
      <c r="O8" s="45">
        <f>IF(tblShifts[[#This Row],[Date]]="","",IF(OR(tblShifts[[#This Row],[Labour cost]]="",N(tblShifts[[#This Row],[Good units]])=0),"",tblShifts[[#This Row],[Labour cost]]/tblShifts[[#This Row],[Good units]]))</f>
        <v>3.00210997442455</v>
      </c>
      <c r="P8" s="45">
        <f>IF(tblShifts[[#This Row],[Date]]="","",IF(OR(tblShifts[[#This Row],[Loaded rate]]="",tblShifts[[#This Row],[Std cycle]]=""),"",tblShifts[[#This Row],[Std crew]]*tblShifts[[#This Row],[Loaded rate]]*tblShifts[[#This Row],[Std cycle]]/3600))</f>
        <v>2.68522058823529</v>
      </c>
      <c r="Q8" s="43">
        <f>IF(tblShifts[[#This Row],[Date]]="","",IF(tblShifts[[#This Row],[Std cycle]]="","",tblShifts[[#This Row],[Good units]]*tblShifts[[#This Row],[Std crew]]*tblShifts[[#This Row],[Std cycle]]/3600))</f>
        <v>14.3111111111111</v>
      </c>
      <c r="R8" s="46">
        <f>IF(tblShifts[[#This Row],[Date]]="","",IF(OR(tblShifts[[#This Row],[Earned hours]]="",N(tblShifts[[#This Row],[Crew hours]])=0),"",tblShifts[[#This Row],[Earned hours]]/tblShifts[[#This Row],[Crew hours]]))</f>
        <v>0.894444444444445</v>
      </c>
      <c r="S8" s="47" t="str">
        <f>IF(NOT(ISNUMBER(tblShifts[[#This Row],[Efficiency]])),"",IF(tblShifts[[#This Row],[Efficiency]]&gt;=TargetEff,"On target",IF(tblShifts[[#This Row],[Efficiency]]&gt;=TargetEff*(1-0.05),"Near target","Below target")))</f>
        <v>On target</v>
      </c>
      <c r="T8" s="45">
        <f>IF(tblShifts[[#This Row],[Date]]="","",IF(OR(tblShifts[[#This Row],[Cost per unit]]="",tblShifts[[#This Row],[Std cost per unit]]=""),"",tblShifts[[#This Row],[Cost per unit]]-tblShifts[[#This Row],[Std cost per unit]]))</f>
        <v>0.316889386189258</v>
      </c>
      <c r="U8" s="43">
        <f>IF(tblShifts[[#This Row],[Date]]="","",IF(OR(tblShifts[[#This Row],[Labour cost]]="",tblShifts[[#This Row],[Std cost per unit]]=""),"",tblShifts[[#This Row],[Labour cost]]-tblShifts[[#This Row],[Std cost per unit]]*tblShifts[[#This Row],[Good units]]))</f>
        <v>58.3076470588235</v>
      </c>
      <c r="V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 s="48">
        <f>IF(tblShifts[[#This Row],[Date]]="","",IF(AND(tblShifts[[#This Row],[Date]]&gt;=FFrom,tblShifts[[#This Row],[Date]]&lt;=FTo,OR(DashLine="",tblShifts[[#This Row],[Line]]=DashLine),OR(DashProduct="",tblShifts[[#This Row],[Product]]=DashProduct)),tblShifts[[#This Row],[Date]],""))</f>
        <v>46279</v>
      </c>
      <c r="X8" s="28" t="s">
        <v>149</v>
      </c>
    </row>
    <row r="9" spans="1:24">
      <c r="B9" s="42">
        <v>46279</v>
      </c>
      <c r="C9" s="28" t="s">
        <v>81</v>
      </c>
      <c r="D9" s="28" t="s">
        <v>85</v>
      </c>
      <c r="E9" s="28" t="s">
        <v>93</v>
      </c>
      <c r="F9" s="28" t="s">
        <v>123</v>
      </c>
      <c r="G9" s="32">
        <v>2</v>
      </c>
      <c r="H9" s="32">
        <v>10</v>
      </c>
      <c r="I9" s="36">
        <v>78</v>
      </c>
      <c r="J9" s="43">
        <f>IF(tblShifts[[#This Row],[Date]]="","",IFERROR(INDEX(tblRoles[Loaded rate],MATCH(tblShifts[[#This Row],[Role]],tblRoles[Role],0)),""))</f>
        <v>45.2216806722689</v>
      </c>
      <c r="K9" s="44">
        <f>IF(tblShifts[[#This Row],[Date]]="","",IFERROR(INDEX(tblProducts[Std cycle (s/unit)],MATCH(tblShifts[[#This Row],[Product]],tblProducts[Product],0)),""))</f>
        <v>420</v>
      </c>
      <c r="L9" s="44">
        <f>IF(tblShifts[[#This Row],[Date]]="","",IFERROR(INDEX(tblProducts[Std crew (people)],MATCH(tblShifts[[#This Row],[Product]],tblProducts[Product],0)),""))</f>
        <v>2</v>
      </c>
      <c r="M9" s="44">
        <f>IF(tblShifts[[#This Row],[Date]]="","",tblShifts[[#This Row],[Operators]]*tblShifts[[#This Row],[Hours]])</f>
        <v>20</v>
      </c>
      <c r="N9" s="43">
        <f>IF(tblShifts[[#This Row],[Date]]="","",IF(tblShifts[[#This Row],[Loaded rate]]="","",tblShifts[[#This Row],[Crew hours]]*tblShifts[[#This Row],[Loaded rate]]))</f>
        <v>904.433613445378</v>
      </c>
      <c r="O9" s="45">
        <f>IF(tblShifts[[#This Row],[Date]]="","",IF(OR(tblShifts[[#This Row],[Labour cost]]="",N(tblShifts[[#This Row],[Good units]])=0),"",tblShifts[[#This Row],[Labour cost]]/tblShifts[[#This Row],[Good units]]))</f>
        <v>11.5953027364792</v>
      </c>
      <c r="P9" s="45">
        <f>IF(tblShifts[[#This Row],[Date]]="","",IF(OR(tblShifts[[#This Row],[Loaded rate]]="",tblShifts[[#This Row],[Std cycle]]=""),"",tblShifts[[#This Row],[Std crew]]*tblShifts[[#This Row],[Loaded rate]]*tblShifts[[#This Row],[Std cycle]]/3600))</f>
        <v>10.5517254901961</v>
      </c>
      <c r="Q9" s="43">
        <f>IF(tblShifts[[#This Row],[Date]]="","",IF(tblShifts[[#This Row],[Std cycle]]="","",tblShifts[[#This Row],[Good units]]*tblShifts[[#This Row],[Std crew]]*tblShifts[[#This Row],[Std cycle]]/3600))</f>
        <v>18.2</v>
      </c>
      <c r="R9" s="46">
        <f>IF(tblShifts[[#This Row],[Date]]="","",IF(OR(tblShifts[[#This Row],[Earned hours]]="",N(tblShifts[[#This Row],[Crew hours]])=0),"",tblShifts[[#This Row],[Earned hours]]/tblShifts[[#This Row],[Crew hours]]))</f>
        <v>0.91</v>
      </c>
      <c r="S9" s="47" t="str">
        <f>IF(NOT(ISNUMBER(tblShifts[[#This Row],[Efficiency]])),"",IF(tblShifts[[#This Row],[Efficiency]]&gt;=TargetEff,"On target",IF(tblShifts[[#This Row],[Efficiency]]&gt;=TargetEff*(1-0.05),"Near target","Below target")))</f>
        <v>On target</v>
      </c>
      <c r="T9" s="45">
        <f>IF(tblShifts[[#This Row],[Date]]="","",IF(OR(tblShifts[[#This Row],[Cost per unit]]="",tblShifts[[#This Row],[Std cost per unit]]=""),"",tblShifts[[#This Row],[Cost per unit]]-tblShifts[[#This Row],[Std cost per unit]]))</f>
        <v>1.04357724628313</v>
      </c>
      <c r="U9" s="43">
        <f>IF(tblShifts[[#This Row],[Date]]="","",IF(OR(tblShifts[[#This Row],[Labour cost]]="",tblShifts[[#This Row],[Std cost per unit]]=""),"",tblShifts[[#This Row],[Labour cost]]-tblShifts[[#This Row],[Std cost per unit]]*tblShifts[[#This Row],[Good units]]))</f>
        <v>81.3990252100841</v>
      </c>
      <c r="V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 s="48">
        <f>IF(tblShifts[[#This Row],[Date]]="","",IF(AND(tblShifts[[#This Row],[Date]]&gt;=FFrom,tblShifts[[#This Row],[Date]]&lt;=FTo,OR(DashLine="",tblShifts[[#This Row],[Line]]=DashLine),OR(DashProduct="",tblShifts[[#This Row],[Product]]=DashProduct)),tblShifts[[#This Row],[Date]],""))</f>
        <v>46279</v>
      </c>
      <c r="X9" s="28" t="s">
        <v>149</v>
      </c>
    </row>
    <row r="10" spans="1:24">
      <c r="B10" s="42">
        <v>46279</v>
      </c>
      <c r="C10" s="28" t="s">
        <v>83</v>
      </c>
      <c r="D10" s="28" t="s">
        <v>82</v>
      </c>
      <c r="E10" s="28" t="s">
        <v>87</v>
      </c>
      <c r="F10" s="28" t="s">
        <v>122</v>
      </c>
      <c r="G10" s="32">
        <v>4</v>
      </c>
      <c r="H10" s="32">
        <v>10</v>
      </c>
      <c r="I10" s="36">
        <v>432</v>
      </c>
      <c r="J10" s="43">
        <f>IF(tblShifts[[#This Row],[Date]]="","",IFERROR(INDEX(tblRoles[Loaded rate],MATCH(tblShifts[[#This Row],[Role]],tblRoles[Role],0)),""))</f>
        <v>34.5242647058824</v>
      </c>
      <c r="K10" s="44">
        <f>IF(tblShifts[[#This Row],[Date]]="","",IFERROR(INDEX(tblProducts[Std cycle (s/unit)],MATCH(tblShifts[[#This Row],[Product]],tblProducts[Product],0)),""))</f>
        <v>95</v>
      </c>
      <c r="L10" s="44">
        <f>IF(tblShifts[[#This Row],[Date]]="","",IFERROR(INDEX(tblProducts[Std crew (people)],MATCH(tblShifts[[#This Row],[Product]],tblProducts[Product],0)),""))</f>
        <v>3</v>
      </c>
      <c r="M10" s="44">
        <f>IF(tblShifts[[#This Row],[Date]]="","",tblShifts[[#This Row],[Operators]]*tblShifts[[#This Row],[Hours]])</f>
        <v>40</v>
      </c>
      <c r="N10" s="43">
        <f>IF(tblShifts[[#This Row],[Date]]="","",IF(tblShifts[[#This Row],[Loaded rate]]="","",tblShifts[[#This Row],[Crew hours]]*tblShifts[[#This Row],[Loaded rate]]))</f>
        <v>1380.97058823529</v>
      </c>
      <c r="O10" s="45">
        <f>IF(tblShifts[[#This Row],[Date]]="","",IF(OR(tblShifts[[#This Row],[Labour cost]]="",N(tblShifts[[#This Row],[Good units]])=0),"",tblShifts[[#This Row],[Labour cost]]/tblShifts[[#This Row],[Good units]]))</f>
        <v>3.19669117647059</v>
      </c>
      <c r="P10" s="45">
        <f>IF(tblShifts[[#This Row],[Date]]="","",IF(OR(tblShifts[[#This Row],[Loaded rate]]="",tblShifts[[#This Row],[Std cycle]]=""),"",tblShifts[[#This Row],[Std crew]]*tblShifts[[#This Row],[Loaded rate]]*tblShifts[[#This Row],[Std cycle]]/3600))</f>
        <v>2.73317095588235</v>
      </c>
      <c r="Q10" s="43">
        <f>IF(tblShifts[[#This Row],[Date]]="","",IF(tblShifts[[#This Row],[Std cycle]]="","",tblShifts[[#This Row],[Good units]]*tblShifts[[#This Row],[Std crew]]*tblShifts[[#This Row],[Std cycle]]/3600))</f>
        <v>34.2</v>
      </c>
      <c r="R10" s="46">
        <f>IF(tblShifts[[#This Row],[Date]]="","",IF(OR(tblShifts[[#This Row],[Earned hours]]="",N(tblShifts[[#This Row],[Crew hours]])=0),"",tblShifts[[#This Row],[Earned hours]]/tblShifts[[#This Row],[Crew hours]]))</f>
        <v>0.855</v>
      </c>
      <c r="S10" s="47" t="str">
        <f>IF(NOT(ISNUMBER(tblShifts[[#This Row],[Efficiency]])),"",IF(tblShifts[[#This Row],[Efficiency]]&gt;=TargetEff,"On target",IF(tblShifts[[#This Row],[Efficiency]]&gt;=TargetEff*(1-0.05),"Near target","Below target")))</f>
        <v>On target</v>
      </c>
      <c r="T10" s="45">
        <f>IF(tblShifts[[#This Row],[Date]]="","",IF(OR(tblShifts[[#This Row],[Cost per unit]]="",tblShifts[[#This Row],[Std cost per unit]]=""),"",tblShifts[[#This Row],[Cost per unit]]-tblShifts[[#This Row],[Std cost per unit]]))</f>
        <v>0.463520220588236</v>
      </c>
      <c r="U10" s="43">
        <f>IF(tblShifts[[#This Row],[Date]]="","",IF(OR(tblShifts[[#This Row],[Labour cost]]="",tblShifts[[#This Row],[Std cost per unit]]=""),"",tblShifts[[#This Row],[Labour cost]]-tblShifts[[#This Row],[Std cost per unit]]*tblShifts[[#This Row],[Good units]]))</f>
        <v>200.240735294118</v>
      </c>
      <c r="V1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 s="48">
        <f>IF(tblShifts[[#This Row],[Date]]="","",IF(AND(tblShifts[[#This Row],[Date]]&gt;=FFrom,tblShifts[[#This Row],[Date]]&lt;=FTo,OR(DashLine="",tblShifts[[#This Row],[Line]]=DashLine),OR(DashProduct="",tblShifts[[#This Row],[Product]]=DashProduct)),tblShifts[[#This Row],[Date]],""))</f>
        <v>46279</v>
      </c>
      <c r="X10" s="28" t="s">
        <v>149</v>
      </c>
    </row>
    <row r="11" spans="1:24">
      <c r="B11" s="42">
        <v>46279</v>
      </c>
      <c r="C11" s="28" t="s">
        <v>83</v>
      </c>
      <c r="D11" s="28" t="s">
        <v>84</v>
      </c>
      <c r="E11" s="28" t="s">
        <v>89</v>
      </c>
      <c r="F11" s="28" t="s">
        <v>122</v>
      </c>
      <c r="G11" s="32">
        <v>2</v>
      </c>
      <c r="H11" s="32">
        <v>8</v>
      </c>
      <c r="I11" s="36">
        <v>162</v>
      </c>
      <c r="J11" s="43">
        <f>IF(tblShifts[[#This Row],[Date]]="","",IFERROR(INDEX(tblRoles[Loaded rate],MATCH(tblShifts[[#This Row],[Role]],tblRoles[Role],0)),""))</f>
        <v>34.5242647058824</v>
      </c>
      <c r="K11" s="44">
        <f>IF(tblShifts[[#This Row],[Date]]="","",IFERROR(INDEX(tblProducts[Std cycle (s/unit)],MATCH(tblShifts[[#This Row],[Product]],tblProducts[Product],0)),""))</f>
        <v>140</v>
      </c>
      <c r="L11" s="44">
        <f>IF(tblShifts[[#This Row],[Date]]="","",IFERROR(INDEX(tblProducts[Std crew (people)],MATCH(tblShifts[[#This Row],[Product]],tblProducts[Product],0)),""))</f>
        <v>2</v>
      </c>
      <c r="M11" s="44">
        <f>IF(tblShifts[[#This Row],[Date]]="","",tblShifts[[#This Row],[Operators]]*tblShifts[[#This Row],[Hours]])</f>
        <v>16</v>
      </c>
      <c r="N11" s="43">
        <f>IF(tblShifts[[#This Row],[Date]]="","",IF(tblShifts[[#This Row],[Loaded rate]]="","",tblShifts[[#This Row],[Crew hours]]*tblShifts[[#This Row],[Loaded rate]]))</f>
        <v>552.388235294118</v>
      </c>
      <c r="O11" s="45">
        <f>IF(tblShifts[[#This Row],[Date]]="","",IF(OR(tblShifts[[#This Row],[Labour cost]]="",N(tblShifts[[#This Row],[Good units]])=0),"",tblShifts[[#This Row],[Labour cost]]/tblShifts[[#This Row],[Good units]]))</f>
        <v>3.40980392156863</v>
      </c>
      <c r="P11" s="45">
        <f>IF(tblShifts[[#This Row],[Date]]="","",IF(OR(tblShifts[[#This Row],[Loaded rate]]="",tblShifts[[#This Row],[Std cycle]]=""),"",tblShifts[[#This Row],[Std crew]]*tblShifts[[#This Row],[Loaded rate]]*tblShifts[[#This Row],[Std cycle]]/3600))</f>
        <v>2.68522058823529</v>
      </c>
      <c r="Q11" s="43">
        <f>IF(tblShifts[[#This Row],[Date]]="","",IF(tblShifts[[#This Row],[Std cycle]]="","",tblShifts[[#This Row],[Good units]]*tblShifts[[#This Row],[Std crew]]*tblShifts[[#This Row],[Std cycle]]/3600))</f>
        <v>12.6</v>
      </c>
      <c r="R11" s="46">
        <f>IF(tblShifts[[#This Row],[Date]]="","",IF(OR(tblShifts[[#This Row],[Earned hours]]="",N(tblShifts[[#This Row],[Crew hours]])=0),"",tblShifts[[#This Row],[Earned hours]]/tblShifts[[#This Row],[Crew hours]]))</f>
        <v>0.7875</v>
      </c>
      <c r="S11" s="47" t="str">
        <f>IF(NOT(ISNUMBER(tblShifts[[#This Row],[Efficiency]])),"",IF(tblShifts[[#This Row],[Efficiency]]&gt;=TargetEff,"On target",IF(tblShifts[[#This Row],[Efficiency]]&gt;=TargetEff*(1-0.05),"Near target","Below target")))</f>
        <v>Below target</v>
      </c>
      <c r="T11" s="45">
        <f>IF(tblShifts[[#This Row],[Date]]="","",IF(OR(tblShifts[[#This Row],[Cost per unit]]="",tblShifts[[#This Row],[Std cost per unit]]=""),"",tblShifts[[#This Row],[Cost per unit]]-tblShifts[[#This Row],[Std cost per unit]]))</f>
        <v>0.724583333333333</v>
      </c>
      <c r="U11" s="43">
        <f>IF(tblShifts[[#This Row],[Date]]="","",IF(OR(tblShifts[[#This Row],[Labour cost]]="",tblShifts[[#This Row],[Std cost per unit]]=""),"",tblShifts[[#This Row],[Labour cost]]-tblShifts[[#This Row],[Std cost per unit]]*tblShifts[[#This Row],[Good units]]))</f>
        <v>117.3825</v>
      </c>
      <c r="V1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 s="48">
        <f>IF(tblShifts[[#This Row],[Date]]="","",IF(AND(tblShifts[[#This Row],[Date]]&gt;=FFrom,tblShifts[[#This Row],[Date]]&lt;=FTo,OR(DashLine="",tblShifts[[#This Row],[Line]]=DashLine),OR(DashProduct="",tblShifts[[#This Row],[Product]]=DashProduct)),tblShifts[[#This Row],[Date]],""))</f>
        <v>46279</v>
      </c>
      <c r="X11" s="28" t="s">
        <v>150</v>
      </c>
    </row>
    <row r="12" spans="1:24">
      <c r="B12" s="42">
        <v>46279</v>
      </c>
      <c r="C12" s="28" t="s">
        <v>83</v>
      </c>
      <c r="D12" s="28" t="s">
        <v>85</v>
      </c>
      <c r="E12" s="28" t="s">
        <v>93</v>
      </c>
      <c r="F12" s="28" t="s">
        <v>123</v>
      </c>
      <c r="G12" s="32">
        <v>2</v>
      </c>
      <c r="H12" s="32">
        <v>8</v>
      </c>
      <c r="I12" s="36">
        <v>60</v>
      </c>
      <c r="J12" s="43">
        <f>IF(tblShifts[[#This Row],[Date]]="","",IFERROR(INDEX(tblRoles[Loaded rate],MATCH(tblShifts[[#This Row],[Role]],tblRoles[Role],0)),""))</f>
        <v>45.2216806722689</v>
      </c>
      <c r="K12" s="44">
        <f>IF(tblShifts[[#This Row],[Date]]="","",IFERROR(INDEX(tblProducts[Std cycle (s/unit)],MATCH(tblShifts[[#This Row],[Product]],tblProducts[Product],0)),""))</f>
        <v>420</v>
      </c>
      <c r="L12" s="44">
        <f>IF(tblShifts[[#This Row],[Date]]="","",IFERROR(INDEX(tblProducts[Std crew (people)],MATCH(tblShifts[[#This Row],[Product]],tblProducts[Product],0)),""))</f>
        <v>2</v>
      </c>
      <c r="M12" s="44">
        <f>IF(tblShifts[[#This Row],[Date]]="","",tblShifts[[#This Row],[Operators]]*tblShifts[[#This Row],[Hours]])</f>
        <v>16</v>
      </c>
      <c r="N12" s="43">
        <f>IF(tblShifts[[#This Row],[Date]]="","",IF(tblShifts[[#This Row],[Loaded rate]]="","",tblShifts[[#This Row],[Crew hours]]*tblShifts[[#This Row],[Loaded rate]]))</f>
        <v>723.546890756303</v>
      </c>
      <c r="O12" s="45">
        <f>IF(tblShifts[[#This Row],[Date]]="","",IF(OR(tblShifts[[#This Row],[Labour cost]]="",N(tblShifts[[#This Row],[Good units]])=0),"",tblShifts[[#This Row],[Labour cost]]/tblShifts[[#This Row],[Good units]]))</f>
        <v>12.0591148459384</v>
      </c>
      <c r="P12" s="45">
        <f>IF(tblShifts[[#This Row],[Date]]="","",IF(OR(tblShifts[[#This Row],[Loaded rate]]="",tblShifts[[#This Row],[Std cycle]]=""),"",tblShifts[[#This Row],[Std crew]]*tblShifts[[#This Row],[Loaded rate]]*tblShifts[[#This Row],[Std cycle]]/3600))</f>
        <v>10.5517254901961</v>
      </c>
      <c r="Q12" s="43">
        <f>IF(tblShifts[[#This Row],[Date]]="","",IF(tblShifts[[#This Row],[Std cycle]]="","",tblShifts[[#This Row],[Good units]]*tblShifts[[#This Row],[Std crew]]*tblShifts[[#This Row],[Std cycle]]/3600))</f>
        <v>14</v>
      </c>
      <c r="R12" s="46">
        <f>IF(tblShifts[[#This Row],[Date]]="","",IF(OR(tblShifts[[#This Row],[Earned hours]]="",N(tblShifts[[#This Row],[Crew hours]])=0),"",tblShifts[[#This Row],[Earned hours]]/tblShifts[[#This Row],[Crew hours]]))</f>
        <v>0.875</v>
      </c>
      <c r="S12" s="47" t="str">
        <f>IF(NOT(ISNUMBER(tblShifts[[#This Row],[Efficiency]])),"",IF(tblShifts[[#This Row],[Efficiency]]&gt;=TargetEff,"On target",IF(tblShifts[[#This Row],[Efficiency]]&gt;=TargetEff*(1-0.05),"Near target","Below target")))</f>
        <v>On target</v>
      </c>
      <c r="T12" s="45">
        <f>IF(tblShifts[[#This Row],[Date]]="","",IF(OR(tblShifts[[#This Row],[Cost per unit]]="",tblShifts[[#This Row],[Std cost per unit]]=""),"",tblShifts[[#This Row],[Cost per unit]]-tblShifts[[#This Row],[Std cost per unit]]))</f>
        <v>1.5073893557423</v>
      </c>
      <c r="U12" s="43">
        <f>IF(tblShifts[[#This Row],[Date]]="","",IF(OR(tblShifts[[#This Row],[Labour cost]]="",tblShifts[[#This Row],[Std cost per unit]]=""),"",tblShifts[[#This Row],[Labour cost]]-tblShifts[[#This Row],[Std cost per unit]]*tblShifts[[#This Row],[Good units]]))</f>
        <v>90.4433613445378</v>
      </c>
      <c r="V1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 s="48">
        <f>IF(tblShifts[[#This Row],[Date]]="","",IF(AND(tblShifts[[#This Row],[Date]]&gt;=FFrom,tblShifts[[#This Row],[Date]]&lt;=FTo,OR(DashLine="",tblShifts[[#This Row],[Line]]=DashLine),OR(DashProduct="",tblShifts[[#This Row],[Product]]=DashProduct)),tblShifts[[#This Row],[Date]],""))</f>
        <v>46279</v>
      </c>
      <c r="X12" s="28" t="s">
        <v>149</v>
      </c>
    </row>
    <row r="13" spans="1:24">
      <c r="B13" s="42">
        <v>46280</v>
      </c>
      <c r="C13" s="28" t="s">
        <v>81</v>
      </c>
      <c r="D13" s="28" t="s">
        <v>82</v>
      </c>
      <c r="E13" s="28" t="s">
        <v>87</v>
      </c>
      <c r="F13" s="28" t="s">
        <v>122</v>
      </c>
      <c r="G13" s="32">
        <v>3</v>
      </c>
      <c r="H13" s="32">
        <v>8</v>
      </c>
      <c r="I13" s="36">
        <v>277</v>
      </c>
      <c r="J13" s="43">
        <f>IF(tblShifts[[#This Row],[Date]]="","",IFERROR(INDEX(tblRoles[Loaded rate],MATCH(tblShifts[[#This Row],[Role]],tblRoles[Role],0)),""))</f>
        <v>34.5242647058824</v>
      </c>
      <c r="K13" s="44">
        <f>IF(tblShifts[[#This Row],[Date]]="","",IFERROR(INDEX(tblProducts[Std cycle (s/unit)],MATCH(tblShifts[[#This Row],[Product]],tblProducts[Product],0)),""))</f>
        <v>95</v>
      </c>
      <c r="L13" s="44">
        <f>IF(tblShifts[[#This Row],[Date]]="","",IFERROR(INDEX(tblProducts[Std crew (people)],MATCH(tblShifts[[#This Row],[Product]],tblProducts[Product],0)),""))</f>
        <v>3</v>
      </c>
      <c r="M13" s="44">
        <f>IF(tblShifts[[#This Row],[Date]]="","",tblShifts[[#This Row],[Operators]]*tblShifts[[#This Row],[Hours]])</f>
        <v>24</v>
      </c>
      <c r="N13" s="43">
        <f>IF(tblShifts[[#This Row],[Date]]="","",IF(tblShifts[[#This Row],[Loaded rate]]="","",tblShifts[[#This Row],[Crew hours]]*tblShifts[[#This Row],[Loaded rate]]))</f>
        <v>828.582352941176</v>
      </c>
      <c r="O13" s="45">
        <f>IF(tblShifts[[#This Row],[Date]]="","",IF(OR(tblShifts[[#This Row],[Labour cost]]="",N(tblShifts[[#This Row],[Good units]])=0),"",tblShifts[[#This Row],[Labour cost]]/tblShifts[[#This Row],[Good units]]))</f>
        <v>2.99127203227862</v>
      </c>
      <c r="P13" s="45">
        <f>IF(tblShifts[[#This Row],[Date]]="","",IF(OR(tblShifts[[#This Row],[Loaded rate]]="",tblShifts[[#This Row],[Std cycle]]=""),"",tblShifts[[#This Row],[Std crew]]*tblShifts[[#This Row],[Loaded rate]]*tblShifts[[#This Row],[Std cycle]]/3600))</f>
        <v>2.73317095588235</v>
      </c>
      <c r="Q13" s="43">
        <f>IF(tblShifts[[#This Row],[Date]]="","",IF(tblShifts[[#This Row],[Std cycle]]="","",tblShifts[[#This Row],[Good units]]*tblShifts[[#This Row],[Std crew]]*tblShifts[[#This Row],[Std cycle]]/3600))</f>
        <v>21.9291666666667</v>
      </c>
      <c r="R13" s="46">
        <f>IF(tblShifts[[#This Row],[Date]]="","",IF(OR(tblShifts[[#This Row],[Earned hours]]="",N(tblShifts[[#This Row],[Crew hours]])=0),"",tblShifts[[#This Row],[Earned hours]]/tblShifts[[#This Row],[Crew hours]]))</f>
        <v>0.913715277777778</v>
      </c>
      <c r="S13" s="47" t="str">
        <f>IF(NOT(ISNUMBER(tblShifts[[#This Row],[Efficiency]])),"",IF(tblShifts[[#This Row],[Efficiency]]&gt;=TargetEff,"On target",IF(tblShifts[[#This Row],[Efficiency]]&gt;=TargetEff*(1-0.05),"Near target","Below target")))</f>
        <v>On target</v>
      </c>
      <c r="T13" s="45">
        <f>IF(tblShifts[[#This Row],[Date]]="","",IF(OR(tblShifts[[#This Row],[Cost per unit]]="",tblShifts[[#This Row],[Std cost per unit]]=""),"",tblShifts[[#This Row],[Cost per unit]]-tblShifts[[#This Row],[Std cost per unit]]))</f>
        <v>0.258101076396263</v>
      </c>
      <c r="U13" s="43">
        <f>IF(tblShifts[[#This Row],[Date]]="","",IF(OR(tblShifts[[#This Row],[Labour cost]]="",tblShifts[[#This Row],[Std cost per unit]]=""),"",tblShifts[[#This Row],[Labour cost]]-tblShifts[[#This Row],[Std cost per unit]]*tblShifts[[#This Row],[Good units]]))</f>
        <v>71.4939981617647</v>
      </c>
      <c r="V1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3" s="48">
        <f>IF(tblShifts[[#This Row],[Date]]="","",IF(AND(tblShifts[[#This Row],[Date]]&gt;=FFrom,tblShifts[[#This Row],[Date]]&lt;=FTo,OR(DashLine="",tblShifts[[#This Row],[Line]]=DashLine),OR(DashProduct="",tblShifts[[#This Row],[Product]]=DashProduct)),tblShifts[[#This Row],[Date]],""))</f>
        <v>46280</v>
      </c>
      <c r="X13" s="28" t="s">
        <v>149</v>
      </c>
    </row>
    <row r="14" spans="1:24">
      <c r="B14" s="42">
        <v>46280</v>
      </c>
      <c r="C14" s="28" t="s">
        <v>81</v>
      </c>
      <c r="D14" s="28" t="s">
        <v>84</v>
      </c>
      <c r="E14" s="28" t="s">
        <v>89</v>
      </c>
      <c r="F14" s="28" t="s">
        <v>122</v>
      </c>
      <c r="G14" s="32">
        <v>2</v>
      </c>
      <c r="H14" s="32">
        <v>8</v>
      </c>
      <c r="I14" s="36">
        <v>192</v>
      </c>
      <c r="J14" s="43">
        <f>IF(tblShifts[[#This Row],[Date]]="","",IFERROR(INDEX(tblRoles[Loaded rate],MATCH(tblShifts[[#This Row],[Role]],tblRoles[Role],0)),""))</f>
        <v>34.5242647058824</v>
      </c>
      <c r="K14" s="44">
        <f>IF(tblShifts[[#This Row],[Date]]="","",IFERROR(INDEX(tblProducts[Std cycle (s/unit)],MATCH(tblShifts[[#This Row],[Product]],tblProducts[Product],0)),""))</f>
        <v>140</v>
      </c>
      <c r="L14" s="44">
        <f>IF(tblShifts[[#This Row],[Date]]="","",IFERROR(INDEX(tblProducts[Std crew (people)],MATCH(tblShifts[[#This Row],[Product]],tblProducts[Product],0)),""))</f>
        <v>2</v>
      </c>
      <c r="M14" s="44">
        <f>IF(tblShifts[[#This Row],[Date]]="","",tblShifts[[#This Row],[Operators]]*tblShifts[[#This Row],[Hours]])</f>
        <v>16</v>
      </c>
      <c r="N14" s="43">
        <f>IF(tblShifts[[#This Row],[Date]]="","",IF(tblShifts[[#This Row],[Loaded rate]]="","",tblShifts[[#This Row],[Crew hours]]*tblShifts[[#This Row],[Loaded rate]]))</f>
        <v>552.388235294118</v>
      </c>
      <c r="O14" s="45">
        <f>IF(tblShifts[[#This Row],[Date]]="","",IF(OR(tblShifts[[#This Row],[Labour cost]]="",N(tblShifts[[#This Row],[Good units]])=0),"",tblShifts[[#This Row],[Labour cost]]/tblShifts[[#This Row],[Good units]]))</f>
        <v>2.87702205882353</v>
      </c>
      <c r="P14" s="45">
        <f>IF(tblShifts[[#This Row],[Date]]="","",IF(OR(tblShifts[[#This Row],[Loaded rate]]="",tblShifts[[#This Row],[Std cycle]]=""),"",tblShifts[[#This Row],[Std crew]]*tblShifts[[#This Row],[Loaded rate]]*tblShifts[[#This Row],[Std cycle]]/3600))</f>
        <v>2.68522058823529</v>
      </c>
      <c r="Q14" s="43">
        <f>IF(tblShifts[[#This Row],[Date]]="","",IF(tblShifts[[#This Row],[Std cycle]]="","",tblShifts[[#This Row],[Good units]]*tblShifts[[#This Row],[Std crew]]*tblShifts[[#This Row],[Std cycle]]/3600))</f>
        <v>14.9333333333333</v>
      </c>
      <c r="R14" s="46">
        <f>IF(tblShifts[[#This Row],[Date]]="","",IF(OR(tblShifts[[#This Row],[Earned hours]]="",N(tblShifts[[#This Row],[Crew hours]])=0),"",tblShifts[[#This Row],[Earned hours]]/tblShifts[[#This Row],[Crew hours]]))</f>
        <v>0.933333333333333</v>
      </c>
      <c r="S14" s="47" t="str">
        <f>IF(NOT(ISNUMBER(tblShifts[[#This Row],[Efficiency]])),"",IF(tblShifts[[#This Row],[Efficiency]]&gt;=TargetEff,"On target",IF(tblShifts[[#This Row],[Efficiency]]&gt;=TargetEff*(1-0.05),"Near target","Below target")))</f>
        <v>On target</v>
      </c>
      <c r="T14" s="45">
        <f>IF(tblShifts[[#This Row],[Date]]="","",IF(OR(tblShifts[[#This Row],[Cost per unit]]="",tblShifts[[#This Row],[Std cost per unit]]=""),"",tblShifts[[#This Row],[Cost per unit]]-tblShifts[[#This Row],[Std cost per unit]]))</f>
        <v>0.191801470588235</v>
      </c>
      <c r="U14" s="43">
        <f>IF(tblShifts[[#This Row],[Date]]="","",IF(OR(tblShifts[[#This Row],[Labour cost]]="",tblShifts[[#This Row],[Std cost per unit]]=""),"",tblShifts[[#This Row],[Labour cost]]-tblShifts[[#This Row],[Std cost per unit]]*tblShifts[[#This Row],[Good units]]))</f>
        <v>36.8258823529411</v>
      </c>
      <c r="V1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4" s="48">
        <f>IF(tblShifts[[#This Row],[Date]]="","",IF(AND(tblShifts[[#This Row],[Date]]&gt;=FFrom,tblShifts[[#This Row],[Date]]&lt;=FTo,OR(DashLine="",tblShifts[[#This Row],[Line]]=DashLine),OR(DashProduct="",tblShifts[[#This Row],[Product]]=DashProduct)),tblShifts[[#This Row],[Date]],""))</f>
        <v>46280</v>
      </c>
      <c r="X14" s="28" t="s">
        <v>149</v>
      </c>
    </row>
    <row r="15" spans="1:24">
      <c r="B15" s="42">
        <v>46280</v>
      </c>
      <c r="C15" s="28" t="s">
        <v>81</v>
      </c>
      <c r="D15" s="28" t="s">
        <v>85</v>
      </c>
      <c r="E15" s="28" t="s">
        <v>93</v>
      </c>
      <c r="F15" s="28" t="s">
        <v>123</v>
      </c>
      <c r="G15" s="32">
        <v>2</v>
      </c>
      <c r="H15" s="32">
        <v>8</v>
      </c>
      <c r="I15" s="36">
        <v>66</v>
      </c>
      <c r="J15" s="43">
        <f>IF(tblShifts[[#This Row],[Date]]="","",IFERROR(INDEX(tblRoles[Loaded rate],MATCH(tblShifts[[#This Row],[Role]],tblRoles[Role],0)),""))</f>
        <v>45.2216806722689</v>
      </c>
      <c r="K15" s="44">
        <f>IF(tblShifts[[#This Row],[Date]]="","",IFERROR(INDEX(tblProducts[Std cycle (s/unit)],MATCH(tblShifts[[#This Row],[Product]],tblProducts[Product],0)),""))</f>
        <v>420</v>
      </c>
      <c r="L15" s="44">
        <f>IF(tblShifts[[#This Row],[Date]]="","",IFERROR(INDEX(tblProducts[Std crew (people)],MATCH(tblShifts[[#This Row],[Product]],tblProducts[Product],0)),""))</f>
        <v>2</v>
      </c>
      <c r="M15" s="44">
        <f>IF(tblShifts[[#This Row],[Date]]="","",tblShifts[[#This Row],[Operators]]*tblShifts[[#This Row],[Hours]])</f>
        <v>16</v>
      </c>
      <c r="N15" s="43">
        <f>IF(tblShifts[[#This Row],[Date]]="","",IF(tblShifts[[#This Row],[Loaded rate]]="","",tblShifts[[#This Row],[Crew hours]]*tblShifts[[#This Row],[Loaded rate]]))</f>
        <v>723.546890756303</v>
      </c>
      <c r="O15" s="45">
        <f>IF(tblShifts[[#This Row],[Date]]="","",IF(OR(tblShifts[[#This Row],[Labour cost]]="",N(tblShifts[[#This Row],[Good units]])=0),"",tblShifts[[#This Row],[Labour cost]]/tblShifts[[#This Row],[Good units]]))</f>
        <v>10.9628316781258</v>
      </c>
      <c r="P15" s="45">
        <f>IF(tblShifts[[#This Row],[Date]]="","",IF(OR(tblShifts[[#This Row],[Loaded rate]]="",tblShifts[[#This Row],[Std cycle]]=""),"",tblShifts[[#This Row],[Std crew]]*tblShifts[[#This Row],[Loaded rate]]*tblShifts[[#This Row],[Std cycle]]/3600))</f>
        <v>10.5517254901961</v>
      </c>
      <c r="Q15" s="43">
        <f>IF(tblShifts[[#This Row],[Date]]="","",IF(tblShifts[[#This Row],[Std cycle]]="","",tblShifts[[#This Row],[Good units]]*tblShifts[[#This Row],[Std crew]]*tblShifts[[#This Row],[Std cycle]]/3600))</f>
        <v>15.4</v>
      </c>
      <c r="R15" s="46">
        <f>IF(tblShifts[[#This Row],[Date]]="","",IF(OR(tblShifts[[#This Row],[Earned hours]]="",N(tblShifts[[#This Row],[Crew hours]])=0),"",tblShifts[[#This Row],[Earned hours]]/tblShifts[[#This Row],[Crew hours]]))</f>
        <v>0.9625</v>
      </c>
      <c r="S15" s="47" t="str">
        <f>IF(NOT(ISNUMBER(tblShifts[[#This Row],[Efficiency]])),"",IF(tblShifts[[#This Row],[Efficiency]]&gt;=TargetEff,"On target",IF(tblShifts[[#This Row],[Efficiency]]&gt;=TargetEff*(1-0.05),"Near target","Below target")))</f>
        <v>On target</v>
      </c>
      <c r="T15" s="45">
        <f>IF(tblShifts[[#This Row],[Date]]="","",IF(OR(tblShifts[[#This Row],[Cost per unit]]="",tblShifts[[#This Row],[Std cost per unit]]=""),"",tblShifts[[#This Row],[Cost per unit]]-tblShifts[[#This Row],[Std cost per unit]]))</f>
        <v>0.411106187929718</v>
      </c>
      <c r="U15" s="43">
        <f>IF(tblShifts[[#This Row],[Date]]="","",IF(OR(tblShifts[[#This Row],[Labour cost]]="",tblShifts[[#This Row],[Std cost per unit]]=""),"",tblShifts[[#This Row],[Labour cost]]-tblShifts[[#This Row],[Std cost per unit]]*tblShifts[[#This Row],[Good units]]))</f>
        <v>27.1330084033614</v>
      </c>
      <c r="V1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5" s="48">
        <f>IF(tblShifts[[#This Row],[Date]]="","",IF(AND(tblShifts[[#This Row],[Date]]&gt;=FFrom,tblShifts[[#This Row],[Date]]&lt;=FTo,OR(DashLine="",tblShifts[[#This Row],[Line]]=DashLine),OR(DashProduct="",tblShifts[[#This Row],[Product]]=DashProduct)),tblShifts[[#This Row],[Date]],""))</f>
        <v>46280</v>
      </c>
      <c r="X15" s="28" t="s">
        <v>149</v>
      </c>
    </row>
    <row r="16" spans="1:24">
      <c r="B16" s="42">
        <v>46280</v>
      </c>
      <c r="C16" s="28" t="s">
        <v>83</v>
      </c>
      <c r="D16" s="28" t="s">
        <v>82</v>
      </c>
      <c r="E16" s="28" t="s">
        <v>87</v>
      </c>
      <c r="F16" s="28" t="s">
        <v>122</v>
      </c>
      <c r="G16" s="32">
        <v>4</v>
      </c>
      <c r="H16" s="32">
        <v>8</v>
      </c>
      <c r="I16" s="36">
        <v>345</v>
      </c>
      <c r="J16" s="43">
        <f>IF(tblShifts[[#This Row],[Date]]="","",IFERROR(INDEX(tblRoles[Loaded rate],MATCH(tblShifts[[#This Row],[Role]],tblRoles[Role],0)),""))</f>
        <v>34.5242647058824</v>
      </c>
      <c r="K16" s="44">
        <f>IF(tblShifts[[#This Row],[Date]]="","",IFERROR(INDEX(tblProducts[Std cycle (s/unit)],MATCH(tblShifts[[#This Row],[Product]],tblProducts[Product],0)),""))</f>
        <v>95</v>
      </c>
      <c r="L16" s="44">
        <f>IF(tblShifts[[#This Row],[Date]]="","",IFERROR(INDEX(tblProducts[Std crew (people)],MATCH(tblShifts[[#This Row],[Product]],tblProducts[Product],0)),""))</f>
        <v>3</v>
      </c>
      <c r="M16" s="44">
        <f>IF(tblShifts[[#This Row],[Date]]="","",tblShifts[[#This Row],[Operators]]*tblShifts[[#This Row],[Hours]])</f>
        <v>32</v>
      </c>
      <c r="N16" s="43">
        <f>IF(tblShifts[[#This Row],[Date]]="","",IF(tblShifts[[#This Row],[Loaded rate]]="","",tblShifts[[#This Row],[Crew hours]]*tblShifts[[#This Row],[Loaded rate]]))</f>
        <v>1104.77647058824</v>
      </c>
      <c r="O16" s="45">
        <f>IF(tblShifts[[#This Row],[Date]]="","",IF(OR(tblShifts[[#This Row],[Labour cost]]="",N(tblShifts[[#This Row],[Good units]])=0),"",tblShifts[[#This Row],[Labour cost]]/tblShifts[[#This Row],[Good units]]))</f>
        <v>3.20225063938619</v>
      </c>
      <c r="P16" s="45">
        <f>IF(tblShifts[[#This Row],[Date]]="","",IF(OR(tblShifts[[#This Row],[Loaded rate]]="",tblShifts[[#This Row],[Std cycle]]=""),"",tblShifts[[#This Row],[Std crew]]*tblShifts[[#This Row],[Loaded rate]]*tblShifts[[#This Row],[Std cycle]]/3600))</f>
        <v>2.73317095588235</v>
      </c>
      <c r="Q16" s="43">
        <f>IF(tblShifts[[#This Row],[Date]]="","",IF(tblShifts[[#This Row],[Std cycle]]="","",tblShifts[[#This Row],[Good units]]*tblShifts[[#This Row],[Std crew]]*tblShifts[[#This Row],[Std cycle]]/3600))</f>
        <v>27.3125</v>
      </c>
      <c r="R16" s="46">
        <f>IF(tblShifts[[#This Row],[Date]]="","",IF(OR(tblShifts[[#This Row],[Earned hours]]="",N(tblShifts[[#This Row],[Crew hours]])=0),"",tblShifts[[#This Row],[Earned hours]]/tblShifts[[#This Row],[Crew hours]]))</f>
        <v>0.853515625</v>
      </c>
      <c r="S16" s="47" t="str">
        <f>IF(NOT(ISNUMBER(tblShifts[[#This Row],[Efficiency]])),"",IF(tblShifts[[#This Row],[Efficiency]]&gt;=TargetEff,"On target",IF(tblShifts[[#This Row],[Efficiency]]&gt;=TargetEff*(1-0.05),"Near target","Below target")))</f>
        <v>On target</v>
      </c>
      <c r="T16" s="45">
        <f>IF(tblShifts[[#This Row],[Date]]="","",IF(OR(tblShifts[[#This Row],[Cost per unit]]="",tblShifts[[#This Row],[Std cost per unit]]=""),"",tblShifts[[#This Row],[Cost per unit]]-tblShifts[[#This Row],[Std cost per unit]]))</f>
        <v>0.469079683503836</v>
      </c>
      <c r="U16" s="43">
        <f>IF(tblShifts[[#This Row],[Date]]="","",IF(OR(tblShifts[[#This Row],[Labour cost]]="",tblShifts[[#This Row],[Std cost per unit]]=""),"",tblShifts[[#This Row],[Labour cost]]-tblShifts[[#This Row],[Std cost per unit]]*tblShifts[[#This Row],[Good units]]))</f>
        <v>161.832490808824</v>
      </c>
      <c r="V1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6" s="48">
        <f>IF(tblShifts[[#This Row],[Date]]="","",IF(AND(tblShifts[[#This Row],[Date]]&gt;=FFrom,tblShifts[[#This Row],[Date]]&lt;=FTo,OR(DashLine="",tblShifts[[#This Row],[Line]]=DashLine),OR(DashProduct="",tblShifts[[#This Row],[Product]]=DashProduct)),tblShifts[[#This Row],[Date]],""))</f>
        <v>46280</v>
      </c>
      <c r="X16" s="28" t="s">
        <v>149</v>
      </c>
    </row>
    <row r="17" spans="2:24">
      <c r="B17" s="42">
        <v>46280</v>
      </c>
      <c r="C17" s="28" t="s">
        <v>83</v>
      </c>
      <c r="D17" s="28" t="s">
        <v>84</v>
      </c>
      <c r="E17" s="28" t="s">
        <v>89</v>
      </c>
      <c r="F17" s="28" t="s">
        <v>122</v>
      </c>
      <c r="G17" s="32">
        <v>2</v>
      </c>
      <c r="H17" s="32">
        <v>8</v>
      </c>
      <c r="I17" s="36">
        <v>154</v>
      </c>
      <c r="J17" s="43">
        <f>IF(tblShifts[[#This Row],[Date]]="","",IFERROR(INDEX(tblRoles[Loaded rate],MATCH(tblShifts[[#This Row],[Role]],tblRoles[Role],0)),""))</f>
        <v>34.5242647058824</v>
      </c>
      <c r="K17" s="44">
        <f>IF(tblShifts[[#This Row],[Date]]="","",IFERROR(INDEX(tblProducts[Std cycle (s/unit)],MATCH(tblShifts[[#This Row],[Product]],tblProducts[Product],0)),""))</f>
        <v>140</v>
      </c>
      <c r="L17" s="44">
        <f>IF(tblShifts[[#This Row],[Date]]="","",IFERROR(INDEX(tblProducts[Std crew (people)],MATCH(tblShifts[[#This Row],[Product]],tblProducts[Product],0)),""))</f>
        <v>2</v>
      </c>
      <c r="M17" s="44">
        <f>IF(tblShifts[[#This Row],[Date]]="","",tblShifts[[#This Row],[Operators]]*tblShifts[[#This Row],[Hours]])</f>
        <v>16</v>
      </c>
      <c r="N17" s="43">
        <f>IF(tblShifts[[#This Row],[Date]]="","",IF(tblShifts[[#This Row],[Loaded rate]]="","",tblShifts[[#This Row],[Crew hours]]*tblShifts[[#This Row],[Loaded rate]]))</f>
        <v>552.388235294118</v>
      </c>
      <c r="O17" s="45">
        <f>IF(tblShifts[[#This Row],[Date]]="","",IF(OR(tblShifts[[#This Row],[Labour cost]]="",N(tblShifts[[#This Row],[Good units]])=0),"",tblShifts[[#This Row],[Labour cost]]/tblShifts[[#This Row],[Good units]]))</f>
        <v>3.58693659281895</v>
      </c>
      <c r="P17" s="45">
        <f>IF(tblShifts[[#This Row],[Date]]="","",IF(OR(tblShifts[[#This Row],[Loaded rate]]="",tblShifts[[#This Row],[Std cycle]]=""),"",tblShifts[[#This Row],[Std crew]]*tblShifts[[#This Row],[Loaded rate]]*tblShifts[[#This Row],[Std cycle]]/3600))</f>
        <v>2.68522058823529</v>
      </c>
      <c r="Q17" s="43">
        <f>IF(tblShifts[[#This Row],[Date]]="","",IF(tblShifts[[#This Row],[Std cycle]]="","",tblShifts[[#This Row],[Good units]]*tblShifts[[#This Row],[Std crew]]*tblShifts[[#This Row],[Std cycle]]/3600))</f>
        <v>11.9777777777778</v>
      </c>
      <c r="R17" s="46">
        <f>IF(tblShifts[[#This Row],[Date]]="","",IF(OR(tblShifts[[#This Row],[Earned hours]]="",N(tblShifts[[#This Row],[Crew hours]])=0),"",tblShifts[[#This Row],[Earned hours]]/tblShifts[[#This Row],[Crew hours]]))</f>
        <v>0.748611111111111</v>
      </c>
      <c r="S17" s="47" t="str">
        <f>IF(NOT(ISNUMBER(tblShifts[[#This Row],[Efficiency]])),"",IF(tblShifts[[#This Row],[Efficiency]]&gt;=TargetEff,"On target",IF(tblShifts[[#This Row],[Efficiency]]&gt;=TargetEff*(1-0.05),"Near target","Below target")))</f>
        <v>Below target</v>
      </c>
      <c r="T17" s="45">
        <f>IF(tblShifts[[#This Row],[Date]]="","",IF(OR(tblShifts[[#This Row],[Cost per unit]]="",tblShifts[[#This Row],[Std cost per unit]]=""),"",tblShifts[[#This Row],[Cost per unit]]-tblShifts[[#This Row],[Std cost per unit]]))</f>
        <v>0.901716004583651</v>
      </c>
      <c r="U17" s="43">
        <f>IF(tblShifts[[#This Row],[Date]]="","",IF(OR(tblShifts[[#This Row],[Labour cost]]="",tblShifts[[#This Row],[Std cost per unit]]=""),"",tblShifts[[#This Row],[Labour cost]]-tblShifts[[#This Row],[Std cost per unit]]*tblShifts[[#This Row],[Good units]]))</f>
        <v>138.864264705882</v>
      </c>
      <c r="V1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7" s="48">
        <f>IF(tblShifts[[#This Row],[Date]]="","",IF(AND(tblShifts[[#This Row],[Date]]&gt;=FFrom,tblShifts[[#This Row],[Date]]&lt;=FTo,OR(DashLine="",tblShifts[[#This Row],[Line]]=DashLine),OR(DashProduct="",tblShifts[[#This Row],[Product]]=DashProduct)),tblShifts[[#This Row],[Date]],""))</f>
        <v>46280</v>
      </c>
      <c r="X17" s="28" t="s">
        <v>149</v>
      </c>
    </row>
    <row r="18" spans="2:24">
      <c r="B18" s="42">
        <v>46280</v>
      </c>
      <c r="C18" s="28" t="s">
        <v>83</v>
      </c>
      <c r="D18" s="28" t="s">
        <v>85</v>
      </c>
      <c r="E18" s="28" t="s">
        <v>93</v>
      </c>
      <c r="F18" s="28" t="s">
        <v>123</v>
      </c>
      <c r="G18" s="32">
        <v>2</v>
      </c>
      <c r="H18" s="32">
        <v>8</v>
      </c>
      <c r="I18" s="36">
        <v>59</v>
      </c>
      <c r="J18" s="43">
        <f>IF(tblShifts[[#This Row],[Date]]="","",IFERROR(INDEX(tblRoles[Loaded rate],MATCH(tblShifts[[#This Row],[Role]],tblRoles[Role],0)),""))</f>
        <v>45.2216806722689</v>
      </c>
      <c r="K18" s="44">
        <f>IF(tblShifts[[#This Row],[Date]]="","",IFERROR(INDEX(tblProducts[Std cycle (s/unit)],MATCH(tblShifts[[#This Row],[Product]],tblProducts[Product],0)),""))</f>
        <v>420</v>
      </c>
      <c r="L18" s="44">
        <f>IF(tblShifts[[#This Row],[Date]]="","",IFERROR(INDEX(tblProducts[Std crew (people)],MATCH(tblShifts[[#This Row],[Product]],tblProducts[Product],0)),""))</f>
        <v>2</v>
      </c>
      <c r="M18" s="44">
        <f>IF(tblShifts[[#This Row],[Date]]="","",tblShifts[[#This Row],[Operators]]*tblShifts[[#This Row],[Hours]])</f>
        <v>16</v>
      </c>
      <c r="N18" s="43">
        <f>IF(tblShifts[[#This Row],[Date]]="","",IF(tblShifts[[#This Row],[Loaded rate]]="","",tblShifts[[#This Row],[Crew hours]]*tblShifts[[#This Row],[Loaded rate]]))</f>
        <v>723.546890756303</v>
      </c>
      <c r="O18" s="45">
        <f>IF(tblShifts[[#This Row],[Date]]="","",IF(OR(tblShifts[[#This Row],[Labour cost]]="",N(tblShifts[[#This Row],[Good units]])=0),"",tblShifts[[#This Row],[Labour cost]]/tblShifts[[#This Row],[Good units]]))</f>
        <v>12.2635066229882</v>
      </c>
      <c r="P18" s="45">
        <f>IF(tblShifts[[#This Row],[Date]]="","",IF(OR(tblShifts[[#This Row],[Loaded rate]]="",tblShifts[[#This Row],[Std cycle]]=""),"",tblShifts[[#This Row],[Std crew]]*tblShifts[[#This Row],[Loaded rate]]*tblShifts[[#This Row],[Std cycle]]/3600))</f>
        <v>10.5517254901961</v>
      </c>
      <c r="Q18" s="43">
        <f>IF(tblShifts[[#This Row],[Date]]="","",IF(tblShifts[[#This Row],[Std cycle]]="","",tblShifts[[#This Row],[Good units]]*tblShifts[[#This Row],[Std crew]]*tblShifts[[#This Row],[Std cycle]]/3600))</f>
        <v>13.7666666666667</v>
      </c>
      <c r="R18" s="46">
        <f>IF(tblShifts[[#This Row],[Date]]="","",IF(OR(tblShifts[[#This Row],[Earned hours]]="",N(tblShifts[[#This Row],[Crew hours]])=0),"",tblShifts[[#This Row],[Earned hours]]/tblShifts[[#This Row],[Crew hours]]))</f>
        <v>0.860416666666667</v>
      </c>
      <c r="S18" s="47" t="str">
        <f>IF(NOT(ISNUMBER(tblShifts[[#This Row],[Efficiency]])),"",IF(tblShifts[[#This Row],[Efficiency]]&gt;=TargetEff,"On target",IF(tblShifts[[#This Row],[Efficiency]]&gt;=TargetEff*(1-0.05),"Near target","Below target")))</f>
        <v>On target</v>
      </c>
      <c r="T18" s="45">
        <f>IF(tblShifts[[#This Row],[Date]]="","",IF(OR(tblShifts[[#This Row],[Cost per unit]]="",tblShifts[[#This Row],[Std cost per unit]]=""),"",tblShifts[[#This Row],[Cost per unit]]-tblShifts[[#This Row],[Std cost per unit]]))</f>
        <v>1.7117811327921</v>
      </c>
      <c r="U18" s="43">
        <f>IF(tblShifts[[#This Row],[Date]]="","",IF(OR(tblShifts[[#This Row],[Labour cost]]="",tblShifts[[#This Row],[Std cost per unit]]=""),"",tblShifts[[#This Row],[Labour cost]]-tblShifts[[#This Row],[Std cost per unit]]*tblShifts[[#This Row],[Good units]]))</f>
        <v>100.995086834734</v>
      </c>
      <c r="V1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8" s="48">
        <f>IF(tblShifts[[#This Row],[Date]]="","",IF(AND(tblShifts[[#This Row],[Date]]&gt;=FFrom,tblShifts[[#This Row],[Date]]&lt;=FTo,OR(DashLine="",tblShifts[[#This Row],[Line]]=DashLine),OR(DashProduct="",tblShifts[[#This Row],[Product]]=DashProduct)),tblShifts[[#This Row],[Date]],""))</f>
        <v>46280</v>
      </c>
      <c r="X18" s="28" t="s">
        <v>149</v>
      </c>
    </row>
    <row r="19" spans="2:24">
      <c r="B19" s="42">
        <v>46281</v>
      </c>
      <c r="C19" s="28" t="s">
        <v>81</v>
      </c>
      <c r="D19" s="28" t="s">
        <v>82</v>
      </c>
      <c r="E19" s="28" t="s">
        <v>87</v>
      </c>
      <c r="F19" s="28" t="s">
        <v>122</v>
      </c>
      <c r="G19" s="32">
        <v>3</v>
      </c>
      <c r="H19" s="32">
        <v>8</v>
      </c>
      <c r="I19" s="36">
        <v>257</v>
      </c>
      <c r="J19" s="43">
        <f>IF(tblShifts[[#This Row],[Date]]="","",IFERROR(INDEX(tblRoles[Loaded rate],MATCH(tblShifts[[#This Row],[Role]],tblRoles[Role],0)),""))</f>
        <v>34.5242647058824</v>
      </c>
      <c r="K19" s="44">
        <f>IF(tblShifts[[#This Row],[Date]]="","",IFERROR(INDEX(tblProducts[Std cycle (s/unit)],MATCH(tblShifts[[#This Row],[Product]],tblProducts[Product],0)),""))</f>
        <v>95</v>
      </c>
      <c r="L19" s="44">
        <f>IF(tblShifts[[#This Row],[Date]]="","",IFERROR(INDEX(tblProducts[Std crew (people)],MATCH(tblShifts[[#This Row],[Product]],tblProducts[Product],0)),""))</f>
        <v>3</v>
      </c>
      <c r="M19" s="44">
        <f>IF(tblShifts[[#This Row],[Date]]="","",tblShifts[[#This Row],[Operators]]*tblShifts[[#This Row],[Hours]])</f>
        <v>24</v>
      </c>
      <c r="N19" s="43">
        <f>IF(tblShifts[[#This Row],[Date]]="","",IF(tblShifts[[#This Row],[Loaded rate]]="","",tblShifts[[#This Row],[Crew hours]]*tblShifts[[#This Row],[Loaded rate]]))</f>
        <v>828.582352941176</v>
      </c>
      <c r="O19" s="45">
        <f>IF(tblShifts[[#This Row],[Date]]="","",IF(OR(tblShifts[[#This Row],[Labour cost]]="",N(tblShifts[[#This Row],[Good units]])=0),"",tblShifts[[#This Row],[Labour cost]]/tblShifts[[#This Row],[Good units]]))</f>
        <v>3.22405584802014</v>
      </c>
      <c r="P19" s="45">
        <f>IF(tblShifts[[#This Row],[Date]]="","",IF(OR(tblShifts[[#This Row],[Loaded rate]]="",tblShifts[[#This Row],[Std cycle]]=""),"",tblShifts[[#This Row],[Std crew]]*tblShifts[[#This Row],[Loaded rate]]*tblShifts[[#This Row],[Std cycle]]/3600))</f>
        <v>2.73317095588235</v>
      </c>
      <c r="Q19" s="43">
        <f>IF(tblShifts[[#This Row],[Date]]="","",IF(tblShifts[[#This Row],[Std cycle]]="","",tblShifts[[#This Row],[Good units]]*tblShifts[[#This Row],[Std crew]]*tblShifts[[#This Row],[Std cycle]]/3600))</f>
        <v>20.3458333333333</v>
      </c>
      <c r="R19" s="46">
        <f>IF(tblShifts[[#This Row],[Date]]="","",IF(OR(tblShifts[[#This Row],[Earned hours]]="",N(tblShifts[[#This Row],[Crew hours]])=0),"",tblShifts[[#This Row],[Earned hours]]/tblShifts[[#This Row],[Crew hours]]))</f>
        <v>0.847743055555556</v>
      </c>
      <c r="S19" s="47" t="str">
        <f>IF(NOT(ISNUMBER(tblShifts[[#This Row],[Efficiency]])),"",IF(tblShifts[[#This Row],[Efficiency]]&gt;=TargetEff,"On target",IF(tblShifts[[#This Row],[Efficiency]]&gt;=TargetEff*(1-0.05),"Near target","Below target")))</f>
        <v>Near target</v>
      </c>
      <c r="T19" s="45">
        <f>IF(tblShifts[[#This Row],[Date]]="","",IF(OR(tblShifts[[#This Row],[Cost per unit]]="",tblShifts[[#This Row],[Std cost per unit]]=""),"",tblShifts[[#This Row],[Cost per unit]]-tblShifts[[#This Row],[Std cost per unit]]))</f>
        <v>0.490884892137789</v>
      </c>
      <c r="U19" s="43">
        <f>IF(tblShifts[[#This Row],[Date]]="","",IF(OR(tblShifts[[#This Row],[Labour cost]]="",tblShifts[[#This Row],[Std cost per unit]]=""),"",tblShifts[[#This Row],[Labour cost]]-tblShifts[[#This Row],[Std cost per unit]]*tblShifts[[#This Row],[Good units]]))</f>
        <v>126.157417279412</v>
      </c>
      <c r="V1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9" s="48">
        <f>IF(tblShifts[[#This Row],[Date]]="","",IF(AND(tblShifts[[#This Row],[Date]]&gt;=FFrom,tblShifts[[#This Row],[Date]]&lt;=FTo,OR(DashLine="",tblShifts[[#This Row],[Line]]=DashLine),OR(DashProduct="",tblShifts[[#This Row],[Product]]=DashProduct)),tblShifts[[#This Row],[Date]],""))</f>
        <v>46281</v>
      </c>
      <c r="X19" s="28" t="s">
        <v>149</v>
      </c>
    </row>
    <row r="20" spans="2:24">
      <c r="B20" s="42">
        <v>46281</v>
      </c>
      <c r="C20" s="28" t="s">
        <v>81</v>
      </c>
      <c r="D20" s="28" t="s">
        <v>84</v>
      </c>
      <c r="E20" s="28" t="s">
        <v>89</v>
      </c>
      <c r="F20" s="28" t="s">
        <v>122</v>
      </c>
      <c r="G20" s="32">
        <v>2</v>
      </c>
      <c r="H20" s="32">
        <v>8</v>
      </c>
      <c r="I20" s="36">
        <v>189</v>
      </c>
      <c r="J20" s="43">
        <f>IF(tblShifts[[#This Row],[Date]]="","",IFERROR(INDEX(tblRoles[Loaded rate],MATCH(tblShifts[[#This Row],[Role]],tblRoles[Role],0)),""))</f>
        <v>34.5242647058824</v>
      </c>
      <c r="K20" s="44">
        <f>IF(tblShifts[[#This Row],[Date]]="","",IFERROR(INDEX(tblProducts[Std cycle (s/unit)],MATCH(tblShifts[[#This Row],[Product]],tblProducts[Product],0)),""))</f>
        <v>140</v>
      </c>
      <c r="L20" s="44">
        <f>IF(tblShifts[[#This Row],[Date]]="","",IFERROR(INDEX(tblProducts[Std crew (people)],MATCH(tblShifts[[#This Row],[Product]],tblProducts[Product],0)),""))</f>
        <v>2</v>
      </c>
      <c r="M20" s="44">
        <f>IF(tblShifts[[#This Row],[Date]]="","",tblShifts[[#This Row],[Operators]]*tblShifts[[#This Row],[Hours]])</f>
        <v>16</v>
      </c>
      <c r="N20" s="43">
        <f>IF(tblShifts[[#This Row],[Date]]="","",IF(tblShifts[[#This Row],[Loaded rate]]="","",tblShifts[[#This Row],[Crew hours]]*tblShifts[[#This Row],[Loaded rate]]))</f>
        <v>552.388235294118</v>
      </c>
      <c r="O20" s="45">
        <f>IF(tblShifts[[#This Row],[Date]]="","",IF(OR(tblShifts[[#This Row],[Labour cost]]="",N(tblShifts[[#This Row],[Good units]])=0),"",tblShifts[[#This Row],[Labour cost]]/tblShifts[[#This Row],[Good units]]))</f>
        <v>2.92268907563025</v>
      </c>
      <c r="P20" s="45">
        <f>IF(tblShifts[[#This Row],[Date]]="","",IF(OR(tblShifts[[#This Row],[Loaded rate]]="",tblShifts[[#This Row],[Std cycle]]=""),"",tblShifts[[#This Row],[Std crew]]*tblShifts[[#This Row],[Loaded rate]]*tblShifts[[#This Row],[Std cycle]]/3600))</f>
        <v>2.68522058823529</v>
      </c>
      <c r="Q20" s="43">
        <f>IF(tblShifts[[#This Row],[Date]]="","",IF(tblShifts[[#This Row],[Std cycle]]="","",tblShifts[[#This Row],[Good units]]*tblShifts[[#This Row],[Std crew]]*tblShifts[[#This Row],[Std cycle]]/3600))</f>
        <v>14.7</v>
      </c>
      <c r="R20" s="46">
        <f>IF(tblShifts[[#This Row],[Date]]="","",IF(OR(tblShifts[[#This Row],[Earned hours]]="",N(tblShifts[[#This Row],[Crew hours]])=0),"",tblShifts[[#This Row],[Earned hours]]/tblShifts[[#This Row],[Crew hours]]))</f>
        <v>0.91875</v>
      </c>
      <c r="S20" s="47" t="str">
        <f>IF(NOT(ISNUMBER(tblShifts[[#This Row],[Efficiency]])),"",IF(tblShifts[[#This Row],[Efficiency]]&gt;=TargetEff,"On target",IF(tblShifts[[#This Row],[Efficiency]]&gt;=TargetEff*(1-0.05),"Near target","Below target")))</f>
        <v>On target</v>
      </c>
      <c r="T20" s="45">
        <f>IF(tblShifts[[#This Row],[Date]]="","",IF(OR(tblShifts[[#This Row],[Cost per unit]]="",tblShifts[[#This Row],[Std cost per unit]]=""),"",tblShifts[[#This Row],[Cost per unit]]-tblShifts[[#This Row],[Std cost per unit]]))</f>
        <v>0.237468487394958</v>
      </c>
      <c r="U20" s="43">
        <f>IF(tblShifts[[#This Row],[Date]]="","",IF(OR(tblShifts[[#This Row],[Labour cost]]="",tblShifts[[#This Row],[Std cost per unit]]=""),"",tblShifts[[#This Row],[Labour cost]]-tblShifts[[#This Row],[Std cost per unit]]*tblShifts[[#This Row],[Good units]]))</f>
        <v>44.881544117647</v>
      </c>
      <c r="V2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0" s="48">
        <f>IF(tblShifts[[#This Row],[Date]]="","",IF(AND(tblShifts[[#This Row],[Date]]&gt;=FFrom,tblShifts[[#This Row],[Date]]&lt;=FTo,OR(DashLine="",tblShifts[[#This Row],[Line]]=DashLine),OR(DashProduct="",tblShifts[[#This Row],[Product]]=DashProduct)),tblShifts[[#This Row],[Date]],""))</f>
        <v>46281</v>
      </c>
      <c r="X20" s="28" t="s">
        <v>149</v>
      </c>
    </row>
    <row r="21" spans="2:24">
      <c r="B21" s="42">
        <v>46281</v>
      </c>
      <c r="C21" s="28" t="s">
        <v>81</v>
      </c>
      <c r="D21" s="28" t="s">
        <v>85</v>
      </c>
      <c r="E21" s="28" t="s">
        <v>93</v>
      </c>
      <c r="F21" s="28" t="s">
        <v>123</v>
      </c>
      <c r="G21" s="32">
        <v>2</v>
      </c>
      <c r="H21" s="32">
        <v>8</v>
      </c>
      <c r="I21" s="36">
        <v>62</v>
      </c>
      <c r="J21" s="43">
        <f>IF(tblShifts[[#This Row],[Date]]="","",IFERROR(INDEX(tblRoles[Loaded rate],MATCH(tblShifts[[#This Row],[Role]],tblRoles[Role],0)),""))</f>
        <v>45.2216806722689</v>
      </c>
      <c r="K21" s="44">
        <f>IF(tblShifts[[#This Row],[Date]]="","",IFERROR(INDEX(tblProducts[Std cycle (s/unit)],MATCH(tblShifts[[#This Row],[Product]],tblProducts[Product],0)),""))</f>
        <v>420</v>
      </c>
      <c r="L21" s="44">
        <f>IF(tblShifts[[#This Row],[Date]]="","",IFERROR(INDEX(tblProducts[Std crew (people)],MATCH(tblShifts[[#This Row],[Product]],tblProducts[Product],0)),""))</f>
        <v>2</v>
      </c>
      <c r="M21" s="44">
        <f>IF(tblShifts[[#This Row],[Date]]="","",tblShifts[[#This Row],[Operators]]*tblShifts[[#This Row],[Hours]])</f>
        <v>16</v>
      </c>
      <c r="N21" s="43">
        <f>IF(tblShifts[[#This Row],[Date]]="","",IF(tblShifts[[#This Row],[Loaded rate]]="","",tblShifts[[#This Row],[Crew hours]]*tblShifts[[#This Row],[Loaded rate]]))</f>
        <v>723.546890756303</v>
      </c>
      <c r="O21" s="45">
        <f>IF(tblShifts[[#This Row],[Date]]="","",IF(OR(tblShifts[[#This Row],[Labour cost]]="",N(tblShifts[[#This Row],[Good units]])=0),"",tblShifts[[#This Row],[Labour cost]]/tblShifts[[#This Row],[Good units]]))</f>
        <v>11.6701111412307</v>
      </c>
      <c r="P21" s="45">
        <f>IF(tblShifts[[#This Row],[Date]]="","",IF(OR(tblShifts[[#This Row],[Loaded rate]]="",tblShifts[[#This Row],[Std cycle]]=""),"",tblShifts[[#This Row],[Std crew]]*tblShifts[[#This Row],[Loaded rate]]*tblShifts[[#This Row],[Std cycle]]/3600))</f>
        <v>10.5517254901961</v>
      </c>
      <c r="Q21" s="43">
        <f>IF(tblShifts[[#This Row],[Date]]="","",IF(tblShifts[[#This Row],[Std cycle]]="","",tblShifts[[#This Row],[Good units]]*tblShifts[[#This Row],[Std crew]]*tblShifts[[#This Row],[Std cycle]]/3600))</f>
        <v>14.4666666666667</v>
      </c>
      <c r="R21" s="46">
        <f>IF(tblShifts[[#This Row],[Date]]="","",IF(OR(tblShifts[[#This Row],[Earned hours]]="",N(tblShifts[[#This Row],[Crew hours]])=0),"",tblShifts[[#This Row],[Earned hours]]/tblShifts[[#This Row],[Crew hours]]))</f>
        <v>0.904166666666667</v>
      </c>
      <c r="S21" s="47" t="str">
        <f>IF(NOT(ISNUMBER(tblShifts[[#This Row],[Efficiency]])),"",IF(tblShifts[[#This Row],[Efficiency]]&gt;=TargetEff,"On target",IF(tblShifts[[#This Row],[Efficiency]]&gt;=TargetEff*(1-0.05),"Near target","Below target")))</f>
        <v>On target</v>
      </c>
      <c r="T21" s="45">
        <f>IF(tblShifts[[#This Row],[Date]]="","",IF(OR(tblShifts[[#This Row],[Cost per unit]]="",tblShifts[[#This Row],[Std cost per unit]]=""),"",tblShifts[[#This Row],[Cost per unit]]-tblShifts[[#This Row],[Std cost per unit]]))</f>
        <v>1.11838565103461</v>
      </c>
      <c r="U21" s="43">
        <f>IF(tblShifts[[#This Row],[Date]]="","",IF(OR(tblShifts[[#This Row],[Labour cost]]="",tblShifts[[#This Row],[Std cost per unit]]=""),"",tblShifts[[#This Row],[Labour cost]]-tblShifts[[#This Row],[Std cost per unit]]*tblShifts[[#This Row],[Good units]]))</f>
        <v>69.3399103641457</v>
      </c>
      <c r="V2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1" s="48">
        <f>IF(tblShifts[[#This Row],[Date]]="","",IF(AND(tblShifts[[#This Row],[Date]]&gt;=FFrom,tblShifts[[#This Row],[Date]]&lt;=FTo,OR(DashLine="",tblShifts[[#This Row],[Line]]=DashLine),OR(DashProduct="",tblShifts[[#This Row],[Product]]=DashProduct)),tblShifts[[#This Row],[Date]],""))</f>
        <v>46281</v>
      </c>
      <c r="X21" s="28" t="s">
        <v>149</v>
      </c>
    </row>
    <row r="22" spans="2:24">
      <c r="B22" s="42">
        <v>46281</v>
      </c>
      <c r="C22" s="28" t="s">
        <v>83</v>
      </c>
      <c r="D22" s="28" t="s">
        <v>82</v>
      </c>
      <c r="E22" s="28" t="s">
        <v>87</v>
      </c>
      <c r="F22" s="28" t="s">
        <v>122</v>
      </c>
      <c r="G22" s="32">
        <v>3</v>
      </c>
      <c r="H22" s="32">
        <v>8</v>
      </c>
      <c r="I22" s="36">
        <v>271</v>
      </c>
      <c r="J22" s="43">
        <f>IF(tblShifts[[#This Row],[Date]]="","",IFERROR(INDEX(tblRoles[Loaded rate],MATCH(tblShifts[[#This Row],[Role]],tblRoles[Role],0)),""))</f>
        <v>34.5242647058824</v>
      </c>
      <c r="K22" s="44">
        <f>IF(tblShifts[[#This Row],[Date]]="","",IFERROR(INDEX(tblProducts[Std cycle (s/unit)],MATCH(tblShifts[[#This Row],[Product]],tblProducts[Product],0)),""))</f>
        <v>95</v>
      </c>
      <c r="L22" s="44">
        <f>IF(tblShifts[[#This Row],[Date]]="","",IFERROR(INDEX(tblProducts[Std crew (people)],MATCH(tblShifts[[#This Row],[Product]],tblProducts[Product],0)),""))</f>
        <v>3</v>
      </c>
      <c r="M22" s="44">
        <f>IF(tblShifts[[#This Row],[Date]]="","",tblShifts[[#This Row],[Operators]]*tblShifts[[#This Row],[Hours]])</f>
        <v>24</v>
      </c>
      <c r="N22" s="43">
        <f>IF(tblShifts[[#This Row],[Date]]="","",IF(tblShifts[[#This Row],[Loaded rate]]="","",tblShifts[[#This Row],[Crew hours]]*tblShifts[[#This Row],[Loaded rate]]))</f>
        <v>828.582352941176</v>
      </c>
      <c r="O22" s="45">
        <f>IF(tblShifts[[#This Row],[Date]]="","",IF(OR(tblShifts[[#This Row],[Labour cost]]="",N(tblShifts[[#This Row],[Good units]])=0),"",tblShifts[[#This Row],[Labour cost]]/tblShifts[[#This Row],[Good units]]))</f>
        <v>3.05749945734751</v>
      </c>
      <c r="P22" s="45">
        <f>IF(tblShifts[[#This Row],[Date]]="","",IF(OR(tblShifts[[#This Row],[Loaded rate]]="",tblShifts[[#This Row],[Std cycle]]=""),"",tblShifts[[#This Row],[Std crew]]*tblShifts[[#This Row],[Loaded rate]]*tblShifts[[#This Row],[Std cycle]]/3600))</f>
        <v>2.73317095588235</v>
      </c>
      <c r="Q22" s="43">
        <f>IF(tblShifts[[#This Row],[Date]]="","",IF(tblShifts[[#This Row],[Std cycle]]="","",tblShifts[[#This Row],[Good units]]*tblShifts[[#This Row],[Std crew]]*tblShifts[[#This Row],[Std cycle]]/3600))</f>
        <v>21.4541666666667</v>
      </c>
      <c r="R22" s="46">
        <f>IF(tblShifts[[#This Row],[Date]]="","",IF(OR(tblShifts[[#This Row],[Earned hours]]="",N(tblShifts[[#This Row],[Crew hours]])=0),"",tblShifts[[#This Row],[Earned hours]]/tblShifts[[#This Row],[Crew hours]]))</f>
        <v>0.893923611111111</v>
      </c>
      <c r="S22" s="47" t="str">
        <f>IF(NOT(ISNUMBER(tblShifts[[#This Row],[Efficiency]])),"",IF(tblShifts[[#This Row],[Efficiency]]&gt;=TargetEff,"On target",IF(tblShifts[[#This Row],[Efficiency]]&gt;=TargetEff*(1-0.05),"Near target","Below target")))</f>
        <v>On target</v>
      </c>
      <c r="T22" s="45">
        <f>IF(tblShifts[[#This Row],[Date]]="","",IF(OR(tblShifts[[#This Row],[Cost per unit]]="",tblShifts[[#This Row],[Std cost per unit]]=""),"",tblShifts[[#This Row],[Cost per unit]]-tblShifts[[#This Row],[Std cost per unit]]))</f>
        <v>0.324328501465162</v>
      </c>
      <c r="U22" s="43">
        <f>IF(tblShifts[[#This Row],[Date]]="","",IF(OR(tblShifts[[#This Row],[Labour cost]]="",tblShifts[[#This Row],[Std cost per unit]]=""),"",tblShifts[[#This Row],[Labour cost]]-tblShifts[[#This Row],[Std cost per unit]]*tblShifts[[#This Row],[Good units]]))</f>
        <v>87.8930238970588</v>
      </c>
      <c r="V2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2" s="48">
        <f>IF(tblShifts[[#This Row],[Date]]="","",IF(AND(tblShifts[[#This Row],[Date]]&gt;=FFrom,tblShifts[[#This Row],[Date]]&lt;=FTo,OR(DashLine="",tblShifts[[#This Row],[Line]]=DashLine),OR(DashProduct="",tblShifts[[#This Row],[Product]]=DashProduct)),tblShifts[[#This Row],[Date]],""))</f>
        <v>46281</v>
      </c>
      <c r="X22" s="28" t="s">
        <v>149</v>
      </c>
    </row>
    <row r="23" spans="2:24">
      <c r="B23" s="42">
        <v>46281</v>
      </c>
      <c r="C23" s="28" t="s">
        <v>83</v>
      </c>
      <c r="D23" s="28" t="s">
        <v>84</v>
      </c>
      <c r="E23" s="28" t="s">
        <v>89</v>
      </c>
      <c r="F23" s="28" t="s">
        <v>122</v>
      </c>
      <c r="G23" s="32">
        <v>2</v>
      </c>
      <c r="H23" s="32">
        <v>8</v>
      </c>
      <c r="I23" s="36">
        <v>162</v>
      </c>
      <c r="J23" s="43">
        <f>IF(tblShifts[[#This Row],[Date]]="","",IFERROR(INDEX(tblRoles[Loaded rate],MATCH(tblShifts[[#This Row],[Role]],tblRoles[Role],0)),""))</f>
        <v>34.5242647058824</v>
      </c>
      <c r="K23" s="44">
        <f>IF(tblShifts[[#This Row],[Date]]="","",IFERROR(INDEX(tblProducts[Std cycle (s/unit)],MATCH(tblShifts[[#This Row],[Product]],tblProducts[Product],0)),""))</f>
        <v>140</v>
      </c>
      <c r="L23" s="44">
        <f>IF(tblShifts[[#This Row],[Date]]="","",IFERROR(INDEX(tblProducts[Std crew (people)],MATCH(tblShifts[[#This Row],[Product]],tblProducts[Product],0)),""))</f>
        <v>2</v>
      </c>
      <c r="M23" s="44">
        <f>IF(tblShifts[[#This Row],[Date]]="","",tblShifts[[#This Row],[Operators]]*tblShifts[[#This Row],[Hours]])</f>
        <v>16</v>
      </c>
      <c r="N23" s="43">
        <f>IF(tblShifts[[#This Row],[Date]]="","",IF(tblShifts[[#This Row],[Loaded rate]]="","",tblShifts[[#This Row],[Crew hours]]*tblShifts[[#This Row],[Loaded rate]]))</f>
        <v>552.388235294118</v>
      </c>
      <c r="O23" s="45">
        <f>IF(tblShifts[[#This Row],[Date]]="","",IF(OR(tblShifts[[#This Row],[Labour cost]]="",N(tblShifts[[#This Row],[Good units]])=0),"",tblShifts[[#This Row],[Labour cost]]/tblShifts[[#This Row],[Good units]]))</f>
        <v>3.40980392156863</v>
      </c>
      <c r="P23" s="45">
        <f>IF(tblShifts[[#This Row],[Date]]="","",IF(OR(tblShifts[[#This Row],[Loaded rate]]="",tblShifts[[#This Row],[Std cycle]]=""),"",tblShifts[[#This Row],[Std crew]]*tblShifts[[#This Row],[Loaded rate]]*tblShifts[[#This Row],[Std cycle]]/3600))</f>
        <v>2.68522058823529</v>
      </c>
      <c r="Q23" s="43">
        <f>IF(tblShifts[[#This Row],[Date]]="","",IF(tblShifts[[#This Row],[Std cycle]]="","",tblShifts[[#This Row],[Good units]]*tblShifts[[#This Row],[Std crew]]*tblShifts[[#This Row],[Std cycle]]/3600))</f>
        <v>12.6</v>
      </c>
      <c r="R23" s="46">
        <f>IF(tblShifts[[#This Row],[Date]]="","",IF(OR(tblShifts[[#This Row],[Earned hours]]="",N(tblShifts[[#This Row],[Crew hours]])=0),"",tblShifts[[#This Row],[Earned hours]]/tblShifts[[#This Row],[Crew hours]]))</f>
        <v>0.7875</v>
      </c>
      <c r="S23" s="47" t="str">
        <f>IF(NOT(ISNUMBER(tblShifts[[#This Row],[Efficiency]])),"",IF(tblShifts[[#This Row],[Efficiency]]&gt;=TargetEff,"On target",IF(tblShifts[[#This Row],[Efficiency]]&gt;=TargetEff*(1-0.05),"Near target","Below target")))</f>
        <v>Below target</v>
      </c>
      <c r="T23" s="45">
        <f>IF(tblShifts[[#This Row],[Date]]="","",IF(OR(tblShifts[[#This Row],[Cost per unit]]="",tblShifts[[#This Row],[Std cost per unit]]=""),"",tblShifts[[#This Row],[Cost per unit]]-tblShifts[[#This Row],[Std cost per unit]]))</f>
        <v>0.724583333333333</v>
      </c>
      <c r="U23" s="43">
        <f>IF(tblShifts[[#This Row],[Date]]="","",IF(OR(tblShifts[[#This Row],[Labour cost]]="",tblShifts[[#This Row],[Std cost per unit]]=""),"",tblShifts[[#This Row],[Labour cost]]-tblShifts[[#This Row],[Std cost per unit]]*tblShifts[[#This Row],[Good units]]))</f>
        <v>117.3825</v>
      </c>
      <c r="V2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3" s="48">
        <f>IF(tblShifts[[#This Row],[Date]]="","",IF(AND(tblShifts[[#This Row],[Date]]&gt;=FFrom,tblShifts[[#This Row],[Date]]&lt;=FTo,OR(DashLine="",tblShifts[[#This Row],[Line]]=DashLine),OR(DashProduct="",tblShifts[[#This Row],[Product]]=DashProduct)),tblShifts[[#This Row],[Date]],""))</f>
        <v>46281</v>
      </c>
      <c r="X23" s="28" t="s">
        <v>149</v>
      </c>
    </row>
    <row r="24" spans="2:24">
      <c r="B24" s="42">
        <v>46281</v>
      </c>
      <c r="C24" s="28" t="s">
        <v>83</v>
      </c>
      <c r="D24" s="28" t="s">
        <v>85</v>
      </c>
      <c r="E24" s="28" t="s">
        <v>93</v>
      </c>
      <c r="F24" s="28" t="s">
        <v>123</v>
      </c>
      <c r="G24" s="32">
        <v>2</v>
      </c>
      <c r="H24" s="32">
        <v>8</v>
      </c>
      <c r="I24" s="36">
        <v>59</v>
      </c>
      <c r="J24" s="43">
        <f>IF(tblShifts[[#This Row],[Date]]="","",IFERROR(INDEX(tblRoles[Loaded rate],MATCH(tblShifts[[#This Row],[Role]],tblRoles[Role],0)),""))</f>
        <v>45.2216806722689</v>
      </c>
      <c r="K24" s="44">
        <f>IF(tblShifts[[#This Row],[Date]]="","",IFERROR(INDEX(tblProducts[Std cycle (s/unit)],MATCH(tblShifts[[#This Row],[Product]],tblProducts[Product],0)),""))</f>
        <v>420</v>
      </c>
      <c r="L24" s="44">
        <f>IF(tblShifts[[#This Row],[Date]]="","",IFERROR(INDEX(tblProducts[Std crew (people)],MATCH(tblShifts[[#This Row],[Product]],tblProducts[Product],0)),""))</f>
        <v>2</v>
      </c>
      <c r="M24" s="44">
        <f>IF(tblShifts[[#This Row],[Date]]="","",tblShifts[[#This Row],[Operators]]*tblShifts[[#This Row],[Hours]])</f>
        <v>16</v>
      </c>
      <c r="N24" s="43">
        <f>IF(tblShifts[[#This Row],[Date]]="","",IF(tblShifts[[#This Row],[Loaded rate]]="","",tblShifts[[#This Row],[Crew hours]]*tblShifts[[#This Row],[Loaded rate]]))</f>
        <v>723.546890756303</v>
      </c>
      <c r="O24" s="45">
        <f>IF(tblShifts[[#This Row],[Date]]="","",IF(OR(tblShifts[[#This Row],[Labour cost]]="",N(tblShifts[[#This Row],[Good units]])=0),"",tblShifts[[#This Row],[Labour cost]]/tblShifts[[#This Row],[Good units]]))</f>
        <v>12.2635066229882</v>
      </c>
      <c r="P24" s="45">
        <f>IF(tblShifts[[#This Row],[Date]]="","",IF(OR(tblShifts[[#This Row],[Loaded rate]]="",tblShifts[[#This Row],[Std cycle]]=""),"",tblShifts[[#This Row],[Std crew]]*tblShifts[[#This Row],[Loaded rate]]*tblShifts[[#This Row],[Std cycle]]/3600))</f>
        <v>10.5517254901961</v>
      </c>
      <c r="Q24" s="43">
        <f>IF(tblShifts[[#This Row],[Date]]="","",IF(tblShifts[[#This Row],[Std cycle]]="","",tblShifts[[#This Row],[Good units]]*tblShifts[[#This Row],[Std crew]]*tblShifts[[#This Row],[Std cycle]]/3600))</f>
        <v>13.7666666666667</v>
      </c>
      <c r="R24" s="46">
        <f>IF(tblShifts[[#This Row],[Date]]="","",IF(OR(tblShifts[[#This Row],[Earned hours]]="",N(tblShifts[[#This Row],[Crew hours]])=0),"",tblShifts[[#This Row],[Earned hours]]/tblShifts[[#This Row],[Crew hours]]))</f>
        <v>0.860416666666667</v>
      </c>
      <c r="S24" s="47" t="str">
        <f>IF(NOT(ISNUMBER(tblShifts[[#This Row],[Efficiency]])),"",IF(tblShifts[[#This Row],[Efficiency]]&gt;=TargetEff,"On target",IF(tblShifts[[#This Row],[Efficiency]]&gt;=TargetEff*(1-0.05),"Near target","Below target")))</f>
        <v>On target</v>
      </c>
      <c r="T24" s="45">
        <f>IF(tblShifts[[#This Row],[Date]]="","",IF(OR(tblShifts[[#This Row],[Cost per unit]]="",tblShifts[[#This Row],[Std cost per unit]]=""),"",tblShifts[[#This Row],[Cost per unit]]-tblShifts[[#This Row],[Std cost per unit]]))</f>
        <v>1.7117811327921</v>
      </c>
      <c r="U24" s="43">
        <f>IF(tblShifts[[#This Row],[Date]]="","",IF(OR(tblShifts[[#This Row],[Labour cost]]="",tblShifts[[#This Row],[Std cost per unit]]=""),"",tblShifts[[#This Row],[Labour cost]]-tblShifts[[#This Row],[Std cost per unit]]*tblShifts[[#This Row],[Good units]]))</f>
        <v>100.995086834734</v>
      </c>
      <c r="V2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4" s="48">
        <f>IF(tblShifts[[#This Row],[Date]]="","",IF(AND(tblShifts[[#This Row],[Date]]&gt;=FFrom,tblShifts[[#This Row],[Date]]&lt;=FTo,OR(DashLine="",tblShifts[[#This Row],[Line]]=DashLine),OR(DashProduct="",tblShifts[[#This Row],[Product]]=DashProduct)),tblShifts[[#This Row],[Date]],""))</f>
        <v>46281</v>
      </c>
      <c r="X24" s="28" t="s">
        <v>149</v>
      </c>
    </row>
    <row r="25" spans="2:24">
      <c r="B25" s="42">
        <v>46282</v>
      </c>
      <c r="C25" s="28" t="s">
        <v>81</v>
      </c>
      <c r="D25" s="28" t="s">
        <v>82</v>
      </c>
      <c r="E25" s="28" t="s">
        <v>87</v>
      </c>
      <c r="F25" s="28" t="s">
        <v>122</v>
      </c>
      <c r="G25" s="32">
        <v>4</v>
      </c>
      <c r="H25" s="32">
        <v>8</v>
      </c>
      <c r="I25" s="36">
        <v>344</v>
      </c>
      <c r="J25" s="43">
        <f>IF(tblShifts[[#This Row],[Date]]="","",IFERROR(INDEX(tblRoles[Loaded rate],MATCH(tblShifts[[#This Row],[Role]],tblRoles[Role],0)),""))</f>
        <v>34.5242647058824</v>
      </c>
      <c r="K25" s="44">
        <f>IF(tblShifts[[#This Row],[Date]]="","",IFERROR(INDEX(tblProducts[Std cycle (s/unit)],MATCH(tblShifts[[#This Row],[Product]],tblProducts[Product],0)),""))</f>
        <v>95</v>
      </c>
      <c r="L25" s="44">
        <f>IF(tblShifts[[#This Row],[Date]]="","",IFERROR(INDEX(tblProducts[Std crew (people)],MATCH(tblShifts[[#This Row],[Product]],tblProducts[Product],0)),""))</f>
        <v>3</v>
      </c>
      <c r="M25" s="44">
        <f>IF(tblShifts[[#This Row],[Date]]="","",tblShifts[[#This Row],[Operators]]*tblShifts[[#This Row],[Hours]])</f>
        <v>32</v>
      </c>
      <c r="N25" s="43">
        <f>IF(tblShifts[[#This Row],[Date]]="","",IF(tblShifts[[#This Row],[Loaded rate]]="","",tblShifts[[#This Row],[Crew hours]]*tblShifts[[#This Row],[Loaded rate]]))</f>
        <v>1104.77647058824</v>
      </c>
      <c r="O25" s="45">
        <f>IF(tblShifts[[#This Row],[Date]]="","",IF(OR(tblShifts[[#This Row],[Labour cost]]="",N(tblShifts[[#This Row],[Good units]])=0),"",tblShifts[[#This Row],[Labour cost]]/tblShifts[[#This Row],[Good units]]))</f>
        <v>3.21155950752394</v>
      </c>
      <c r="P25" s="45">
        <f>IF(tblShifts[[#This Row],[Date]]="","",IF(OR(tblShifts[[#This Row],[Loaded rate]]="",tblShifts[[#This Row],[Std cycle]]=""),"",tblShifts[[#This Row],[Std crew]]*tblShifts[[#This Row],[Loaded rate]]*tblShifts[[#This Row],[Std cycle]]/3600))</f>
        <v>2.73317095588235</v>
      </c>
      <c r="Q25" s="43">
        <f>IF(tblShifts[[#This Row],[Date]]="","",IF(tblShifts[[#This Row],[Std cycle]]="","",tblShifts[[#This Row],[Good units]]*tblShifts[[#This Row],[Std crew]]*tblShifts[[#This Row],[Std cycle]]/3600))</f>
        <v>27.2333333333333</v>
      </c>
      <c r="R25" s="46">
        <f>IF(tblShifts[[#This Row],[Date]]="","",IF(OR(tblShifts[[#This Row],[Earned hours]]="",N(tblShifts[[#This Row],[Crew hours]])=0),"",tblShifts[[#This Row],[Earned hours]]/tblShifts[[#This Row],[Crew hours]]))</f>
        <v>0.851041666666667</v>
      </c>
      <c r="S25" s="47" t="str">
        <f>IF(NOT(ISNUMBER(tblShifts[[#This Row],[Efficiency]])),"",IF(tblShifts[[#This Row],[Efficiency]]&gt;=TargetEff,"On target",IF(tblShifts[[#This Row],[Efficiency]]&gt;=TargetEff*(1-0.05),"Near target","Below target")))</f>
        <v>On target</v>
      </c>
      <c r="T25" s="45">
        <f>IF(tblShifts[[#This Row],[Date]]="","",IF(OR(tblShifts[[#This Row],[Cost per unit]]="",tblShifts[[#This Row],[Std cost per unit]]=""),"",tblShifts[[#This Row],[Cost per unit]]-tblShifts[[#This Row],[Std cost per unit]]))</f>
        <v>0.478388551641587</v>
      </c>
      <c r="U25" s="43">
        <f>IF(tblShifts[[#This Row],[Date]]="","",IF(OR(tblShifts[[#This Row],[Labour cost]]="",tblShifts[[#This Row],[Std cost per unit]]=""),"",tblShifts[[#This Row],[Labour cost]]-tblShifts[[#This Row],[Std cost per unit]]*tblShifts[[#This Row],[Good units]]))</f>
        <v>164.565661764706</v>
      </c>
      <c r="V2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5" s="48">
        <f>IF(tblShifts[[#This Row],[Date]]="","",IF(AND(tblShifts[[#This Row],[Date]]&gt;=FFrom,tblShifts[[#This Row],[Date]]&lt;=FTo,OR(DashLine="",tblShifts[[#This Row],[Line]]=DashLine),OR(DashProduct="",tblShifts[[#This Row],[Product]]=DashProduct)),tblShifts[[#This Row],[Date]],""))</f>
        <v>46282</v>
      </c>
      <c r="X25" s="28" t="s">
        <v>149</v>
      </c>
    </row>
    <row r="26" spans="2:24">
      <c r="B26" s="42">
        <v>46282</v>
      </c>
      <c r="C26" s="28" t="s">
        <v>81</v>
      </c>
      <c r="D26" s="28" t="s">
        <v>84</v>
      </c>
      <c r="E26" s="28" t="s">
        <v>91</v>
      </c>
      <c r="F26" s="28" t="s">
        <v>122</v>
      </c>
      <c r="G26" s="32">
        <v>2</v>
      </c>
      <c r="H26" s="32">
        <v>8</v>
      </c>
      <c r="I26" s="36">
        <v>540</v>
      </c>
      <c r="J26" s="43">
        <f>IF(tblShifts[[#This Row],[Date]]="","",IFERROR(INDEX(tblRoles[Loaded rate],MATCH(tblShifts[[#This Row],[Role]],tblRoles[Role],0)),""))</f>
        <v>34.5242647058824</v>
      </c>
      <c r="K26" s="44">
        <f>IF(tblShifts[[#This Row],[Date]]="","",IFERROR(INDEX(tblProducts[Std cycle (s/unit)],MATCH(tblShifts[[#This Row],[Product]],tblProducts[Product],0)),""))</f>
        <v>48</v>
      </c>
      <c r="L26" s="44">
        <f>IF(tblShifts[[#This Row],[Date]]="","",IFERROR(INDEX(tblProducts[Std crew (people)],MATCH(tblShifts[[#This Row],[Product]],tblProducts[Product],0)),""))</f>
        <v>2</v>
      </c>
      <c r="M26" s="44">
        <f>IF(tblShifts[[#This Row],[Date]]="","",tblShifts[[#This Row],[Operators]]*tblShifts[[#This Row],[Hours]])</f>
        <v>16</v>
      </c>
      <c r="N26" s="43">
        <f>IF(tblShifts[[#This Row],[Date]]="","",IF(tblShifts[[#This Row],[Loaded rate]]="","",tblShifts[[#This Row],[Crew hours]]*tblShifts[[#This Row],[Loaded rate]]))</f>
        <v>552.388235294118</v>
      </c>
      <c r="O26" s="45">
        <f>IF(tblShifts[[#This Row],[Date]]="","",IF(OR(tblShifts[[#This Row],[Labour cost]]="",N(tblShifts[[#This Row],[Good units]])=0),"",tblShifts[[#This Row],[Labour cost]]/tblShifts[[#This Row],[Good units]]))</f>
        <v>1.02294117647059</v>
      </c>
      <c r="P26" s="45">
        <f>IF(tblShifts[[#This Row],[Date]]="","",IF(OR(tblShifts[[#This Row],[Loaded rate]]="",tblShifts[[#This Row],[Std cycle]]=""),"",tblShifts[[#This Row],[Std crew]]*tblShifts[[#This Row],[Loaded rate]]*tblShifts[[#This Row],[Std cycle]]/3600))</f>
        <v>0.920647058823529</v>
      </c>
      <c r="Q26" s="43">
        <f>IF(tblShifts[[#This Row],[Date]]="","",IF(tblShifts[[#This Row],[Std cycle]]="","",tblShifts[[#This Row],[Good units]]*tblShifts[[#This Row],[Std crew]]*tblShifts[[#This Row],[Std cycle]]/3600))</f>
        <v>14.4</v>
      </c>
      <c r="R26" s="46">
        <f>IF(tblShifts[[#This Row],[Date]]="","",IF(OR(tblShifts[[#This Row],[Earned hours]]="",N(tblShifts[[#This Row],[Crew hours]])=0),"",tblShifts[[#This Row],[Earned hours]]/tblShifts[[#This Row],[Crew hours]]))</f>
        <v>0.9</v>
      </c>
      <c r="S26" s="47" t="str">
        <f>IF(NOT(ISNUMBER(tblShifts[[#This Row],[Efficiency]])),"",IF(tblShifts[[#This Row],[Efficiency]]&gt;=TargetEff,"On target",IF(tblShifts[[#This Row],[Efficiency]]&gt;=TargetEff*(1-0.05),"Near target","Below target")))</f>
        <v>On target</v>
      </c>
      <c r="T26" s="45">
        <f>IF(tblShifts[[#This Row],[Date]]="","",IF(OR(tblShifts[[#This Row],[Cost per unit]]="",tblShifts[[#This Row],[Std cost per unit]]=""),"",tblShifts[[#This Row],[Cost per unit]]-tblShifts[[#This Row],[Std cost per unit]]))</f>
        <v>0.102294117647059</v>
      </c>
      <c r="U26" s="43">
        <f>IF(tblShifts[[#This Row],[Date]]="","",IF(OR(tblShifts[[#This Row],[Labour cost]]="",tblShifts[[#This Row],[Std cost per unit]]=""),"",tblShifts[[#This Row],[Labour cost]]-tblShifts[[#This Row],[Std cost per unit]]*tblShifts[[#This Row],[Good units]]))</f>
        <v>55.2388235294118</v>
      </c>
      <c r="V2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6" s="48">
        <f>IF(tblShifts[[#This Row],[Date]]="","",IF(AND(tblShifts[[#This Row],[Date]]&gt;=FFrom,tblShifts[[#This Row],[Date]]&lt;=FTo,OR(DashLine="",tblShifts[[#This Row],[Line]]=DashLine),OR(DashProduct="",tblShifts[[#This Row],[Product]]=DashProduct)),tblShifts[[#This Row],[Date]],""))</f>
        <v>46282</v>
      </c>
      <c r="X26" s="28" t="s">
        <v>149</v>
      </c>
    </row>
    <row r="27" spans="2:24">
      <c r="B27" s="42">
        <v>46282</v>
      </c>
      <c r="C27" s="28" t="s">
        <v>81</v>
      </c>
      <c r="D27" s="28" t="s">
        <v>85</v>
      </c>
      <c r="E27" s="28" t="s">
        <v>93</v>
      </c>
      <c r="F27" s="28" t="s">
        <v>123</v>
      </c>
      <c r="G27" s="32">
        <v>2</v>
      </c>
      <c r="H27" s="32">
        <v>8</v>
      </c>
      <c r="I27" s="36">
        <v>61</v>
      </c>
      <c r="J27" s="43">
        <f>IF(tblShifts[[#This Row],[Date]]="","",IFERROR(INDEX(tblRoles[Loaded rate],MATCH(tblShifts[[#This Row],[Role]],tblRoles[Role],0)),""))</f>
        <v>45.2216806722689</v>
      </c>
      <c r="K27" s="44">
        <f>IF(tblShifts[[#This Row],[Date]]="","",IFERROR(INDEX(tblProducts[Std cycle (s/unit)],MATCH(tblShifts[[#This Row],[Product]],tblProducts[Product],0)),""))</f>
        <v>420</v>
      </c>
      <c r="L27" s="44">
        <f>IF(tblShifts[[#This Row],[Date]]="","",IFERROR(INDEX(tblProducts[Std crew (people)],MATCH(tblShifts[[#This Row],[Product]],tblProducts[Product],0)),""))</f>
        <v>2</v>
      </c>
      <c r="M27" s="44">
        <f>IF(tblShifts[[#This Row],[Date]]="","",tblShifts[[#This Row],[Operators]]*tblShifts[[#This Row],[Hours]])</f>
        <v>16</v>
      </c>
      <c r="N27" s="43">
        <f>IF(tblShifts[[#This Row],[Date]]="","",IF(tblShifts[[#This Row],[Loaded rate]]="","",tblShifts[[#This Row],[Crew hours]]*tblShifts[[#This Row],[Loaded rate]]))</f>
        <v>723.546890756303</v>
      </c>
      <c r="O27" s="45">
        <f>IF(tblShifts[[#This Row],[Date]]="","",IF(OR(tblShifts[[#This Row],[Labour cost]]="",N(tblShifts[[#This Row],[Good units]])=0),"",tblShifts[[#This Row],[Labour cost]]/tblShifts[[#This Row],[Good units]]))</f>
        <v>11.8614244386279</v>
      </c>
      <c r="P27" s="45">
        <f>IF(tblShifts[[#This Row],[Date]]="","",IF(OR(tblShifts[[#This Row],[Loaded rate]]="",tblShifts[[#This Row],[Std cycle]]=""),"",tblShifts[[#This Row],[Std crew]]*tblShifts[[#This Row],[Loaded rate]]*tblShifts[[#This Row],[Std cycle]]/3600))</f>
        <v>10.5517254901961</v>
      </c>
      <c r="Q27" s="43">
        <f>IF(tblShifts[[#This Row],[Date]]="","",IF(tblShifts[[#This Row],[Std cycle]]="","",tblShifts[[#This Row],[Good units]]*tblShifts[[#This Row],[Std crew]]*tblShifts[[#This Row],[Std cycle]]/3600))</f>
        <v>14.2333333333333</v>
      </c>
      <c r="R27" s="46">
        <f>IF(tblShifts[[#This Row],[Date]]="","",IF(OR(tblShifts[[#This Row],[Earned hours]]="",N(tblShifts[[#This Row],[Crew hours]])=0),"",tblShifts[[#This Row],[Earned hours]]/tblShifts[[#This Row],[Crew hours]]))</f>
        <v>0.889583333333333</v>
      </c>
      <c r="S27" s="47" t="str">
        <f>IF(NOT(ISNUMBER(tblShifts[[#This Row],[Efficiency]])),"",IF(tblShifts[[#This Row],[Efficiency]]&gt;=TargetEff,"On target",IF(tblShifts[[#This Row],[Efficiency]]&gt;=TargetEff*(1-0.05),"Near target","Below target")))</f>
        <v>On target</v>
      </c>
      <c r="T27" s="45">
        <f>IF(tblShifts[[#This Row],[Date]]="","",IF(OR(tblShifts[[#This Row],[Cost per unit]]="",tblShifts[[#This Row],[Std cost per unit]]=""),"",tblShifts[[#This Row],[Cost per unit]]-tblShifts[[#This Row],[Std cost per unit]]))</f>
        <v>1.30969894843183</v>
      </c>
      <c r="U27" s="43">
        <f>IF(tblShifts[[#This Row],[Date]]="","",IF(OR(tblShifts[[#This Row],[Labour cost]]="",tblShifts[[#This Row],[Std cost per unit]]=""),"",tblShifts[[#This Row],[Labour cost]]-tblShifts[[#This Row],[Std cost per unit]]*tblShifts[[#This Row],[Good units]]))</f>
        <v>79.8916358543418</v>
      </c>
      <c r="V2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7" s="48">
        <f>IF(tblShifts[[#This Row],[Date]]="","",IF(AND(tblShifts[[#This Row],[Date]]&gt;=FFrom,tblShifts[[#This Row],[Date]]&lt;=FTo,OR(DashLine="",tblShifts[[#This Row],[Line]]=DashLine),OR(DashProduct="",tblShifts[[#This Row],[Product]]=DashProduct)),tblShifts[[#This Row],[Date]],""))</f>
        <v>46282</v>
      </c>
      <c r="X27" s="28" t="s">
        <v>149</v>
      </c>
    </row>
    <row r="28" spans="2:24">
      <c r="B28" s="42">
        <v>46282</v>
      </c>
      <c r="C28" s="28" t="s">
        <v>83</v>
      </c>
      <c r="D28" s="28" t="s">
        <v>82</v>
      </c>
      <c r="E28" s="28" t="s">
        <v>87</v>
      </c>
      <c r="F28" s="28" t="s">
        <v>122</v>
      </c>
      <c r="G28" s="32">
        <v>3</v>
      </c>
      <c r="H28" s="32">
        <v>8</v>
      </c>
      <c r="I28" s="36">
        <v>269</v>
      </c>
      <c r="J28" s="43">
        <f>IF(tblShifts[[#This Row],[Date]]="","",IFERROR(INDEX(tblRoles[Loaded rate],MATCH(tblShifts[[#This Row],[Role]],tblRoles[Role],0)),""))</f>
        <v>34.5242647058824</v>
      </c>
      <c r="K28" s="44">
        <f>IF(tblShifts[[#This Row],[Date]]="","",IFERROR(INDEX(tblProducts[Std cycle (s/unit)],MATCH(tblShifts[[#This Row],[Product]],tblProducts[Product],0)),""))</f>
        <v>95</v>
      </c>
      <c r="L28" s="44">
        <f>IF(tblShifts[[#This Row],[Date]]="","",IFERROR(INDEX(tblProducts[Std crew (people)],MATCH(tblShifts[[#This Row],[Product]],tblProducts[Product],0)),""))</f>
        <v>3</v>
      </c>
      <c r="M28" s="44">
        <f>IF(tblShifts[[#This Row],[Date]]="","",tblShifts[[#This Row],[Operators]]*tblShifts[[#This Row],[Hours]])</f>
        <v>24</v>
      </c>
      <c r="N28" s="43">
        <f>IF(tblShifts[[#This Row],[Date]]="","",IF(tblShifts[[#This Row],[Loaded rate]]="","",tblShifts[[#This Row],[Crew hours]]*tblShifts[[#This Row],[Loaded rate]]))</f>
        <v>828.582352941176</v>
      </c>
      <c r="O28" s="45">
        <f>IF(tblShifts[[#This Row],[Date]]="","",IF(OR(tblShifts[[#This Row],[Labour cost]]="",N(tblShifts[[#This Row],[Good units]])=0),"",tblShifts[[#This Row],[Labour cost]]/tblShifts[[#This Row],[Good units]]))</f>
        <v>3.08023179532036</v>
      </c>
      <c r="P28" s="45">
        <f>IF(tblShifts[[#This Row],[Date]]="","",IF(OR(tblShifts[[#This Row],[Loaded rate]]="",tblShifts[[#This Row],[Std cycle]]=""),"",tblShifts[[#This Row],[Std crew]]*tblShifts[[#This Row],[Loaded rate]]*tblShifts[[#This Row],[Std cycle]]/3600))</f>
        <v>2.73317095588235</v>
      </c>
      <c r="Q28" s="43">
        <f>IF(tblShifts[[#This Row],[Date]]="","",IF(tblShifts[[#This Row],[Std cycle]]="","",tblShifts[[#This Row],[Good units]]*tblShifts[[#This Row],[Std crew]]*tblShifts[[#This Row],[Std cycle]]/3600))</f>
        <v>21.2958333333333</v>
      </c>
      <c r="R28" s="46">
        <f>IF(tblShifts[[#This Row],[Date]]="","",IF(OR(tblShifts[[#This Row],[Earned hours]]="",N(tblShifts[[#This Row],[Crew hours]])=0),"",tblShifts[[#This Row],[Earned hours]]/tblShifts[[#This Row],[Crew hours]]))</f>
        <v>0.887326388888889</v>
      </c>
      <c r="S28" s="47" t="str">
        <f>IF(NOT(ISNUMBER(tblShifts[[#This Row],[Efficiency]])),"",IF(tblShifts[[#This Row],[Efficiency]]&gt;=TargetEff,"On target",IF(tblShifts[[#This Row],[Efficiency]]&gt;=TargetEff*(1-0.05),"Near target","Below target")))</f>
        <v>On target</v>
      </c>
      <c r="T28" s="45">
        <f>IF(tblShifts[[#This Row],[Date]]="","",IF(OR(tblShifts[[#This Row],[Cost per unit]]="",tblShifts[[#This Row],[Std cost per unit]]=""),"",tblShifts[[#This Row],[Cost per unit]]-tblShifts[[#This Row],[Std cost per unit]]))</f>
        <v>0.347060839438006</v>
      </c>
      <c r="U28" s="43">
        <f>IF(tblShifts[[#This Row],[Date]]="","",IF(OR(tblShifts[[#This Row],[Labour cost]]="",tblShifts[[#This Row],[Std cost per unit]]=""),"",tblShifts[[#This Row],[Labour cost]]-tblShifts[[#This Row],[Std cost per unit]]*tblShifts[[#This Row],[Good units]]))</f>
        <v>93.3593658088236</v>
      </c>
      <c r="V2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8" s="48">
        <f>IF(tblShifts[[#This Row],[Date]]="","",IF(AND(tblShifts[[#This Row],[Date]]&gt;=FFrom,tblShifts[[#This Row],[Date]]&lt;=FTo,OR(DashLine="",tblShifts[[#This Row],[Line]]=DashLine),OR(DashProduct="",tblShifts[[#This Row],[Product]]=DashProduct)),tblShifts[[#This Row],[Date]],""))</f>
        <v>46282</v>
      </c>
      <c r="X28" s="28" t="s">
        <v>149</v>
      </c>
    </row>
    <row r="29" spans="2:24">
      <c r="B29" s="42">
        <v>46282</v>
      </c>
      <c r="C29" s="28" t="s">
        <v>83</v>
      </c>
      <c r="D29" s="28" t="s">
        <v>84</v>
      </c>
      <c r="E29" s="28" t="s">
        <v>91</v>
      </c>
      <c r="F29" s="28" t="s">
        <v>122</v>
      </c>
      <c r="G29" s="32">
        <v>2</v>
      </c>
      <c r="H29" s="32">
        <v>8</v>
      </c>
      <c r="I29" s="36">
        <v>479</v>
      </c>
      <c r="J29" s="43">
        <f>IF(tblShifts[[#This Row],[Date]]="","",IFERROR(INDEX(tblRoles[Loaded rate],MATCH(tblShifts[[#This Row],[Role]],tblRoles[Role],0)),""))</f>
        <v>34.5242647058824</v>
      </c>
      <c r="K29" s="44">
        <f>IF(tblShifts[[#This Row],[Date]]="","",IFERROR(INDEX(tblProducts[Std cycle (s/unit)],MATCH(tblShifts[[#This Row],[Product]],tblProducts[Product],0)),""))</f>
        <v>48</v>
      </c>
      <c r="L29" s="44">
        <f>IF(tblShifts[[#This Row],[Date]]="","",IFERROR(INDEX(tblProducts[Std crew (people)],MATCH(tblShifts[[#This Row],[Product]],tblProducts[Product],0)),""))</f>
        <v>2</v>
      </c>
      <c r="M29" s="44">
        <f>IF(tblShifts[[#This Row],[Date]]="","",tblShifts[[#This Row],[Operators]]*tblShifts[[#This Row],[Hours]])</f>
        <v>16</v>
      </c>
      <c r="N29" s="43">
        <f>IF(tblShifts[[#This Row],[Date]]="","",IF(tblShifts[[#This Row],[Loaded rate]]="","",tblShifts[[#This Row],[Crew hours]]*tblShifts[[#This Row],[Loaded rate]]))</f>
        <v>552.388235294118</v>
      </c>
      <c r="O29" s="45">
        <f>IF(tblShifts[[#This Row],[Date]]="","",IF(OR(tblShifts[[#This Row],[Labour cost]]="",N(tblShifts[[#This Row],[Good units]])=0),"",tblShifts[[#This Row],[Labour cost]]/tblShifts[[#This Row],[Good units]]))</f>
        <v>1.15321134716935</v>
      </c>
      <c r="P29" s="45">
        <f>IF(tblShifts[[#This Row],[Date]]="","",IF(OR(tblShifts[[#This Row],[Loaded rate]]="",tblShifts[[#This Row],[Std cycle]]=""),"",tblShifts[[#This Row],[Std crew]]*tblShifts[[#This Row],[Loaded rate]]*tblShifts[[#This Row],[Std cycle]]/3600))</f>
        <v>0.920647058823529</v>
      </c>
      <c r="Q29" s="43">
        <f>IF(tblShifts[[#This Row],[Date]]="","",IF(tblShifts[[#This Row],[Std cycle]]="","",tblShifts[[#This Row],[Good units]]*tblShifts[[#This Row],[Std crew]]*tblShifts[[#This Row],[Std cycle]]/3600))</f>
        <v>12.7733333333333</v>
      </c>
      <c r="R29" s="46">
        <f>IF(tblShifts[[#This Row],[Date]]="","",IF(OR(tblShifts[[#This Row],[Earned hours]]="",N(tblShifts[[#This Row],[Crew hours]])=0),"",tblShifts[[#This Row],[Earned hours]]/tblShifts[[#This Row],[Crew hours]]))</f>
        <v>0.798333333333333</v>
      </c>
      <c r="S29" s="47" t="str">
        <f>IF(NOT(ISNUMBER(tblShifts[[#This Row],[Efficiency]])),"",IF(tblShifts[[#This Row],[Efficiency]]&gt;=TargetEff,"On target",IF(tblShifts[[#This Row],[Efficiency]]&gt;=TargetEff*(1-0.05),"Near target","Below target")))</f>
        <v>Below target</v>
      </c>
      <c r="T29" s="45">
        <f>IF(tblShifts[[#This Row],[Date]]="","",IF(OR(tblShifts[[#This Row],[Cost per unit]]="",tblShifts[[#This Row],[Std cost per unit]]=""),"",tblShifts[[#This Row],[Cost per unit]]-tblShifts[[#This Row],[Std cost per unit]]))</f>
        <v>0.232564288345819</v>
      </c>
      <c r="U29" s="43">
        <f>IF(tblShifts[[#This Row],[Date]]="","",IF(OR(tblShifts[[#This Row],[Labour cost]]="",tblShifts[[#This Row],[Std cost per unit]]=""),"",tblShifts[[#This Row],[Labour cost]]-tblShifts[[#This Row],[Std cost per unit]]*tblShifts[[#This Row],[Good units]]))</f>
        <v>111.398294117647</v>
      </c>
      <c r="V2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29" s="48">
        <f>IF(tblShifts[[#This Row],[Date]]="","",IF(AND(tblShifts[[#This Row],[Date]]&gt;=FFrom,tblShifts[[#This Row],[Date]]&lt;=FTo,OR(DashLine="",tblShifts[[#This Row],[Line]]=DashLine),OR(DashProduct="",tblShifts[[#This Row],[Product]]=DashProduct)),tblShifts[[#This Row],[Date]],""))</f>
        <v>46282</v>
      </c>
      <c r="X29" s="28" t="s">
        <v>149</v>
      </c>
    </row>
    <row r="30" spans="2:24">
      <c r="B30" s="42">
        <v>46282</v>
      </c>
      <c r="C30" s="28" t="s">
        <v>83</v>
      </c>
      <c r="D30" s="28" t="s">
        <v>85</v>
      </c>
      <c r="E30" s="28" t="s">
        <v>93</v>
      </c>
      <c r="F30" s="28" t="s">
        <v>123</v>
      </c>
      <c r="G30" s="32">
        <v>2</v>
      </c>
      <c r="H30" s="32">
        <v>10</v>
      </c>
      <c r="I30" s="36">
        <v>79</v>
      </c>
      <c r="J30" s="43">
        <f>IF(tblShifts[[#This Row],[Date]]="","",IFERROR(INDEX(tblRoles[Loaded rate],MATCH(tblShifts[[#This Row],[Role]],tblRoles[Role],0)),""))</f>
        <v>45.2216806722689</v>
      </c>
      <c r="K30" s="44">
        <f>IF(tblShifts[[#This Row],[Date]]="","",IFERROR(INDEX(tblProducts[Std cycle (s/unit)],MATCH(tblShifts[[#This Row],[Product]],tblProducts[Product],0)),""))</f>
        <v>420</v>
      </c>
      <c r="L30" s="44">
        <f>IF(tblShifts[[#This Row],[Date]]="","",IFERROR(INDEX(tblProducts[Std crew (people)],MATCH(tblShifts[[#This Row],[Product]],tblProducts[Product],0)),""))</f>
        <v>2</v>
      </c>
      <c r="M30" s="44">
        <f>IF(tblShifts[[#This Row],[Date]]="","",tblShifts[[#This Row],[Operators]]*tblShifts[[#This Row],[Hours]])</f>
        <v>20</v>
      </c>
      <c r="N30" s="43">
        <f>IF(tblShifts[[#This Row],[Date]]="","",IF(tblShifts[[#This Row],[Loaded rate]]="","",tblShifts[[#This Row],[Crew hours]]*tblShifts[[#This Row],[Loaded rate]]))</f>
        <v>904.433613445378</v>
      </c>
      <c r="O30" s="45">
        <f>IF(tblShifts[[#This Row],[Date]]="","",IF(OR(tblShifts[[#This Row],[Labour cost]]="",N(tblShifts[[#This Row],[Good units]])=0),"",tblShifts[[#This Row],[Labour cost]]/tblShifts[[#This Row],[Good units]]))</f>
        <v>11.4485267524731</v>
      </c>
      <c r="P30" s="45">
        <f>IF(tblShifts[[#This Row],[Date]]="","",IF(OR(tblShifts[[#This Row],[Loaded rate]]="",tblShifts[[#This Row],[Std cycle]]=""),"",tblShifts[[#This Row],[Std crew]]*tblShifts[[#This Row],[Loaded rate]]*tblShifts[[#This Row],[Std cycle]]/3600))</f>
        <v>10.5517254901961</v>
      </c>
      <c r="Q30" s="43">
        <f>IF(tblShifts[[#This Row],[Date]]="","",IF(tblShifts[[#This Row],[Std cycle]]="","",tblShifts[[#This Row],[Good units]]*tblShifts[[#This Row],[Std crew]]*tblShifts[[#This Row],[Std cycle]]/3600))</f>
        <v>18.4333333333333</v>
      </c>
      <c r="R30" s="46">
        <f>IF(tblShifts[[#This Row],[Date]]="","",IF(OR(tblShifts[[#This Row],[Earned hours]]="",N(tblShifts[[#This Row],[Crew hours]])=0),"",tblShifts[[#This Row],[Earned hours]]/tblShifts[[#This Row],[Crew hours]]))</f>
        <v>0.921666666666667</v>
      </c>
      <c r="S30" s="47" t="str">
        <f>IF(NOT(ISNUMBER(tblShifts[[#This Row],[Efficiency]])),"",IF(tblShifts[[#This Row],[Efficiency]]&gt;=TargetEff,"On target",IF(tblShifts[[#This Row],[Efficiency]]&gt;=TargetEff*(1-0.05),"Near target","Below target")))</f>
        <v>On target</v>
      </c>
      <c r="T30" s="45">
        <f>IF(tblShifts[[#This Row],[Date]]="","",IF(OR(tblShifts[[#This Row],[Cost per unit]]="",tblShifts[[#This Row],[Std cost per unit]]=""),"",tblShifts[[#This Row],[Cost per unit]]-tblShifts[[#This Row],[Std cost per unit]]))</f>
        <v>0.896801262277064</v>
      </c>
      <c r="U30" s="43">
        <f>IF(tblShifts[[#This Row],[Date]]="","",IF(OR(tblShifts[[#This Row],[Labour cost]]="",tblShifts[[#This Row],[Std cost per unit]]=""),"",tblShifts[[#This Row],[Labour cost]]-tblShifts[[#This Row],[Std cost per unit]]*tblShifts[[#This Row],[Good units]]))</f>
        <v>70.847299719888</v>
      </c>
      <c r="V3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0" s="48">
        <f>IF(tblShifts[[#This Row],[Date]]="","",IF(AND(tblShifts[[#This Row],[Date]]&gt;=FFrom,tblShifts[[#This Row],[Date]]&lt;=FTo,OR(DashLine="",tblShifts[[#This Row],[Line]]=DashLine),OR(DashProduct="",tblShifts[[#This Row],[Product]]=DashProduct)),tblShifts[[#This Row],[Date]],""))</f>
        <v>46282</v>
      </c>
      <c r="X30" s="28" t="s">
        <v>149</v>
      </c>
    </row>
    <row r="31" spans="2:24">
      <c r="B31" s="42">
        <v>46283</v>
      </c>
      <c r="C31" s="28" t="s">
        <v>81</v>
      </c>
      <c r="D31" s="28" t="s">
        <v>82</v>
      </c>
      <c r="E31" s="28" t="s">
        <v>87</v>
      </c>
      <c r="F31" s="28" t="s">
        <v>122</v>
      </c>
      <c r="G31" s="32">
        <v>3</v>
      </c>
      <c r="H31" s="32">
        <v>8</v>
      </c>
      <c r="I31" s="36">
        <v>271</v>
      </c>
      <c r="J31" s="43">
        <f>IF(tblShifts[[#This Row],[Date]]="","",IFERROR(INDEX(tblRoles[Loaded rate],MATCH(tblShifts[[#This Row],[Role]],tblRoles[Role],0)),""))</f>
        <v>34.5242647058824</v>
      </c>
      <c r="K31" s="44">
        <f>IF(tblShifts[[#This Row],[Date]]="","",IFERROR(INDEX(tblProducts[Std cycle (s/unit)],MATCH(tblShifts[[#This Row],[Product]],tblProducts[Product],0)),""))</f>
        <v>95</v>
      </c>
      <c r="L31" s="44">
        <f>IF(tblShifts[[#This Row],[Date]]="","",IFERROR(INDEX(tblProducts[Std crew (people)],MATCH(tblShifts[[#This Row],[Product]],tblProducts[Product],0)),""))</f>
        <v>3</v>
      </c>
      <c r="M31" s="44">
        <f>IF(tblShifts[[#This Row],[Date]]="","",tblShifts[[#This Row],[Operators]]*tblShifts[[#This Row],[Hours]])</f>
        <v>24</v>
      </c>
      <c r="N31" s="43">
        <f>IF(tblShifts[[#This Row],[Date]]="","",IF(tblShifts[[#This Row],[Loaded rate]]="","",tblShifts[[#This Row],[Crew hours]]*tblShifts[[#This Row],[Loaded rate]]))</f>
        <v>828.582352941176</v>
      </c>
      <c r="O31" s="45">
        <f>IF(tblShifts[[#This Row],[Date]]="","",IF(OR(tblShifts[[#This Row],[Labour cost]]="",N(tblShifts[[#This Row],[Good units]])=0),"",tblShifts[[#This Row],[Labour cost]]/tblShifts[[#This Row],[Good units]]))</f>
        <v>3.05749945734751</v>
      </c>
      <c r="P31" s="45">
        <f>IF(tblShifts[[#This Row],[Date]]="","",IF(OR(tblShifts[[#This Row],[Loaded rate]]="",tblShifts[[#This Row],[Std cycle]]=""),"",tblShifts[[#This Row],[Std crew]]*tblShifts[[#This Row],[Loaded rate]]*tblShifts[[#This Row],[Std cycle]]/3600))</f>
        <v>2.73317095588235</v>
      </c>
      <c r="Q31" s="43">
        <f>IF(tblShifts[[#This Row],[Date]]="","",IF(tblShifts[[#This Row],[Std cycle]]="","",tblShifts[[#This Row],[Good units]]*tblShifts[[#This Row],[Std crew]]*tblShifts[[#This Row],[Std cycle]]/3600))</f>
        <v>21.4541666666667</v>
      </c>
      <c r="R31" s="46">
        <f>IF(tblShifts[[#This Row],[Date]]="","",IF(OR(tblShifts[[#This Row],[Earned hours]]="",N(tblShifts[[#This Row],[Crew hours]])=0),"",tblShifts[[#This Row],[Earned hours]]/tblShifts[[#This Row],[Crew hours]]))</f>
        <v>0.893923611111111</v>
      </c>
      <c r="S31" s="47" t="str">
        <f>IF(NOT(ISNUMBER(tblShifts[[#This Row],[Efficiency]])),"",IF(tblShifts[[#This Row],[Efficiency]]&gt;=TargetEff,"On target",IF(tblShifts[[#This Row],[Efficiency]]&gt;=TargetEff*(1-0.05),"Near target","Below target")))</f>
        <v>On target</v>
      </c>
      <c r="T31" s="45">
        <f>IF(tblShifts[[#This Row],[Date]]="","",IF(OR(tblShifts[[#This Row],[Cost per unit]]="",tblShifts[[#This Row],[Std cost per unit]]=""),"",tblShifts[[#This Row],[Cost per unit]]-tblShifts[[#This Row],[Std cost per unit]]))</f>
        <v>0.324328501465162</v>
      </c>
      <c r="U31" s="43">
        <f>IF(tblShifts[[#This Row],[Date]]="","",IF(OR(tblShifts[[#This Row],[Labour cost]]="",tblShifts[[#This Row],[Std cost per unit]]=""),"",tblShifts[[#This Row],[Labour cost]]-tblShifts[[#This Row],[Std cost per unit]]*tblShifts[[#This Row],[Good units]]))</f>
        <v>87.8930238970588</v>
      </c>
      <c r="V3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1" s="48">
        <f>IF(tblShifts[[#This Row],[Date]]="","",IF(AND(tblShifts[[#This Row],[Date]]&gt;=FFrom,tblShifts[[#This Row],[Date]]&lt;=FTo,OR(DashLine="",tblShifts[[#This Row],[Line]]=DashLine),OR(DashProduct="",tblShifts[[#This Row],[Product]]=DashProduct)),tblShifts[[#This Row],[Date]],""))</f>
        <v>46283</v>
      </c>
      <c r="X31" s="28" t="s">
        <v>149</v>
      </c>
    </row>
    <row r="32" spans="2:24">
      <c r="B32" s="42">
        <v>46283</v>
      </c>
      <c r="C32" s="28" t="s">
        <v>81</v>
      </c>
      <c r="D32" s="28" t="s">
        <v>84</v>
      </c>
      <c r="E32" s="28" t="s">
        <v>91</v>
      </c>
      <c r="F32" s="28" t="s">
        <v>122</v>
      </c>
      <c r="G32" s="32">
        <v>2</v>
      </c>
      <c r="H32" s="32">
        <v>8</v>
      </c>
      <c r="I32" s="36">
        <v>518</v>
      </c>
      <c r="J32" s="43">
        <f>IF(tblShifts[[#This Row],[Date]]="","",IFERROR(INDEX(tblRoles[Loaded rate],MATCH(tblShifts[[#This Row],[Role]],tblRoles[Role],0)),""))</f>
        <v>34.5242647058824</v>
      </c>
      <c r="K32" s="44">
        <f>IF(tblShifts[[#This Row],[Date]]="","",IFERROR(INDEX(tblProducts[Std cycle (s/unit)],MATCH(tblShifts[[#This Row],[Product]],tblProducts[Product],0)),""))</f>
        <v>48</v>
      </c>
      <c r="L32" s="44">
        <f>IF(tblShifts[[#This Row],[Date]]="","",IFERROR(INDEX(tblProducts[Std crew (people)],MATCH(tblShifts[[#This Row],[Product]],tblProducts[Product],0)),""))</f>
        <v>2</v>
      </c>
      <c r="M32" s="44">
        <f>IF(tblShifts[[#This Row],[Date]]="","",tblShifts[[#This Row],[Operators]]*tblShifts[[#This Row],[Hours]])</f>
        <v>16</v>
      </c>
      <c r="N32" s="43">
        <f>IF(tblShifts[[#This Row],[Date]]="","",IF(tblShifts[[#This Row],[Loaded rate]]="","",tblShifts[[#This Row],[Crew hours]]*tblShifts[[#This Row],[Loaded rate]]))</f>
        <v>552.388235294118</v>
      </c>
      <c r="O32" s="45">
        <f>IF(tblShifts[[#This Row],[Date]]="","",IF(OR(tblShifts[[#This Row],[Labour cost]]="",N(tblShifts[[#This Row],[Good units]])=0),"",tblShifts[[#This Row],[Labour cost]]/tblShifts[[#This Row],[Good units]]))</f>
        <v>1.06638655462185</v>
      </c>
      <c r="P32" s="45">
        <f>IF(tblShifts[[#This Row],[Date]]="","",IF(OR(tblShifts[[#This Row],[Loaded rate]]="",tblShifts[[#This Row],[Std cycle]]=""),"",tblShifts[[#This Row],[Std crew]]*tblShifts[[#This Row],[Loaded rate]]*tblShifts[[#This Row],[Std cycle]]/3600))</f>
        <v>0.920647058823529</v>
      </c>
      <c r="Q32" s="43">
        <f>IF(tblShifts[[#This Row],[Date]]="","",IF(tblShifts[[#This Row],[Std cycle]]="","",tblShifts[[#This Row],[Good units]]*tblShifts[[#This Row],[Std crew]]*tblShifts[[#This Row],[Std cycle]]/3600))</f>
        <v>13.8133333333333</v>
      </c>
      <c r="R32" s="46">
        <f>IF(tblShifts[[#This Row],[Date]]="","",IF(OR(tblShifts[[#This Row],[Earned hours]]="",N(tblShifts[[#This Row],[Crew hours]])=0),"",tblShifts[[#This Row],[Earned hours]]/tblShifts[[#This Row],[Crew hours]]))</f>
        <v>0.863333333333333</v>
      </c>
      <c r="S32" s="47" t="str">
        <f>IF(NOT(ISNUMBER(tblShifts[[#This Row],[Efficiency]])),"",IF(tblShifts[[#This Row],[Efficiency]]&gt;=TargetEff,"On target",IF(tblShifts[[#This Row],[Efficiency]]&gt;=TargetEff*(1-0.05),"Near target","Below target")))</f>
        <v>On target</v>
      </c>
      <c r="T32" s="45">
        <f>IF(tblShifts[[#This Row],[Date]]="","",IF(OR(tblShifts[[#This Row],[Cost per unit]]="",tblShifts[[#This Row],[Std cost per unit]]=""),"",tblShifts[[#This Row],[Cost per unit]]-tblShifts[[#This Row],[Std cost per unit]]))</f>
        <v>0.145739495798319</v>
      </c>
      <c r="U32" s="43">
        <f>IF(tblShifts[[#This Row],[Date]]="","",IF(OR(tblShifts[[#This Row],[Labour cost]]="",tblShifts[[#This Row],[Std cost per unit]]=""),"",tblShifts[[#This Row],[Labour cost]]-tblShifts[[#This Row],[Std cost per unit]]*tblShifts[[#This Row],[Good units]]))</f>
        <v>75.4930588235294</v>
      </c>
      <c r="V3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2" s="48">
        <f>IF(tblShifts[[#This Row],[Date]]="","",IF(AND(tblShifts[[#This Row],[Date]]&gt;=FFrom,tblShifts[[#This Row],[Date]]&lt;=FTo,OR(DashLine="",tblShifts[[#This Row],[Line]]=DashLine),OR(DashProduct="",tblShifts[[#This Row],[Product]]=DashProduct)),tblShifts[[#This Row],[Date]],""))</f>
        <v>46283</v>
      </c>
      <c r="X32" s="28" t="s">
        <v>149</v>
      </c>
    </row>
    <row r="33" spans="2:24">
      <c r="B33" s="42">
        <v>46283</v>
      </c>
      <c r="C33" s="28" t="s">
        <v>81</v>
      </c>
      <c r="D33" s="28" t="s">
        <v>85</v>
      </c>
      <c r="E33" s="28" t="s">
        <v>93</v>
      </c>
      <c r="F33" s="28" t="s">
        <v>123</v>
      </c>
      <c r="G33" s="32">
        <v>2</v>
      </c>
      <c r="H33" s="32">
        <v>10</v>
      </c>
      <c r="I33" s="36">
        <v>77</v>
      </c>
      <c r="J33" s="43">
        <f>IF(tblShifts[[#This Row],[Date]]="","",IFERROR(INDEX(tblRoles[Loaded rate],MATCH(tblShifts[[#This Row],[Role]],tblRoles[Role],0)),""))</f>
        <v>45.2216806722689</v>
      </c>
      <c r="K33" s="44">
        <f>IF(tblShifts[[#This Row],[Date]]="","",IFERROR(INDEX(tblProducts[Std cycle (s/unit)],MATCH(tblShifts[[#This Row],[Product]],tblProducts[Product],0)),""))</f>
        <v>420</v>
      </c>
      <c r="L33" s="44">
        <f>IF(tblShifts[[#This Row],[Date]]="","",IFERROR(INDEX(tblProducts[Std crew (people)],MATCH(tblShifts[[#This Row],[Product]],tblProducts[Product],0)),""))</f>
        <v>2</v>
      </c>
      <c r="M33" s="44">
        <f>IF(tblShifts[[#This Row],[Date]]="","",tblShifts[[#This Row],[Operators]]*tblShifts[[#This Row],[Hours]])</f>
        <v>20</v>
      </c>
      <c r="N33" s="43">
        <f>IF(tblShifts[[#This Row],[Date]]="","",IF(tblShifts[[#This Row],[Loaded rate]]="","",tblShifts[[#This Row],[Crew hours]]*tblShifts[[#This Row],[Loaded rate]]))</f>
        <v>904.433613445378</v>
      </c>
      <c r="O33" s="45">
        <f>IF(tblShifts[[#This Row],[Date]]="","",IF(OR(tblShifts[[#This Row],[Labour cost]]="",N(tblShifts[[#This Row],[Good units]])=0),"",tblShifts[[#This Row],[Labour cost]]/tblShifts[[#This Row],[Good units]]))</f>
        <v>11.7458910837062</v>
      </c>
      <c r="P33" s="45">
        <f>IF(tblShifts[[#This Row],[Date]]="","",IF(OR(tblShifts[[#This Row],[Loaded rate]]="",tblShifts[[#This Row],[Std cycle]]=""),"",tblShifts[[#This Row],[Std crew]]*tblShifts[[#This Row],[Loaded rate]]*tblShifts[[#This Row],[Std cycle]]/3600))</f>
        <v>10.5517254901961</v>
      </c>
      <c r="Q33" s="43">
        <f>IF(tblShifts[[#This Row],[Date]]="","",IF(tblShifts[[#This Row],[Std cycle]]="","",tblShifts[[#This Row],[Good units]]*tblShifts[[#This Row],[Std crew]]*tblShifts[[#This Row],[Std cycle]]/3600))</f>
        <v>17.9666666666667</v>
      </c>
      <c r="R33" s="46">
        <f>IF(tblShifts[[#This Row],[Date]]="","",IF(OR(tblShifts[[#This Row],[Earned hours]]="",N(tblShifts[[#This Row],[Crew hours]])=0),"",tblShifts[[#This Row],[Earned hours]]/tblShifts[[#This Row],[Crew hours]]))</f>
        <v>0.898333333333333</v>
      </c>
      <c r="S33" s="47" t="str">
        <f>IF(NOT(ISNUMBER(tblShifts[[#This Row],[Efficiency]])),"",IF(tblShifts[[#This Row],[Efficiency]]&gt;=TargetEff,"On target",IF(tblShifts[[#This Row],[Efficiency]]&gt;=TargetEff*(1-0.05),"Near target","Below target")))</f>
        <v>On target</v>
      </c>
      <c r="T33" s="45">
        <f>IF(tblShifts[[#This Row],[Date]]="","",IF(OR(tblShifts[[#This Row],[Cost per unit]]="",tblShifts[[#This Row],[Std cost per unit]]=""),"",tblShifts[[#This Row],[Cost per unit]]-tblShifts[[#This Row],[Std cost per unit]]))</f>
        <v>1.19416559351013</v>
      </c>
      <c r="U33" s="43">
        <f>IF(tblShifts[[#This Row],[Date]]="","",IF(OR(tblShifts[[#This Row],[Labour cost]]="",tblShifts[[#This Row],[Std cost per unit]]=""),"",tblShifts[[#This Row],[Labour cost]]-tblShifts[[#This Row],[Std cost per unit]]*tblShifts[[#This Row],[Good units]]))</f>
        <v>91.9507507002802</v>
      </c>
      <c r="V3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3" s="48">
        <f>IF(tblShifts[[#This Row],[Date]]="","",IF(AND(tblShifts[[#This Row],[Date]]&gt;=FFrom,tblShifts[[#This Row],[Date]]&lt;=FTo,OR(DashLine="",tblShifts[[#This Row],[Line]]=DashLine),OR(DashProduct="",tblShifts[[#This Row],[Product]]=DashProduct)),tblShifts[[#This Row],[Date]],""))</f>
        <v>46283</v>
      </c>
      <c r="X33" s="28" t="s">
        <v>149</v>
      </c>
    </row>
    <row r="34" spans="2:24">
      <c r="B34" s="42">
        <v>46283</v>
      </c>
      <c r="C34" s="28" t="s">
        <v>83</v>
      </c>
      <c r="D34" s="28" t="s">
        <v>82</v>
      </c>
      <c r="E34" s="28" t="s">
        <v>87</v>
      </c>
      <c r="F34" s="28" t="s">
        <v>122</v>
      </c>
      <c r="G34" s="32">
        <v>3</v>
      </c>
      <c r="H34" s="32">
        <v>8</v>
      </c>
      <c r="I34" s="36">
        <v>279</v>
      </c>
      <c r="J34" s="43">
        <f>IF(tblShifts[[#This Row],[Date]]="","",IFERROR(INDEX(tblRoles[Loaded rate],MATCH(tblShifts[[#This Row],[Role]],tblRoles[Role],0)),""))</f>
        <v>34.5242647058824</v>
      </c>
      <c r="K34" s="44">
        <f>IF(tblShifts[[#This Row],[Date]]="","",IFERROR(INDEX(tblProducts[Std cycle (s/unit)],MATCH(tblShifts[[#This Row],[Product]],tblProducts[Product],0)),""))</f>
        <v>95</v>
      </c>
      <c r="L34" s="44">
        <f>IF(tblShifts[[#This Row],[Date]]="","",IFERROR(INDEX(tblProducts[Std crew (people)],MATCH(tblShifts[[#This Row],[Product]],tblProducts[Product],0)),""))</f>
        <v>3</v>
      </c>
      <c r="M34" s="44">
        <f>IF(tblShifts[[#This Row],[Date]]="","",tblShifts[[#This Row],[Operators]]*tblShifts[[#This Row],[Hours]])</f>
        <v>24</v>
      </c>
      <c r="N34" s="43">
        <f>IF(tblShifts[[#This Row],[Date]]="","",IF(tblShifts[[#This Row],[Loaded rate]]="","",tblShifts[[#This Row],[Crew hours]]*tblShifts[[#This Row],[Loaded rate]]))</f>
        <v>828.582352941176</v>
      </c>
      <c r="O34" s="45">
        <f>IF(tblShifts[[#This Row],[Date]]="","",IF(OR(tblShifts[[#This Row],[Labour cost]]="",N(tblShifts[[#This Row],[Good units]])=0),"",tblShifts[[#This Row],[Labour cost]]/tblShifts[[#This Row],[Good units]]))</f>
        <v>2.96982922201139</v>
      </c>
      <c r="P34" s="45">
        <f>IF(tblShifts[[#This Row],[Date]]="","",IF(OR(tblShifts[[#This Row],[Loaded rate]]="",tblShifts[[#This Row],[Std cycle]]=""),"",tblShifts[[#This Row],[Std crew]]*tblShifts[[#This Row],[Loaded rate]]*tblShifts[[#This Row],[Std cycle]]/3600))</f>
        <v>2.73317095588235</v>
      </c>
      <c r="Q34" s="43">
        <f>IF(tblShifts[[#This Row],[Date]]="","",IF(tblShifts[[#This Row],[Std cycle]]="","",tblShifts[[#This Row],[Good units]]*tblShifts[[#This Row],[Std crew]]*tblShifts[[#This Row],[Std cycle]]/3600))</f>
        <v>22.0875</v>
      </c>
      <c r="R34" s="46">
        <f>IF(tblShifts[[#This Row],[Date]]="","",IF(OR(tblShifts[[#This Row],[Earned hours]]="",N(tblShifts[[#This Row],[Crew hours]])=0),"",tblShifts[[#This Row],[Earned hours]]/tblShifts[[#This Row],[Crew hours]]))</f>
        <v>0.9203125</v>
      </c>
      <c r="S34" s="47" t="str">
        <f>IF(NOT(ISNUMBER(tblShifts[[#This Row],[Efficiency]])),"",IF(tblShifts[[#This Row],[Efficiency]]&gt;=TargetEff,"On target",IF(tblShifts[[#This Row],[Efficiency]]&gt;=TargetEff*(1-0.05),"Near target","Below target")))</f>
        <v>On target</v>
      </c>
      <c r="T34" s="45">
        <f>IF(tblShifts[[#This Row],[Date]]="","",IF(OR(tblShifts[[#This Row],[Cost per unit]]="",tblShifts[[#This Row],[Std cost per unit]]=""),"",tblShifts[[#This Row],[Cost per unit]]-tblShifts[[#This Row],[Std cost per unit]]))</f>
        <v>0.236658266129032</v>
      </c>
      <c r="U34" s="43">
        <f>IF(tblShifts[[#This Row],[Date]]="","",IF(OR(tblShifts[[#This Row],[Labour cost]]="",tblShifts[[#This Row],[Std cost per unit]]=""),"",tblShifts[[#This Row],[Labour cost]]-tblShifts[[#This Row],[Std cost per unit]]*tblShifts[[#This Row],[Good units]]))</f>
        <v>66.02765625</v>
      </c>
      <c r="V3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4" s="48">
        <f>IF(tblShifts[[#This Row],[Date]]="","",IF(AND(tblShifts[[#This Row],[Date]]&gt;=FFrom,tblShifts[[#This Row],[Date]]&lt;=FTo,OR(DashLine="",tblShifts[[#This Row],[Line]]=DashLine),OR(DashProduct="",tblShifts[[#This Row],[Product]]=DashProduct)),tblShifts[[#This Row],[Date]],""))</f>
        <v>46283</v>
      </c>
      <c r="X34" s="28" t="s">
        <v>149</v>
      </c>
    </row>
    <row r="35" spans="2:24">
      <c r="B35" s="42">
        <v>46283</v>
      </c>
      <c r="C35" s="28" t="s">
        <v>83</v>
      </c>
      <c r="D35" s="28" t="s">
        <v>84</v>
      </c>
      <c r="E35" s="28" t="s">
        <v>91</v>
      </c>
      <c r="F35" s="28" t="s">
        <v>122</v>
      </c>
      <c r="G35" s="32">
        <v>2</v>
      </c>
      <c r="H35" s="32">
        <v>10</v>
      </c>
      <c r="I35" s="36">
        <v>525</v>
      </c>
      <c r="J35" s="43">
        <f>IF(tblShifts[[#This Row],[Date]]="","",IFERROR(INDEX(tblRoles[Loaded rate],MATCH(tblShifts[[#This Row],[Role]],tblRoles[Role],0)),""))</f>
        <v>34.5242647058824</v>
      </c>
      <c r="K35" s="44">
        <f>IF(tblShifts[[#This Row],[Date]]="","",IFERROR(INDEX(tblProducts[Std cycle (s/unit)],MATCH(tblShifts[[#This Row],[Product]],tblProducts[Product],0)),""))</f>
        <v>48</v>
      </c>
      <c r="L35" s="44">
        <f>IF(tblShifts[[#This Row],[Date]]="","",IFERROR(INDEX(tblProducts[Std crew (people)],MATCH(tblShifts[[#This Row],[Product]],tblProducts[Product],0)),""))</f>
        <v>2</v>
      </c>
      <c r="M35" s="44">
        <f>IF(tblShifts[[#This Row],[Date]]="","",tblShifts[[#This Row],[Operators]]*tblShifts[[#This Row],[Hours]])</f>
        <v>20</v>
      </c>
      <c r="N35" s="43">
        <f>IF(tblShifts[[#This Row],[Date]]="","",IF(tblShifts[[#This Row],[Loaded rate]]="","",tblShifts[[#This Row],[Crew hours]]*tblShifts[[#This Row],[Loaded rate]]))</f>
        <v>690.485294117647</v>
      </c>
      <c r="O35" s="45">
        <f>IF(tblShifts[[#This Row],[Date]]="","",IF(OR(tblShifts[[#This Row],[Labour cost]]="",N(tblShifts[[#This Row],[Good units]])=0),"",tblShifts[[#This Row],[Labour cost]]/tblShifts[[#This Row],[Good units]]))</f>
        <v>1.31521008403361</v>
      </c>
      <c r="P35" s="45">
        <f>IF(tblShifts[[#This Row],[Date]]="","",IF(OR(tblShifts[[#This Row],[Loaded rate]]="",tblShifts[[#This Row],[Std cycle]]=""),"",tblShifts[[#This Row],[Std crew]]*tblShifts[[#This Row],[Loaded rate]]*tblShifts[[#This Row],[Std cycle]]/3600))</f>
        <v>0.920647058823529</v>
      </c>
      <c r="Q35" s="43">
        <f>IF(tblShifts[[#This Row],[Date]]="","",IF(tblShifts[[#This Row],[Std cycle]]="","",tblShifts[[#This Row],[Good units]]*tblShifts[[#This Row],[Std crew]]*tblShifts[[#This Row],[Std cycle]]/3600))</f>
        <v>14</v>
      </c>
      <c r="R35" s="46">
        <f>IF(tblShifts[[#This Row],[Date]]="","",IF(OR(tblShifts[[#This Row],[Earned hours]]="",N(tblShifts[[#This Row],[Crew hours]])=0),"",tblShifts[[#This Row],[Earned hours]]/tblShifts[[#This Row],[Crew hours]]))</f>
        <v>0.7</v>
      </c>
      <c r="S35" s="47" t="str">
        <f>IF(NOT(ISNUMBER(tblShifts[[#This Row],[Efficiency]])),"",IF(tblShifts[[#This Row],[Efficiency]]&gt;=TargetEff,"On target",IF(tblShifts[[#This Row],[Efficiency]]&gt;=TargetEff*(1-0.05),"Near target","Below target")))</f>
        <v>Below target</v>
      </c>
      <c r="T35" s="45">
        <f>IF(tblShifts[[#This Row],[Date]]="","",IF(OR(tblShifts[[#This Row],[Cost per unit]]="",tblShifts[[#This Row],[Std cost per unit]]=""),"",tblShifts[[#This Row],[Cost per unit]]-tblShifts[[#This Row],[Std cost per unit]]))</f>
        <v>0.394563025210084</v>
      </c>
      <c r="U35" s="43">
        <f>IF(tblShifts[[#This Row],[Date]]="","",IF(OR(tblShifts[[#This Row],[Labour cost]]="",tblShifts[[#This Row],[Std cost per unit]]=""),"",tblShifts[[#This Row],[Labour cost]]-tblShifts[[#This Row],[Std cost per unit]]*tblShifts[[#This Row],[Good units]]))</f>
        <v>207.145588235294</v>
      </c>
      <c r="V3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5" s="48">
        <f>IF(tblShifts[[#This Row],[Date]]="","",IF(AND(tblShifts[[#This Row],[Date]]&gt;=FFrom,tblShifts[[#This Row],[Date]]&lt;=FTo,OR(DashLine="",tblShifts[[#This Row],[Line]]=DashLine),OR(DashProduct="",tblShifts[[#This Row],[Product]]=DashProduct)),tblShifts[[#This Row],[Date]],""))</f>
        <v>46283</v>
      </c>
      <c r="X35" s="28" t="s">
        <v>149</v>
      </c>
    </row>
    <row r="36" spans="2:24">
      <c r="B36" s="42">
        <v>46283</v>
      </c>
      <c r="C36" s="28" t="s">
        <v>83</v>
      </c>
      <c r="D36" s="28" t="s">
        <v>85</v>
      </c>
      <c r="E36" s="28" t="s">
        <v>93</v>
      </c>
      <c r="F36" s="28" t="s">
        <v>123</v>
      </c>
      <c r="G36" s="32">
        <v>2</v>
      </c>
      <c r="H36" s="32">
        <v>8</v>
      </c>
      <c r="I36" s="36">
        <v>64</v>
      </c>
      <c r="J36" s="43">
        <f>IF(tblShifts[[#This Row],[Date]]="","",IFERROR(INDEX(tblRoles[Loaded rate],MATCH(tblShifts[[#This Row],[Role]],tblRoles[Role],0)),""))</f>
        <v>45.2216806722689</v>
      </c>
      <c r="K36" s="44">
        <f>IF(tblShifts[[#This Row],[Date]]="","",IFERROR(INDEX(tblProducts[Std cycle (s/unit)],MATCH(tblShifts[[#This Row],[Product]],tblProducts[Product],0)),""))</f>
        <v>420</v>
      </c>
      <c r="L36" s="44">
        <f>IF(tblShifts[[#This Row],[Date]]="","",IFERROR(INDEX(tblProducts[Std crew (people)],MATCH(tblShifts[[#This Row],[Product]],tblProducts[Product],0)),""))</f>
        <v>2</v>
      </c>
      <c r="M36" s="44">
        <f>IF(tblShifts[[#This Row],[Date]]="","",tblShifts[[#This Row],[Operators]]*tblShifts[[#This Row],[Hours]])</f>
        <v>16</v>
      </c>
      <c r="N36" s="43">
        <f>IF(tblShifts[[#This Row],[Date]]="","",IF(tblShifts[[#This Row],[Loaded rate]]="","",tblShifts[[#This Row],[Crew hours]]*tblShifts[[#This Row],[Loaded rate]]))</f>
        <v>723.546890756303</v>
      </c>
      <c r="O36" s="45">
        <f>IF(tblShifts[[#This Row],[Date]]="","",IF(OR(tblShifts[[#This Row],[Labour cost]]="",N(tblShifts[[#This Row],[Good units]])=0),"",tblShifts[[#This Row],[Labour cost]]/tblShifts[[#This Row],[Good units]]))</f>
        <v>11.3054201680672</v>
      </c>
      <c r="P36" s="45">
        <f>IF(tblShifts[[#This Row],[Date]]="","",IF(OR(tblShifts[[#This Row],[Loaded rate]]="",tblShifts[[#This Row],[Std cycle]]=""),"",tblShifts[[#This Row],[Std crew]]*tblShifts[[#This Row],[Loaded rate]]*tblShifts[[#This Row],[Std cycle]]/3600))</f>
        <v>10.5517254901961</v>
      </c>
      <c r="Q36" s="43">
        <f>IF(tblShifts[[#This Row],[Date]]="","",IF(tblShifts[[#This Row],[Std cycle]]="","",tblShifts[[#This Row],[Good units]]*tblShifts[[#This Row],[Std crew]]*tblShifts[[#This Row],[Std cycle]]/3600))</f>
        <v>14.9333333333333</v>
      </c>
      <c r="R36" s="46">
        <f>IF(tblShifts[[#This Row],[Date]]="","",IF(OR(tblShifts[[#This Row],[Earned hours]]="",N(tblShifts[[#This Row],[Crew hours]])=0),"",tblShifts[[#This Row],[Earned hours]]/tblShifts[[#This Row],[Crew hours]]))</f>
        <v>0.933333333333333</v>
      </c>
      <c r="S36" s="47" t="str">
        <f>IF(NOT(ISNUMBER(tblShifts[[#This Row],[Efficiency]])),"",IF(tblShifts[[#This Row],[Efficiency]]&gt;=TargetEff,"On target",IF(tblShifts[[#This Row],[Efficiency]]&gt;=TargetEff*(1-0.05),"Near target","Below target")))</f>
        <v>On target</v>
      </c>
      <c r="T36" s="45">
        <f>IF(tblShifts[[#This Row],[Date]]="","",IF(OR(tblShifts[[#This Row],[Cost per unit]]="",tblShifts[[#This Row],[Std cost per unit]]=""),"",tblShifts[[#This Row],[Cost per unit]]-tblShifts[[#This Row],[Std cost per unit]]))</f>
        <v>0.753694677871149</v>
      </c>
      <c r="U36" s="43">
        <f>IF(tblShifts[[#This Row],[Date]]="","",IF(OR(tblShifts[[#This Row],[Labour cost]]="",tblShifts[[#This Row],[Std cost per unit]]=""),"",tblShifts[[#This Row],[Labour cost]]-tblShifts[[#This Row],[Std cost per unit]]*tblShifts[[#This Row],[Good units]]))</f>
        <v>48.2364593837535</v>
      </c>
      <c r="V3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6" s="48">
        <f>IF(tblShifts[[#This Row],[Date]]="","",IF(AND(tblShifts[[#This Row],[Date]]&gt;=FFrom,tblShifts[[#This Row],[Date]]&lt;=FTo,OR(DashLine="",tblShifts[[#This Row],[Line]]=DashLine),OR(DashProduct="",tblShifts[[#This Row],[Product]]=DashProduct)),tblShifts[[#This Row],[Date]],""))</f>
        <v>46283</v>
      </c>
      <c r="X36" s="28" t="s">
        <v>149</v>
      </c>
    </row>
    <row r="37" spans="2:24">
      <c r="B37" s="42">
        <v>46286</v>
      </c>
      <c r="C37" s="28" t="s">
        <v>81</v>
      </c>
      <c r="D37" s="28" t="s">
        <v>82</v>
      </c>
      <c r="E37" s="28" t="s">
        <v>87</v>
      </c>
      <c r="F37" s="28" t="s">
        <v>122</v>
      </c>
      <c r="G37" s="32">
        <v>3</v>
      </c>
      <c r="H37" s="32">
        <v>8</v>
      </c>
      <c r="I37" s="36">
        <v>280</v>
      </c>
      <c r="J37" s="43">
        <f>IF(tblShifts[[#This Row],[Date]]="","",IFERROR(INDEX(tblRoles[Loaded rate],MATCH(tblShifts[[#This Row],[Role]],tblRoles[Role],0)),""))</f>
        <v>34.5242647058824</v>
      </c>
      <c r="K37" s="44">
        <f>IF(tblShifts[[#This Row],[Date]]="","",IFERROR(INDEX(tblProducts[Std cycle (s/unit)],MATCH(tblShifts[[#This Row],[Product]],tblProducts[Product],0)),""))</f>
        <v>95</v>
      </c>
      <c r="L37" s="44">
        <f>IF(tblShifts[[#This Row],[Date]]="","",IFERROR(INDEX(tblProducts[Std crew (people)],MATCH(tblShifts[[#This Row],[Product]],tblProducts[Product],0)),""))</f>
        <v>3</v>
      </c>
      <c r="M37" s="44">
        <f>IF(tblShifts[[#This Row],[Date]]="","",tblShifts[[#This Row],[Operators]]*tblShifts[[#This Row],[Hours]])</f>
        <v>24</v>
      </c>
      <c r="N37" s="43">
        <f>IF(tblShifts[[#This Row],[Date]]="","",IF(tblShifts[[#This Row],[Loaded rate]]="","",tblShifts[[#This Row],[Crew hours]]*tblShifts[[#This Row],[Loaded rate]]))</f>
        <v>828.582352941176</v>
      </c>
      <c r="O37" s="45">
        <f>IF(tblShifts[[#This Row],[Date]]="","",IF(OR(tblShifts[[#This Row],[Labour cost]]="",N(tblShifts[[#This Row],[Good units]])=0),"",tblShifts[[#This Row],[Labour cost]]/tblShifts[[#This Row],[Good units]]))</f>
        <v>2.95922268907563</v>
      </c>
      <c r="P37" s="45">
        <f>IF(tblShifts[[#This Row],[Date]]="","",IF(OR(tblShifts[[#This Row],[Loaded rate]]="",tblShifts[[#This Row],[Std cycle]]=""),"",tblShifts[[#This Row],[Std crew]]*tblShifts[[#This Row],[Loaded rate]]*tblShifts[[#This Row],[Std cycle]]/3600))</f>
        <v>2.73317095588235</v>
      </c>
      <c r="Q37" s="43">
        <f>IF(tblShifts[[#This Row],[Date]]="","",IF(tblShifts[[#This Row],[Std cycle]]="","",tblShifts[[#This Row],[Good units]]*tblShifts[[#This Row],[Std crew]]*tblShifts[[#This Row],[Std cycle]]/3600))</f>
        <v>22.1666666666667</v>
      </c>
      <c r="R37" s="46">
        <f>IF(tblShifts[[#This Row],[Date]]="","",IF(OR(tblShifts[[#This Row],[Earned hours]]="",N(tblShifts[[#This Row],[Crew hours]])=0),"",tblShifts[[#This Row],[Earned hours]]/tblShifts[[#This Row],[Crew hours]]))</f>
        <v>0.923611111111111</v>
      </c>
      <c r="S37" s="47" t="str">
        <f>IF(NOT(ISNUMBER(tblShifts[[#This Row],[Efficiency]])),"",IF(tblShifts[[#This Row],[Efficiency]]&gt;=TargetEff,"On target",IF(tblShifts[[#This Row],[Efficiency]]&gt;=TargetEff*(1-0.05),"Near target","Below target")))</f>
        <v>On target</v>
      </c>
      <c r="T37" s="45">
        <f>IF(tblShifts[[#This Row],[Date]]="","",IF(OR(tblShifts[[#This Row],[Cost per unit]]="",tblShifts[[#This Row],[Std cost per unit]]=""),"",tblShifts[[#This Row],[Cost per unit]]-tblShifts[[#This Row],[Std cost per unit]]))</f>
        <v>0.226051733193277</v>
      </c>
      <c r="U37" s="43">
        <f>IF(tblShifts[[#This Row],[Date]]="","",IF(OR(tblShifts[[#This Row],[Labour cost]]="",tblShifts[[#This Row],[Std cost per unit]]=""),"",tblShifts[[#This Row],[Labour cost]]-tblShifts[[#This Row],[Std cost per unit]]*tblShifts[[#This Row],[Good units]]))</f>
        <v>63.2944852941176</v>
      </c>
      <c r="V3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7" s="48">
        <f>IF(tblShifts[[#This Row],[Date]]="","",IF(AND(tblShifts[[#This Row],[Date]]&gt;=FFrom,tblShifts[[#This Row],[Date]]&lt;=FTo,OR(DashLine="",tblShifts[[#This Row],[Line]]=DashLine),OR(DashProduct="",tblShifts[[#This Row],[Product]]=DashProduct)),tblShifts[[#This Row],[Date]],""))</f>
        <v>46286</v>
      </c>
      <c r="X37" s="28" t="s">
        <v>149</v>
      </c>
    </row>
    <row r="38" spans="2:24">
      <c r="B38" s="42">
        <v>46286</v>
      </c>
      <c r="C38" s="28" t="s">
        <v>81</v>
      </c>
      <c r="D38" s="28" t="s">
        <v>84</v>
      </c>
      <c r="E38" s="28" t="s">
        <v>89</v>
      </c>
      <c r="F38" s="28" t="s">
        <v>122</v>
      </c>
      <c r="G38" s="32">
        <v>2</v>
      </c>
      <c r="H38" s="32">
        <v>8</v>
      </c>
      <c r="I38" s="36">
        <v>184</v>
      </c>
      <c r="J38" s="43">
        <f>IF(tblShifts[[#This Row],[Date]]="","",IFERROR(INDEX(tblRoles[Loaded rate],MATCH(tblShifts[[#This Row],[Role]],tblRoles[Role],0)),""))</f>
        <v>34.5242647058824</v>
      </c>
      <c r="K38" s="44">
        <f>IF(tblShifts[[#This Row],[Date]]="","",IFERROR(INDEX(tblProducts[Std cycle (s/unit)],MATCH(tblShifts[[#This Row],[Product]],tblProducts[Product],0)),""))</f>
        <v>140</v>
      </c>
      <c r="L38" s="44">
        <f>IF(tblShifts[[#This Row],[Date]]="","",IFERROR(INDEX(tblProducts[Std crew (people)],MATCH(tblShifts[[#This Row],[Product]],tblProducts[Product],0)),""))</f>
        <v>2</v>
      </c>
      <c r="M38" s="44">
        <f>IF(tblShifts[[#This Row],[Date]]="","",tblShifts[[#This Row],[Operators]]*tblShifts[[#This Row],[Hours]])</f>
        <v>16</v>
      </c>
      <c r="N38" s="43">
        <f>IF(tblShifts[[#This Row],[Date]]="","",IF(tblShifts[[#This Row],[Loaded rate]]="","",tblShifts[[#This Row],[Crew hours]]*tblShifts[[#This Row],[Loaded rate]]))</f>
        <v>552.388235294118</v>
      </c>
      <c r="O38" s="45">
        <f>IF(tblShifts[[#This Row],[Date]]="","",IF(OR(tblShifts[[#This Row],[Labour cost]]="",N(tblShifts[[#This Row],[Good units]])=0),"",tblShifts[[#This Row],[Labour cost]]/tblShifts[[#This Row],[Good units]]))</f>
        <v>3.00210997442455</v>
      </c>
      <c r="P38" s="45">
        <f>IF(tblShifts[[#This Row],[Date]]="","",IF(OR(tblShifts[[#This Row],[Loaded rate]]="",tblShifts[[#This Row],[Std cycle]]=""),"",tblShifts[[#This Row],[Std crew]]*tblShifts[[#This Row],[Loaded rate]]*tblShifts[[#This Row],[Std cycle]]/3600))</f>
        <v>2.68522058823529</v>
      </c>
      <c r="Q38" s="43">
        <f>IF(tblShifts[[#This Row],[Date]]="","",IF(tblShifts[[#This Row],[Std cycle]]="","",tblShifts[[#This Row],[Good units]]*tblShifts[[#This Row],[Std crew]]*tblShifts[[#This Row],[Std cycle]]/3600))</f>
        <v>14.3111111111111</v>
      </c>
      <c r="R38" s="46">
        <f>IF(tblShifts[[#This Row],[Date]]="","",IF(OR(tblShifts[[#This Row],[Earned hours]]="",N(tblShifts[[#This Row],[Crew hours]])=0),"",tblShifts[[#This Row],[Earned hours]]/tblShifts[[#This Row],[Crew hours]]))</f>
        <v>0.894444444444445</v>
      </c>
      <c r="S38" s="47" t="str">
        <f>IF(NOT(ISNUMBER(tblShifts[[#This Row],[Efficiency]])),"",IF(tblShifts[[#This Row],[Efficiency]]&gt;=TargetEff,"On target",IF(tblShifts[[#This Row],[Efficiency]]&gt;=TargetEff*(1-0.05),"Near target","Below target")))</f>
        <v>On target</v>
      </c>
      <c r="T38" s="45">
        <f>IF(tblShifts[[#This Row],[Date]]="","",IF(OR(tblShifts[[#This Row],[Cost per unit]]="",tblShifts[[#This Row],[Std cost per unit]]=""),"",tblShifts[[#This Row],[Cost per unit]]-tblShifts[[#This Row],[Std cost per unit]]))</f>
        <v>0.316889386189258</v>
      </c>
      <c r="U38" s="43">
        <f>IF(tblShifts[[#This Row],[Date]]="","",IF(OR(tblShifts[[#This Row],[Labour cost]]="",tblShifts[[#This Row],[Std cost per unit]]=""),"",tblShifts[[#This Row],[Labour cost]]-tblShifts[[#This Row],[Std cost per unit]]*tblShifts[[#This Row],[Good units]]))</f>
        <v>58.3076470588235</v>
      </c>
      <c r="V3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8" s="48">
        <f>IF(tblShifts[[#This Row],[Date]]="","",IF(AND(tblShifts[[#This Row],[Date]]&gt;=FFrom,tblShifts[[#This Row],[Date]]&lt;=FTo,OR(DashLine="",tblShifts[[#This Row],[Line]]=DashLine),OR(DashProduct="",tblShifts[[#This Row],[Product]]=DashProduct)),tblShifts[[#This Row],[Date]],""))</f>
        <v>46286</v>
      </c>
      <c r="X38" s="28" t="s">
        <v>149</v>
      </c>
    </row>
    <row r="39" spans="2:24">
      <c r="B39" s="42">
        <v>46286</v>
      </c>
      <c r="C39" s="28" t="s">
        <v>81</v>
      </c>
      <c r="D39" s="28" t="s">
        <v>85</v>
      </c>
      <c r="E39" s="28" t="s">
        <v>93</v>
      </c>
      <c r="F39" s="28" t="s">
        <v>123</v>
      </c>
      <c r="G39" s="32">
        <v>2</v>
      </c>
      <c r="H39" s="32">
        <v>8</v>
      </c>
      <c r="I39" s="36">
        <v>65</v>
      </c>
      <c r="J39" s="43">
        <f>IF(tblShifts[[#This Row],[Date]]="","",IFERROR(INDEX(tblRoles[Loaded rate],MATCH(tblShifts[[#This Row],[Role]],tblRoles[Role],0)),""))</f>
        <v>45.2216806722689</v>
      </c>
      <c r="K39" s="44">
        <f>IF(tblShifts[[#This Row],[Date]]="","",IFERROR(INDEX(tblProducts[Std cycle (s/unit)],MATCH(tblShifts[[#This Row],[Product]],tblProducts[Product],0)),""))</f>
        <v>420</v>
      </c>
      <c r="L39" s="44">
        <f>IF(tblShifts[[#This Row],[Date]]="","",IFERROR(INDEX(tblProducts[Std crew (people)],MATCH(tblShifts[[#This Row],[Product]],tblProducts[Product],0)),""))</f>
        <v>2</v>
      </c>
      <c r="M39" s="44">
        <f>IF(tblShifts[[#This Row],[Date]]="","",tblShifts[[#This Row],[Operators]]*tblShifts[[#This Row],[Hours]])</f>
        <v>16</v>
      </c>
      <c r="N39" s="43">
        <f>IF(tblShifts[[#This Row],[Date]]="","",IF(tblShifts[[#This Row],[Loaded rate]]="","",tblShifts[[#This Row],[Crew hours]]*tblShifts[[#This Row],[Loaded rate]]))</f>
        <v>723.546890756303</v>
      </c>
      <c r="O39" s="45">
        <f>IF(tblShifts[[#This Row],[Date]]="","",IF(OR(tblShifts[[#This Row],[Labour cost]]="",N(tblShifts[[#This Row],[Good units]])=0),"",tblShifts[[#This Row],[Labour cost]]/tblShifts[[#This Row],[Good units]]))</f>
        <v>11.13149062702</v>
      </c>
      <c r="P39" s="45">
        <f>IF(tblShifts[[#This Row],[Date]]="","",IF(OR(tblShifts[[#This Row],[Loaded rate]]="",tblShifts[[#This Row],[Std cycle]]=""),"",tblShifts[[#This Row],[Std crew]]*tblShifts[[#This Row],[Loaded rate]]*tblShifts[[#This Row],[Std cycle]]/3600))</f>
        <v>10.5517254901961</v>
      </c>
      <c r="Q39" s="43">
        <f>IF(tblShifts[[#This Row],[Date]]="","",IF(tblShifts[[#This Row],[Std cycle]]="","",tblShifts[[#This Row],[Good units]]*tblShifts[[#This Row],[Std crew]]*tblShifts[[#This Row],[Std cycle]]/3600))</f>
        <v>15.1666666666667</v>
      </c>
      <c r="R39" s="46">
        <f>IF(tblShifts[[#This Row],[Date]]="","",IF(OR(tblShifts[[#This Row],[Earned hours]]="",N(tblShifts[[#This Row],[Crew hours]])=0),"",tblShifts[[#This Row],[Earned hours]]/tblShifts[[#This Row],[Crew hours]]))</f>
        <v>0.947916666666667</v>
      </c>
      <c r="S39" s="47" t="str">
        <f>IF(NOT(ISNUMBER(tblShifts[[#This Row],[Efficiency]])),"",IF(tblShifts[[#This Row],[Efficiency]]&gt;=TargetEff,"On target",IF(tblShifts[[#This Row],[Efficiency]]&gt;=TargetEff*(1-0.05),"Near target","Below target")))</f>
        <v>On target</v>
      </c>
      <c r="T39" s="45">
        <f>IF(tblShifts[[#This Row],[Date]]="","",IF(OR(tblShifts[[#This Row],[Cost per unit]]="",tblShifts[[#This Row],[Std cost per unit]]=""),"",tblShifts[[#This Row],[Cost per unit]]-tblShifts[[#This Row],[Std cost per unit]]))</f>
        <v>0.57976513682396</v>
      </c>
      <c r="U39" s="43">
        <f>IF(tblShifts[[#This Row],[Date]]="","",IF(OR(tblShifts[[#This Row],[Labour cost]]="",tblShifts[[#This Row],[Std cost per unit]]=""),"",tblShifts[[#This Row],[Labour cost]]-tblShifts[[#This Row],[Std cost per unit]]*tblShifts[[#This Row],[Good units]]))</f>
        <v>37.6847338935575</v>
      </c>
      <c r="V3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39" s="48">
        <f>IF(tblShifts[[#This Row],[Date]]="","",IF(AND(tblShifts[[#This Row],[Date]]&gt;=FFrom,tblShifts[[#This Row],[Date]]&lt;=FTo,OR(DashLine="",tblShifts[[#This Row],[Line]]=DashLine),OR(DashProduct="",tblShifts[[#This Row],[Product]]=DashProduct)),tblShifts[[#This Row],[Date]],""))</f>
        <v>46286</v>
      </c>
      <c r="X39" s="28" t="s">
        <v>149</v>
      </c>
    </row>
    <row r="40" spans="2:24">
      <c r="B40" s="42">
        <v>46286</v>
      </c>
      <c r="C40" s="28" t="s">
        <v>83</v>
      </c>
      <c r="D40" s="28" t="s">
        <v>82</v>
      </c>
      <c r="E40" s="28" t="s">
        <v>87</v>
      </c>
      <c r="F40" s="28" t="s">
        <v>122</v>
      </c>
      <c r="G40" s="32">
        <v>3</v>
      </c>
      <c r="H40" s="32">
        <v>8</v>
      </c>
      <c r="I40" s="36">
        <v>278</v>
      </c>
      <c r="J40" s="43">
        <f>IF(tblShifts[[#This Row],[Date]]="","",IFERROR(INDEX(tblRoles[Loaded rate],MATCH(tblShifts[[#This Row],[Role]],tblRoles[Role],0)),""))</f>
        <v>34.5242647058824</v>
      </c>
      <c r="K40" s="44">
        <f>IF(tblShifts[[#This Row],[Date]]="","",IFERROR(INDEX(tblProducts[Std cycle (s/unit)],MATCH(tblShifts[[#This Row],[Product]],tblProducts[Product],0)),""))</f>
        <v>95</v>
      </c>
      <c r="L40" s="44">
        <f>IF(tblShifts[[#This Row],[Date]]="","",IFERROR(INDEX(tblProducts[Std crew (people)],MATCH(tblShifts[[#This Row],[Product]],tblProducts[Product],0)),""))</f>
        <v>3</v>
      </c>
      <c r="M40" s="44">
        <f>IF(tblShifts[[#This Row],[Date]]="","",tblShifts[[#This Row],[Operators]]*tblShifts[[#This Row],[Hours]])</f>
        <v>24</v>
      </c>
      <c r="N40" s="43">
        <f>IF(tblShifts[[#This Row],[Date]]="","",IF(tblShifts[[#This Row],[Loaded rate]]="","",tblShifts[[#This Row],[Crew hours]]*tblShifts[[#This Row],[Loaded rate]]))</f>
        <v>828.582352941176</v>
      </c>
      <c r="O40" s="45">
        <f>IF(tblShifts[[#This Row],[Date]]="","",IF(OR(tblShifts[[#This Row],[Labour cost]]="",N(tblShifts[[#This Row],[Good units]])=0),"",tblShifts[[#This Row],[Labour cost]]/tblShifts[[#This Row],[Good units]]))</f>
        <v>2.98051206093948</v>
      </c>
      <c r="P40" s="45">
        <f>IF(tblShifts[[#This Row],[Date]]="","",IF(OR(tblShifts[[#This Row],[Loaded rate]]="",tblShifts[[#This Row],[Std cycle]]=""),"",tblShifts[[#This Row],[Std crew]]*tblShifts[[#This Row],[Loaded rate]]*tblShifts[[#This Row],[Std cycle]]/3600))</f>
        <v>2.73317095588235</v>
      </c>
      <c r="Q40" s="43">
        <f>IF(tblShifts[[#This Row],[Date]]="","",IF(tblShifts[[#This Row],[Std cycle]]="","",tblShifts[[#This Row],[Good units]]*tblShifts[[#This Row],[Std crew]]*tblShifts[[#This Row],[Std cycle]]/3600))</f>
        <v>22.0083333333333</v>
      </c>
      <c r="R40" s="46">
        <f>IF(tblShifts[[#This Row],[Date]]="","",IF(OR(tblShifts[[#This Row],[Earned hours]]="",N(tblShifts[[#This Row],[Crew hours]])=0),"",tblShifts[[#This Row],[Earned hours]]/tblShifts[[#This Row],[Crew hours]]))</f>
        <v>0.917013888888889</v>
      </c>
      <c r="S40" s="47" t="str">
        <f>IF(NOT(ISNUMBER(tblShifts[[#This Row],[Efficiency]])),"",IF(tblShifts[[#This Row],[Efficiency]]&gt;=TargetEff,"On target",IF(tblShifts[[#This Row],[Efficiency]]&gt;=TargetEff*(1-0.05),"Near target","Below target")))</f>
        <v>On target</v>
      </c>
      <c r="T40" s="45">
        <f>IF(tblShifts[[#This Row],[Date]]="","",IF(OR(tblShifts[[#This Row],[Cost per unit]]="",tblShifts[[#This Row],[Std cost per unit]]=""),"",tblShifts[[#This Row],[Cost per unit]]-tblShifts[[#This Row],[Std cost per unit]]))</f>
        <v>0.247341105057131</v>
      </c>
      <c r="U40" s="43">
        <f>IF(tblShifts[[#This Row],[Date]]="","",IF(OR(tblShifts[[#This Row],[Labour cost]]="",tblShifts[[#This Row],[Std cost per unit]]=""),"",tblShifts[[#This Row],[Labour cost]]-tblShifts[[#This Row],[Std cost per unit]]*tblShifts[[#This Row],[Good units]]))</f>
        <v>68.7608272058824</v>
      </c>
      <c r="V4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0" s="48">
        <f>IF(tblShifts[[#This Row],[Date]]="","",IF(AND(tblShifts[[#This Row],[Date]]&gt;=FFrom,tblShifts[[#This Row],[Date]]&lt;=FTo,OR(DashLine="",tblShifts[[#This Row],[Line]]=DashLine),OR(DashProduct="",tblShifts[[#This Row],[Product]]=DashProduct)),tblShifts[[#This Row],[Date]],""))</f>
        <v>46286</v>
      </c>
      <c r="X40" s="28" t="s">
        <v>149</v>
      </c>
    </row>
    <row r="41" spans="2:24">
      <c r="B41" s="42">
        <v>46286</v>
      </c>
      <c r="C41" s="28" t="s">
        <v>83</v>
      </c>
      <c r="D41" s="28" t="s">
        <v>84</v>
      </c>
      <c r="E41" s="28" t="s">
        <v>89</v>
      </c>
      <c r="F41" s="28" t="s">
        <v>122</v>
      </c>
      <c r="G41" s="32">
        <v>2</v>
      </c>
      <c r="H41" s="32">
        <v>8</v>
      </c>
      <c r="I41" s="36">
        <v>156</v>
      </c>
      <c r="J41" s="43">
        <f>IF(tblShifts[[#This Row],[Date]]="","",IFERROR(INDEX(tblRoles[Loaded rate],MATCH(tblShifts[[#This Row],[Role]],tblRoles[Role],0)),""))</f>
        <v>34.5242647058824</v>
      </c>
      <c r="K41" s="44">
        <f>IF(tblShifts[[#This Row],[Date]]="","",IFERROR(INDEX(tblProducts[Std cycle (s/unit)],MATCH(tblShifts[[#This Row],[Product]],tblProducts[Product],0)),""))</f>
        <v>140</v>
      </c>
      <c r="L41" s="44">
        <f>IF(tblShifts[[#This Row],[Date]]="","",IFERROR(INDEX(tblProducts[Std crew (people)],MATCH(tblShifts[[#This Row],[Product]],tblProducts[Product],0)),""))</f>
        <v>2</v>
      </c>
      <c r="M41" s="44">
        <f>IF(tblShifts[[#This Row],[Date]]="","",tblShifts[[#This Row],[Operators]]*tblShifts[[#This Row],[Hours]])</f>
        <v>16</v>
      </c>
      <c r="N41" s="43">
        <f>IF(tblShifts[[#This Row],[Date]]="","",IF(tblShifts[[#This Row],[Loaded rate]]="","",tblShifts[[#This Row],[Crew hours]]*tblShifts[[#This Row],[Loaded rate]]))</f>
        <v>552.388235294118</v>
      </c>
      <c r="O41" s="45">
        <f>IF(tblShifts[[#This Row],[Date]]="","",IF(OR(tblShifts[[#This Row],[Labour cost]]="",N(tblShifts[[#This Row],[Good units]])=0),"",tblShifts[[#This Row],[Labour cost]]/tblShifts[[#This Row],[Good units]]))</f>
        <v>3.54095022624434</v>
      </c>
      <c r="P41" s="45">
        <f>IF(tblShifts[[#This Row],[Date]]="","",IF(OR(tblShifts[[#This Row],[Loaded rate]]="",tblShifts[[#This Row],[Std cycle]]=""),"",tblShifts[[#This Row],[Std crew]]*tblShifts[[#This Row],[Loaded rate]]*tblShifts[[#This Row],[Std cycle]]/3600))</f>
        <v>2.68522058823529</v>
      </c>
      <c r="Q41" s="43">
        <f>IF(tblShifts[[#This Row],[Date]]="","",IF(tblShifts[[#This Row],[Std cycle]]="","",tblShifts[[#This Row],[Good units]]*tblShifts[[#This Row],[Std crew]]*tblShifts[[#This Row],[Std cycle]]/3600))</f>
        <v>12.1333333333333</v>
      </c>
      <c r="R41" s="46">
        <f>IF(tblShifts[[#This Row],[Date]]="","",IF(OR(tblShifts[[#This Row],[Earned hours]]="",N(tblShifts[[#This Row],[Crew hours]])=0),"",tblShifts[[#This Row],[Earned hours]]/tblShifts[[#This Row],[Crew hours]]))</f>
        <v>0.758333333333333</v>
      </c>
      <c r="S41" s="47" t="str">
        <f>IF(NOT(ISNUMBER(tblShifts[[#This Row],[Efficiency]])),"",IF(tblShifts[[#This Row],[Efficiency]]&gt;=TargetEff,"On target",IF(tblShifts[[#This Row],[Efficiency]]&gt;=TargetEff*(1-0.05),"Near target","Below target")))</f>
        <v>Below target</v>
      </c>
      <c r="T41" s="45">
        <f>IF(tblShifts[[#This Row],[Date]]="","",IF(OR(tblShifts[[#This Row],[Cost per unit]]="",tblShifts[[#This Row],[Std cost per unit]]=""),"",tblShifts[[#This Row],[Cost per unit]]-tblShifts[[#This Row],[Std cost per unit]]))</f>
        <v>0.855729638009049</v>
      </c>
      <c r="U41" s="43">
        <f>IF(tblShifts[[#This Row],[Date]]="","",IF(OR(tblShifts[[#This Row],[Labour cost]]="",tblShifts[[#This Row],[Std cost per unit]]=""),"",tblShifts[[#This Row],[Labour cost]]-tblShifts[[#This Row],[Std cost per unit]]*tblShifts[[#This Row],[Good units]]))</f>
        <v>133.493823529412</v>
      </c>
      <c r="V4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1" s="48">
        <f>IF(tblShifts[[#This Row],[Date]]="","",IF(AND(tblShifts[[#This Row],[Date]]&gt;=FFrom,tblShifts[[#This Row],[Date]]&lt;=FTo,OR(DashLine="",tblShifts[[#This Row],[Line]]=DashLine),OR(DashProduct="",tblShifts[[#This Row],[Product]]=DashProduct)),tblShifts[[#This Row],[Date]],""))</f>
        <v>46286</v>
      </c>
      <c r="X41" s="28" t="s">
        <v>149</v>
      </c>
    </row>
    <row r="42" spans="2:24">
      <c r="B42" s="42">
        <v>46286</v>
      </c>
      <c r="C42" s="28" t="s">
        <v>83</v>
      </c>
      <c r="D42" s="28" t="s">
        <v>85</v>
      </c>
      <c r="E42" s="28" t="s">
        <v>93</v>
      </c>
      <c r="F42" s="28" t="s">
        <v>123</v>
      </c>
      <c r="G42" s="32">
        <v>2</v>
      </c>
      <c r="H42" s="32">
        <v>8</v>
      </c>
      <c r="I42" s="36">
        <v>63</v>
      </c>
      <c r="J42" s="43">
        <f>IF(tblShifts[[#This Row],[Date]]="","",IFERROR(INDEX(tblRoles[Loaded rate],MATCH(tblShifts[[#This Row],[Role]],tblRoles[Role],0)),""))</f>
        <v>45.2216806722689</v>
      </c>
      <c r="K42" s="44">
        <f>IF(tblShifts[[#This Row],[Date]]="","",IFERROR(INDEX(tblProducts[Std cycle (s/unit)],MATCH(tblShifts[[#This Row],[Product]],tblProducts[Product],0)),""))</f>
        <v>420</v>
      </c>
      <c r="L42" s="44">
        <f>IF(tblShifts[[#This Row],[Date]]="","",IFERROR(INDEX(tblProducts[Std crew (people)],MATCH(tblShifts[[#This Row],[Product]],tblProducts[Product],0)),""))</f>
        <v>2</v>
      </c>
      <c r="M42" s="44">
        <f>IF(tblShifts[[#This Row],[Date]]="","",tblShifts[[#This Row],[Operators]]*tblShifts[[#This Row],[Hours]])</f>
        <v>16</v>
      </c>
      <c r="N42" s="43">
        <f>IF(tblShifts[[#This Row],[Date]]="","",IF(tblShifts[[#This Row],[Loaded rate]]="","",tblShifts[[#This Row],[Crew hours]]*tblShifts[[#This Row],[Loaded rate]]))</f>
        <v>723.546890756303</v>
      </c>
      <c r="O42" s="45">
        <f>IF(tblShifts[[#This Row],[Date]]="","",IF(OR(tblShifts[[#This Row],[Labour cost]]="",N(tblShifts[[#This Row],[Good units]])=0),"",tblShifts[[#This Row],[Labour cost]]/tblShifts[[#This Row],[Good units]]))</f>
        <v>11.4848712818461</v>
      </c>
      <c r="P42" s="45">
        <f>IF(tblShifts[[#This Row],[Date]]="","",IF(OR(tblShifts[[#This Row],[Loaded rate]]="",tblShifts[[#This Row],[Std cycle]]=""),"",tblShifts[[#This Row],[Std crew]]*tblShifts[[#This Row],[Loaded rate]]*tblShifts[[#This Row],[Std cycle]]/3600))</f>
        <v>10.5517254901961</v>
      </c>
      <c r="Q42" s="43">
        <f>IF(tblShifts[[#This Row],[Date]]="","",IF(tblShifts[[#This Row],[Std cycle]]="","",tblShifts[[#This Row],[Good units]]*tblShifts[[#This Row],[Std crew]]*tblShifts[[#This Row],[Std cycle]]/3600))</f>
        <v>14.7</v>
      </c>
      <c r="R42" s="46">
        <f>IF(tblShifts[[#This Row],[Date]]="","",IF(OR(tblShifts[[#This Row],[Earned hours]]="",N(tblShifts[[#This Row],[Crew hours]])=0),"",tblShifts[[#This Row],[Earned hours]]/tblShifts[[#This Row],[Crew hours]]))</f>
        <v>0.91875</v>
      </c>
      <c r="S42" s="47" t="str">
        <f>IF(NOT(ISNUMBER(tblShifts[[#This Row],[Efficiency]])),"",IF(tblShifts[[#This Row],[Efficiency]]&gt;=TargetEff,"On target",IF(tblShifts[[#This Row],[Efficiency]]&gt;=TargetEff*(1-0.05),"Near target","Below target")))</f>
        <v>On target</v>
      </c>
      <c r="T42" s="45">
        <f>IF(tblShifts[[#This Row],[Date]]="","",IF(OR(tblShifts[[#This Row],[Cost per unit]]="",tblShifts[[#This Row],[Std cost per unit]]=""),"",tblShifts[[#This Row],[Cost per unit]]-tblShifts[[#This Row],[Std cost per unit]]))</f>
        <v>0.933145791649993</v>
      </c>
      <c r="U42" s="43">
        <f>IF(tblShifts[[#This Row],[Date]]="","",IF(OR(tblShifts[[#This Row],[Labour cost]]="",tblShifts[[#This Row],[Std cost per unit]]=""),"",tblShifts[[#This Row],[Labour cost]]-tblShifts[[#This Row],[Std cost per unit]]*tblShifts[[#This Row],[Good units]]))</f>
        <v>58.7881848739496</v>
      </c>
      <c r="V4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2" s="48">
        <f>IF(tblShifts[[#This Row],[Date]]="","",IF(AND(tblShifts[[#This Row],[Date]]&gt;=FFrom,tblShifts[[#This Row],[Date]]&lt;=FTo,OR(DashLine="",tblShifts[[#This Row],[Line]]=DashLine),OR(DashProduct="",tblShifts[[#This Row],[Product]]=DashProduct)),tblShifts[[#This Row],[Date]],""))</f>
        <v>46286</v>
      </c>
      <c r="X42" s="28" t="s">
        <v>149</v>
      </c>
    </row>
    <row r="43" spans="2:24">
      <c r="B43" s="42">
        <v>46287</v>
      </c>
      <c r="C43" s="28" t="s">
        <v>81</v>
      </c>
      <c r="D43" s="28" t="s">
        <v>82</v>
      </c>
      <c r="E43" s="28" t="s">
        <v>87</v>
      </c>
      <c r="F43" s="28" t="s">
        <v>122</v>
      </c>
      <c r="G43" s="32">
        <v>4</v>
      </c>
      <c r="H43" s="32">
        <v>8</v>
      </c>
      <c r="I43" s="36">
        <v>364</v>
      </c>
      <c r="J43" s="43">
        <f>IF(tblShifts[[#This Row],[Date]]="","",IFERROR(INDEX(tblRoles[Loaded rate],MATCH(tblShifts[[#This Row],[Role]],tblRoles[Role],0)),""))</f>
        <v>34.5242647058824</v>
      </c>
      <c r="K43" s="44">
        <f>IF(tblShifts[[#This Row],[Date]]="","",IFERROR(INDEX(tblProducts[Std cycle (s/unit)],MATCH(tblShifts[[#This Row],[Product]],tblProducts[Product],0)),""))</f>
        <v>95</v>
      </c>
      <c r="L43" s="44">
        <f>IF(tblShifts[[#This Row],[Date]]="","",IFERROR(INDEX(tblProducts[Std crew (people)],MATCH(tblShifts[[#This Row],[Product]],tblProducts[Product],0)),""))</f>
        <v>3</v>
      </c>
      <c r="M43" s="44">
        <f>IF(tblShifts[[#This Row],[Date]]="","",tblShifts[[#This Row],[Operators]]*tblShifts[[#This Row],[Hours]])</f>
        <v>32</v>
      </c>
      <c r="N43" s="43">
        <f>IF(tblShifts[[#This Row],[Date]]="","",IF(tblShifts[[#This Row],[Loaded rate]]="","",tblShifts[[#This Row],[Crew hours]]*tblShifts[[#This Row],[Loaded rate]]))</f>
        <v>1104.77647058824</v>
      </c>
      <c r="O43" s="45">
        <f>IF(tblShifts[[#This Row],[Date]]="","",IF(OR(tblShifts[[#This Row],[Labour cost]]="",N(tblShifts[[#This Row],[Good units]])=0),"",tblShifts[[#This Row],[Labour cost]]/tblShifts[[#This Row],[Good units]]))</f>
        <v>3.03510019392372</v>
      </c>
      <c r="P43" s="45">
        <f>IF(tblShifts[[#This Row],[Date]]="","",IF(OR(tblShifts[[#This Row],[Loaded rate]]="",tblShifts[[#This Row],[Std cycle]]=""),"",tblShifts[[#This Row],[Std crew]]*tblShifts[[#This Row],[Loaded rate]]*tblShifts[[#This Row],[Std cycle]]/3600))</f>
        <v>2.73317095588235</v>
      </c>
      <c r="Q43" s="43">
        <f>IF(tblShifts[[#This Row],[Date]]="","",IF(tblShifts[[#This Row],[Std cycle]]="","",tblShifts[[#This Row],[Good units]]*tblShifts[[#This Row],[Std crew]]*tblShifts[[#This Row],[Std cycle]]/3600))</f>
        <v>28.8166666666667</v>
      </c>
      <c r="R43" s="46">
        <f>IF(tblShifts[[#This Row],[Date]]="","",IF(OR(tblShifts[[#This Row],[Earned hours]]="",N(tblShifts[[#This Row],[Crew hours]])=0),"",tblShifts[[#This Row],[Earned hours]]/tblShifts[[#This Row],[Crew hours]]))</f>
        <v>0.900520833333333</v>
      </c>
      <c r="S43" s="47" t="str">
        <f>IF(NOT(ISNUMBER(tblShifts[[#This Row],[Efficiency]])),"",IF(tblShifts[[#This Row],[Efficiency]]&gt;=TargetEff,"On target",IF(tblShifts[[#This Row],[Efficiency]]&gt;=TargetEff*(1-0.05),"Near target","Below target")))</f>
        <v>On target</v>
      </c>
      <c r="T43" s="45">
        <f>IF(tblShifts[[#This Row],[Date]]="","",IF(OR(tblShifts[[#This Row],[Cost per unit]]="",tblShifts[[#This Row],[Std cost per unit]]=""),"",tblShifts[[#This Row],[Cost per unit]]-tblShifts[[#This Row],[Std cost per unit]]))</f>
        <v>0.301929238041371</v>
      </c>
      <c r="U43" s="43">
        <f>IF(tblShifts[[#This Row],[Date]]="","",IF(OR(tblShifts[[#This Row],[Labour cost]]="",tblShifts[[#This Row],[Std cost per unit]]=""),"",tblShifts[[#This Row],[Labour cost]]-tblShifts[[#This Row],[Std cost per unit]]*tblShifts[[#This Row],[Good units]]))</f>
        <v>109.902242647059</v>
      </c>
      <c r="V4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3" s="48">
        <f>IF(tblShifts[[#This Row],[Date]]="","",IF(AND(tblShifts[[#This Row],[Date]]&gt;=FFrom,tblShifts[[#This Row],[Date]]&lt;=FTo,OR(DashLine="",tblShifts[[#This Row],[Line]]=DashLine),OR(DashProduct="",tblShifts[[#This Row],[Product]]=DashProduct)),tblShifts[[#This Row],[Date]],""))</f>
        <v>46287</v>
      </c>
      <c r="X43" s="28" t="s">
        <v>149</v>
      </c>
    </row>
    <row r="44" spans="2:24">
      <c r="B44" s="42">
        <v>46287</v>
      </c>
      <c r="C44" s="28" t="s">
        <v>81</v>
      </c>
      <c r="D44" s="28" t="s">
        <v>84</v>
      </c>
      <c r="E44" s="28" t="s">
        <v>89</v>
      </c>
      <c r="F44" s="28" t="s">
        <v>122</v>
      </c>
      <c r="G44" s="32">
        <v>2</v>
      </c>
      <c r="H44" s="32">
        <v>8</v>
      </c>
      <c r="I44" s="36">
        <v>174</v>
      </c>
      <c r="J44" s="43">
        <f>IF(tblShifts[[#This Row],[Date]]="","",IFERROR(INDEX(tblRoles[Loaded rate],MATCH(tblShifts[[#This Row],[Role]],tblRoles[Role],0)),""))</f>
        <v>34.5242647058824</v>
      </c>
      <c r="K44" s="44">
        <f>IF(tblShifts[[#This Row],[Date]]="","",IFERROR(INDEX(tblProducts[Std cycle (s/unit)],MATCH(tblShifts[[#This Row],[Product]],tblProducts[Product],0)),""))</f>
        <v>140</v>
      </c>
      <c r="L44" s="44">
        <f>IF(tblShifts[[#This Row],[Date]]="","",IFERROR(INDEX(tblProducts[Std crew (people)],MATCH(tblShifts[[#This Row],[Product]],tblProducts[Product],0)),""))</f>
        <v>2</v>
      </c>
      <c r="M44" s="44">
        <f>IF(tblShifts[[#This Row],[Date]]="","",tblShifts[[#This Row],[Operators]]*tblShifts[[#This Row],[Hours]])</f>
        <v>16</v>
      </c>
      <c r="N44" s="43">
        <f>IF(tblShifts[[#This Row],[Date]]="","",IF(tblShifts[[#This Row],[Loaded rate]]="","",tblShifts[[#This Row],[Crew hours]]*tblShifts[[#This Row],[Loaded rate]]))</f>
        <v>552.388235294118</v>
      </c>
      <c r="O44" s="45">
        <f>IF(tblShifts[[#This Row],[Date]]="","",IF(OR(tblShifts[[#This Row],[Labour cost]]="",N(tblShifts[[#This Row],[Good units]])=0),"",tblShifts[[#This Row],[Labour cost]]/tblShifts[[#This Row],[Good units]]))</f>
        <v>3.17464503042596</v>
      </c>
      <c r="P44" s="45">
        <f>IF(tblShifts[[#This Row],[Date]]="","",IF(OR(tblShifts[[#This Row],[Loaded rate]]="",tblShifts[[#This Row],[Std cycle]]=""),"",tblShifts[[#This Row],[Std crew]]*tblShifts[[#This Row],[Loaded rate]]*tblShifts[[#This Row],[Std cycle]]/3600))</f>
        <v>2.68522058823529</v>
      </c>
      <c r="Q44" s="43">
        <f>IF(tblShifts[[#This Row],[Date]]="","",IF(tblShifts[[#This Row],[Std cycle]]="","",tblShifts[[#This Row],[Good units]]*tblShifts[[#This Row],[Std crew]]*tblShifts[[#This Row],[Std cycle]]/3600))</f>
        <v>13.5333333333333</v>
      </c>
      <c r="R44" s="46">
        <f>IF(tblShifts[[#This Row],[Date]]="","",IF(OR(tblShifts[[#This Row],[Earned hours]]="",N(tblShifts[[#This Row],[Crew hours]])=0),"",tblShifts[[#This Row],[Earned hours]]/tblShifts[[#This Row],[Crew hours]]))</f>
        <v>0.845833333333333</v>
      </c>
      <c r="S44" s="47" t="str">
        <f>IF(NOT(ISNUMBER(tblShifts[[#This Row],[Efficiency]])),"",IF(tblShifts[[#This Row],[Efficiency]]&gt;=TargetEff,"On target",IF(tblShifts[[#This Row],[Efficiency]]&gt;=TargetEff*(1-0.05),"Near target","Below target")))</f>
        <v>Near target</v>
      </c>
      <c r="T44" s="45">
        <f>IF(tblShifts[[#This Row],[Date]]="","",IF(OR(tblShifts[[#This Row],[Cost per unit]]="",tblShifts[[#This Row],[Std cost per unit]]=""),"",tblShifts[[#This Row],[Cost per unit]]-tblShifts[[#This Row],[Std cost per unit]]))</f>
        <v>0.489424442190669</v>
      </c>
      <c r="U44" s="43">
        <f>IF(tblShifts[[#This Row],[Date]]="","",IF(OR(tblShifts[[#This Row],[Labour cost]]="",tblShifts[[#This Row],[Std cost per unit]]=""),"",tblShifts[[#This Row],[Labour cost]]-tblShifts[[#This Row],[Std cost per unit]]*tblShifts[[#This Row],[Good units]]))</f>
        <v>85.1598529411764</v>
      </c>
      <c r="V4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4" s="48">
        <f>IF(tblShifts[[#This Row],[Date]]="","",IF(AND(tblShifts[[#This Row],[Date]]&gt;=FFrom,tblShifts[[#This Row],[Date]]&lt;=FTo,OR(DashLine="",tblShifts[[#This Row],[Line]]=DashLine),OR(DashProduct="",tblShifts[[#This Row],[Product]]=DashProduct)),tblShifts[[#This Row],[Date]],""))</f>
        <v>46287</v>
      </c>
      <c r="X44" s="28" t="s">
        <v>149</v>
      </c>
    </row>
    <row r="45" spans="2:24">
      <c r="B45" s="42">
        <v>46287</v>
      </c>
      <c r="C45" s="28" t="s">
        <v>81</v>
      </c>
      <c r="D45" s="28" t="s">
        <v>85</v>
      </c>
      <c r="E45" s="28" t="s">
        <v>93</v>
      </c>
      <c r="F45" s="28" t="s">
        <v>123</v>
      </c>
      <c r="G45" s="32">
        <v>2</v>
      </c>
      <c r="H45" s="32">
        <v>8</v>
      </c>
      <c r="I45" s="36">
        <v>63</v>
      </c>
      <c r="J45" s="43">
        <f>IF(tblShifts[[#This Row],[Date]]="","",IFERROR(INDEX(tblRoles[Loaded rate],MATCH(tblShifts[[#This Row],[Role]],tblRoles[Role],0)),""))</f>
        <v>45.2216806722689</v>
      </c>
      <c r="K45" s="44">
        <f>IF(tblShifts[[#This Row],[Date]]="","",IFERROR(INDEX(tblProducts[Std cycle (s/unit)],MATCH(tblShifts[[#This Row],[Product]],tblProducts[Product],0)),""))</f>
        <v>420</v>
      </c>
      <c r="L45" s="44">
        <f>IF(tblShifts[[#This Row],[Date]]="","",IFERROR(INDEX(tblProducts[Std crew (people)],MATCH(tblShifts[[#This Row],[Product]],tblProducts[Product],0)),""))</f>
        <v>2</v>
      </c>
      <c r="M45" s="44">
        <f>IF(tblShifts[[#This Row],[Date]]="","",tblShifts[[#This Row],[Operators]]*tblShifts[[#This Row],[Hours]])</f>
        <v>16</v>
      </c>
      <c r="N45" s="43">
        <f>IF(tblShifts[[#This Row],[Date]]="","",IF(tblShifts[[#This Row],[Loaded rate]]="","",tblShifts[[#This Row],[Crew hours]]*tblShifts[[#This Row],[Loaded rate]]))</f>
        <v>723.546890756303</v>
      </c>
      <c r="O45" s="45">
        <f>IF(tblShifts[[#This Row],[Date]]="","",IF(OR(tblShifts[[#This Row],[Labour cost]]="",N(tblShifts[[#This Row],[Good units]])=0),"",tblShifts[[#This Row],[Labour cost]]/tblShifts[[#This Row],[Good units]]))</f>
        <v>11.4848712818461</v>
      </c>
      <c r="P45" s="45">
        <f>IF(tblShifts[[#This Row],[Date]]="","",IF(OR(tblShifts[[#This Row],[Loaded rate]]="",tblShifts[[#This Row],[Std cycle]]=""),"",tblShifts[[#This Row],[Std crew]]*tblShifts[[#This Row],[Loaded rate]]*tblShifts[[#This Row],[Std cycle]]/3600))</f>
        <v>10.5517254901961</v>
      </c>
      <c r="Q45" s="43">
        <f>IF(tblShifts[[#This Row],[Date]]="","",IF(tblShifts[[#This Row],[Std cycle]]="","",tblShifts[[#This Row],[Good units]]*tblShifts[[#This Row],[Std crew]]*tblShifts[[#This Row],[Std cycle]]/3600))</f>
        <v>14.7</v>
      </c>
      <c r="R45" s="46">
        <f>IF(tblShifts[[#This Row],[Date]]="","",IF(OR(tblShifts[[#This Row],[Earned hours]]="",N(tblShifts[[#This Row],[Crew hours]])=0),"",tblShifts[[#This Row],[Earned hours]]/tblShifts[[#This Row],[Crew hours]]))</f>
        <v>0.91875</v>
      </c>
      <c r="S45" s="47" t="str">
        <f>IF(NOT(ISNUMBER(tblShifts[[#This Row],[Efficiency]])),"",IF(tblShifts[[#This Row],[Efficiency]]&gt;=TargetEff,"On target",IF(tblShifts[[#This Row],[Efficiency]]&gt;=TargetEff*(1-0.05),"Near target","Below target")))</f>
        <v>On target</v>
      </c>
      <c r="T45" s="45">
        <f>IF(tblShifts[[#This Row],[Date]]="","",IF(OR(tblShifts[[#This Row],[Cost per unit]]="",tblShifts[[#This Row],[Std cost per unit]]=""),"",tblShifts[[#This Row],[Cost per unit]]-tblShifts[[#This Row],[Std cost per unit]]))</f>
        <v>0.933145791649993</v>
      </c>
      <c r="U45" s="43">
        <f>IF(tblShifts[[#This Row],[Date]]="","",IF(OR(tblShifts[[#This Row],[Labour cost]]="",tblShifts[[#This Row],[Std cost per unit]]=""),"",tblShifts[[#This Row],[Labour cost]]-tblShifts[[#This Row],[Std cost per unit]]*tblShifts[[#This Row],[Good units]]))</f>
        <v>58.7881848739496</v>
      </c>
      <c r="V4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5" s="48">
        <f>IF(tblShifts[[#This Row],[Date]]="","",IF(AND(tblShifts[[#This Row],[Date]]&gt;=FFrom,tblShifts[[#This Row],[Date]]&lt;=FTo,OR(DashLine="",tblShifts[[#This Row],[Line]]=DashLine),OR(DashProduct="",tblShifts[[#This Row],[Product]]=DashProduct)),tblShifts[[#This Row],[Date]],""))</f>
        <v>46287</v>
      </c>
      <c r="X45" s="28" t="s">
        <v>149</v>
      </c>
    </row>
    <row r="46" spans="2:24">
      <c r="B46" s="42">
        <v>46287</v>
      </c>
      <c r="C46" s="28" t="s">
        <v>83</v>
      </c>
      <c r="D46" s="28" t="s">
        <v>82</v>
      </c>
      <c r="E46" s="28" t="s">
        <v>87</v>
      </c>
      <c r="F46" s="28" t="s">
        <v>122</v>
      </c>
      <c r="G46" s="32">
        <v>3</v>
      </c>
      <c r="H46" s="32">
        <v>8</v>
      </c>
      <c r="I46" s="36">
        <v>262</v>
      </c>
      <c r="J46" s="43">
        <f>IF(tblShifts[[#This Row],[Date]]="","",IFERROR(INDEX(tblRoles[Loaded rate],MATCH(tblShifts[[#This Row],[Role]],tblRoles[Role],0)),""))</f>
        <v>34.5242647058824</v>
      </c>
      <c r="K46" s="44">
        <f>IF(tblShifts[[#This Row],[Date]]="","",IFERROR(INDEX(tblProducts[Std cycle (s/unit)],MATCH(tblShifts[[#This Row],[Product]],tblProducts[Product],0)),""))</f>
        <v>95</v>
      </c>
      <c r="L46" s="44">
        <f>IF(tblShifts[[#This Row],[Date]]="","",IFERROR(INDEX(tblProducts[Std crew (people)],MATCH(tblShifts[[#This Row],[Product]],tblProducts[Product],0)),""))</f>
        <v>3</v>
      </c>
      <c r="M46" s="44">
        <f>IF(tblShifts[[#This Row],[Date]]="","",tblShifts[[#This Row],[Operators]]*tblShifts[[#This Row],[Hours]])</f>
        <v>24</v>
      </c>
      <c r="N46" s="43">
        <f>IF(tblShifts[[#This Row],[Date]]="","",IF(tblShifts[[#This Row],[Loaded rate]]="","",tblShifts[[#This Row],[Crew hours]]*tblShifts[[#This Row],[Loaded rate]]))</f>
        <v>828.582352941176</v>
      </c>
      <c r="O46" s="45">
        <f>IF(tblShifts[[#This Row],[Date]]="","",IF(OR(tblShifts[[#This Row],[Labour cost]]="",N(tblShifts[[#This Row],[Good units]])=0),"",tblShifts[[#This Row],[Labour cost]]/tblShifts[[#This Row],[Good units]]))</f>
        <v>3.16252806466098</v>
      </c>
      <c r="P46" s="45">
        <f>IF(tblShifts[[#This Row],[Date]]="","",IF(OR(tblShifts[[#This Row],[Loaded rate]]="",tblShifts[[#This Row],[Std cycle]]=""),"",tblShifts[[#This Row],[Std crew]]*tblShifts[[#This Row],[Loaded rate]]*tblShifts[[#This Row],[Std cycle]]/3600))</f>
        <v>2.73317095588235</v>
      </c>
      <c r="Q46" s="43">
        <f>IF(tblShifts[[#This Row],[Date]]="","",IF(tblShifts[[#This Row],[Std cycle]]="","",tblShifts[[#This Row],[Good units]]*tblShifts[[#This Row],[Std crew]]*tblShifts[[#This Row],[Std cycle]]/3600))</f>
        <v>20.7416666666667</v>
      </c>
      <c r="R46" s="46">
        <f>IF(tblShifts[[#This Row],[Date]]="","",IF(OR(tblShifts[[#This Row],[Earned hours]]="",N(tblShifts[[#This Row],[Crew hours]])=0),"",tblShifts[[#This Row],[Earned hours]]/tblShifts[[#This Row],[Crew hours]]))</f>
        <v>0.864236111111111</v>
      </c>
      <c r="S46" s="47" t="str">
        <f>IF(NOT(ISNUMBER(tblShifts[[#This Row],[Efficiency]])),"",IF(tblShifts[[#This Row],[Efficiency]]&gt;=TargetEff,"On target",IF(tblShifts[[#This Row],[Efficiency]]&gt;=TargetEff*(1-0.05),"Near target","Below target")))</f>
        <v>On target</v>
      </c>
      <c r="T46" s="45">
        <f>IF(tblShifts[[#This Row],[Date]]="","",IF(OR(tblShifts[[#This Row],[Cost per unit]]="",tblShifts[[#This Row],[Std cost per unit]]=""),"",tblShifts[[#This Row],[Cost per unit]]-tblShifts[[#This Row],[Std cost per unit]]))</f>
        <v>0.429357108778626</v>
      </c>
      <c r="U46" s="43">
        <f>IF(tblShifts[[#This Row],[Date]]="","",IF(OR(tblShifts[[#This Row],[Labour cost]]="",tblShifts[[#This Row],[Std cost per unit]]=""),"",tblShifts[[#This Row],[Labour cost]]-tblShifts[[#This Row],[Std cost per unit]]*tblShifts[[#This Row],[Good units]]))</f>
        <v>112.4915625</v>
      </c>
      <c r="V4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6" s="48">
        <f>IF(tblShifts[[#This Row],[Date]]="","",IF(AND(tblShifts[[#This Row],[Date]]&gt;=FFrom,tblShifts[[#This Row],[Date]]&lt;=FTo,OR(DashLine="",tblShifts[[#This Row],[Line]]=DashLine),OR(DashProduct="",tblShifts[[#This Row],[Product]]=DashProduct)),tblShifts[[#This Row],[Date]],""))</f>
        <v>46287</v>
      </c>
      <c r="X46" s="28" t="s">
        <v>149</v>
      </c>
    </row>
    <row r="47" spans="2:24">
      <c r="B47" s="42">
        <v>46287</v>
      </c>
      <c r="C47" s="28" t="s">
        <v>83</v>
      </c>
      <c r="D47" s="28" t="s">
        <v>84</v>
      </c>
      <c r="E47" s="28" t="s">
        <v>89</v>
      </c>
      <c r="F47" s="28" t="s">
        <v>122</v>
      </c>
      <c r="G47" s="32">
        <v>2</v>
      </c>
      <c r="H47" s="32">
        <v>8</v>
      </c>
      <c r="I47" s="36">
        <v>161</v>
      </c>
      <c r="J47" s="43">
        <f>IF(tblShifts[[#This Row],[Date]]="","",IFERROR(INDEX(tblRoles[Loaded rate],MATCH(tblShifts[[#This Row],[Role]],tblRoles[Role],0)),""))</f>
        <v>34.5242647058824</v>
      </c>
      <c r="K47" s="44">
        <f>IF(tblShifts[[#This Row],[Date]]="","",IFERROR(INDEX(tblProducts[Std cycle (s/unit)],MATCH(tblShifts[[#This Row],[Product]],tblProducts[Product],0)),""))</f>
        <v>140</v>
      </c>
      <c r="L47" s="44">
        <f>IF(tblShifts[[#This Row],[Date]]="","",IFERROR(INDEX(tblProducts[Std crew (people)],MATCH(tblShifts[[#This Row],[Product]],tblProducts[Product],0)),""))</f>
        <v>2</v>
      </c>
      <c r="M47" s="44">
        <f>IF(tblShifts[[#This Row],[Date]]="","",tblShifts[[#This Row],[Operators]]*tblShifts[[#This Row],[Hours]])</f>
        <v>16</v>
      </c>
      <c r="N47" s="43">
        <f>IF(tblShifts[[#This Row],[Date]]="","",IF(tblShifts[[#This Row],[Loaded rate]]="","",tblShifts[[#This Row],[Crew hours]]*tblShifts[[#This Row],[Loaded rate]]))</f>
        <v>552.388235294118</v>
      </c>
      <c r="O47" s="45">
        <f>IF(tblShifts[[#This Row],[Date]]="","",IF(OR(tblShifts[[#This Row],[Labour cost]]="",N(tblShifts[[#This Row],[Good units]])=0),"",tblShifts[[#This Row],[Labour cost]]/tblShifts[[#This Row],[Good units]]))</f>
        <v>3.43098282791377</v>
      </c>
      <c r="P47" s="45">
        <f>IF(tblShifts[[#This Row],[Date]]="","",IF(OR(tblShifts[[#This Row],[Loaded rate]]="",tblShifts[[#This Row],[Std cycle]]=""),"",tblShifts[[#This Row],[Std crew]]*tblShifts[[#This Row],[Loaded rate]]*tblShifts[[#This Row],[Std cycle]]/3600))</f>
        <v>2.68522058823529</v>
      </c>
      <c r="Q47" s="43">
        <f>IF(tblShifts[[#This Row],[Date]]="","",IF(tblShifts[[#This Row],[Std cycle]]="","",tblShifts[[#This Row],[Good units]]*tblShifts[[#This Row],[Std crew]]*tblShifts[[#This Row],[Std cycle]]/3600))</f>
        <v>12.5222222222222</v>
      </c>
      <c r="R47" s="46">
        <f>IF(tblShifts[[#This Row],[Date]]="","",IF(OR(tblShifts[[#This Row],[Earned hours]]="",N(tblShifts[[#This Row],[Crew hours]])=0),"",tblShifts[[#This Row],[Earned hours]]/tblShifts[[#This Row],[Crew hours]]))</f>
        <v>0.782638888888889</v>
      </c>
      <c r="S47" s="47" t="str">
        <f>IF(NOT(ISNUMBER(tblShifts[[#This Row],[Efficiency]])),"",IF(tblShifts[[#This Row],[Efficiency]]&gt;=TargetEff,"On target",IF(tblShifts[[#This Row],[Efficiency]]&gt;=TargetEff*(1-0.05),"Near target","Below target")))</f>
        <v>Below target</v>
      </c>
      <c r="T47" s="45">
        <f>IF(tblShifts[[#This Row],[Date]]="","",IF(OR(tblShifts[[#This Row],[Cost per unit]]="",tblShifts[[#This Row],[Std cost per unit]]=""),"",tblShifts[[#This Row],[Cost per unit]]-tblShifts[[#This Row],[Std cost per unit]]))</f>
        <v>0.74576223967848</v>
      </c>
      <c r="U47" s="43">
        <f>IF(tblShifts[[#This Row],[Date]]="","",IF(OR(tblShifts[[#This Row],[Labour cost]]="",tblShifts[[#This Row],[Std cost per unit]]=""),"",tblShifts[[#This Row],[Labour cost]]-tblShifts[[#This Row],[Std cost per unit]]*tblShifts[[#This Row],[Good units]]))</f>
        <v>120.067720588235</v>
      </c>
      <c r="V4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7" s="48">
        <f>IF(tblShifts[[#This Row],[Date]]="","",IF(AND(tblShifts[[#This Row],[Date]]&gt;=FFrom,tblShifts[[#This Row],[Date]]&lt;=FTo,OR(DashLine="",tblShifts[[#This Row],[Line]]=DashLine),OR(DashProduct="",tblShifts[[#This Row],[Product]]=DashProduct)),tblShifts[[#This Row],[Date]],""))</f>
        <v>46287</v>
      </c>
      <c r="X47" s="28" t="s">
        <v>149</v>
      </c>
    </row>
    <row r="48" spans="2:24">
      <c r="B48" s="42">
        <v>46287</v>
      </c>
      <c r="C48" s="28" t="s">
        <v>83</v>
      </c>
      <c r="D48" s="28" t="s">
        <v>85</v>
      </c>
      <c r="E48" s="28" t="s">
        <v>93</v>
      </c>
      <c r="F48" s="28" t="s">
        <v>123</v>
      </c>
      <c r="G48" s="32">
        <v>2</v>
      </c>
      <c r="H48" s="32">
        <v>8</v>
      </c>
      <c r="I48" s="36">
        <v>65</v>
      </c>
      <c r="J48" s="43">
        <f>IF(tblShifts[[#This Row],[Date]]="","",IFERROR(INDEX(tblRoles[Loaded rate],MATCH(tblShifts[[#This Row],[Role]],tblRoles[Role],0)),""))</f>
        <v>45.2216806722689</v>
      </c>
      <c r="K48" s="44">
        <f>IF(tblShifts[[#This Row],[Date]]="","",IFERROR(INDEX(tblProducts[Std cycle (s/unit)],MATCH(tblShifts[[#This Row],[Product]],tblProducts[Product],0)),""))</f>
        <v>420</v>
      </c>
      <c r="L48" s="44">
        <f>IF(tblShifts[[#This Row],[Date]]="","",IFERROR(INDEX(tblProducts[Std crew (people)],MATCH(tblShifts[[#This Row],[Product]],tblProducts[Product],0)),""))</f>
        <v>2</v>
      </c>
      <c r="M48" s="44">
        <f>IF(tblShifts[[#This Row],[Date]]="","",tblShifts[[#This Row],[Operators]]*tblShifts[[#This Row],[Hours]])</f>
        <v>16</v>
      </c>
      <c r="N48" s="43">
        <f>IF(tblShifts[[#This Row],[Date]]="","",IF(tblShifts[[#This Row],[Loaded rate]]="","",tblShifts[[#This Row],[Crew hours]]*tblShifts[[#This Row],[Loaded rate]]))</f>
        <v>723.546890756303</v>
      </c>
      <c r="O48" s="45">
        <f>IF(tblShifts[[#This Row],[Date]]="","",IF(OR(tblShifts[[#This Row],[Labour cost]]="",N(tblShifts[[#This Row],[Good units]])=0),"",tblShifts[[#This Row],[Labour cost]]/tblShifts[[#This Row],[Good units]]))</f>
        <v>11.13149062702</v>
      </c>
      <c r="P48" s="45">
        <f>IF(tblShifts[[#This Row],[Date]]="","",IF(OR(tblShifts[[#This Row],[Loaded rate]]="",tblShifts[[#This Row],[Std cycle]]=""),"",tblShifts[[#This Row],[Std crew]]*tblShifts[[#This Row],[Loaded rate]]*tblShifts[[#This Row],[Std cycle]]/3600))</f>
        <v>10.5517254901961</v>
      </c>
      <c r="Q48" s="43">
        <f>IF(tblShifts[[#This Row],[Date]]="","",IF(tblShifts[[#This Row],[Std cycle]]="","",tblShifts[[#This Row],[Good units]]*tblShifts[[#This Row],[Std crew]]*tblShifts[[#This Row],[Std cycle]]/3600))</f>
        <v>15.1666666666667</v>
      </c>
      <c r="R48" s="46">
        <f>IF(tblShifts[[#This Row],[Date]]="","",IF(OR(tblShifts[[#This Row],[Earned hours]]="",N(tblShifts[[#This Row],[Crew hours]])=0),"",tblShifts[[#This Row],[Earned hours]]/tblShifts[[#This Row],[Crew hours]]))</f>
        <v>0.947916666666667</v>
      </c>
      <c r="S48" s="47" t="str">
        <f>IF(NOT(ISNUMBER(tblShifts[[#This Row],[Efficiency]])),"",IF(tblShifts[[#This Row],[Efficiency]]&gt;=TargetEff,"On target",IF(tblShifts[[#This Row],[Efficiency]]&gt;=TargetEff*(1-0.05),"Near target","Below target")))</f>
        <v>On target</v>
      </c>
      <c r="T48" s="45">
        <f>IF(tblShifts[[#This Row],[Date]]="","",IF(OR(tblShifts[[#This Row],[Cost per unit]]="",tblShifts[[#This Row],[Std cost per unit]]=""),"",tblShifts[[#This Row],[Cost per unit]]-tblShifts[[#This Row],[Std cost per unit]]))</f>
        <v>0.57976513682396</v>
      </c>
      <c r="U48" s="43">
        <f>IF(tblShifts[[#This Row],[Date]]="","",IF(OR(tblShifts[[#This Row],[Labour cost]]="",tblShifts[[#This Row],[Std cost per unit]]=""),"",tblShifts[[#This Row],[Labour cost]]-tblShifts[[#This Row],[Std cost per unit]]*tblShifts[[#This Row],[Good units]]))</f>
        <v>37.6847338935575</v>
      </c>
      <c r="V4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8" s="48">
        <f>IF(tblShifts[[#This Row],[Date]]="","",IF(AND(tblShifts[[#This Row],[Date]]&gt;=FFrom,tblShifts[[#This Row],[Date]]&lt;=FTo,OR(DashLine="",tblShifts[[#This Row],[Line]]=DashLine),OR(DashProduct="",tblShifts[[#This Row],[Product]]=DashProduct)),tblShifts[[#This Row],[Date]],""))</f>
        <v>46287</v>
      </c>
      <c r="X48" s="28" t="s">
        <v>149</v>
      </c>
    </row>
    <row r="49" spans="2:24">
      <c r="B49" s="42">
        <v>46288</v>
      </c>
      <c r="C49" s="28" t="s">
        <v>81</v>
      </c>
      <c r="D49" s="28" t="s">
        <v>82</v>
      </c>
      <c r="E49" s="28" t="s">
        <v>87</v>
      </c>
      <c r="F49" s="28" t="s">
        <v>122</v>
      </c>
      <c r="G49" s="32">
        <v>3</v>
      </c>
      <c r="H49" s="32">
        <v>8</v>
      </c>
      <c r="I49" s="36">
        <v>286</v>
      </c>
      <c r="J49" s="43">
        <f>IF(tblShifts[[#This Row],[Date]]="","",IFERROR(INDEX(tblRoles[Loaded rate],MATCH(tblShifts[[#This Row],[Role]],tblRoles[Role],0)),""))</f>
        <v>34.5242647058824</v>
      </c>
      <c r="K49" s="44">
        <f>IF(tblShifts[[#This Row],[Date]]="","",IFERROR(INDEX(tblProducts[Std cycle (s/unit)],MATCH(tblShifts[[#This Row],[Product]],tblProducts[Product],0)),""))</f>
        <v>95</v>
      </c>
      <c r="L49" s="44">
        <f>IF(tblShifts[[#This Row],[Date]]="","",IFERROR(INDEX(tblProducts[Std crew (people)],MATCH(tblShifts[[#This Row],[Product]],tblProducts[Product],0)),""))</f>
        <v>3</v>
      </c>
      <c r="M49" s="44">
        <f>IF(tblShifts[[#This Row],[Date]]="","",tblShifts[[#This Row],[Operators]]*tblShifts[[#This Row],[Hours]])</f>
        <v>24</v>
      </c>
      <c r="N49" s="43">
        <f>IF(tblShifts[[#This Row],[Date]]="","",IF(tblShifts[[#This Row],[Loaded rate]]="","",tblShifts[[#This Row],[Crew hours]]*tblShifts[[#This Row],[Loaded rate]]))</f>
        <v>828.582352941176</v>
      </c>
      <c r="O49" s="45">
        <f>IF(tblShifts[[#This Row],[Date]]="","",IF(OR(tblShifts[[#This Row],[Labour cost]]="",N(tblShifts[[#This Row],[Good units]])=0),"",tblShifts[[#This Row],[Labour cost]]/tblShifts[[#This Row],[Good units]]))</f>
        <v>2.89714109419992</v>
      </c>
      <c r="P49" s="45">
        <f>IF(tblShifts[[#This Row],[Date]]="","",IF(OR(tblShifts[[#This Row],[Loaded rate]]="",tblShifts[[#This Row],[Std cycle]]=""),"",tblShifts[[#This Row],[Std crew]]*tblShifts[[#This Row],[Loaded rate]]*tblShifts[[#This Row],[Std cycle]]/3600))</f>
        <v>2.73317095588235</v>
      </c>
      <c r="Q49" s="43">
        <f>IF(tblShifts[[#This Row],[Date]]="","",IF(tblShifts[[#This Row],[Std cycle]]="","",tblShifts[[#This Row],[Good units]]*tblShifts[[#This Row],[Std crew]]*tblShifts[[#This Row],[Std cycle]]/3600))</f>
        <v>22.6416666666667</v>
      </c>
      <c r="R49" s="46">
        <f>IF(tblShifts[[#This Row],[Date]]="","",IF(OR(tblShifts[[#This Row],[Earned hours]]="",N(tblShifts[[#This Row],[Crew hours]])=0),"",tblShifts[[#This Row],[Earned hours]]/tblShifts[[#This Row],[Crew hours]]))</f>
        <v>0.943402777777778</v>
      </c>
      <c r="S49" s="47" t="str">
        <f>IF(NOT(ISNUMBER(tblShifts[[#This Row],[Efficiency]])),"",IF(tblShifts[[#This Row],[Efficiency]]&gt;=TargetEff,"On target",IF(tblShifts[[#This Row],[Efficiency]]&gt;=TargetEff*(1-0.05),"Near target","Below target")))</f>
        <v>On target</v>
      </c>
      <c r="T49" s="45">
        <f>IF(tblShifts[[#This Row],[Date]]="","",IF(OR(tblShifts[[#This Row],[Cost per unit]]="",tblShifts[[#This Row],[Std cost per unit]]=""),"",tblShifts[[#This Row],[Cost per unit]]-tblShifts[[#This Row],[Std cost per unit]]))</f>
        <v>0.163970138317565</v>
      </c>
      <c r="U49" s="43">
        <f>IF(tblShifts[[#This Row],[Date]]="","",IF(OR(tblShifts[[#This Row],[Labour cost]]="",tblShifts[[#This Row],[Std cost per unit]]=""),"",tblShifts[[#This Row],[Labour cost]]-tblShifts[[#This Row],[Std cost per unit]]*tblShifts[[#This Row],[Good units]]))</f>
        <v>46.8954595588235</v>
      </c>
      <c r="V4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49" s="48">
        <f>IF(tblShifts[[#This Row],[Date]]="","",IF(AND(tblShifts[[#This Row],[Date]]&gt;=FFrom,tblShifts[[#This Row],[Date]]&lt;=FTo,OR(DashLine="",tblShifts[[#This Row],[Line]]=DashLine),OR(DashProduct="",tblShifts[[#This Row],[Product]]=DashProduct)),tblShifts[[#This Row],[Date]],""))</f>
        <v>46288</v>
      </c>
      <c r="X49" s="28" t="s">
        <v>149</v>
      </c>
    </row>
    <row r="50" spans="2:24">
      <c r="B50" s="42">
        <v>46288</v>
      </c>
      <c r="C50" s="28" t="s">
        <v>81</v>
      </c>
      <c r="D50" s="28" t="s">
        <v>84</v>
      </c>
      <c r="E50" s="28" t="s">
        <v>89</v>
      </c>
      <c r="F50" s="28" t="s">
        <v>122</v>
      </c>
      <c r="G50" s="32">
        <v>2</v>
      </c>
      <c r="H50" s="32">
        <v>8</v>
      </c>
      <c r="I50" s="36">
        <v>197</v>
      </c>
      <c r="J50" s="43">
        <f>IF(tblShifts[[#This Row],[Date]]="","",IFERROR(INDEX(tblRoles[Loaded rate],MATCH(tblShifts[[#This Row],[Role]],tblRoles[Role],0)),""))</f>
        <v>34.5242647058824</v>
      </c>
      <c r="K50" s="44">
        <f>IF(tblShifts[[#This Row],[Date]]="","",IFERROR(INDEX(tblProducts[Std cycle (s/unit)],MATCH(tblShifts[[#This Row],[Product]],tblProducts[Product],0)),""))</f>
        <v>140</v>
      </c>
      <c r="L50" s="44">
        <f>IF(tblShifts[[#This Row],[Date]]="","",IFERROR(INDEX(tblProducts[Std crew (people)],MATCH(tblShifts[[#This Row],[Product]],tblProducts[Product],0)),""))</f>
        <v>2</v>
      </c>
      <c r="M50" s="44">
        <f>IF(tblShifts[[#This Row],[Date]]="","",tblShifts[[#This Row],[Operators]]*tblShifts[[#This Row],[Hours]])</f>
        <v>16</v>
      </c>
      <c r="N50" s="43">
        <f>IF(tblShifts[[#This Row],[Date]]="","",IF(tblShifts[[#This Row],[Loaded rate]]="","",tblShifts[[#This Row],[Crew hours]]*tblShifts[[#This Row],[Loaded rate]]))</f>
        <v>552.388235294118</v>
      </c>
      <c r="O50" s="45">
        <f>IF(tblShifts[[#This Row],[Date]]="","",IF(OR(tblShifts[[#This Row],[Labour cost]]="",N(tblShifts[[#This Row],[Good units]])=0),"",tblShifts[[#This Row],[Labour cost]]/tblShifts[[#This Row],[Good units]]))</f>
        <v>2.80400119438638</v>
      </c>
      <c r="P50" s="45">
        <f>IF(tblShifts[[#This Row],[Date]]="","",IF(OR(tblShifts[[#This Row],[Loaded rate]]="",tblShifts[[#This Row],[Std cycle]]=""),"",tblShifts[[#This Row],[Std crew]]*tblShifts[[#This Row],[Loaded rate]]*tblShifts[[#This Row],[Std cycle]]/3600))</f>
        <v>2.68522058823529</v>
      </c>
      <c r="Q50" s="43">
        <f>IF(tblShifts[[#This Row],[Date]]="","",IF(tblShifts[[#This Row],[Std cycle]]="","",tblShifts[[#This Row],[Good units]]*tblShifts[[#This Row],[Std crew]]*tblShifts[[#This Row],[Std cycle]]/3600))</f>
        <v>15.3222222222222</v>
      </c>
      <c r="R50" s="46">
        <f>IF(tblShifts[[#This Row],[Date]]="","",IF(OR(tblShifts[[#This Row],[Earned hours]]="",N(tblShifts[[#This Row],[Crew hours]])=0),"",tblShifts[[#This Row],[Earned hours]]/tblShifts[[#This Row],[Crew hours]]))</f>
        <v>0.957638888888889</v>
      </c>
      <c r="S50" s="47" t="str">
        <f>IF(NOT(ISNUMBER(tblShifts[[#This Row],[Efficiency]])),"",IF(tblShifts[[#This Row],[Efficiency]]&gt;=TargetEff,"On target",IF(tblShifts[[#This Row],[Efficiency]]&gt;=TargetEff*(1-0.05),"Near target","Below target")))</f>
        <v>On target</v>
      </c>
      <c r="T50" s="45">
        <f>IF(tblShifts[[#This Row],[Date]]="","",IF(OR(tblShifts[[#This Row],[Cost per unit]]="",tblShifts[[#This Row],[Std cost per unit]]=""),"",tblShifts[[#This Row],[Cost per unit]]-tblShifts[[#This Row],[Std cost per unit]]))</f>
        <v>0.118780606151089</v>
      </c>
      <c r="U50" s="43">
        <f>IF(tblShifts[[#This Row],[Date]]="","",IF(OR(tblShifts[[#This Row],[Labour cost]]="",tblShifts[[#This Row],[Std cost per unit]]=""),"",tblShifts[[#This Row],[Labour cost]]-tblShifts[[#This Row],[Std cost per unit]]*tblShifts[[#This Row],[Good units]]))</f>
        <v>23.3997794117646</v>
      </c>
      <c r="V5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0" s="48">
        <f>IF(tblShifts[[#This Row],[Date]]="","",IF(AND(tblShifts[[#This Row],[Date]]&gt;=FFrom,tblShifts[[#This Row],[Date]]&lt;=FTo,OR(DashLine="",tblShifts[[#This Row],[Line]]=DashLine),OR(DashProduct="",tblShifts[[#This Row],[Product]]=DashProduct)),tblShifts[[#This Row],[Date]],""))</f>
        <v>46288</v>
      </c>
      <c r="X50" s="28" t="s">
        <v>149</v>
      </c>
    </row>
    <row r="51" spans="2:24">
      <c r="B51" s="42">
        <v>46288</v>
      </c>
      <c r="C51" s="28" t="s">
        <v>81</v>
      </c>
      <c r="D51" s="28" t="s">
        <v>85</v>
      </c>
      <c r="E51" s="28" t="s">
        <v>93</v>
      </c>
      <c r="F51" s="28" t="s">
        <v>123</v>
      </c>
      <c r="G51" s="32">
        <v>2</v>
      </c>
      <c r="H51" s="32">
        <v>10</v>
      </c>
      <c r="I51" s="36">
        <v>79</v>
      </c>
      <c r="J51" s="43">
        <f>IF(tblShifts[[#This Row],[Date]]="","",IFERROR(INDEX(tblRoles[Loaded rate],MATCH(tblShifts[[#This Row],[Role]],tblRoles[Role],0)),""))</f>
        <v>45.2216806722689</v>
      </c>
      <c r="K51" s="44">
        <f>IF(tblShifts[[#This Row],[Date]]="","",IFERROR(INDEX(tblProducts[Std cycle (s/unit)],MATCH(tblShifts[[#This Row],[Product]],tblProducts[Product],0)),""))</f>
        <v>420</v>
      </c>
      <c r="L51" s="44">
        <f>IF(tblShifts[[#This Row],[Date]]="","",IFERROR(INDEX(tblProducts[Std crew (people)],MATCH(tblShifts[[#This Row],[Product]],tblProducts[Product],0)),""))</f>
        <v>2</v>
      </c>
      <c r="M51" s="44">
        <f>IF(tblShifts[[#This Row],[Date]]="","",tblShifts[[#This Row],[Operators]]*tblShifts[[#This Row],[Hours]])</f>
        <v>20</v>
      </c>
      <c r="N51" s="43">
        <f>IF(tblShifts[[#This Row],[Date]]="","",IF(tblShifts[[#This Row],[Loaded rate]]="","",tblShifts[[#This Row],[Crew hours]]*tblShifts[[#This Row],[Loaded rate]]))</f>
        <v>904.433613445378</v>
      </c>
      <c r="O51" s="45">
        <f>IF(tblShifts[[#This Row],[Date]]="","",IF(OR(tblShifts[[#This Row],[Labour cost]]="",N(tblShifts[[#This Row],[Good units]])=0),"",tblShifts[[#This Row],[Labour cost]]/tblShifts[[#This Row],[Good units]]))</f>
        <v>11.4485267524731</v>
      </c>
      <c r="P51" s="45">
        <f>IF(tblShifts[[#This Row],[Date]]="","",IF(OR(tblShifts[[#This Row],[Loaded rate]]="",tblShifts[[#This Row],[Std cycle]]=""),"",tblShifts[[#This Row],[Std crew]]*tblShifts[[#This Row],[Loaded rate]]*tblShifts[[#This Row],[Std cycle]]/3600))</f>
        <v>10.5517254901961</v>
      </c>
      <c r="Q51" s="43">
        <f>IF(tblShifts[[#This Row],[Date]]="","",IF(tblShifts[[#This Row],[Std cycle]]="","",tblShifts[[#This Row],[Good units]]*tblShifts[[#This Row],[Std crew]]*tblShifts[[#This Row],[Std cycle]]/3600))</f>
        <v>18.4333333333333</v>
      </c>
      <c r="R51" s="46">
        <f>IF(tblShifts[[#This Row],[Date]]="","",IF(OR(tblShifts[[#This Row],[Earned hours]]="",N(tblShifts[[#This Row],[Crew hours]])=0),"",tblShifts[[#This Row],[Earned hours]]/tblShifts[[#This Row],[Crew hours]]))</f>
        <v>0.921666666666667</v>
      </c>
      <c r="S51" s="47" t="str">
        <f>IF(NOT(ISNUMBER(tblShifts[[#This Row],[Efficiency]])),"",IF(tblShifts[[#This Row],[Efficiency]]&gt;=TargetEff,"On target",IF(tblShifts[[#This Row],[Efficiency]]&gt;=TargetEff*(1-0.05),"Near target","Below target")))</f>
        <v>On target</v>
      </c>
      <c r="T51" s="45">
        <f>IF(tblShifts[[#This Row],[Date]]="","",IF(OR(tblShifts[[#This Row],[Cost per unit]]="",tblShifts[[#This Row],[Std cost per unit]]=""),"",tblShifts[[#This Row],[Cost per unit]]-tblShifts[[#This Row],[Std cost per unit]]))</f>
        <v>0.896801262277064</v>
      </c>
      <c r="U51" s="43">
        <f>IF(tblShifts[[#This Row],[Date]]="","",IF(OR(tblShifts[[#This Row],[Labour cost]]="",tblShifts[[#This Row],[Std cost per unit]]=""),"",tblShifts[[#This Row],[Labour cost]]-tblShifts[[#This Row],[Std cost per unit]]*tblShifts[[#This Row],[Good units]]))</f>
        <v>70.847299719888</v>
      </c>
      <c r="V5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1" s="48">
        <f>IF(tblShifts[[#This Row],[Date]]="","",IF(AND(tblShifts[[#This Row],[Date]]&gt;=FFrom,tblShifts[[#This Row],[Date]]&lt;=FTo,OR(DashLine="",tblShifts[[#This Row],[Line]]=DashLine),OR(DashProduct="",tblShifts[[#This Row],[Product]]=DashProduct)),tblShifts[[#This Row],[Date]],""))</f>
        <v>46288</v>
      </c>
      <c r="X51" s="28" t="s">
        <v>149</v>
      </c>
    </row>
    <row r="52" spans="2:24">
      <c r="B52" s="42">
        <v>46288</v>
      </c>
      <c r="C52" s="28" t="s">
        <v>83</v>
      </c>
      <c r="D52" s="28" t="s">
        <v>82</v>
      </c>
      <c r="E52" s="28" t="s">
        <v>87</v>
      </c>
      <c r="F52" s="28" t="s">
        <v>122</v>
      </c>
      <c r="G52" s="32">
        <v>4</v>
      </c>
      <c r="H52" s="32">
        <v>8</v>
      </c>
      <c r="I52" s="36">
        <v>381</v>
      </c>
      <c r="J52" s="43">
        <f>IF(tblShifts[[#This Row],[Date]]="","",IFERROR(INDEX(tblRoles[Loaded rate],MATCH(tblShifts[[#This Row],[Role]],tblRoles[Role],0)),""))</f>
        <v>34.5242647058824</v>
      </c>
      <c r="K52" s="44">
        <f>IF(tblShifts[[#This Row],[Date]]="","",IFERROR(INDEX(tblProducts[Std cycle (s/unit)],MATCH(tblShifts[[#This Row],[Product]],tblProducts[Product],0)),""))</f>
        <v>95</v>
      </c>
      <c r="L52" s="44">
        <f>IF(tblShifts[[#This Row],[Date]]="","",IFERROR(INDEX(tblProducts[Std crew (people)],MATCH(tblShifts[[#This Row],[Product]],tblProducts[Product],0)),""))</f>
        <v>3</v>
      </c>
      <c r="M52" s="44">
        <f>IF(tblShifts[[#This Row],[Date]]="","",tblShifts[[#This Row],[Operators]]*tblShifts[[#This Row],[Hours]])</f>
        <v>32</v>
      </c>
      <c r="N52" s="43">
        <f>IF(tblShifts[[#This Row],[Date]]="","",IF(tblShifts[[#This Row],[Loaded rate]]="","",tblShifts[[#This Row],[Crew hours]]*tblShifts[[#This Row],[Loaded rate]]))</f>
        <v>1104.77647058824</v>
      </c>
      <c r="O52" s="45">
        <f>IF(tblShifts[[#This Row],[Date]]="","",IF(OR(tblShifts[[#This Row],[Labour cost]]="",N(tblShifts[[#This Row],[Good units]])=0),"",tblShifts[[#This Row],[Labour cost]]/tblShifts[[#This Row],[Good units]]))</f>
        <v>2.89967577582214</v>
      </c>
      <c r="P52" s="45">
        <f>IF(tblShifts[[#This Row],[Date]]="","",IF(OR(tblShifts[[#This Row],[Loaded rate]]="",tblShifts[[#This Row],[Std cycle]]=""),"",tblShifts[[#This Row],[Std crew]]*tblShifts[[#This Row],[Loaded rate]]*tblShifts[[#This Row],[Std cycle]]/3600))</f>
        <v>2.73317095588235</v>
      </c>
      <c r="Q52" s="43">
        <f>IF(tblShifts[[#This Row],[Date]]="","",IF(tblShifts[[#This Row],[Std cycle]]="","",tblShifts[[#This Row],[Good units]]*tblShifts[[#This Row],[Std crew]]*tblShifts[[#This Row],[Std cycle]]/3600))</f>
        <v>30.1625</v>
      </c>
      <c r="R52" s="46">
        <f>IF(tblShifts[[#This Row],[Date]]="","",IF(OR(tblShifts[[#This Row],[Earned hours]]="",N(tblShifts[[#This Row],[Crew hours]])=0),"",tblShifts[[#This Row],[Earned hours]]/tblShifts[[#This Row],[Crew hours]]))</f>
        <v>0.942578125</v>
      </c>
      <c r="S52" s="47" t="str">
        <f>IF(NOT(ISNUMBER(tblShifts[[#This Row],[Efficiency]])),"",IF(tblShifts[[#This Row],[Efficiency]]&gt;=TargetEff,"On target",IF(tblShifts[[#This Row],[Efficiency]]&gt;=TargetEff*(1-0.05),"Near target","Below target")))</f>
        <v>On target</v>
      </c>
      <c r="T52" s="45">
        <f>IF(tblShifts[[#This Row],[Date]]="","",IF(OR(tblShifts[[#This Row],[Cost per unit]]="",tblShifts[[#This Row],[Std cost per unit]]=""),"",tblShifts[[#This Row],[Cost per unit]]-tblShifts[[#This Row],[Std cost per unit]]))</f>
        <v>0.166504819939787</v>
      </c>
      <c r="U52" s="43">
        <f>IF(tblShifts[[#This Row],[Date]]="","",IF(OR(tblShifts[[#This Row],[Labour cost]]="",tblShifts[[#This Row],[Std cost per unit]]=""),"",tblShifts[[#This Row],[Labour cost]]-tblShifts[[#This Row],[Std cost per unit]]*tblShifts[[#This Row],[Good units]]))</f>
        <v>63.438336397059</v>
      </c>
      <c r="V5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2" s="48">
        <f>IF(tblShifts[[#This Row],[Date]]="","",IF(AND(tblShifts[[#This Row],[Date]]&gt;=FFrom,tblShifts[[#This Row],[Date]]&lt;=FTo,OR(DashLine="",tblShifts[[#This Row],[Line]]=DashLine),OR(DashProduct="",tblShifts[[#This Row],[Product]]=DashProduct)),tblShifts[[#This Row],[Date]],""))</f>
        <v>46288</v>
      </c>
      <c r="X52" s="28" t="s">
        <v>149</v>
      </c>
    </row>
    <row r="53" spans="2:24">
      <c r="B53" s="42">
        <v>46288</v>
      </c>
      <c r="C53" s="28" t="s">
        <v>83</v>
      </c>
      <c r="D53" s="28" t="s">
        <v>84</v>
      </c>
      <c r="E53" s="28" t="s">
        <v>89</v>
      </c>
      <c r="F53" s="28" t="s">
        <v>122</v>
      </c>
      <c r="G53" s="32">
        <v>2</v>
      </c>
      <c r="H53" s="32">
        <v>8</v>
      </c>
      <c r="I53" s="36">
        <v>161</v>
      </c>
      <c r="J53" s="43">
        <f>IF(tblShifts[[#This Row],[Date]]="","",IFERROR(INDEX(tblRoles[Loaded rate],MATCH(tblShifts[[#This Row],[Role]],tblRoles[Role],0)),""))</f>
        <v>34.5242647058824</v>
      </c>
      <c r="K53" s="44">
        <f>IF(tblShifts[[#This Row],[Date]]="","",IFERROR(INDEX(tblProducts[Std cycle (s/unit)],MATCH(tblShifts[[#This Row],[Product]],tblProducts[Product],0)),""))</f>
        <v>140</v>
      </c>
      <c r="L53" s="44">
        <f>IF(tblShifts[[#This Row],[Date]]="","",IFERROR(INDEX(tblProducts[Std crew (people)],MATCH(tblShifts[[#This Row],[Product]],tblProducts[Product],0)),""))</f>
        <v>2</v>
      </c>
      <c r="M53" s="44">
        <f>IF(tblShifts[[#This Row],[Date]]="","",tblShifts[[#This Row],[Operators]]*tblShifts[[#This Row],[Hours]])</f>
        <v>16</v>
      </c>
      <c r="N53" s="43">
        <f>IF(tblShifts[[#This Row],[Date]]="","",IF(tblShifts[[#This Row],[Loaded rate]]="","",tblShifts[[#This Row],[Crew hours]]*tblShifts[[#This Row],[Loaded rate]]))</f>
        <v>552.388235294118</v>
      </c>
      <c r="O53" s="45">
        <f>IF(tblShifts[[#This Row],[Date]]="","",IF(OR(tblShifts[[#This Row],[Labour cost]]="",N(tblShifts[[#This Row],[Good units]])=0),"",tblShifts[[#This Row],[Labour cost]]/tblShifts[[#This Row],[Good units]]))</f>
        <v>3.43098282791377</v>
      </c>
      <c r="P53" s="45">
        <f>IF(tblShifts[[#This Row],[Date]]="","",IF(OR(tblShifts[[#This Row],[Loaded rate]]="",tblShifts[[#This Row],[Std cycle]]=""),"",tblShifts[[#This Row],[Std crew]]*tblShifts[[#This Row],[Loaded rate]]*tblShifts[[#This Row],[Std cycle]]/3600))</f>
        <v>2.68522058823529</v>
      </c>
      <c r="Q53" s="43">
        <f>IF(tblShifts[[#This Row],[Date]]="","",IF(tblShifts[[#This Row],[Std cycle]]="","",tblShifts[[#This Row],[Good units]]*tblShifts[[#This Row],[Std crew]]*tblShifts[[#This Row],[Std cycle]]/3600))</f>
        <v>12.5222222222222</v>
      </c>
      <c r="R53" s="46">
        <f>IF(tblShifts[[#This Row],[Date]]="","",IF(OR(tblShifts[[#This Row],[Earned hours]]="",N(tblShifts[[#This Row],[Crew hours]])=0),"",tblShifts[[#This Row],[Earned hours]]/tblShifts[[#This Row],[Crew hours]]))</f>
        <v>0.782638888888889</v>
      </c>
      <c r="S53" s="47" t="str">
        <f>IF(NOT(ISNUMBER(tblShifts[[#This Row],[Efficiency]])),"",IF(tblShifts[[#This Row],[Efficiency]]&gt;=TargetEff,"On target",IF(tblShifts[[#This Row],[Efficiency]]&gt;=TargetEff*(1-0.05),"Near target","Below target")))</f>
        <v>Below target</v>
      </c>
      <c r="T53" s="45">
        <f>IF(tblShifts[[#This Row],[Date]]="","",IF(OR(tblShifts[[#This Row],[Cost per unit]]="",tblShifts[[#This Row],[Std cost per unit]]=""),"",tblShifts[[#This Row],[Cost per unit]]-tblShifts[[#This Row],[Std cost per unit]]))</f>
        <v>0.74576223967848</v>
      </c>
      <c r="U53" s="43">
        <f>IF(tblShifts[[#This Row],[Date]]="","",IF(OR(tblShifts[[#This Row],[Labour cost]]="",tblShifts[[#This Row],[Std cost per unit]]=""),"",tblShifts[[#This Row],[Labour cost]]-tblShifts[[#This Row],[Std cost per unit]]*tblShifts[[#This Row],[Good units]]))</f>
        <v>120.067720588235</v>
      </c>
      <c r="V5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3" s="48">
        <f>IF(tblShifts[[#This Row],[Date]]="","",IF(AND(tblShifts[[#This Row],[Date]]&gt;=FFrom,tblShifts[[#This Row],[Date]]&lt;=FTo,OR(DashLine="",tblShifts[[#This Row],[Line]]=DashLine),OR(DashProduct="",tblShifts[[#This Row],[Product]]=DashProduct)),tblShifts[[#This Row],[Date]],""))</f>
        <v>46288</v>
      </c>
      <c r="X53" s="28" t="s">
        <v>149</v>
      </c>
    </row>
    <row r="54" spans="2:24">
      <c r="B54" s="42">
        <v>46288</v>
      </c>
      <c r="C54" s="28" t="s">
        <v>83</v>
      </c>
      <c r="D54" s="28" t="s">
        <v>85</v>
      </c>
      <c r="E54" s="28" t="s">
        <v>93</v>
      </c>
      <c r="F54" s="28" t="s">
        <v>123</v>
      </c>
      <c r="G54" s="32">
        <v>2</v>
      </c>
      <c r="H54" s="32">
        <v>8</v>
      </c>
      <c r="I54" s="36">
        <v>59</v>
      </c>
      <c r="J54" s="43">
        <f>IF(tblShifts[[#This Row],[Date]]="","",IFERROR(INDEX(tblRoles[Loaded rate],MATCH(tblShifts[[#This Row],[Role]],tblRoles[Role],0)),""))</f>
        <v>45.2216806722689</v>
      </c>
      <c r="K54" s="44">
        <f>IF(tblShifts[[#This Row],[Date]]="","",IFERROR(INDEX(tblProducts[Std cycle (s/unit)],MATCH(tblShifts[[#This Row],[Product]],tblProducts[Product],0)),""))</f>
        <v>420</v>
      </c>
      <c r="L54" s="44">
        <f>IF(tblShifts[[#This Row],[Date]]="","",IFERROR(INDEX(tblProducts[Std crew (people)],MATCH(tblShifts[[#This Row],[Product]],tblProducts[Product],0)),""))</f>
        <v>2</v>
      </c>
      <c r="M54" s="44">
        <f>IF(tblShifts[[#This Row],[Date]]="","",tblShifts[[#This Row],[Operators]]*tblShifts[[#This Row],[Hours]])</f>
        <v>16</v>
      </c>
      <c r="N54" s="43">
        <f>IF(tblShifts[[#This Row],[Date]]="","",IF(tblShifts[[#This Row],[Loaded rate]]="","",tblShifts[[#This Row],[Crew hours]]*tblShifts[[#This Row],[Loaded rate]]))</f>
        <v>723.546890756303</v>
      </c>
      <c r="O54" s="45">
        <f>IF(tblShifts[[#This Row],[Date]]="","",IF(OR(tblShifts[[#This Row],[Labour cost]]="",N(tblShifts[[#This Row],[Good units]])=0),"",tblShifts[[#This Row],[Labour cost]]/tblShifts[[#This Row],[Good units]]))</f>
        <v>12.2635066229882</v>
      </c>
      <c r="P54" s="45">
        <f>IF(tblShifts[[#This Row],[Date]]="","",IF(OR(tblShifts[[#This Row],[Loaded rate]]="",tblShifts[[#This Row],[Std cycle]]=""),"",tblShifts[[#This Row],[Std crew]]*tblShifts[[#This Row],[Loaded rate]]*tblShifts[[#This Row],[Std cycle]]/3600))</f>
        <v>10.5517254901961</v>
      </c>
      <c r="Q54" s="43">
        <f>IF(tblShifts[[#This Row],[Date]]="","",IF(tblShifts[[#This Row],[Std cycle]]="","",tblShifts[[#This Row],[Good units]]*tblShifts[[#This Row],[Std crew]]*tblShifts[[#This Row],[Std cycle]]/3600))</f>
        <v>13.7666666666667</v>
      </c>
      <c r="R54" s="46">
        <f>IF(tblShifts[[#This Row],[Date]]="","",IF(OR(tblShifts[[#This Row],[Earned hours]]="",N(tblShifts[[#This Row],[Crew hours]])=0),"",tblShifts[[#This Row],[Earned hours]]/tblShifts[[#This Row],[Crew hours]]))</f>
        <v>0.860416666666667</v>
      </c>
      <c r="S54" s="47" t="str">
        <f>IF(NOT(ISNUMBER(tblShifts[[#This Row],[Efficiency]])),"",IF(tblShifts[[#This Row],[Efficiency]]&gt;=TargetEff,"On target",IF(tblShifts[[#This Row],[Efficiency]]&gt;=TargetEff*(1-0.05),"Near target","Below target")))</f>
        <v>On target</v>
      </c>
      <c r="T54" s="45">
        <f>IF(tblShifts[[#This Row],[Date]]="","",IF(OR(tblShifts[[#This Row],[Cost per unit]]="",tblShifts[[#This Row],[Std cost per unit]]=""),"",tblShifts[[#This Row],[Cost per unit]]-tblShifts[[#This Row],[Std cost per unit]]))</f>
        <v>1.7117811327921</v>
      </c>
      <c r="U54" s="43">
        <f>IF(tblShifts[[#This Row],[Date]]="","",IF(OR(tblShifts[[#This Row],[Labour cost]]="",tblShifts[[#This Row],[Std cost per unit]]=""),"",tblShifts[[#This Row],[Labour cost]]-tblShifts[[#This Row],[Std cost per unit]]*tblShifts[[#This Row],[Good units]]))</f>
        <v>100.995086834734</v>
      </c>
      <c r="V5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4" s="48">
        <f>IF(tblShifts[[#This Row],[Date]]="","",IF(AND(tblShifts[[#This Row],[Date]]&gt;=FFrom,tblShifts[[#This Row],[Date]]&lt;=FTo,OR(DashLine="",tblShifts[[#This Row],[Line]]=DashLine),OR(DashProduct="",tblShifts[[#This Row],[Product]]=DashProduct)),tblShifts[[#This Row],[Date]],""))</f>
        <v>46288</v>
      </c>
      <c r="X54" s="28" t="s">
        <v>149</v>
      </c>
    </row>
    <row r="55" spans="2:24">
      <c r="B55" s="42">
        <v>46289</v>
      </c>
      <c r="C55" s="28" t="s">
        <v>81</v>
      </c>
      <c r="D55" s="28" t="s">
        <v>82</v>
      </c>
      <c r="E55" s="28" t="s">
        <v>87</v>
      </c>
      <c r="F55" s="28" t="s">
        <v>122</v>
      </c>
      <c r="G55" s="32">
        <v>4</v>
      </c>
      <c r="H55" s="32">
        <v>8</v>
      </c>
      <c r="I55" s="36">
        <v>379</v>
      </c>
      <c r="J55" s="43">
        <f>IF(tblShifts[[#This Row],[Date]]="","",IFERROR(INDEX(tblRoles[Loaded rate],MATCH(tblShifts[[#This Row],[Role]],tblRoles[Role],0)),""))</f>
        <v>34.5242647058824</v>
      </c>
      <c r="K55" s="44">
        <f>IF(tblShifts[[#This Row],[Date]]="","",IFERROR(INDEX(tblProducts[Std cycle (s/unit)],MATCH(tblShifts[[#This Row],[Product]],tblProducts[Product],0)),""))</f>
        <v>95</v>
      </c>
      <c r="L55" s="44">
        <f>IF(tblShifts[[#This Row],[Date]]="","",IFERROR(INDEX(tblProducts[Std crew (people)],MATCH(tblShifts[[#This Row],[Product]],tblProducts[Product],0)),""))</f>
        <v>3</v>
      </c>
      <c r="M55" s="44">
        <f>IF(tblShifts[[#This Row],[Date]]="","",tblShifts[[#This Row],[Operators]]*tblShifts[[#This Row],[Hours]])</f>
        <v>32</v>
      </c>
      <c r="N55" s="43">
        <f>IF(tblShifts[[#This Row],[Date]]="","",IF(tblShifts[[#This Row],[Loaded rate]]="","",tblShifts[[#This Row],[Crew hours]]*tblShifts[[#This Row],[Loaded rate]]))</f>
        <v>1104.77647058824</v>
      </c>
      <c r="O55" s="45">
        <f>IF(tblShifts[[#This Row],[Date]]="","",IF(OR(tblShifts[[#This Row],[Labour cost]]="",N(tblShifts[[#This Row],[Good units]])=0),"",tblShifts[[#This Row],[Labour cost]]/tblShifts[[#This Row],[Good units]]))</f>
        <v>2.91497749495577</v>
      </c>
      <c r="P55" s="45">
        <f>IF(tblShifts[[#This Row],[Date]]="","",IF(OR(tblShifts[[#This Row],[Loaded rate]]="",tblShifts[[#This Row],[Std cycle]]=""),"",tblShifts[[#This Row],[Std crew]]*tblShifts[[#This Row],[Loaded rate]]*tblShifts[[#This Row],[Std cycle]]/3600))</f>
        <v>2.73317095588235</v>
      </c>
      <c r="Q55" s="43">
        <f>IF(tblShifts[[#This Row],[Date]]="","",IF(tblShifts[[#This Row],[Std cycle]]="","",tblShifts[[#This Row],[Good units]]*tblShifts[[#This Row],[Std crew]]*tblShifts[[#This Row],[Std cycle]]/3600))</f>
        <v>30.0041666666667</v>
      </c>
      <c r="R55" s="46">
        <f>IF(tblShifts[[#This Row],[Date]]="","",IF(OR(tblShifts[[#This Row],[Earned hours]]="",N(tblShifts[[#This Row],[Crew hours]])=0),"",tblShifts[[#This Row],[Earned hours]]/tblShifts[[#This Row],[Crew hours]]))</f>
        <v>0.937630208333333</v>
      </c>
      <c r="S55" s="47" t="str">
        <f>IF(NOT(ISNUMBER(tblShifts[[#This Row],[Efficiency]])),"",IF(tblShifts[[#This Row],[Efficiency]]&gt;=TargetEff,"On target",IF(tblShifts[[#This Row],[Efficiency]]&gt;=TargetEff*(1-0.05),"Near target","Below target")))</f>
        <v>On target</v>
      </c>
      <c r="T55" s="45">
        <f>IF(tblShifts[[#This Row],[Date]]="","",IF(OR(tblShifts[[#This Row],[Cost per unit]]="",tblShifts[[#This Row],[Std cost per unit]]=""),"",tblShifts[[#This Row],[Cost per unit]]-tblShifts[[#This Row],[Std cost per unit]]))</f>
        <v>0.181806539073413</v>
      </c>
      <c r="U55" s="43">
        <f>IF(tblShifts[[#This Row],[Date]]="","",IF(OR(tblShifts[[#This Row],[Labour cost]]="",tblShifts[[#This Row],[Std cost per unit]]=""),"",tblShifts[[#This Row],[Labour cost]]-tblShifts[[#This Row],[Std cost per unit]]*tblShifts[[#This Row],[Good units]]))</f>
        <v>68.9046783088236</v>
      </c>
      <c r="V5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5" s="48">
        <f>IF(tblShifts[[#This Row],[Date]]="","",IF(AND(tblShifts[[#This Row],[Date]]&gt;=FFrom,tblShifts[[#This Row],[Date]]&lt;=FTo,OR(DashLine="",tblShifts[[#This Row],[Line]]=DashLine),OR(DashProduct="",tblShifts[[#This Row],[Product]]=DashProduct)),tblShifts[[#This Row],[Date]],""))</f>
        <v>46289</v>
      </c>
      <c r="X55" s="28" t="s">
        <v>149</v>
      </c>
    </row>
    <row r="56" spans="2:24">
      <c r="B56" s="42">
        <v>46289</v>
      </c>
      <c r="C56" s="28" t="s">
        <v>81</v>
      </c>
      <c r="D56" s="28" t="s">
        <v>84</v>
      </c>
      <c r="E56" s="28" t="s">
        <v>91</v>
      </c>
      <c r="F56" s="28" t="s">
        <v>122</v>
      </c>
      <c r="G56" s="32">
        <v>2</v>
      </c>
      <c r="H56" s="32">
        <v>8</v>
      </c>
      <c r="I56" s="36">
        <v>572</v>
      </c>
      <c r="J56" s="43">
        <f>IF(tblShifts[[#This Row],[Date]]="","",IFERROR(INDEX(tblRoles[Loaded rate],MATCH(tblShifts[[#This Row],[Role]],tblRoles[Role],0)),""))</f>
        <v>34.5242647058824</v>
      </c>
      <c r="K56" s="44">
        <f>IF(tblShifts[[#This Row],[Date]]="","",IFERROR(INDEX(tblProducts[Std cycle (s/unit)],MATCH(tblShifts[[#This Row],[Product]],tblProducts[Product],0)),""))</f>
        <v>48</v>
      </c>
      <c r="L56" s="44">
        <f>IF(tblShifts[[#This Row],[Date]]="","",IFERROR(INDEX(tblProducts[Std crew (people)],MATCH(tblShifts[[#This Row],[Product]],tblProducts[Product],0)),""))</f>
        <v>2</v>
      </c>
      <c r="M56" s="44">
        <f>IF(tblShifts[[#This Row],[Date]]="","",tblShifts[[#This Row],[Operators]]*tblShifts[[#This Row],[Hours]])</f>
        <v>16</v>
      </c>
      <c r="N56" s="43">
        <f>IF(tblShifts[[#This Row],[Date]]="","",IF(tblShifts[[#This Row],[Loaded rate]]="","",tblShifts[[#This Row],[Crew hours]]*tblShifts[[#This Row],[Loaded rate]]))</f>
        <v>552.388235294118</v>
      </c>
      <c r="O56" s="45">
        <f>IF(tblShifts[[#This Row],[Date]]="","",IF(OR(tblShifts[[#This Row],[Labour cost]]="",N(tblShifts[[#This Row],[Good units]])=0),"",tblShifts[[#This Row],[Labour cost]]/tblShifts[[#This Row],[Good units]]))</f>
        <v>0.965713698066639</v>
      </c>
      <c r="P56" s="45">
        <f>IF(tblShifts[[#This Row],[Date]]="","",IF(OR(tblShifts[[#This Row],[Loaded rate]]="",tblShifts[[#This Row],[Std cycle]]=""),"",tblShifts[[#This Row],[Std crew]]*tblShifts[[#This Row],[Loaded rate]]*tblShifts[[#This Row],[Std cycle]]/3600))</f>
        <v>0.920647058823529</v>
      </c>
      <c r="Q56" s="43">
        <f>IF(tblShifts[[#This Row],[Date]]="","",IF(tblShifts[[#This Row],[Std cycle]]="","",tblShifts[[#This Row],[Good units]]*tblShifts[[#This Row],[Std crew]]*tblShifts[[#This Row],[Std cycle]]/3600))</f>
        <v>15.2533333333333</v>
      </c>
      <c r="R56" s="46">
        <f>IF(tblShifts[[#This Row],[Date]]="","",IF(OR(tblShifts[[#This Row],[Earned hours]]="",N(tblShifts[[#This Row],[Crew hours]])=0),"",tblShifts[[#This Row],[Earned hours]]/tblShifts[[#This Row],[Crew hours]]))</f>
        <v>0.953333333333333</v>
      </c>
      <c r="S56" s="47" t="str">
        <f>IF(NOT(ISNUMBER(tblShifts[[#This Row],[Efficiency]])),"",IF(tblShifts[[#This Row],[Efficiency]]&gt;=TargetEff,"On target",IF(tblShifts[[#This Row],[Efficiency]]&gt;=TargetEff*(1-0.05),"Near target","Below target")))</f>
        <v>On target</v>
      </c>
      <c r="T56" s="45">
        <f>IF(tblShifts[[#This Row],[Date]]="","",IF(OR(tblShifts[[#This Row],[Cost per unit]]="",tblShifts[[#This Row],[Std cost per unit]]=""),"",tblShifts[[#This Row],[Cost per unit]]-tblShifts[[#This Row],[Std cost per unit]]))</f>
        <v>0.0450666392431098</v>
      </c>
      <c r="U56" s="43">
        <f>IF(tblShifts[[#This Row],[Date]]="","",IF(OR(tblShifts[[#This Row],[Labour cost]]="",tblShifts[[#This Row],[Std cost per unit]]=""),"",tblShifts[[#This Row],[Labour cost]]-tblShifts[[#This Row],[Std cost per unit]]*tblShifts[[#This Row],[Good units]]))</f>
        <v>25.7781176470588</v>
      </c>
      <c r="V5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6" s="48">
        <f>IF(tblShifts[[#This Row],[Date]]="","",IF(AND(tblShifts[[#This Row],[Date]]&gt;=FFrom,tblShifts[[#This Row],[Date]]&lt;=FTo,OR(DashLine="",tblShifts[[#This Row],[Line]]=DashLine),OR(DashProduct="",tblShifts[[#This Row],[Product]]=DashProduct)),tblShifts[[#This Row],[Date]],""))</f>
        <v>46289</v>
      </c>
      <c r="X56" s="28" t="s">
        <v>149</v>
      </c>
    </row>
    <row r="57" spans="2:24">
      <c r="B57" s="42">
        <v>46289</v>
      </c>
      <c r="C57" s="28" t="s">
        <v>81</v>
      </c>
      <c r="D57" s="28" t="s">
        <v>85</v>
      </c>
      <c r="E57" s="28" t="s">
        <v>93</v>
      </c>
      <c r="F57" s="28" t="s">
        <v>123</v>
      </c>
      <c r="G57" s="32">
        <v>2</v>
      </c>
      <c r="H57" s="32">
        <v>8</v>
      </c>
      <c r="I57" s="36">
        <v>63</v>
      </c>
      <c r="J57" s="43">
        <f>IF(tblShifts[[#This Row],[Date]]="","",IFERROR(INDEX(tblRoles[Loaded rate],MATCH(tblShifts[[#This Row],[Role]],tblRoles[Role],0)),""))</f>
        <v>45.2216806722689</v>
      </c>
      <c r="K57" s="44">
        <f>IF(tblShifts[[#This Row],[Date]]="","",IFERROR(INDEX(tblProducts[Std cycle (s/unit)],MATCH(tblShifts[[#This Row],[Product]],tblProducts[Product],0)),""))</f>
        <v>420</v>
      </c>
      <c r="L57" s="44">
        <f>IF(tblShifts[[#This Row],[Date]]="","",IFERROR(INDEX(tblProducts[Std crew (people)],MATCH(tblShifts[[#This Row],[Product]],tblProducts[Product],0)),""))</f>
        <v>2</v>
      </c>
      <c r="M57" s="44">
        <f>IF(tblShifts[[#This Row],[Date]]="","",tblShifts[[#This Row],[Operators]]*tblShifts[[#This Row],[Hours]])</f>
        <v>16</v>
      </c>
      <c r="N57" s="43">
        <f>IF(tblShifts[[#This Row],[Date]]="","",IF(tblShifts[[#This Row],[Loaded rate]]="","",tblShifts[[#This Row],[Crew hours]]*tblShifts[[#This Row],[Loaded rate]]))</f>
        <v>723.546890756303</v>
      </c>
      <c r="O57" s="45">
        <f>IF(tblShifts[[#This Row],[Date]]="","",IF(OR(tblShifts[[#This Row],[Labour cost]]="",N(tblShifts[[#This Row],[Good units]])=0),"",tblShifts[[#This Row],[Labour cost]]/tblShifts[[#This Row],[Good units]]))</f>
        <v>11.4848712818461</v>
      </c>
      <c r="P57" s="45">
        <f>IF(tblShifts[[#This Row],[Date]]="","",IF(OR(tblShifts[[#This Row],[Loaded rate]]="",tblShifts[[#This Row],[Std cycle]]=""),"",tblShifts[[#This Row],[Std crew]]*tblShifts[[#This Row],[Loaded rate]]*tblShifts[[#This Row],[Std cycle]]/3600))</f>
        <v>10.5517254901961</v>
      </c>
      <c r="Q57" s="43">
        <f>IF(tblShifts[[#This Row],[Date]]="","",IF(tblShifts[[#This Row],[Std cycle]]="","",tblShifts[[#This Row],[Good units]]*tblShifts[[#This Row],[Std crew]]*tblShifts[[#This Row],[Std cycle]]/3600))</f>
        <v>14.7</v>
      </c>
      <c r="R57" s="46">
        <f>IF(tblShifts[[#This Row],[Date]]="","",IF(OR(tblShifts[[#This Row],[Earned hours]]="",N(tblShifts[[#This Row],[Crew hours]])=0),"",tblShifts[[#This Row],[Earned hours]]/tblShifts[[#This Row],[Crew hours]]))</f>
        <v>0.91875</v>
      </c>
      <c r="S57" s="47" t="str">
        <f>IF(NOT(ISNUMBER(tblShifts[[#This Row],[Efficiency]])),"",IF(tblShifts[[#This Row],[Efficiency]]&gt;=TargetEff,"On target",IF(tblShifts[[#This Row],[Efficiency]]&gt;=TargetEff*(1-0.05),"Near target","Below target")))</f>
        <v>On target</v>
      </c>
      <c r="T57" s="45">
        <f>IF(tblShifts[[#This Row],[Date]]="","",IF(OR(tblShifts[[#This Row],[Cost per unit]]="",tblShifts[[#This Row],[Std cost per unit]]=""),"",tblShifts[[#This Row],[Cost per unit]]-tblShifts[[#This Row],[Std cost per unit]]))</f>
        <v>0.933145791649993</v>
      </c>
      <c r="U57" s="43">
        <f>IF(tblShifts[[#This Row],[Date]]="","",IF(OR(tblShifts[[#This Row],[Labour cost]]="",tblShifts[[#This Row],[Std cost per unit]]=""),"",tblShifts[[#This Row],[Labour cost]]-tblShifts[[#This Row],[Std cost per unit]]*tblShifts[[#This Row],[Good units]]))</f>
        <v>58.7881848739496</v>
      </c>
      <c r="V5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7" s="48">
        <f>IF(tblShifts[[#This Row],[Date]]="","",IF(AND(tblShifts[[#This Row],[Date]]&gt;=FFrom,tblShifts[[#This Row],[Date]]&lt;=FTo,OR(DashLine="",tblShifts[[#This Row],[Line]]=DashLine),OR(DashProduct="",tblShifts[[#This Row],[Product]]=DashProduct)),tblShifts[[#This Row],[Date]],""))</f>
        <v>46289</v>
      </c>
      <c r="X57" s="28" t="s">
        <v>149</v>
      </c>
    </row>
    <row r="58" spans="2:24">
      <c r="B58" s="42">
        <v>46289</v>
      </c>
      <c r="C58" s="28" t="s">
        <v>83</v>
      </c>
      <c r="D58" s="28" t="s">
        <v>82</v>
      </c>
      <c r="E58" s="28" t="s">
        <v>87</v>
      </c>
      <c r="F58" s="28" t="s">
        <v>122</v>
      </c>
      <c r="G58" s="32">
        <v>3</v>
      </c>
      <c r="H58" s="32">
        <v>8</v>
      </c>
      <c r="I58" s="36">
        <v>263</v>
      </c>
      <c r="J58" s="43">
        <f>IF(tblShifts[[#This Row],[Date]]="","",IFERROR(INDEX(tblRoles[Loaded rate],MATCH(tblShifts[[#This Row],[Role]],tblRoles[Role],0)),""))</f>
        <v>34.5242647058824</v>
      </c>
      <c r="K58" s="44">
        <f>IF(tblShifts[[#This Row],[Date]]="","",IFERROR(INDEX(tblProducts[Std cycle (s/unit)],MATCH(tblShifts[[#This Row],[Product]],tblProducts[Product],0)),""))</f>
        <v>95</v>
      </c>
      <c r="L58" s="44">
        <f>IF(tblShifts[[#This Row],[Date]]="","",IFERROR(INDEX(tblProducts[Std crew (people)],MATCH(tblShifts[[#This Row],[Product]],tblProducts[Product],0)),""))</f>
        <v>3</v>
      </c>
      <c r="M58" s="44">
        <f>IF(tblShifts[[#This Row],[Date]]="","",tblShifts[[#This Row],[Operators]]*tblShifts[[#This Row],[Hours]])</f>
        <v>24</v>
      </c>
      <c r="N58" s="43">
        <f>IF(tblShifts[[#This Row],[Date]]="","",IF(tblShifts[[#This Row],[Loaded rate]]="","",tblShifts[[#This Row],[Crew hours]]*tblShifts[[#This Row],[Loaded rate]]))</f>
        <v>828.582352941176</v>
      </c>
      <c r="O58" s="45">
        <f>IF(tblShifts[[#This Row],[Date]]="","",IF(OR(tblShifts[[#This Row],[Labour cost]]="",N(tblShifts[[#This Row],[Good units]])=0),"",tblShifts[[#This Row],[Labour cost]]/tblShifts[[#This Row],[Good units]]))</f>
        <v>3.15050324312234</v>
      </c>
      <c r="P58" s="45">
        <f>IF(tblShifts[[#This Row],[Date]]="","",IF(OR(tblShifts[[#This Row],[Loaded rate]]="",tblShifts[[#This Row],[Std cycle]]=""),"",tblShifts[[#This Row],[Std crew]]*tblShifts[[#This Row],[Loaded rate]]*tblShifts[[#This Row],[Std cycle]]/3600))</f>
        <v>2.73317095588235</v>
      </c>
      <c r="Q58" s="43">
        <f>IF(tblShifts[[#This Row],[Date]]="","",IF(tblShifts[[#This Row],[Std cycle]]="","",tblShifts[[#This Row],[Good units]]*tblShifts[[#This Row],[Std crew]]*tblShifts[[#This Row],[Std cycle]]/3600))</f>
        <v>20.8208333333333</v>
      </c>
      <c r="R58" s="46">
        <f>IF(tblShifts[[#This Row],[Date]]="","",IF(OR(tblShifts[[#This Row],[Earned hours]]="",N(tblShifts[[#This Row],[Crew hours]])=0),"",tblShifts[[#This Row],[Earned hours]]/tblShifts[[#This Row],[Crew hours]]))</f>
        <v>0.867534722222222</v>
      </c>
      <c r="S58" s="47" t="str">
        <f>IF(NOT(ISNUMBER(tblShifts[[#This Row],[Efficiency]])),"",IF(tblShifts[[#This Row],[Efficiency]]&gt;=TargetEff,"On target",IF(tblShifts[[#This Row],[Efficiency]]&gt;=TargetEff*(1-0.05),"Near target","Below target")))</f>
        <v>On target</v>
      </c>
      <c r="T58" s="45">
        <f>IF(tblShifts[[#This Row],[Date]]="","",IF(OR(tblShifts[[#This Row],[Cost per unit]]="",tblShifts[[#This Row],[Std cost per unit]]=""),"",tblShifts[[#This Row],[Cost per unit]]-tblShifts[[#This Row],[Std cost per unit]]))</f>
        <v>0.417332287239991</v>
      </c>
      <c r="U58" s="43">
        <f>IF(tblShifts[[#This Row],[Date]]="","",IF(OR(tblShifts[[#This Row],[Labour cost]]="",tblShifts[[#This Row],[Std cost per unit]]=""),"",tblShifts[[#This Row],[Labour cost]]-tblShifts[[#This Row],[Std cost per unit]]*tblShifts[[#This Row],[Good units]]))</f>
        <v>109.758391544118</v>
      </c>
      <c r="V5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8" s="48">
        <f>IF(tblShifts[[#This Row],[Date]]="","",IF(AND(tblShifts[[#This Row],[Date]]&gt;=FFrom,tblShifts[[#This Row],[Date]]&lt;=FTo,OR(DashLine="",tblShifts[[#This Row],[Line]]=DashLine),OR(DashProduct="",tblShifts[[#This Row],[Product]]=DashProduct)),tblShifts[[#This Row],[Date]],""))</f>
        <v>46289</v>
      </c>
      <c r="X58" s="28" t="s">
        <v>149</v>
      </c>
    </row>
    <row r="59" spans="2:24">
      <c r="B59" s="42">
        <v>46289</v>
      </c>
      <c r="C59" s="28" t="s">
        <v>83</v>
      </c>
      <c r="D59" s="28" t="s">
        <v>84</v>
      </c>
      <c r="E59" s="28" t="s">
        <v>91</v>
      </c>
      <c r="F59" s="28" t="s">
        <v>122</v>
      </c>
      <c r="G59" s="32">
        <v>2</v>
      </c>
      <c r="H59" s="32">
        <v>8</v>
      </c>
      <c r="I59" s="36">
        <v>435</v>
      </c>
      <c r="J59" s="43">
        <f>IF(tblShifts[[#This Row],[Date]]="","",IFERROR(INDEX(tblRoles[Loaded rate],MATCH(tblShifts[[#This Row],[Role]],tblRoles[Role],0)),""))</f>
        <v>34.5242647058824</v>
      </c>
      <c r="K59" s="44">
        <f>IF(tblShifts[[#This Row],[Date]]="","",IFERROR(INDEX(tblProducts[Std cycle (s/unit)],MATCH(tblShifts[[#This Row],[Product]],tblProducts[Product],0)),""))</f>
        <v>48</v>
      </c>
      <c r="L59" s="44">
        <f>IF(tblShifts[[#This Row],[Date]]="","",IFERROR(INDEX(tblProducts[Std crew (people)],MATCH(tblShifts[[#This Row],[Product]],tblProducts[Product],0)),""))</f>
        <v>2</v>
      </c>
      <c r="M59" s="44">
        <f>IF(tblShifts[[#This Row],[Date]]="","",tblShifts[[#This Row],[Operators]]*tblShifts[[#This Row],[Hours]])</f>
        <v>16</v>
      </c>
      <c r="N59" s="43">
        <f>IF(tblShifts[[#This Row],[Date]]="","",IF(tblShifts[[#This Row],[Loaded rate]]="","",tblShifts[[#This Row],[Crew hours]]*tblShifts[[#This Row],[Loaded rate]]))</f>
        <v>552.388235294118</v>
      </c>
      <c r="O59" s="45">
        <f>IF(tblShifts[[#This Row],[Date]]="","",IF(OR(tblShifts[[#This Row],[Labour cost]]="",N(tblShifts[[#This Row],[Good units]])=0),"",tblShifts[[#This Row],[Labour cost]]/tblShifts[[#This Row],[Good units]]))</f>
        <v>1.26985801217039</v>
      </c>
      <c r="P59" s="45">
        <f>IF(tblShifts[[#This Row],[Date]]="","",IF(OR(tblShifts[[#This Row],[Loaded rate]]="",tblShifts[[#This Row],[Std cycle]]=""),"",tblShifts[[#This Row],[Std crew]]*tblShifts[[#This Row],[Loaded rate]]*tblShifts[[#This Row],[Std cycle]]/3600))</f>
        <v>0.920647058823529</v>
      </c>
      <c r="Q59" s="43">
        <f>IF(tblShifts[[#This Row],[Date]]="","",IF(tblShifts[[#This Row],[Std cycle]]="","",tblShifts[[#This Row],[Good units]]*tblShifts[[#This Row],[Std crew]]*tblShifts[[#This Row],[Std cycle]]/3600))</f>
        <v>11.6</v>
      </c>
      <c r="R59" s="46">
        <f>IF(tblShifts[[#This Row],[Date]]="","",IF(OR(tblShifts[[#This Row],[Earned hours]]="",N(tblShifts[[#This Row],[Crew hours]])=0),"",tblShifts[[#This Row],[Earned hours]]/tblShifts[[#This Row],[Crew hours]]))</f>
        <v>0.725</v>
      </c>
      <c r="S59" s="47" t="str">
        <f>IF(NOT(ISNUMBER(tblShifts[[#This Row],[Efficiency]])),"",IF(tblShifts[[#This Row],[Efficiency]]&gt;=TargetEff,"On target",IF(tblShifts[[#This Row],[Efficiency]]&gt;=TargetEff*(1-0.05),"Near target","Below target")))</f>
        <v>Below target</v>
      </c>
      <c r="T59" s="45">
        <f>IF(tblShifts[[#This Row],[Date]]="","",IF(OR(tblShifts[[#This Row],[Cost per unit]]="",tblShifts[[#This Row],[Std cost per unit]]=""),"",tblShifts[[#This Row],[Cost per unit]]-tblShifts[[#This Row],[Std cost per unit]]))</f>
        <v>0.349210953346856</v>
      </c>
      <c r="U59" s="43">
        <f>IF(tblShifts[[#This Row],[Date]]="","",IF(OR(tblShifts[[#This Row],[Labour cost]]="",tblShifts[[#This Row],[Std cost per unit]]=""),"",tblShifts[[#This Row],[Labour cost]]-tblShifts[[#This Row],[Std cost per unit]]*tblShifts[[#This Row],[Good units]]))</f>
        <v>151.906764705882</v>
      </c>
      <c r="V5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59" s="48">
        <f>IF(tblShifts[[#This Row],[Date]]="","",IF(AND(tblShifts[[#This Row],[Date]]&gt;=FFrom,tblShifts[[#This Row],[Date]]&lt;=FTo,OR(DashLine="",tblShifts[[#This Row],[Line]]=DashLine),OR(DashProduct="",tblShifts[[#This Row],[Product]]=DashProduct)),tblShifts[[#This Row],[Date]],""))</f>
        <v>46289</v>
      </c>
      <c r="X59" s="28" t="s">
        <v>149</v>
      </c>
    </row>
    <row r="60" spans="2:24">
      <c r="B60" s="42">
        <v>46289</v>
      </c>
      <c r="C60" s="28" t="s">
        <v>83</v>
      </c>
      <c r="D60" s="28" t="s">
        <v>85</v>
      </c>
      <c r="E60" s="28" t="s">
        <v>93</v>
      </c>
      <c r="F60" s="28" t="s">
        <v>123</v>
      </c>
      <c r="G60" s="32">
        <v>2</v>
      </c>
      <c r="H60" s="32">
        <v>8</v>
      </c>
      <c r="I60" s="36">
        <v>63</v>
      </c>
      <c r="J60" s="43">
        <f>IF(tblShifts[[#This Row],[Date]]="","",IFERROR(INDEX(tblRoles[Loaded rate],MATCH(tblShifts[[#This Row],[Role]],tblRoles[Role],0)),""))</f>
        <v>45.2216806722689</v>
      </c>
      <c r="K60" s="44">
        <f>IF(tblShifts[[#This Row],[Date]]="","",IFERROR(INDEX(tblProducts[Std cycle (s/unit)],MATCH(tblShifts[[#This Row],[Product]],tblProducts[Product],0)),""))</f>
        <v>420</v>
      </c>
      <c r="L60" s="44">
        <f>IF(tblShifts[[#This Row],[Date]]="","",IFERROR(INDEX(tblProducts[Std crew (people)],MATCH(tblShifts[[#This Row],[Product]],tblProducts[Product],0)),""))</f>
        <v>2</v>
      </c>
      <c r="M60" s="44">
        <f>IF(tblShifts[[#This Row],[Date]]="","",tblShifts[[#This Row],[Operators]]*tblShifts[[#This Row],[Hours]])</f>
        <v>16</v>
      </c>
      <c r="N60" s="43">
        <f>IF(tblShifts[[#This Row],[Date]]="","",IF(tblShifts[[#This Row],[Loaded rate]]="","",tblShifts[[#This Row],[Crew hours]]*tblShifts[[#This Row],[Loaded rate]]))</f>
        <v>723.546890756303</v>
      </c>
      <c r="O60" s="45">
        <f>IF(tblShifts[[#This Row],[Date]]="","",IF(OR(tblShifts[[#This Row],[Labour cost]]="",N(tblShifts[[#This Row],[Good units]])=0),"",tblShifts[[#This Row],[Labour cost]]/tblShifts[[#This Row],[Good units]]))</f>
        <v>11.4848712818461</v>
      </c>
      <c r="P60" s="45">
        <f>IF(tblShifts[[#This Row],[Date]]="","",IF(OR(tblShifts[[#This Row],[Loaded rate]]="",tblShifts[[#This Row],[Std cycle]]=""),"",tblShifts[[#This Row],[Std crew]]*tblShifts[[#This Row],[Loaded rate]]*tblShifts[[#This Row],[Std cycle]]/3600))</f>
        <v>10.5517254901961</v>
      </c>
      <c r="Q60" s="43">
        <f>IF(tblShifts[[#This Row],[Date]]="","",IF(tblShifts[[#This Row],[Std cycle]]="","",tblShifts[[#This Row],[Good units]]*tblShifts[[#This Row],[Std crew]]*tblShifts[[#This Row],[Std cycle]]/3600))</f>
        <v>14.7</v>
      </c>
      <c r="R60" s="46">
        <f>IF(tblShifts[[#This Row],[Date]]="","",IF(OR(tblShifts[[#This Row],[Earned hours]]="",N(tblShifts[[#This Row],[Crew hours]])=0),"",tblShifts[[#This Row],[Earned hours]]/tblShifts[[#This Row],[Crew hours]]))</f>
        <v>0.91875</v>
      </c>
      <c r="S60" s="47" t="str">
        <f>IF(NOT(ISNUMBER(tblShifts[[#This Row],[Efficiency]])),"",IF(tblShifts[[#This Row],[Efficiency]]&gt;=TargetEff,"On target",IF(tblShifts[[#This Row],[Efficiency]]&gt;=TargetEff*(1-0.05),"Near target","Below target")))</f>
        <v>On target</v>
      </c>
      <c r="T60" s="45">
        <f>IF(tblShifts[[#This Row],[Date]]="","",IF(OR(tblShifts[[#This Row],[Cost per unit]]="",tblShifts[[#This Row],[Std cost per unit]]=""),"",tblShifts[[#This Row],[Cost per unit]]-tblShifts[[#This Row],[Std cost per unit]]))</f>
        <v>0.933145791649993</v>
      </c>
      <c r="U60" s="43">
        <f>IF(tblShifts[[#This Row],[Date]]="","",IF(OR(tblShifts[[#This Row],[Labour cost]]="",tblShifts[[#This Row],[Std cost per unit]]=""),"",tblShifts[[#This Row],[Labour cost]]-tblShifts[[#This Row],[Std cost per unit]]*tblShifts[[#This Row],[Good units]]))</f>
        <v>58.7881848739496</v>
      </c>
      <c r="V6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0" s="48">
        <f>IF(tblShifts[[#This Row],[Date]]="","",IF(AND(tblShifts[[#This Row],[Date]]&gt;=FFrom,tblShifts[[#This Row],[Date]]&lt;=FTo,OR(DashLine="",tblShifts[[#This Row],[Line]]=DashLine),OR(DashProduct="",tblShifts[[#This Row],[Product]]=DashProduct)),tblShifts[[#This Row],[Date]],""))</f>
        <v>46289</v>
      </c>
      <c r="X60" s="28" t="s">
        <v>149</v>
      </c>
    </row>
    <row r="61" spans="2:24">
      <c r="B61" s="42">
        <v>46290</v>
      </c>
      <c r="C61" s="28" t="s">
        <v>81</v>
      </c>
      <c r="D61" s="28" t="s">
        <v>82</v>
      </c>
      <c r="E61" s="28" t="s">
        <v>87</v>
      </c>
      <c r="F61" s="28" t="s">
        <v>122</v>
      </c>
      <c r="G61" s="32">
        <v>3</v>
      </c>
      <c r="H61" s="32">
        <v>8</v>
      </c>
      <c r="I61" s="36">
        <v>282</v>
      </c>
      <c r="J61" s="43">
        <f>IF(tblShifts[[#This Row],[Date]]="","",IFERROR(INDEX(tblRoles[Loaded rate],MATCH(tblShifts[[#This Row],[Role]],tblRoles[Role],0)),""))</f>
        <v>34.5242647058824</v>
      </c>
      <c r="K61" s="44">
        <f>IF(tblShifts[[#This Row],[Date]]="","",IFERROR(INDEX(tblProducts[Std cycle (s/unit)],MATCH(tblShifts[[#This Row],[Product]],tblProducts[Product],0)),""))</f>
        <v>95</v>
      </c>
      <c r="L61" s="44">
        <f>IF(tblShifts[[#This Row],[Date]]="","",IFERROR(INDEX(tblProducts[Std crew (people)],MATCH(tblShifts[[#This Row],[Product]],tblProducts[Product],0)),""))</f>
        <v>3</v>
      </c>
      <c r="M61" s="44">
        <f>IF(tblShifts[[#This Row],[Date]]="","",tblShifts[[#This Row],[Operators]]*tblShifts[[#This Row],[Hours]])</f>
        <v>24</v>
      </c>
      <c r="N61" s="43">
        <f>IF(tblShifts[[#This Row],[Date]]="","",IF(tblShifts[[#This Row],[Loaded rate]]="","",tblShifts[[#This Row],[Crew hours]]*tblShifts[[#This Row],[Loaded rate]]))</f>
        <v>828.582352941176</v>
      </c>
      <c r="O61" s="45">
        <f>IF(tblShifts[[#This Row],[Date]]="","",IF(OR(tblShifts[[#This Row],[Labour cost]]="",N(tblShifts[[#This Row],[Good units]])=0),"",tblShifts[[#This Row],[Labour cost]]/tblShifts[[#This Row],[Good units]]))</f>
        <v>2.93823529411765</v>
      </c>
      <c r="P61" s="45">
        <f>IF(tblShifts[[#This Row],[Date]]="","",IF(OR(tblShifts[[#This Row],[Loaded rate]]="",tblShifts[[#This Row],[Std cycle]]=""),"",tblShifts[[#This Row],[Std crew]]*tblShifts[[#This Row],[Loaded rate]]*tblShifts[[#This Row],[Std cycle]]/3600))</f>
        <v>2.73317095588235</v>
      </c>
      <c r="Q61" s="43">
        <f>IF(tblShifts[[#This Row],[Date]]="","",IF(tblShifts[[#This Row],[Std cycle]]="","",tblShifts[[#This Row],[Good units]]*tblShifts[[#This Row],[Std crew]]*tblShifts[[#This Row],[Std cycle]]/3600))</f>
        <v>22.325</v>
      </c>
      <c r="R61" s="46">
        <f>IF(tblShifts[[#This Row],[Date]]="","",IF(OR(tblShifts[[#This Row],[Earned hours]]="",N(tblShifts[[#This Row],[Crew hours]])=0),"",tblShifts[[#This Row],[Earned hours]]/tblShifts[[#This Row],[Crew hours]]))</f>
        <v>0.930208333333333</v>
      </c>
      <c r="S61" s="47" t="str">
        <f>IF(NOT(ISNUMBER(tblShifts[[#This Row],[Efficiency]])),"",IF(tblShifts[[#This Row],[Efficiency]]&gt;=TargetEff,"On target",IF(tblShifts[[#This Row],[Efficiency]]&gt;=TargetEff*(1-0.05),"Near target","Below target")))</f>
        <v>On target</v>
      </c>
      <c r="T61" s="45">
        <f>IF(tblShifts[[#This Row],[Date]]="","",IF(OR(tblShifts[[#This Row],[Cost per unit]]="",tblShifts[[#This Row],[Std cost per unit]]=""),"",tblShifts[[#This Row],[Cost per unit]]-tblShifts[[#This Row],[Std cost per unit]]))</f>
        <v>0.205064338235294</v>
      </c>
      <c r="U61" s="43">
        <f>IF(tblShifts[[#This Row],[Date]]="","",IF(OR(tblShifts[[#This Row],[Labour cost]]="",tblShifts[[#This Row],[Std cost per unit]]=""),"",tblShifts[[#This Row],[Labour cost]]-tblShifts[[#This Row],[Std cost per unit]]*tblShifts[[#This Row],[Good units]]))</f>
        <v>57.8281433823529</v>
      </c>
      <c r="V6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1" s="48">
        <f>IF(tblShifts[[#This Row],[Date]]="","",IF(AND(tblShifts[[#This Row],[Date]]&gt;=FFrom,tblShifts[[#This Row],[Date]]&lt;=FTo,OR(DashLine="",tblShifts[[#This Row],[Line]]=DashLine),OR(DashProduct="",tblShifts[[#This Row],[Product]]=DashProduct)),tblShifts[[#This Row],[Date]],""))</f>
        <v>46290</v>
      </c>
      <c r="X61" s="28" t="s">
        <v>149</v>
      </c>
    </row>
    <row r="62" spans="2:24">
      <c r="B62" s="42">
        <v>46290</v>
      </c>
      <c r="C62" s="28" t="s">
        <v>81</v>
      </c>
      <c r="D62" s="28" t="s">
        <v>84</v>
      </c>
      <c r="E62" s="28" t="s">
        <v>91</v>
      </c>
      <c r="F62" s="28" t="s">
        <v>122</v>
      </c>
      <c r="G62" s="32">
        <v>2</v>
      </c>
      <c r="H62" s="32">
        <v>8</v>
      </c>
      <c r="I62" s="36">
        <v>541</v>
      </c>
      <c r="J62" s="43">
        <f>IF(tblShifts[[#This Row],[Date]]="","",IFERROR(INDEX(tblRoles[Loaded rate],MATCH(tblShifts[[#This Row],[Role]],tblRoles[Role],0)),""))</f>
        <v>34.5242647058824</v>
      </c>
      <c r="K62" s="44">
        <f>IF(tblShifts[[#This Row],[Date]]="","",IFERROR(INDEX(tblProducts[Std cycle (s/unit)],MATCH(tblShifts[[#This Row],[Product]],tblProducts[Product],0)),""))</f>
        <v>48</v>
      </c>
      <c r="L62" s="44">
        <f>IF(tblShifts[[#This Row],[Date]]="","",IFERROR(INDEX(tblProducts[Std crew (people)],MATCH(tblShifts[[#This Row],[Product]],tblProducts[Product],0)),""))</f>
        <v>2</v>
      </c>
      <c r="M62" s="44">
        <f>IF(tblShifts[[#This Row],[Date]]="","",tblShifts[[#This Row],[Operators]]*tblShifts[[#This Row],[Hours]])</f>
        <v>16</v>
      </c>
      <c r="N62" s="43">
        <f>IF(tblShifts[[#This Row],[Date]]="","",IF(tblShifts[[#This Row],[Loaded rate]]="","",tblShifts[[#This Row],[Crew hours]]*tblShifts[[#This Row],[Loaded rate]]))</f>
        <v>552.388235294118</v>
      </c>
      <c r="O62" s="45">
        <f>IF(tblShifts[[#This Row],[Date]]="","",IF(OR(tblShifts[[#This Row],[Labour cost]]="",N(tblShifts[[#This Row],[Good units]])=0),"",tblShifts[[#This Row],[Labour cost]]/tblShifts[[#This Row],[Good units]]))</f>
        <v>1.02105034250299</v>
      </c>
      <c r="P62" s="45">
        <f>IF(tblShifts[[#This Row],[Date]]="","",IF(OR(tblShifts[[#This Row],[Loaded rate]]="",tblShifts[[#This Row],[Std cycle]]=""),"",tblShifts[[#This Row],[Std crew]]*tblShifts[[#This Row],[Loaded rate]]*tblShifts[[#This Row],[Std cycle]]/3600))</f>
        <v>0.920647058823529</v>
      </c>
      <c r="Q62" s="43">
        <f>IF(tblShifts[[#This Row],[Date]]="","",IF(tblShifts[[#This Row],[Std cycle]]="","",tblShifts[[#This Row],[Good units]]*tblShifts[[#This Row],[Std crew]]*tblShifts[[#This Row],[Std cycle]]/3600))</f>
        <v>14.4266666666667</v>
      </c>
      <c r="R62" s="46">
        <f>IF(tblShifts[[#This Row],[Date]]="","",IF(OR(tblShifts[[#This Row],[Earned hours]]="",N(tblShifts[[#This Row],[Crew hours]])=0),"",tblShifts[[#This Row],[Earned hours]]/tblShifts[[#This Row],[Crew hours]]))</f>
        <v>0.901666666666667</v>
      </c>
      <c r="S62" s="47" t="str">
        <f>IF(NOT(ISNUMBER(tblShifts[[#This Row],[Efficiency]])),"",IF(tblShifts[[#This Row],[Efficiency]]&gt;=TargetEff,"On target",IF(tblShifts[[#This Row],[Efficiency]]&gt;=TargetEff*(1-0.05),"Near target","Below target")))</f>
        <v>On target</v>
      </c>
      <c r="T62" s="45">
        <f>IF(tblShifts[[#This Row],[Date]]="","",IF(OR(tblShifts[[#This Row],[Cost per unit]]="",tblShifts[[#This Row],[Std cost per unit]]=""),"",tblShifts[[#This Row],[Cost per unit]]-tblShifts[[#This Row],[Std cost per unit]]))</f>
        <v>0.100403283679461</v>
      </c>
      <c r="U62" s="43">
        <f>IF(tblShifts[[#This Row],[Date]]="","",IF(OR(tblShifts[[#This Row],[Labour cost]]="",tblShifts[[#This Row],[Std cost per unit]]=""),"",tblShifts[[#This Row],[Labour cost]]-tblShifts[[#This Row],[Std cost per unit]]*tblShifts[[#This Row],[Good units]]))</f>
        <v>54.3181764705882</v>
      </c>
      <c r="V6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2" s="48">
        <f>IF(tblShifts[[#This Row],[Date]]="","",IF(AND(tblShifts[[#This Row],[Date]]&gt;=FFrom,tblShifts[[#This Row],[Date]]&lt;=FTo,OR(DashLine="",tblShifts[[#This Row],[Line]]=DashLine),OR(DashProduct="",tblShifts[[#This Row],[Product]]=DashProduct)),tblShifts[[#This Row],[Date]],""))</f>
        <v>46290</v>
      </c>
      <c r="X62" s="28" t="s">
        <v>149</v>
      </c>
    </row>
    <row r="63" spans="2:24">
      <c r="B63" s="42">
        <v>46290</v>
      </c>
      <c r="C63" s="28" t="s">
        <v>81</v>
      </c>
      <c r="D63" s="28" t="s">
        <v>85</v>
      </c>
      <c r="E63" s="28" t="s">
        <v>93</v>
      </c>
      <c r="F63" s="28" t="s">
        <v>123</v>
      </c>
      <c r="G63" s="32">
        <v>2</v>
      </c>
      <c r="H63" s="32">
        <v>10</v>
      </c>
      <c r="I63" s="36">
        <v>74</v>
      </c>
      <c r="J63" s="43">
        <f>IF(tblShifts[[#This Row],[Date]]="","",IFERROR(INDEX(tblRoles[Loaded rate],MATCH(tblShifts[[#This Row],[Role]],tblRoles[Role],0)),""))</f>
        <v>45.2216806722689</v>
      </c>
      <c r="K63" s="44">
        <f>IF(tblShifts[[#This Row],[Date]]="","",IFERROR(INDEX(tblProducts[Std cycle (s/unit)],MATCH(tblShifts[[#This Row],[Product]],tblProducts[Product],0)),""))</f>
        <v>420</v>
      </c>
      <c r="L63" s="44">
        <f>IF(tblShifts[[#This Row],[Date]]="","",IFERROR(INDEX(tblProducts[Std crew (people)],MATCH(tblShifts[[#This Row],[Product]],tblProducts[Product],0)),""))</f>
        <v>2</v>
      </c>
      <c r="M63" s="44">
        <f>IF(tblShifts[[#This Row],[Date]]="","",tblShifts[[#This Row],[Operators]]*tblShifts[[#This Row],[Hours]])</f>
        <v>20</v>
      </c>
      <c r="N63" s="43">
        <f>IF(tblShifts[[#This Row],[Date]]="","",IF(tblShifts[[#This Row],[Loaded rate]]="","",tblShifts[[#This Row],[Crew hours]]*tblShifts[[#This Row],[Loaded rate]]))</f>
        <v>904.433613445378</v>
      </c>
      <c r="O63" s="45">
        <f>IF(tblShifts[[#This Row],[Date]]="","",IF(OR(tblShifts[[#This Row],[Labour cost]]="",N(tblShifts[[#This Row],[Good units]])=0),"",tblShifts[[#This Row],[Labour cost]]/tblShifts[[#This Row],[Good units]]))</f>
        <v>12.22207585737</v>
      </c>
      <c r="P63" s="45">
        <f>IF(tblShifts[[#This Row],[Date]]="","",IF(OR(tblShifts[[#This Row],[Loaded rate]]="",tblShifts[[#This Row],[Std cycle]]=""),"",tblShifts[[#This Row],[Std crew]]*tblShifts[[#This Row],[Loaded rate]]*tblShifts[[#This Row],[Std cycle]]/3600))</f>
        <v>10.5517254901961</v>
      </c>
      <c r="Q63" s="43">
        <f>IF(tblShifts[[#This Row],[Date]]="","",IF(tblShifts[[#This Row],[Std cycle]]="","",tblShifts[[#This Row],[Good units]]*tblShifts[[#This Row],[Std crew]]*tblShifts[[#This Row],[Std cycle]]/3600))</f>
        <v>17.2666666666667</v>
      </c>
      <c r="R63" s="46">
        <f>IF(tblShifts[[#This Row],[Date]]="","",IF(OR(tblShifts[[#This Row],[Earned hours]]="",N(tblShifts[[#This Row],[Crew hours]])=0),"",tblShifts[[#This Row],[Earned hours]]/tblShifts[[#This Row],[Crew hours]]))</f>
        <v>0.863333333333333</v>
      </c>
      <c r="S63" s="47" t="str">
        <f>IF(NOT(ISNUMBER(tblShifts[[#This Row],[Efficiency]])),"",IF(tblShifts[[#This Row],[Efficiency]]&gt;=TargetEff,"On target",IF(tblShifts[[#This Row],[Efficiency]]&gt;=TargetEff*(1-0.05),"Near target","Below target")))</f>
        <v>On target</v>
      </c>
      <c r="T63" s="45">
        <f>IF(tblShifts[[#This Row],[Date]]="","",IF(OR(tblShifts[[#This Row],[Cost per unit]]="",tblShifts[[#This Row],[Std cost per unit]]=""),"",tblShifts[[#This Row],[Cost per unit]]-tblShifts[[#This Row],[Std cost per unit]]))</f>
        <v>1.6703503671739</v>
      </c>
      <c r="U63" s="43">
        <f>IF(tblShifts[[#This Row],[Date]]="","",IF(OR(tblShifts[[#This Row],[Labour cost]]="",tblShifts[[#This Row],[Std cost per unit]]=""),"",tblShifts[[#This Row],[Labour cost]]-tblShifts[[#This Row],[Std cost per unit]]*tblShifts[[#This Row],[Good units]]))</f>
        <v>123.605927170868</v>
      </c>
      <c r="V6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3" s="48">
        <f>IF(tblShifts[[#This Row],[Date]]="","",IF(AND(tblShifts[[#This Row],[Date]]&gt;=FFrom,tblShifts[[#This Row],[Date]]&lt;=FTo,OR(DashLine="",tblShifts[[#This Row],[Line]]=DashLine),OR(DashProduct="",tblShifts[[#This Row],[Product]]=DashProduct)),tblShifts[[#This Row],[Date]],""))</f>
        <v>46290</v>
      </c>
      <c r="X63" s="28" t="s">
        <v>149</v>
      </c>
    </row>
    <row r="64" spans="2:24">
      <c r="B64" s="42">
        <v>46290</v>
      </c>
      <c r="C64" s="28" t="s">
        <v>83</v>
      </c>
      <c r="D64" s="28" t="s">
        <v>82</v>
      </c>
      <c r="E64" s="28" t="s">
        <v>87</v>
      </c>
      <c r="F64" s="28" t="s">
        <v>122</v>
      </c>
      <c r="G64" s="32">
        <v>3</v>
      </c>
      <c r="H64" s="32">
        <v>8</v>
      </c>
      <c r="I64" s="36">
        <v>263</v>
      </c>
      <c r="J64" s="43">
        <f>IF(tblShifts[[#This Row],[Date]]="","",IFERROR(INDEX(tblRoles[Loaded rate],MATCH(tblShifts[[#This Row],[Role]],tblRoles[Role],0)),""))</f>
        <v>34.5242647058824</v>
      </c>
      <c r="K64" s="44">
        <f>IF(tblShifts[[#This Row],[Date]]="","",IFERROR(INDEX(tblProducts[Std cycle (s/unit)],MATCH(tblShifts[[#This Row],[Product]],tblProducts[Product],0)),""))</f>
        <v>95</v>
      </c>
      <c r="L64" s="44">
        <f>IF(tblShifts[[#This Row],[Date]]="","",IFERROR(INDEX(tblProducts[Std crew (people)],MATCH(tblShifts[[#This Row],[Product]],tblProducts[Product],0)),""))</f>
        <v>3</v>
      </c>
      <c r="M64" s="44">
        <f>IF(tblShifts[[#This Row],[Date]]="","",tblShifts[[#This Row],[Operators]]*tblShifts[[#This Row],[Hours]])</f>
        <v>24</v>
      </c>
      <c r="N64" s="43">
        <f>IF(tblShifts[[#This Row],[Date]]="","",IF(tblShifts[[#This Row],[Loaded rate]]="","",tblShifts[[#This Row],[Crew hours]]*tblShifts[[#This Row],[Loaded rate]]))</f>
        <v>828.582352941176</v>
      </c>
      <c r="O64" s="45">
        <f>IF(tblShifts[[#This Row],[Date]]="","",IF(OR(tblShifts[[#This Row],[Labour cost]]="",N(tblShifts[[#This Row],[Good units]])=0),"",tblShifts[[#This Row],[Labour cost]]/tblShifts[[#This Row],[Good units]]))</f>
        <v>3.15050324312234</v>
      </c>
      <c r="P64" s="45">
        <f>IF(tblShifts[[#This Row],[Date]]="","",IF(OR(tblShifts[[#This Row],[Loaded rate]]="",tblShifts[[#This Row],[Std cycle]]=""),"",tblShifts[[#This Row],[Std crew]]*tblShifts[[#This Row],[Loaded rate]]*tblShifts[[#This Row],[Std cycle]]/3600))</f>
        <v>2.73317095588235</v>
      </c>
      <c r="Q64" s="43">
        <f>IF(tblShifts[[#This Row],[Date]]="","",IF(tblShifts[[#This Row],[Std cycle]]="","",tblShifts[[#This Row],[Good units]]*tblShifts[[#This Row],[Std crew]]*tblShifts[[#This Row],[Std cycle]]/3600))</f>
        <v>20.8208333333333</v>
      </c>
      <c r="R64" s="46">
        <f>IF(tblShifts[[#This Row],[Date]]="","",IF(OR(tblShifts[[#This Row],[Earned hours]]="",N(tblShifts[[#This Row],[Crew hours]])=0),"",tblShifts[[#This Row],[Earned hours]]/tblShifts[[#This Row],[Crew hours]]))</f>
        <v>0.867534722222222</v>
      </c>
      <c r="S64" s="47" t="str">
        <f>IF(NOT(ISNUMBER(tblShifts[[#This Row],[Efficiency]])),"",IF(tblShifts[[#This Row],[Efficiency]]&gt;=TargetEff,"On target",IF(tblShifts[[#This Row],[Efficiency]]&gt;=TargetEff*(1-0.05),"Near target","Below target")))</f>
        <v>On target</v>
      </c>
      <c r="T64" s="45">
        <f>IF(tblShifts[[#This Row],[Date]]="","",IF(OR(tblShifts[[#This Row],[Cost per unit]]="",tblShifts[[#This Row],[Std cost per unit]]=""),"",tblShifts[[#This Row],[Cost per unit]]-tblShifts[[#This Row],[Std cost per unit]]))</f>
        <v>0.417332287239991</v>
      </c>
      <c r="U64" s="43">
        <f>IF(tblShifts[[#This Row],[Date]]="","",IF(OR(tblShifts[[#This Row],[Labour cost]]="",tblShifts[[#This Row],[Std cost per unit]]=""),"",tblShifts[[#This Row],[Labour cost]]-tblShifts[[#This Row],[Std cost per unit]]*tblShifts[[#This Row],[Good units]]))</f>
        <v>109.758391544118</v>
      </c>
      <c r="V6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4" s="48">
        <f>IF(tblShifts[[#This Row],[Date]]="","",IF(AND(tblShifts[[#This Row],[Date]]&gt;=FFrom,tblShifts[[#This Row],[Date]]&lt;=FTo,OR(DashLine="",tblShifts[[#This Row],[Line]]=DashLine),OR(DashProduct="",tblShifts[[#This Row],[Product]]=DashProduct)),tblShifts[[#This Row],[Date]],""))</f>
        <v>46290</v>
      </c>
      <c r="X64" s="28" t="s">
        <v>149</v>
      </c>
    </row>
    <row r="65" spans="2:24">
      <c r="B65" s="42">
        <v>46290</v>
      </c>
      <c r="C65" s="28" t="s">
        <v>83</v>
      </c>
      <c r="D65" s="28" t="s">
        <v>84</v>
      </c>
      <c r="E65" s="28" t="s">
        <v>91</v>
      </c>
      <c r="F65" s="28" t="s">
        <v>122</v>
      </c>
      <c r="G65" s="32">
        <v>2</v>
      </c>
      <c r="H65" s="32">
        <v>8</v>
      </c>
      <c r="I65" s="36">
        <v>440</v>
      </c>
      <c r="J65" s="43">
        <f>IF(tblShifts[[#This Row],[Date]]="","",IFERROR(INDEX(tblRoles[Loaded rate],MATCH(tblShifts[[#This Row],[Role]],tblRoles[Role],0)),""))</f>
        <v>34.5242647058824</v>
      </c>
      <c r="K65" s="44">
        <f>IF(tblShifts[[#This Row],[Date]]="","",IFERROR(INDEX(tblProducts[Std cycle (s/unit)],MATCH(tblShifts[[#This Row],[Product]],tblProducts[Product],0)),""))</f>
        <v>48</v>
      </c>
      <c r="L65" s="44">
        <f>IF(tblShifts[[#This Row],[Date]]="","",IFERROR(INDEX(tblProducts[Std crew (people)],MATCH(tblShifts[[#This Row],[Product]],tblProducts[Product],0)),""))</f>
        <v>2</v>
      </c>
      <c r="M65" s="44">
        <f>IF(tblShifts[[#This Row],[Date]]="","",tblShifts[[#This Row],[Operators]]*tblShifts[[#This Row],[Hours]])</f>
        <v>16</v>
      </c>
      <c r="N65" s="43">
        <f>IF(tblShifts[[#This Row],[Date]]="","",IF(tblShifts[[#This Row],[Loaded rate]]="","",tblShifts[[#This Row],[Crew hours]]*tblShifts[[#This Row],[Loaded rate]]))</f>
        <v>552.388235294118</v>
      </c>
      <c r="O65" s="45">
        <f>IF(tblShifts[[#This Row],[Date]]="","",IF(OR(tblShifts[[#This Row],[Labour cost]]="",N(tblShifts[[#This Row],[Good units]])=0),"",tblShifts[[#This Row],[Labour cost]]/tblShifts[[#This Row],[Good units]]))</f>
        <v>1.25542780748663</v>
      </c>
      <c r="P65" s="45">
        <f>IF(tblShifts[[#This Row],[Date]]="","",IF(OR(tblShifts[[#This Row],[Loaded rate]]="",tblShifts[[#This Row],[Std cycle]]=""),"",tblShifts[[#This Row],[Std crew]]*tblShifts[[#This Row],[Loaded rate]]*tblShifts[[#This Row],[Std cycle]]/3600))</f>
        <v>0.920647058823529</v>
      </c>
      <c r="Q65" s="43">
        <f>IF(tblShifts[[#This Row],[Date]]="","",IF(tblShifts[[#This Row],[Std cycle]]="","",tblShifts[[#This Row],[Good units]]*tblShifts[[#This Row],[Std crew]]*tblShifts[[#This Row],[Std cycle]]/3600))</f>
        <v>11.7333333333333</v>
      </c>
      <c r="R65" s="46">
        <f>IF(tblShifts[[#This Row],[Date]]="","",IF(OR(tblShifts[[#This Row],[Earned hours]]="",N(tblShifts[[#This Row],[Crew hours]])=0),"",tblShifts[[#This Row],[Earned hours]]/tblShifts[[#This Row],[Crew hours]]))</f>
        <v>0.733333333333333</v>
      </c>
      <c r="S65" s="47" t="str">
        <f>IF(NOT(ISNUMBER(tblShifts[[#This Row],[Efficiency]])),"",IF(tblShifts[[#This Row],[Efficiency]]&gt;=TargetEff,"On target",IF(tblShifts[[#This Row],[Efficiency]]&gt;=TargetEff*(1-0.05),"Near target","Below target")))</f>
        <v>Below target</v>
      </c>
      <c r="T65" s="45">
        <f>IF(tblShifts[[#This Row],[Date]]="","",IF(OR(tblShifts[[#This Row],[Cost per unit]]="",tblShifts[[#This Row],[Std cost per unit]]=""),"",tblShifts[[#This Row],[Cost per unit]]-tblShifts[[#This Row],[Std cost per unit]]))</f>
        <v>0.334780748663102</v>
      </c>
      <c r="U65" s="43">
        <f>IF(tblShifts[[#This Row],[Date]]="","",IF(OR(tblShifts[[#This Row],[Labour cost]]="",tblShifts[[#This Row],[Std cost per unit]]=""),"",tblShifts[[#This Row],[Labour cost]]-tblShifts[[#This Row],[Std cost per unit]]*tblShifts[[#This Row],[Good units]]))</f>
        <v>147.303529411765</v>
      </c>
      <c r="V6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5" s="48">
        <f>IF(tblShifts[[#This Row],[Date]]="","",IF(AND(tblShifts[[#This Row],[Date]]&gt;=FFrom,tblShifts[[#This Row],[Date]]&lt;=FTo,OR(DashLine="",tblShifts[[#This Row],[Line]]=DashLine),OR(DashProduct="",tblShifts[[#This Row],[Product]]=DashProduct)),tblShifts[[#This Row],[Date]],""))</f>
        <v>46290</v>
      </c>
      <c r="X65" s="28" t="s">
        <v>149</v>
      </c>
    </row>
    <row r="66" spans="2:24">
      <c r="B66" s="42">
        <v>46290</v>
      </c>
      <c r="C66" s="28" t="s">
        <v>83</v>
      </c>
      <c r="D66" s="28" t="s">
        <v>85</v>
      </c>
      <c r="E66" s="28" t="s">
        <v>93</v>
      </c>
      <c r="F66" s="28" t="s">
        <v>123</v>
      </c>
      <c r="G66" s="32">
        <v>2</v>
      </c>
      <c r="H66" s="32">
        <v>8</v>
      </c>
      <c r="I66" s="36">
        <v>66</v>
      </c>
      <c r="J66" s="43">
        <f>IF(tblShifts[[#This Row],[Date]]="","",IFERROR(INDEX(tblRoles[Loaded rate],MATCH(tblShifts[[#This Row],[Role]],tblRoles[Role],0)),""))</f>
        <v>45.2216806722689</v>
      </c>
      <c r="K66" s="44">
        <f>IF(tblShifts[[#This Row],[Date]]="","",IFERROR(INDEX(tblProducts[Std cycle (s/unit)],MATCH(tblShifts[[#This Row],[Product]],tblProducts[Product],0)),""))</f>
        <v>420</v>
      </c>
      <c r="L66" s="44">
        <f>IF(tblShifts[[#This Row],[Date]]="","",IFERROR(INDEX(tblProducts[Std crew (people)],MATCH(tblShifts[[#This Row],[Product]],tblProducts[Product],0)),""))</f>
        <v>2</v>
      </c>
      <c r="M66" s="44">
        <f>IF(tblShifts[[#This Row],[Date]]="","",tblShifts[[#This Row],[Operators]]*tblShifts[[#This Row],[Hours]])</f>
        <v>16</v>
      </c>
      <c r="N66" s="43">
        <f>IF(tblShifts[[#This Row],[Date]]="","",IF(tblShifts[[#This Row],[Loaded rate]]="","",tblShifts[[#This Row],[Crew hours]]*tblShifts[[#This Row],[Loaded rate]]))</f>
        <v>723.546890756303</v>
      </c>
      <c r="O66" s="45">
        <f>IF(tblShifts[[#This Row],[Date]]="","",IF(OR(tblShifts[[#This Row],[Labour cost]]="",N(tblShifts[[#This Row],[Good units]])=0),"",tblShifts[[#This Row],[Labour cost]]/tblShifts[[#This Row],[Good units]]))</f>
        <v>10.9628316781258</v>
      </c>
      <c r="P66" s="45">
        <f>IF(tblShifts[[#This Row],[Date]]="","",IF(OR(tblShifts[[#This Row],[Loaded rate]]="",tblShifts[[#This Row],[Std cycle]]=""),"",tblShifts[[#This Row],[Std crew]]*tblShifts[[#This Row],[Loaded rate]]*tblShifts[[#This Row],[Std cycle]]/3600))</f>
        <v>10.5517254901961</v>
      </c>
      <c r="Q66" s="43">
        <f>IF(tblShifts[[#This Row],[Date]]="","",IF(tblShifts[[#This Row],[Std cycle]]="","",tblShifts[[#This Row],[Good units]]*tblShifts[[#This Row],[Std crew]]*tblShifts[[#This Row],[Std cycle]]/3600))</f>
        <v>15.4</v>
      </c>
      <c r="R66" s="46">
        <f>IF(tblShifts[[#This Row],[Date]]="","",IF(OR(tblShifts[[#This Row],[Earned hours]]="",N(tblShifts[[#This Row],[Crew hours]])=0),"",tblShifts[[#This Row],[Earned hours]]/tblShifts[[#This Row],[Crew hours]]))</f>
        <v>0.9625</v>
      </c>
      <c r="S66" s="47" t="str">
        <f>IF(NOT(ISNUMBER(tblShifts[[#This Row],[Efficiency]])),"",IF(tblShifts[[#This Row],[Efficiency]]&gt;=TargetEff,"On target",IF(tblShifts[[#This Row],[Efficiency]]&gt;=TargetEff*(1-0.05),"Near target","Below target")))</f>
        <v>On target</v>
      </c>
      <c r="T66" s="45">
        <f>IF(tblShifts[[#This Row],[Date]]="","",IF(OR(tblShifts[[#This Row],[Cost per unit]]="",tblShifts[[#This Row],[Std cost per unit]]=""),"",tblShifts[[#This Row],[Cost per unit]]-tblShifts[[#This Row],[Std cost per unit]]))</f>
        <v>0.411106187929718</v>
      </c>
      <c r="U66" s="43">
        <f>IF(tblShifts[[#This Row],[Date]]="","",IF(OR(tblShifts[[#This Row],[Labour cost]]="",tblShifts[[#This Row],[Std cost per unit]]=""),"",tblShifts[[#This Row],[Labour cost]]-tblShifts[[#This Row],[Std cost per unit]]*tblShifts[[#This Row],[Good units]]))</f>
        <v>27.1330084033614</v>
      </c>
      <c r="V6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6" s="48">
        <f>IF(tblShifts[[#This Row],[Date]]="","",IF(AND(tblShifts[[#This Row],[Date]]&gt;=FFrom,tblShifts[[#This Row],[Date]]&lt;=FTo,OR(DashLine="",tblShifts[[#This Row],[Line]]=DashLine),OR(DashProduct="",tblShifts[[#This Row],[Product]]=DashProduct)),tblShifts[[#This Row],[Date]],""))</f>
        <v>46290</v>
      </c>
      <c r="X66" s="28" t="s">
        <v>149</v>
      </c>
    </row>
    <row r="67" spans="2:24">
      <c r="B67" s="42">
        <v>46293</v>
      </c>
      <c r="C67" s="28" t="s">
        <v>81</v>
      </c>
      <c r="D67" s="28" t="s">
        <v>82</v>
      </c>
      <c r="E67" s="28" t="s">
        <v>87</v>
      </c>
      <c r="F67" s="28" t="s">
        <v>122</v>
      </c>
      <c r="G67" s="32">
        <v>3</v>
      </c>
      <c r="H67" s="32">
        <v>8</v>
      </c>
      <c r="I67" s="36">
        <v>263</v>
      </c>
      <c r="J67" s="43">
        <f>IF(tblShifts[[#This Row],[Date]]="","",IFERROR(INDEX(tblRoles[Loaded rate],MATCH(tblShifts[[#This Row],[Role]],tblRoles[Role],0)),""))</f>
        <v>34.5242647058824</v>
      </c>
      <c r="K67" s="44">
        <f>IF(tblShifts[[#This Row],[Date]]="","",IFERROR(INDEX(tblProducts[Std cycle (s/unit)],MATCH(tblShifts[[#This Row],[Product]],tblProducts[Product],0)),""))</f>
        <v>95</v>
      </c>
      <c r="L67" s="44">
        <f>IF(tblShifts[[#This Row],[Date]]="","",IFERROR(INDEX(tblProducts[Std crew (people)],MATCH(tblShifts[[#This Row],[Product]],tblProducts[Product],0)),""))</f>
        <v>3</v>
      </c>
      <c r="M67" s="44">
        <f>IF(tblShifts[[#This Row],[Date]]="","",tblShifts[[#This Row],[Operators]]*tblShifts[[#This Row],[Hours]])</f>
        <v>24</v>
      </c>
      <c r="N67" s="43">
        <f>IF(tblShifts[[#This Row],[Date]]="","",IF(tblShifts[[#This Row],[Loaded rate]]="","",tblShifts[[#This Row],[Crew hours]]*tblShifts[[#This Row],[Loaded rate]]))</f>
        <v>828.582352941176</v>
      </c>
      <c r="O67" s="45">
        <f>IF(tblShifts[[#This Row],[Date]]="","",IF(OR(tblShifts[[#This Row],[Labour cost]]="",N(tblShifts[[#This Row],[Good units]])=0),"",tblShifts[[#This Row],[Labour cost]]/tblShifts[[#This Row],[Good units]]))</f>
        <v>3.15050324312234</v>
      </c>
      <c r="P67" s="45">
        <f>IF(tblShifts[[#This Row],[Date]]="","",IF(OR(tblShifts[[#This Row],[Loaded rate]]="",tblShifts[[#This Row],[Std cycle]]=""),"",tblShifts[[#This Row],[Std crew]]*tblShifts[[#This Row],[Loaded rate]]*tblShifts[[#This Row],[Std cycle]]/3600))</f>
        <v>2.73317095588235</v>
      </c>
      <c r="Q67" s="43">
        <f>IF(tblShifts[[#This Row],[Date]]="","",IF(tblShifts[[#This Row],[Std cycle]]="","",tblShifts[[#This Row],[Good units]]*tblShifts[[#This Row],[Std crew]]*tblShifts[[#This Row],[Std cycle]]/3600))</f>
        <v>20.8208333333333</v>
      </c>
      <c r="R67" s="46">
        <f>IF(tblShifts[[#This Row],[Date]]="","",IF(OR(tblShifts[[#This Row],[Earned hours]]="",N(tblShifts[[#This Row],[Crew hours]])=0),"",tblShifts[[#This Row],[Earned hours]]/tblShifts[[#This Row],[Crew hours]]))</f>
        <v>0.867534722222222</v>
      </c>
      <c r="S67" s="47" t="str">
        <f>IF(NOT(ISNUMBER(tblShifts[[#This Row],[Efficiency]])),"",IF(tblShifts[[#This Row],[Efficiency]]&gt;=TargetEff,"On target",IF(tblShifts[[#This Row],[Efficiency]]&gt;=TargetEff*(1-0.05),"Near target","Below target")))</f>
        <v>On target</v>
      </c>
      <c r="T67" s="45">
        <f>IF(tblShifts[[#This Row],[Date]]="","",IF(OR(tblShifts[[#This Row],[Cost per unit]]="",tblShifts[[#This Row],[Std cost per unit]]=""),"",tblShifts[[#This Row],[Cost per unit]]-tblShifts[[#This Row],[Std cost per unit]]))</f>
        <v>0.417332287239991</v>
      </c>
      <c r="U67" s="43">
        <f>IF(tblShifts[[#This Row],[Date]]="","",IF(OR(tblShifts[[#This Row],[Labour cost]]="",tblShifts[[#This Row],[Std cost per unit]]=""),"",tblShifts[[#This Row],[Labour cost]]-tblShifts[[#This Row],[Std cost per unit]]*tblShifts[[#This Row],[Good units]]))</f>
        <v>109.758391544118</v>
      </c>
      <c r="V6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7" s="48">
        <f>IF(tblShifts[[#This Row],[Date]]="","",IF(AND(tblShifts[[#This Row],[Date]]&gt;=FFrom,tblShifts[[#This Row],[Date]]&lt;=FTo,OR(DashLine="",tblShifts[[#This Row],[Line]]=DashLine),OR(DashProduct="",tblShifts[[#This Row],[Product]]=DashProduct)),tblShifts[[#This Row],[Date]],""))</f>
        <v>46293</v>
      </c>
      <c r="X67" s="28" t="s">
        <v>149</v>
      </c>
    </row>
    <row r="68" spans="2:24">
      <c r="B68" s="42">
        <v>46293</v>
      </c>
      <c r="C68" s="28" t="s">
        <v>81</v>
      </c>
      <c r="D68" s="28" t="s">
        <v>84</v>
      </c>
      <c r="E68" s="28" t="s">
        <v>89</v>
      </c>
      <c r="F68" s="28" t="s">
        <v>122</v>
      </c>
      <c r="G68" s="32">
        <v>2</v>
      </c>
      <c r="H68" s="32">
        <v>8</v>
      </c>
      <c r="I68" s="36">
        <v>177</v>
      </c>
      <c r="J68" s="43">
        <f>IF(tblShifts[[#This Row],[Date]]="","",IFERROR(INDEX(tblRoles[Loaded rate],MATCH(tblShifts[[#This Row],[Role]],tblRoles[Role],0)),""))</f>
        <v>34.5242647058824</v>
      </c>
      <c r="K68" s="44">
        <f>IF(tblShifts[[#This Row],[Date]]="","",IFERROR(INDEX(tblProducts[Std cycle (s/unit)],MATCH(tblShifts[[#This Row],[Product]],tblProducts[Product],0)),""))</f>
        <v>140</v>
      </c>
      <c r="L68" s="44">
        <f>IF(tblShifts[[#This Row],[Date]]="","",IFERROR(INDEX(tblProducts[Std crew (people)],MATCH(tblShifts[[#This Row],[Product]],tblProducts[Product],0)),""))</f>
        <v>2</v>
      </c>
      <c r="M68" s="44">
        <f>IF(tblShifts[[#This Row],[Date]]="","",tblShifts[[#This Row],[Operators]]*tblShifts[[#This Row],[Hours]])</f>
        <v>16</v>
      </c>
      <c r="N68" s="43">
        <f>IF(tblShifts[[#This Row],[Date]]="","",IF(tblShifts[[#This Row],[Loaded rate]]="","",tblShifts[[#This Row],[Crew hours]]*tblShifts[[#This Row],[Loaded rate]]))</f>
        <v>552.388235294118</v>
      </c>
      <c r="O68" s="45">
        <f>IF(tblShifts[[#This Row],[Date]]="","",IF(OR(tblShifts[[#This Row],[Labour cost]]="",N(tblShifts[[#This Row],[Good units]])=0),"",tblShifts[[#This Row],[Labour cost]]/tblShifts[[#This Row],[Good units]]))</f>
        <v>3.12083748753739</v>
      </c>
      <c r="P68" s="45">
        <f>IF(tblShifts[[#This Row],[Date]]="","",IF(OR(tblShifts[[#This Row],[Loaded rate]]="",tblShifts[[#This Row],[Std cycle]]=""),"",tblShifts[[#This Row],[Std crew]]*tblShifts[[#This Row],[Loaded rate]]*tblShifts[[#This Row],[Std cycle]]/3600))</f>
        <v>2.68522058823529</v>
      </c>
      <c r="Q68" s="43">
        <f>IF(tblShifts[[#This Row],[Date]]="","",IF(tblShifts[[#This Row],[Std cycle]]="","",tblShifts[[#This Row],[Good units]]*tblShifts[[#This Row],[Std crew]]*tblShifts[[#This Row],[Std cycle]]/3600))</f>
        <v>13.7666666666667</v>
      </c>
      <c r="R68" s="46">
        <f>IF(tblShifts[[#This Row],[Date]]="","",IF(OR(tblShifts[[#This Row],[Earned hours]]="",N(tblShifts[[#This Row],[Crew hours]])=0),"",tblShifts[[#This Row],[Earned hours]]/tblShifts[[#This Row],[Crew hours]]))</f>
        <v>0.860416666666667</v>
      </c>
      <c r="S68" s="47" t="str">
        <f>IF(NOT(ISNUMBER(tblShifts[[#This Row],[Efficiency]])),"",IF(tblShifts[[#This Row],[Efficiency]]&gt;=TargetEff,"On target",IF(tblShifts[[#This Row],[Efficiency]]&gt;=TargetEff*(1-0.05),"Near target","Below target")))</f>
        <v>On target</v>
      </c>
      <c r="T68" s="45">
        <f>IF(tblShifts[[#This Row],[Date]]="","",IF(OR(tblShifts[[#This Row],[Cost per unit]]="",tblShifts[[#This Row],[Std cost per unit]]=""),"",tblShifts[[#This Row],[Cost per unit]]-tblShifts[[#This Row],[Std cost per unit]]))</f>
        <v>0.435616899302093</v>
      </c>
      <c r="U68" s="43">
        <f>IF(tblShifts[[#This Row],[Date]]="","",IF(OR(tblShifts[[#This Row],[Labour cost]]="",tblShifts[[#This Row],[Std cost per unit]]=""),"",tblShifts[[#This Row],[Labour cost]]-tblShifts[[#This Row],[Std cost per unit]]*tblShifts[[#This Row],[Good units]]))</f>
        <v>77.1041911764705</v>
      </c>
      <c r="V6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8" s="48">
        <f>IF(tblShifts[[#This Row],[Date]]="","",IF(AND(tblShifts[[#This Row],[Date]]&gt;=FFrom,tblShifts[[#This Row],[Date]]&lt;=FTo,OR(DashLine="",tblShifts[[#This Row],[Line]]=DashLine),OR(DashProduct="",tblShifts[[#This Row],[Product]]=DashProduct)),tblShifts[[#This Row],[Date]],""))</f>
        <v>46293</v>
      </c>
      <c r="X68" s="28" t="s">
        <v>149</v>
      </c>
    </row>
    <row r="69" spans="2:24">
      <c r="B69" s="42">
        <v>46293</v>
      </c>
      <c r="C69" s="28" t="s">
        <v>81</v>
      </c>
      <c r="D69" s="28" t="s">
        <v>85</v>
      </c>
      <c r="E69" s="28" t="s">
        <v>93</v>
      </c>
      <c r="F69" s="28" t="s">
        <v>123</v>
      </c>
      <c r="G69" s="32">
        <v>2</v>
      </c>
      <c r="H69" s="32">
        <v>8</v>
      </c>
      <c r="I69" s="36">
        <v>62</v>
      </c>
      <c r="J69" s="43">
        <f>IF(tblShifts[[#This Row],[Date]]="","",IFERROR(INDEX(tblRoles[Loaded rate],MATCH(tblShifts[[#This Row],[Role]],tblRoles[Role],0)),""))</f>
        <v>45.2216806722689</v>
      </c>
      <c r="K69" s="44">
        <f>IF(tblShifts[[#This Row],[Date]]="","",IFERROR(INDEX(tblProducts[Std cycle (s/unit)],MATCH(tblShifts[[#This Row],[Product]],tblProducts[Product],0)),""))</f>
        <v>420</v>
      </c>
      <c r="L69" s="44">
        <f>IF(tblShifts[[#This Row],[Date]]="","",IFERROR(INDEX(tblProducts[Std crew (people)],MATCH(tblShifts[[#This Row],[Product]],tblProducts[Product],0)),""))</f>
        <v>2</v>
      </c>
      <c r="M69" s="44">
        <f>IF(tblShifts[[#This Row],[Date]]="","",tblShifts[[#This Row],[Operators]]*tblShifts[[#This Row],[Hours]])</f>
        <v>16</v>
      </c>
      <c r="N69" s="43">
        <f>IF(tblShifts[[#This Row],[Date]]="","",IF(tblShifts[[#This Row],[Loaded rate]]="","",tblShifts[[#This Row],[Crew hours]]*tblShifts[[#This Row],[Loaded rate]]))</f>
        <v>723.546890756303</v>
      </c>
      <c r="O69" s="45">
        <f>IF(tblShifts[[#This Row],[Date]]="","",IF(OR(tblShifts[[#This Row],[Labour cost]]="",N(tblShifts[[#This Row],[Good units]])=0),"",tblShifts[[#This Row],[Labour cost]]/tblShifts[[#This Row],[Good units]]))</f>
        <v>11.6701111412307</v>
      </c>
      <c r="P69" s="45">
        <f>IF(tblShifts[[#This Row],[Date]]="","",IF(OR(tblShifts[[#This Row],[Loaded rate]]="",tblShifts[[#This Row],[Std cycle]]=""),"",tblShifts[[#This Row],[Std crew]]*tblShifts[[#This Row],[Loaded rate]]*tblShifts[[#This Row],[Std cycle]]/3600))</f>
        <v>10.5517254901961</v>
      </c>
      <c r="Q69" s="43">
        <f>IF(tblShifts[[#This Row],[Date]]="","",IF(tblShifts[[#This Row],[Std cycle]]="","",tblShifts[[#This Row],[Good units]]*tblShifts[[#This Row],[Std crew]]*tblShifts[[#This Row],[Std cycle]]/3600))</f>
        <v>14.4666666666667</v>
      </c>
      <c r="R69" s="46">
        <f>IF(tblShifts[[#This Row],[Date]]="","",IF(OR(tblShifts[[#This Row],[Earned hours]]="",N(tblShifts[[#This Row],[Crew hours]])=0),"",tblShifts[[#This Row],[Earned hours]]/tblShifts[[#This Row],[Crew hours]]))</f>
        <v>0.904166666666667</v>
      </c>
      <c r="S69" s="47" t="str">
        <f>IF(NOT(ISNUMBER(tblShifts[[#This Row],[Efficiency]])),"",IF(tblShifts[[#This Row],[Efficiency]]&gt;=TargetEff,"On target",IF(tblShifts[[#This Row],[Efficiency]]&gt;=TargetEff*(1-0.05),"Near target","Below target")))</f>
        <v>On target</v>
      </c>
      <c r="T69" s="45">
        <f>IF(tblShifts[[#This Row],[Date]]="","",IF(OR(tblShifts[[#This Row],[Cost per unit]]="",tblShifts[[#This Row],[Std cost per unit]]=""),"",tblShifts[[#This Row],[Cost per unit]]-tblShifts[[#This Row],[Std cost per unit]]))</f>
        <v>1.11838565103461</v>
      </c>
      <c r="U69" s="43">
        <f>IF(tblShifts[[#This Row],[Date]]="","",IF(OR(tblShifts[[#This Row],[Labour cost]]="",tblShifts[[#This Row],[Std cost per unit]]=""),"",tblShifts[[#This Row],[Labour cost]]-tblShifts[[#This Row],[Std cost per unit]]*tblShifts[[#This Row],[Good units]]))</f>
        <v>69.3399103641457</v>
      </c>
      <c r="V6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69" s="48">
        <f>IF(tblShifts[[#This Row],[Date]]="","",IF(AND(tblShifts[[#This Row],[Date]]&gt;=FFrom,tblShifts[[#This Row],[Date]]&lt;=FTo,OR(DashLine="",tblShifts[[#This Row],[Line]]=DashLine),OR(DashProduct="",tblShifts[[#This Row],[Product]]=DashProduct)),tblShifts[[#This Row],[Date]],""))</f>
        <v>46293</v>
      </c>
      <c r="X69" s="28" t="s">
        <v>149</v>
      </c>
    </row>
    <row r="70" spans="2:24">
      <c r="B70" s="42">
        <v>46293</v>
      </c>
      <c r="C70" s="28" t="s">
        <v>83</v>
      </c>
      <c r="D70" s="28" t="s">
        <v>82</v>
      </c>
      <c r="E70" s="28" t="s">
        <v>87</v>
      </c>
      <c r="F70" s="28" t="s">
        <v>122</v>
      </c>
      <c r="G70" s="32">
        <v>3</v>
      </c>
      <c r="H70" s="32">
        <v>8</v>
      </c>
      <c r="I70" s="36">
        <v>282</v>
      </c>
      <c r="J70" s="43">
        <f>IF(tblShifts[[#This Row],[Date]]="","",IFERROR(INDEX(tblRoles[Loaded rate],MATCH(tblShifts[[#This Row],[Role]],tblRoles[Role],0)),""))</f>
        <v>34.5242647058824</v>
      </c>
      <c r="K70" s="44">
        <f>IF(tblShifts[[#This Row],[Date]]="","",IFERROR(INDEX(tblProducts[Std cycle (s/unit)],MATCH(tblShifts[[#This Row],[Product]],tblProducts[Product],0)),""))</f>
        <v>95</v>
      </c>
      <c r="L70" s="44">
        <f>IF(tblShifts[[#This Row],[Date]]="","",IFERROR(INDEX(tblProducts[Std crew (people)],MATCH(tblShifts[[#This Row],[Product]],tblProducts[Product],0)),""))</f>
        <v>3</v>
      </c>
      <c r="M70" s="44">
        <f>IF(tblShifts[[#This Row],[Date]]="","",tblShifts[[#This Row],[Operators]]*tblShifts[[#This Row],[Hours]])</f>
        <v>24</v>
      </c>
      <c r="N70" s="43">
        <f>IF(tblShifts[[#This Row],[Date]]="","",IF(tblShifts[[#This Row],[Loaded rate]]="","",tblShifts[[#This Row],[Crew hours]]*tblShifts[[#This Row],[Loaded rate]]))</f>
        <v>828.582352941176</v>
      </c>
      <c r="O70" s="45">
        <f>IF(tblShifts[[#This Row],[Date]]="","",IF(OR(tblShifts[[#This Row],[Labour cost]]="",N(tblShifts[[#This Row],[Good units]])=0),"",tblShifts[[#This Row],[Labour cost]]/tblShifts[[#This Row],[Good units]]))</f>
        <v>2.93823529411765</v>
      </c>
      <c r="P70" s="45">
        <f>IF(tblShifts[[#This Row],[Date]]="","",IF(OR(tblShifts[[#This Row],[Loaded rate]]="",tblShifts[[#This Row],[Std cycle]]=""),"",tblShifts[[#This Row],[Std crew]]*tblShifts[[#This Row],[Loaded rate]]*tblShifts[[#This Row],[Std cycle]]/3600))</f>
        <v>2.73317095588235</v>
      </c>
      <c r="Q70" s="43">
        <f>IF(tblShifts[[#This Row],[Date]]="","",IF(tblShifts[[#This Row],[Std cycle]]="","",tblShifts[[#This Row],[Good units]]*tblShifts[[#This Row],[Std crew]]*tblShifts[[#This Row],[Std cycle]]/3600))</f>
        <v>22.325</v>
      </c>
      <c r="R70" s="46">
        <f>IF(tblShifts[[#This Row],[Date]]="","",IF(OR(tblShifts[[#This Row],[Earned hours]]="",N(tblShifts[[#This Row],[Crew hours]])=0),"",tblShifts[[#This Row],[Earned hours]]/tblShifts[[#This Row],[Crew hours]]))</f>
        <v>0.930208333333333</v>
      </c>
      <c r="S70" s="47" t="str">
        <f>IF(NOT(ISNUMBER(tblShifts[[#This Row],[Efficiency]])),"",IF(tblShifts[[#This Row],[Efficiency]]&gt;=TargetEff,"On target",IF(tblShifts[[#This Row],[Efficiency]]&gt;=TargetEff*(1-0.05),"Near target","Below target")))</f>
        <v>On target</v>
      </c>
      <c r="T70" s="45">
        <f>IF(tblShifts[[#This Row],[Date]]="","",IF(OR(tblShifts[[#This Row],[Cost per unit]]="",tblShifts[[#This Row],[Std cost per unit]]=""),"",tblShifts[[#This Row],[Cost per unit]]-tblShifts[[#This Row],[Std cost per unit]]))</f>
        <v>0.205064338235294</v>
      </c>
      <c r="U70" s="43">
        <f>IF(tblShifts[[#This Row],[Date]]="","",IF(OR(tblShifts[[#This Row],[Labour cost]]="",tblShifts[[#This Row],[Std cost per unit]]=""),"",tblShifts[[#This Row],[Labour cost]]-tblShifts[[#This Row],[Std cost per unit]]*tblShifts[[#This Row],[Good units]]))</f>
        <v>57.8281433823529</v>
      </c>
      <c r="V7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0" s="48">
        <f>IF(tblShifts[[#This Row],[Date]]="","",IF(AND(tblShifts[[#This Row],[Date]]&gt;=FFrom,tblShifts[[#This Row],[Date]]&lt;=FTo,OR(DashLine="",tblShifts[[#This Row],[Line]]=DashLine),OR(DashProduct="",tblShifts[[#This Row],[Product]]=DashProduct)),tblShifts[[#This Row],[Date]],""))</f>
        <v>46293</v>
      </c>
      <c r="X70" s="28" t="s">
        <v>149</v>
      </c>
    </row>
    <row r="71" spans="2:24">
      <c r="B71" s="42">
        <v>46293</v>
      </c>
      <c r="C71" s="28" t="s">
        <v>83</v>
      </c>
      <c r="D71" s="28" t="s">
        <v>84</v>
      </c>
      <c r="E71" s="28" t="s">
        <v>89</v>
      </c>
      <c r="F71" s="28" t="s">
        <v>122</v>
      </c>
      <c r="G71" s="32">
        <v>2</v>
      </c>
      <c r="H71" s="32">
        <v>8</v>
      </c>
      <c r="I71" s="36">
        <v>165</v>
      </c>
      <c r="J71" s="43">
        <f>IF(tblShifts[[#This Row],[Date]]="","",IFERROR(INDEX(tblRoles[Loaded rate],MATCH(tblShifts[[#This Row],[Role]],tblRoles[Role],0)),""))</f>
        <v>34.5242647058824</v>
      </c>
      <c r="K71" s="44">
        <f>IF(tblShifts[[#This Row],[Date]]="","",IFERROR(INDEX(tblProducts[Std cycle (s/unit)],MATCH(tblShifts[[#This Row],[Product]],tblProducts[Product],0)),""))</f>
        <v>140</v>
      </c>
      <c r="L71" s="44">
        <f>IF(tblShifts[[#This Row],[Date]]="","",IFERROR(INDEX(tblProducts[Std crew (people)],MATCH(tblShifts[[#This Row],[Product]],tblProducts[Product],0)),""))</f>
        <v>2</v>
      </c>
      <c r="M71" s="44">
        <f>IF(tblShifts[[#This Row],[Date]]="","",tblShifts[[#This Row],[Operators]]*tblShifts[[#This Row],[Hours]])</f>
        <v>16</v>
      </c>
      <c r="N71" s="43">
        <f>IF(tblShifts[[#This Row],[Date]]="","",IF(tblShifts[[#This Row],[Loaded rate]]="","",tblShifts[[#This Row],[Crew hours]]*tblShifts[[#This Row],[Loaded rate]]))</f>
        <v>552.388235294118</v>
      </c>
      <c r="O71" s="45">
        <f>IF(tblShifts[[#This Row],[Date]]="","",IF(OR(tblShifts[[#This Row],[Labour cost]]="",N(tblShifts[[#This Row],[Good units]])=0),"",tblShifts[[#This Row],[Labour cost]]/tblShifts[[#This Row],[Good units]]))</f>
        <v>3.34780748663102</v>
      </c>
      <c r="P71" s="45">
        <f>IF(tblShifts[[#This Row],[Date]]="","",IF(OR(tblShifts[[#This Row],[Loaded rate]]="",tblShifts[[#This Row],[Std cycle]]=""),"",tblShifts[[#This Row],[Std crew]]*tblShifts[[#This Row],[Loaded rate]]*tblShifts[[#This Row],[Std cycle]]/3600))</f>
        <v>2.68522058823529</v>
      </c>
      <c r="Q71" s="43">
        <f>IF(tblShifts[[#This Row],[Date]]="","",IF(tblShifts[[#This Row],[Std cycle]]="","",tblShifts[[#This Row],[Good units]]*tblShifts[[#This Row],[Std crew]]*tblShifts[[#This Row],[Std cycle]]/3600))</f>
        <v>12.8333333333333</v>
      </c>
      <c r="R71" s="46">
        <f>IF(tblShifts[[#This Row],[Date]]="","",IF(OR(tblShifts[[#This Row],[Earned hours]]="",N(tblShifts[[#This Row],[Crew hours]])=0),"",tblShifts[[#This Row],[Earned hours]]/tblShifts[[#This Row],[Crew hours]]))</f>
        <v>0.802083333333333</v>
      </c>
      <c r="S71" s="47" t="str">
        <f>IF(NOT(ISNUMBER(tblShifts[[#This Row],[Efficiency]])),"",IF(tblShifts[[#This Row],[Efficiency]]&gt;=TargetEff,"On target",IF(tblShifts[[#This Row],[Efficiency]]&gt;=TargetEff*(1-0.05),"Near target","Below target")))</f>
        <v>Below target</v>
      </c>
      <c r="T71" s="45">
        <f>IF(tblShifts[[#This Row],[Date]]="","",IF(OR(tblShifts[[#This Row],[Cost per unit]]="",tblShifts[[#This Row],[Std cost per unit]]=""),"",tblShifts[[#This Row],[Cost per unit]]-tblShifts[[#This Row],[Std cost per unit]]))</f>
        <v>0.662586898395722</v>
      </c>
      <c r="U71" s="43">
        <f>IF(tblShifts[[#This Row],[Date]]="","",IF(OR(tblShifts[[#This Row],[Labour cost]]="",tblShifts[[#This Row],[Std cost per unit]]=""),"",tblShifts[[#This Row],[Labour cost]]-tblShifts[[#This Row],[Std cost per unit]]*tblShifts[[#This Row],[Good units]]))</f>
        <v>109.326838235294</v>
      </c>
      <c r="V7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1" s="48">
        <f>IF(tblShifts[[#This Row],[Date]]="","",IF(AND(tblShifts[[#This Row],[Date]]&gt;=FFrom,tblShifts[[#This Row],[Date]]&lt;=FTo,OR(DashLine="",tblShifts[[#This Row],[Line]]=DashLine),OR(DashProduct="",tblShifts[[#This Row],[Product]]=DashProduct)),tblShifts[[#This Row],[Date]],""))</f>
        <v>46293</v>
      </c>
      <c r="X71" s="28" t="s">
        <v>149</v>
      </c>
    </row>
    <row r="72" spans="2:24">
      <c r="B72" s="42">
        <v>46293</v>
      </c>
      <c r="C72" s="28" t="s">
        <v>83</v>
      </c>
      <c r="D72" s="28" t="s">
        <v>85</v>
      </c>
      <c r="E72" s="28" t="s">
        <v>93</v>
      </c>
      <c r="F72" s="28" t="s">
        <v>123</v>
      </c>
      <c r="G72" s="32">
        <v>2</v>
      </c>
      <c r="H72" s="32">
        <v>8</v>
      </c>
      <c r="I72" s="36">
        <v>63</v>
      </c>
      <c r="J72" s="43">
        <f>IF(tblShifts[[#This Row],[Date]]="","",IFERROR(INDEX(tblRoles[Loaded rate],MATCH(tblShifts[[#This Row],[Role]],tblRoles[Role],0)),""))</f>
        <v>45.2216806722689</v>
      </c>
      <c r="K72" s="44">
        <f>IF(tblShifts[[#This Row],[Date]]="","",IFERROR(INDEX(tblProducts[Std cycle (s/unit)],MATCH(tblShifts[[#This Row],[Product]],tblProducts[Product],0)),""))</f>
        <v>420</v>
      </c>
      <c r="L72" s="44">
        <f>IF(tblShifts[[#This Row],[Date]]="","",IFERROR(INDEX(tblProducts[Std crew (people)],MATCH(tblShifts[[#This Row],[Product]],tblProducts[Product],0)),""))</f>
        <v>2</v>
      </c>
      <c r="M72" s="44">
        <f>IF(tblShifts[[#This Row],[Date]]="","",tblShifts[[#This Row],[Operators]]*tblShifts[[#This Row],[Hours]])</f>
        <v>16</v>
      </c>
      <c r="N72" s="43">
        <f>IF(tblShifts[[#This Row],[Date]]="","",IF(tblShifts[[#This Row],[Loaded rate]]="","",tblShifts[[#This Row],[Crew hours]]*tblShifts[[#This Row],[Loaded rate]]))</f>
        <v>723.546890756303</v>
      </c>
      <c r="O72" s="45">
        <f>IF(tblShifts[[#This Row],[Date]]="","",IF(OR(tblShifts[[#This Row],[Labour cost]]="",N(tblShifts[[#This Row],[Good units]])=0),"",tblShifts[[#This Row],[Labour cost]]/tblShifts[[#This Row],[Good units]]))</f>
        <v>11.4848712818461</v>
      </c>
      <c r="P72" s="45">
        <f>IF(tblShifts[[#This Row],[Date]]="","",IF(OR(tblShifts[[#This Row],[Loaded rate]]="",tblShifts[[#This Row],[Std cycle]]=""),"",tblShifts[[#This Row],[Std crew]]*tblShifts[[#This Row],[Loaded rate]]*tblShifts[[#This Row],[Std cycle]]/3600))</f>
        <v>10.5517254901961</v>
      </c>
      <c r="Q72" s="43">
        <f>IF(tblShifts[[#This Row],[Date]]="","",IF(tblShifts[[#This Row],[Std cycle]]="","",tblShifts[[#This Row],[Good units]]*tblShifts[[#This Row],[Std crew]]*tblShifts[[#This Row],[Std cycle]]/3600))</f>
        <v>14.7</v>
      </c>
      <c r="R72" s="46">
        <f>IF(tblShifts[[#This Row],[Date]]="","",IF(OR(tblShifts[[#This Row],[Earned hours]]="",N(tblShifts[[#This Row],[Crew hours]])=0),"",tblShifts[[#This Row],[Earned hours]]/tblShifts[[#This Row],[Crew hours]]))</f>
        <v>0.91875</v>
      </c>
      <c r="S72" s="47" t="str">
        <f>IF(NOT(ISNUMBER(tblShifts[[#This Row],[Efficiency]])),"",IF(tblShifts[[#This Row],[Efficiency]]&gt;=TargetEff,"On target",IF(tblShifts[[#This Row],[Efficiency]]&gt;=TargetEff*(1-0.05),"Near target","Below target")))</f>
        <v>On target</v>
      </c>
      <c r="T72" s="45">
        <f>IF(tblShifts[[#This Row],[Date]]="","",IF(OR(tblShifts[[#This Row],[Cost per unit]]="",tblShifts[[#This Row],[Std cost per unit]]=""),"",tblShifts[[#This Row],[Cost per unit]]-tblShifts[[#This Row],[Std cost per unit]]))</f>
        <v>0.933145791649993</v>
      </c>
      <c r="U72" s="43">
        <f>IF(tblShifts[[#This Row],[Date]]="","",IF(OR(tblShifts[[#This Row],[Labour cost]]="",tblShifts[[#This Row],[Std cost per unit]]=""),"",tblShifts[[#This Row],[Labour cost]]-tblShifts[[#This Row],[Std cost per unit]]*tblShifts[[#This Row],[Good units]]))</f>
        <v>58.7881848739496</v>
      </c>
      <c r="V7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2" s="48">
        <f>IF(tblShifts[[#This Row],[Date]]="","",IF(AND(tblShifts[[#This Row],[Date]]&gt;=FFrom,tblShifts[[#This Row],[Date]]&lt;=FTo,OR(DashLine="",tblShifts[[#This Row],[Line]]=DashLine),OR(DashProduct="",tblShifts[[#This Row],[Product]]=DashProduct)),tblShifts[[#This Row],[Date]],""))</f>
        <v>46293</v>
      </c>
      <c r="X72" s="28" t="s">
        <v>149</v>
      </c>
    </row>
    <row r="73" spans="2:24">
      <c r="B73" s="42">
        <v>46294</v>
      </c>
      <c r="C73" s="28" t="s">
        <v>81</v>
      </c>
      <c r="D73" s="28" t="s">
        <v>82</v>
      </c>
      <c r="E73" s="28" t="s">
        <v>87</v>
      </c>
      <c r="F73" s="28" t="s">
        <v>122</v>
      </c>
      <c r="G73" s="32">
        <v>3</v>
      </c>
      <c r="H73" s="32">
        <v>8</v>
      </c>
      <c r="I73" s="36">
        <v>280</v>
      </c>
      <c r="J73" s="43">
        <f>IF(tblShifts[[#This Row],[Date]]="","",IFERROR(INDEX(tblRoles[Loaded rate],MATCH(tblShifts[[#This Row],[Role]],tblRoles[Role],0)),""))</f>
        <v>34.5242647058824</v>
      </c>
      <c r="K73" s="44">
        <f>IF(tblShifts[[#This Row],[Date]]="","",IFERROR(INDEX(tblProducts[Std cycle (s/unit)],MATCH(tblShifts[[#This Row],[Product]],tblProducts[Product],0)),""))</f>
        <v>95</v>
      </c>
      <c r="L73" s="44">
        <f>IF(tblShifts[[#This Row],[Date]]="","",IFERROR(INDEX(tblProducts[Std crew (people)],MATCH(tblShifts[[#This Row],[Product]],tblProducts[Product],0)),""))</f>
        <v>3</v>
      </c>
      <c r="M73" s="44">
        <f>IF(tblShifts[[#This Row],[Date]]="","",tblShifts[[#This Row],[Operators]]*tblShifts[[#This Row],[Hours]])</f>
        <v>24</v>
      </c>
      <c r="N73" s="43">
        <f>IF(tblShifts[[#This Row],[Date]]="","",IF(tblShifts[[#This Row],[Loaded rate]]="","",tblShifts[[#This Row],[Crew hours]]*tblShifts[[#This Row],[Loaded rate]]))</f>
        <v>828.582352941176</v>
      </c>
      <c r="O73" s="45">
        <f>IF(tblShifts[[#This Row],[Date]]="","",IF(OR(tblShifts[[#This Row],[Labour cost]]="",N(tblShifts[[#This Row],[Good units]])=0),"",tblShifts[[#This Row],[Labour cost]]/tblShifts[[#This Row],[Good units]]))</f>
        <v>2.95922268907563</v>
      </c>
      <c r="P73" s="45">
        <f>IF(tblShifts[[#This Row],[Date]]="","",IF(OR(tblShifts[[#This Row],[Loaded rate]]="",tblShifts[[#This Row],[Std cycle]]=""),"",tblShifts[[#This Row],[Std crew]]*tblShifts[[#This Row],[Loaded rate]]*tblShifts[[#This Row],[Std cycle]]/3600))</f>
        <v>2.73317095588235</v>
      </c>
      <c r="Q73" s="43">
        <f>IF(tblShifts[[#This Row],[Date]]="","",IF(tblShifts[[#This Row],[Std cycle]]="","",tblShifts[[#This Row],[Good units]]*tblShifts[[#This Row],[Std crew]]*tblShifts[[#This Row],[Std cycle]]/3600))</f>
        <v>22.1666666666667</v>
      </c>
      <c r="R73" s="46">
        <f>IF(tblShifts[[#This Row],[Date]]="","",IF(OR(tblShifts[[#This Row],[Earned hours]]="",N(tblShifts[[#This Row],[Crew hours]])=0),"",tblShifts[[#This Row],[Earned hours]]/tblShifts[[#This Row],[Crew hours]]))</f>
        <v>0.923611111111111</v>
      </c>
      <c r="S73" s="47" t="str">
        <f>IF(NOT(ISNUMBER(tblShifts[[#This Row],[Efficiency]])),"",IF(tblShifts[[#This Row],[Efficiency]]&gt;=TargetEff,"On target",IF(tblShifts[[#This Row],[Efficiency]]&gt;=TargetEff*(1-0.05),"Near target","Below target")))</f>
        <v>On target</v>
      </c>
      <c r="T73" s="45">
        <f>IF(tblShifts[[#This Row],[Date]]="","",IF(OR(tblShifts[[#This Row],[Cost per unit]]="",tblShifts[[#This Row],[Std cost per unit]]=""),"",tblShifts[[#This Row],[Cost per unit]]-tblShifts[[#This Row],[Std cost per unit]]))</f>
        <v>0.226051733193277</v>
      </c>
      <c r="U73" s="43">
        <f>IF(tblShifts[[#This Row],[Date]]="","",IF(OR(tblShifts[[#This Row],[Labour cost]]="",tblShifts[[#This Row],[Std cost per unit]]=""),"",tblShifts[[#This Row],[Labour cost]]-tblShifts[[#This Row],[Std cost per unit]]*tblShifts[[#This Row],[Good units]]))</f>
        <v>63.2944852941176</v>
      </c>
      <c r="V7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3" s="48">
        <f>IF(tblShifts[[#This Row],[Date]]="","",IF(AND(tblShifts[[#This Row],[Date]]&gt;=FFrom,tblShifts[[#This Row],[Date]]&lt;=FTo,OR(DashLine="",tblShifts[[#This Row],[Line]]=DashLine),OR(DashProduct="",tblShifts[[#This Row],[Product]]=DashProduct)),tblShifts[[#This Row],[Date]],""))</f>
        <v>46294</v>
      </c>
      <c r="X73" s="28" t="s">
        <v>149</v>
      </c>
    </row>
    <row r="74" spans="2:24">
      <c r="B74" s="42">
        <v>46294</v>
      </c>
      <c r="C74" s="28" t="s">
        <v>81</v>
      </c>
      <c r="D74" s="28" t="s">
        <v>84</v>
      </c>
      <c r="E74" s="28" t="s">
        <v>89</v>
      </c>
      <c r="F74" s="28" t="s">
        <v>122</v>
      </c>
      <c r="G74" s="32">
        <v>2</v>
      </c>
      <c r="H74" s="32">
        <v>8</v>
      </c>
      <c r="I74" s="36">
        <v>177</v>
      </c>
      <c r="J74" s="43">
        <f>IF(tblShifts[[#This Row],[Date]]="","",IFERROR(INDEX(tblRoles[Loaded rate],MATCH(tblShifts[[#This Row],[Role]],tblRoles[Role],0)),""))</f>
        <v>34.5242647058824</v>
      </c>
      <c r="K74" s="44">
        <f>IF(tblShifts[[#This Row],[Date]]="","",IFERROR(INDEX(tblProducts[Std cycle (s/unit)],MATCH(tblShifts[[#This Row],[Product]],tblProducts[Product],0)),""))</f>
        <v>140</v>
      </c>
      <c r="L74" s="44">
        <f>IF(tblShifts[[#This Row],[Date]]="","",IFERROR(INDEX(tblProducts[Std crew (people)],MATCH(tblShifts[[#This Row],[Product]],tblProducts[Product],0)),""))</f>
        <v>2</v>
      </c>
      <c r="M74" s="44">
        <f>IF(tblShifts[[#This Row],[Date]]="","",tblShifts[[#This Row],[Operators]]*tblShifts[[#This Row],[Hours]])</f>
        <v>16</v>
      </c>
      <c r="N74" s="43">
        <f>IF(tblShifts[[#This Row],[Date]]="","",IF(tblShifts[[#This Row],[Loaded rate]]="","",tblShifts[[#This Row],[Crew hours]]*tblShifts[[#This Row],[Loaded rate]]))</f>
        <v>552.388235294118</v>
      </c>
      <c r="O74" s="45">
        <f>IF(tblShifts[[#This Row],[Date]]="","",IF(OR(tblShifts[[#This Row],[Labour cost]]="",N(tblShifts[[#This Row],[Good units]])=0),"",tblShifts[[#This Row],[Labour cost]]/tblShifts[[#This Row],[Good units]]))</f>
        <v>3.12083748753739</v>
      </c>
      <c r="P74" s="45">
        <f>IF(tblShifts[[#This Row],[Date]]="","",IF(OR(tblShifts[[#This Row],[Loaded rate]]="",tblShifts[[#This Row],[Std cycle]]=""),"",tblShifts[[#This Row],[Std crew]]*tblShifts[[#This Row],[Loaded rate]]*tblShifts[[#This Row],[Std cycle]]/3600))</f>
        <v>2.68522058823529</v>
      </c>
      <c r="Q74" s="43">
        <f>IF(tblShifts[[#This Row],[Date]]="","",IF(tblShifts[[#This Row],[Std cycle]]="","",tblShifts[[#This Row],[Good units]]*tblShifts[[#This Row],[Std crew]]*tblShifts[[#This Row],[Std cycle]]/3600))</f>
        <v>13.7666666666667</v>
      </c>
      <c r="R74" s="46">
        <f>IF(tblShifts[[#This Row],[Date]]="","",IF(OR(tblShifts[[#This Row],[Earned hours]]="",N(tblShifts[[#This Row],[Crew hours]])=0),"",tblShifts[[#This Row],[Earned hours]]/tblShifts[[#This Row],[Crew hours]]))</f>
        <v>0.860416666666667</v>
      </c>
      <c r="S74" s="47" t="str">
        <f>IF(NOT(ISNUMBER(tblShifts[[#This Row],[Efficiency]])),"",IF(tblShifts[[#This Row],[Efficiency]]&gt;=TargetEff,"On target",IF(tblShifts[[#This Row],[Efficiency]]&gt;=TargetEff*(1-0.05),"Near target","Below target")))</f>
        <v>On target</v>
      </c>
      <c r="T74" s="45">
        <f>IF(tblShifts[[#This Row],[Date]]="","",IF(OR(tblShifts[[#This Row],[Cost per unit]]="",tblShifts[[#This Row],[Std cost per unit]]=""),"",tblShifts[[#This Row],[Cost per unit]]-tblShifts[[#This Row],[Std cost per unit]]))</f>
        <v>0.435616899302093</v>
      </c>
      <c r="U74" s="43">
        <f>IF(tblShifts[[#This Row],[Date]]="","",IF(OR(tblShifts[[#This Row],[Labour cost]]="",tblShifts[[#This Row],[Std cost per unit]]=""),"",tblShifts[[#This Row],[Labour cost]]-tblShifts[[#This Row],[Std cost per unit]]*tblShifts[[#This Row],[Good units]]))</f>
        <v>77.1041911764705</v>
      </c>
      <c r="V7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4" s="48">
        <f>IF(tblShifts[[#This Row],[Date]]="","",IF(AND(tblShifts[[#This Row],[Date]]&gt;=FFrom,tblShifts[[#This Row],[Date]]&lt;=FTo,OR(DashLine="",tblShifts[[#This Row],[Line]]=DashLine),OR(DashProduct="",tblShifts[[#This Row],[Product]]=DashProduct)),tblShifts[[#This Row],[Date]],""))</f>
        <v>46294</v>
      </c>
      <c r="X74" s="28" t="s">
        <v>149</v>
      </c>
    </row>
    <row r="75" spans="2:24">
      <c r="B75" s="42">
        <v>46294</v>
      </c>
      <c r="C75" s="28" t="s">
        <v>81</v>
      </c>
      <c r="D75" s="28" t="s">
        <v>85</v>
      </c>
      <c r="E75" s="28" t="s">
        <v>93</v>
      </c>
      <c r="F75" s="28" t="s">
        <v>123</v>
      </c>
      <c r="G75" s="32">
        <v>2</v>
      </c>
      <c r="H75" s="32">
        <v>8</v>
      </c>
      <c r="I75" s="36">
        <v>64</v>
      </c>
      <c r="J75" s="43">
        <f>IF(tblShifts[[#This Row],[Date]]="","",IFERROR(INDEX(tblRoles[Loaded rate],MATCH(tblShifts[[#This Row],[Role]],tblRoles[Role],0)),""))</f>
        <v>45.2216806722689</v>
      </c>
      <c r="K75" s="44">
        <f>IF(tblShifts[[#This Row],[Date]]="","",IFERROR(INDEX(tblProducts[Std cycle (s/unit)],MATCH(tblShifts[[#This Row],[Product]],tblProducts[Product],0)),""))</f>
        <v>420</v>
      </c>
      <c r="L75" s="44">
        <f>IF(tblShifts[[#This Row],[Date]]="","",IFERROR(INDEX(tblProducts[Std crew (people)],MATCH(tblShifts[[#This Row],[Product]],tblProducts[Product],0)),""))</f>
        <v>2</v>
      </c>
      <c r="M75" s="44">
        <f>IF(tblShifts[[#This Row],[Date]]="","",tblShifts[[#This Row],[Operators]]*tblShifts[[#This Row],[Hours]])</f>
        <v>16</v>
      </c>
      <c r="N75" s="43">
        <f>IF(tblShifts[[#This Row],[Date]]="","",IF(tblShifts[[#This Row],[Loaded rate]]="","",tblShifts[[#This Row],[Crew hours]]*tblShifts[[#This Row],[Loaded rate]]))</f>
        <v>723.546890756303</v>
      </c>
      <c r="O75" s="45">
        <f>IF(tblShifts[[#This Row],[Date]]="","",IF(OR(tblShifts[[#This Row],[Labour cost]]="",N(tblShifts[[#This Row],[Good units]])=0),"",tblShifts[[#This Row],[Labour cost]]/tblShifts[[#This Row],[Good units]]))</f>
        <v>11.3054201680672</v>
      </c>
      <c r="P75" s="45">
        <f>IF(tblShifts[[#This Row],[Date]]="","",IF(OR(tblShifts[[#This Row],[Loaded rate]]="",tblShifts[[#This Row],[Std cycle]]=""),"",tblShifts[[#This Row],[Std crew]]*tblShifts[[#This Row],[Loaded rate]]*tblShifts[[#This Row],[Std cycle]]/3600))</f>
        <v>10.5517254901961</v>
      </c>
      <c r="Q75" s="43">
        <f>IF(tblShifts[[#This Row],[Date]]="","",IF(tblShifts[[#This Row],[Std cycle]]="","",tblShifts[[#This Row],[Good units]]*tblShifts[[#This Row],[Std crew]]*tblShifts[[#This Row],[Std cycle]]/3600))</f>
        <v>14.9333333333333</v>
      </c>
      <c r="R75" s="46">
        <f>IF(tblShifts[[#This Row],[Date]]="","",IF(OR(tblShifts[[#This Row],[Earned hours]]="",N(tblShifts[[#This Row],[Crew hours]])=0),"",tblShifts[[#This Row],[Earned hours]]/tblShifts[[#This Row],[Crew hours]]))</f>
        <v>0.933333333333333</v>
      </c>
      <c r="S75" s="47" t="str">
        <f>IF(NOT(ISNUMBER(tblShifts[[#This Row],[Efficiency]])),"",IF(tblShifts[[#This Row],[Efficiency]]&gt;=TargetEff,"On target",IF(tblShifts[[#This Row],[Efficiency]]&gt;=TargetEff*(1-0.05),"Near target","Below target")))</f>
        <v>On target</v>
      </c>
      <c r="T75" s="45">
        <f>IF(tblShifts[[#This Row],[Date]]="","",IF(OR(tblShifts[[#This Row],[Cost per unit]]="",tblShifts[[#This Row],[Std cost per unit]]=""),"",tblShifts[[#This Row],[Cost per unit]]-tblShifts[[#This Row],[Std cost per unit]]))</f>
        <v>0.753694677871149</v>
      </c>
      <c r="U75" s="43">
        <f>IF(tblShifts[[#This Row],[Date]]="","",IF(OR(tblShifts[[#This Row],[Labour cost]]="",tblShifts[[#This Row],[Std cost per unit]]=""),"",tblShifts[[#This Row],[Labour cost]]-tblShifts[[#This Row],[Std cost per unit]]*tblShifts[[#This Row],[Good units]]))</f>
        <v>48.2364593837535</v>
      </c>
      <c r="V7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5" s="48">
        <f>IF(tblShifts[[#This Row],[Date]]="","",IF(AND(tblShifts[[#This Row],[Date]]&gt;=FFrom,tblShifts[[#This Row],[Date]]&lt;=FTo,OR(DashLine="",tblShifts[[#This Row],[Line]]=DashLine),OR(DashProduct="",tblShifts[[#This Row],[Product]]=DashProduct)),tblShifts[[#This Row],[Date]],""))</f>
        <v>46294</v>
      </c>
      <c r="X75" s="28" t="s">
        <v>149</v>
      </c>
    </row>
    <row r="76" spans="2:24">
      <c r="B76" s="42">
        <v>46294</v>
      </c>
      <c r="C76" s="28" t="s">
        <v>83</v>
      </c>
      <c r="D76" s="28" t="s">
        <v>82</v>
      </c>
      <c r="E76" s="28" t="s">
        <v>87</v>
      </c>
      <c r="F76" s="28" t="s">
        <v>122</v>
      </c>
      <c r="G76" s="32">
        <v>4</v>
      </c>
      <c r="H76" s="32">
        <v>8</v>
      </c>
      <c r="I76" s="36">
        <v>339</v>
      </c>
      <c r="J76" s="43">
        <f>IF(tblShifts[[#This Row],[Date]]="","",IFERROR(INDEX(tblRoles[Loaded rate],MATCH(tblShifts[[#This Row],[Role]],tblRoles[Role],0)),""))</f>
        <v>34.5242647058824</v>
      </c>
      <c r="K76" s="44">
        <f>IF(tblShifts[[#This Row],[Date]]="","",IFERROR(INDEX(tblProducts[Std cycle (s/unit)],MATCH(tblShifts[[#This Row],[Product]],tblProducts[Product],0)),""))</f>
        <v>95</v>
      </c>
      <c r="L76" s="44">
        <f>IF(tblShifts[[#This Row],[Date]]="","",IFERROR(INDEX(tblProducts[Std crew (people)],MATCH(tblShifts[[#This Row],[Product]],tblProducts[Product],0)),""))</f>
        <v>3</v>
      </c>
      <c r="M76" s="44">
        <f>IF(tblShifts[[#This Row],[Date]]="","",tblShifts[[#This Row],[Operators]]*tblShifts[[#This Row],[Hours]])</f>
        <v>32</v>
      </c>
      <c r="N76" s="43">
        <f>IF(tblShifts[[#This Row],[Date]]="","",IF(tblShifts[[#This Row],[Loaded rate]]="","",tblShifts[[#This Row],[Crew hours]]*tblShifts[[#This Row],[Loaded rate]]))</f>
        <v>1104.77647058824</v>
      </c>
      <c r="O76" s="45">
        <f>IF(tblShifts[[#This Row],[Date]]="","",IF(OR(tblShifts[[#This Row],[Labour cost]]="",N(tblShifts[[#This Row],[Good units]])=0),"",tblShifts[[#This Row],[Labour cost]]/tblShifts[[#This Row],[Good units]]))</f>
        <v>3.2589276418532</v>
      </c>
      <c r="P76" s="45">
        <f>IF(tblShifts[[#This Row],[Date]]="","",IF(OR(tblShifts[[#This Row],[Loaded rate]]="",tblShifts[[#This Row],[Std cycle]]=""),"",tblShifts[[#This Row],[Std crew]]*tblShifts[[#This Row],[Loaded rate]]*tblShifts[[#This Row],[Std cycle]]/3600))</f>
        <v>2.73317095588235</v>
      </c>
      <c r="Q76" s="43">
        <f>IF(tblShifts[[#This Row],[Date]]="","",IF(tblShifts[[#This Row],[Std cycle]]="","",tblShifts[[#This Row],[Good units]]*tblShifts[[#This Row],[Std crew]]*tblShifts[[#This Row],[Std cycle]]/3600))</f>
        <v>26.8375</v>
      </c>
      <c r="R76" s="46">
        <f>IF(tblShifts[[#This Row],[Date]]="","",IF(OR(tblShifts[[#This Row],[Earned hours]]="",N(tblShifts[[#This Row],[Crew hours]])=0),"",tblShifts[[#This Row],[Earned hours]]/tblShifts[[#This Row],[Crew hours]]))</f>
        <v>0.838671875</v>
      </c>
      <c r="S76" s="47" t="str">
        <f>IF(NOT(ISNUMBER(tblShifts[[#This Row],[Efficiency]])),"",IF(tblShifts[[#This Row],[Efficiency]]&gt;=TargetEff,"On target",IF(tblShifts[[#This Row],[Efficiency]]&gt;=TargetEff*(1-0.05),"Near target","Below target")))</f>
        <v>Near target</v>
      </c>
      <c r="T76" s="45">
        <f>IF(tblShifts[[#This Row],[Date]]="","",IF(OR(tblShifts[[#This Row],[Cost per unit]]="",tblShifts[[#This Row],[Std cost per unit]]=""),"",tblShifts[[#This Row],[Cost per unit]]-tblShifts[[#This Row],[Std cost per unit]]))</f>
        <v>0.525756685970849</v>
      </c>
      <c r="U76" s="43">
        <f>IF(tblShifts[[#This Row],[Date]]="","",IF(OR(tblShifts[[#This Row],[Labour cost]]="",tblShifts[[#This Row],[Std cost per unit]]=""),"",tblShifts[[#This Row],[Labour cost]]-tblShifts[[#This Row],[Std cost per unit]]*tblShifts[[#This Row],[Good units]]))</f>
        <v>178.231516544118</v>
      </c>
      <c r="V7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6" s="48">
        <f>IF(tblShifts[[#This Row],[Date]]="","",IF(AND(tblShifts[[#This Row],[Date]]&gt;=FFrom,tblShifts[[#This Row],[Date]]&lt;=FTo,OR(DashLine="",tblShifts[[#This Row],[Line]]=DashLine),OR(DashProduct="",tblShifts[[#This Row],[Product]]=DashProduct)),tblShifts[[#This Row],[Date]],""))</f>
        <v>46294</v>
      </c>
      <c r="X76" s="28" t="s">
        <v>149</v>
      </c>
    </row>
    <row r="77" spans="2:24">
      <c r="B77" s="42">
        <v>46294</v>
      </c>
      <c r="C77" s="28" t="s">
        <v>83</v>
      </c>
      <c r="D77" s="28" t="s">
        <v>84</v>
      </c>
      <c r="E77" s="28" t="s">
        <v>89</v>
      </c>
      <c r="F77" s="28" t="s">
        <v>122</v>
      </c>
      <c r="G77" s="32">
        <v>2</v>
      </c>
      <c r="H77" s="32">
        <v>8</v>
      </c>
      <c r="I77" s="36">
        <v>149</v>
      </c>
      <c r="J77" s="43">
        <f>IF(tblShifts[[#This Row],[Date]]="","",IFERROR(INDEX(tblRoles[Loaded rate],MATCH(tblShifts[[#This Row],[Role]],tblRoles[Role],0)),""))</f>
        <v>34.5242647058824</v>
      </c>
      <c r="K77" s="44">
        <f>IF(tblShifts[[#This Row],[Date]]="","",IFERROR(INDEX(tblProducts[Std cycle (s/unit)],MATCH(tblShifts[[#This Row],[Product]],tblProducts[Product],0)),""))</f>
        <v>140</v>
      </c>
      <c r="L77" s="44">
        <f>IF(tblShifts[[#This Row],[Date]]="","",IFERROR(INDEX(tblProducts[Std crew (people)],MATCH(tblShifts[[#This Row],[Product]],tblProducts[Product],0)),""))</f>
        <v>2</v>
      </c>
      <c r="M77" s="44">
        <f>IF(tblShifts[[#This Row],[Date]]="","",tblShifts[[#This Row],[Operators]]*tblShifts[[#This Row],[Hours]])</f>
        <v>16</v>
      </c>
      <c r="N77" s="43">
        <f>IF(tblShifts[[#This Row],[Date]]="","",IF(tblShifts[[#This Row],[Loaded rate]]="","",tblShifts[[#This Row],[Crew hours]]*tblShifts[[#This Row],[Loaded rate]]))</f>
        <v>552.388235294118</v>
      </c>
      <c r="O77" s="45">
        <f>IF(tblShifts[[#This Row],[Date]]="","",IF(OR(tblShifts[[#This Row],[Labour cost]]="",N(tblShifts[[#This Row],[Good units]])=0),"",tblShifts[[#This Row],[Labour cost]]/tblShifts[[#This Row],[Good units]]))</f>
        <v>3.70730359257797</v>
      </c>
      <c r="P77" s="45">
        <f>IF(tblShifts[[#This Row],[Date]]="","",IF(OR(tblShifts[[#This Row],[Loaded rate]]="",tblShifts[[#This Row],[Std cycle]]=""),"",tblShifts[[#This Row],[Std crew]]*tblShifts[[#This Row],[Loaded rate]]*tblShifts[[#This Row],[Std cycle]]/3600))</f>
        <v>2.68522058823529</v>
      </c>
      <c r="Q77" s="43">
        <f>IF(tblShifts[[#This Row],[Date]]="","",IF(tblShifts[[#This Row],[Std cycle]]="","",tblShifts[[#This Row],[Good units]]*tblShifts[[#This Row],[Std crew]]*tblShifts[[#This Row],[Std cycle]]/3600))</f>
        <v>11.5888888888889</v>
      </c>
      <c r="R77" s="46">
        <f>IF(tblShifts[[#This Row],[Date]]="","",IF(OR(tblShifts[[#This Row],[Earned hours]]="",N(tblShifts[[#This Row],[Crew hours]])=0),"",tblShifts[[#This Row],[Earned hours]]/tblShifts[[#This Row],[Crew hours]]))</f>
        <v>0.724305555555556</v>
      </c>
      <c r="S77" s="47" t="str">
        <f>IF(NOT(ISNUMBER(tblShifts[[#This Row],[Efficiency]])),"",IF(tblShifts[[#This Row],[Efficiency]]&gt;=TargetEff,"On target",IF(tblShifts[[#This Row],[Efficiency]]&gt;=TargetEff*(1-0.05),"Near target","Below target")))</f>
        <v>Below target</v>
      </c>
      <c r="T77" s="45">
        <f>IF(tblShifts[[#This Row],[Date]]="","",IF(OR(tblShifts[[#This Row],[Cost per unit]]="",tblShifts[[#This Row],[Std cost per unit]]=""),"",tblShifts[[#This Row],[Cost per unit]]-tblShifts[[#This Row],[Std cost per unit]]))</f>
        <v>1.02208300434268</v>
      </c>
      <c r="U77" s="43">
        <f>IF(tblShifts[[#This Row],[Date]]="","",IF(OR(tblShifts[[#This Row],[Labour cost]]="",tblShifts[[#This Row],[Std cost per unit]]=""),"",tblShifts[[#This Row],[Labour cost]]-tblShifts[[#This Row],[Std cost per unit]]*tblShifts[[#This Row],[Good units]]))</f>
        <v>152.290367647059</v>
      </c>
      <c r="V7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7" s="48">
        <f>IF(tblShifts[[#This Row],[Date]]="","",IF(AND(tblShifts[[#This Row],[Date]]&gt;=FFrom,tblShifts[[#This Row],[Date]]&lt;=FTo,OR(DashLine="",tblShifts[[#This Row],[Line]]=DashLine),OR(DashProduct="",tblShifts[[#This Row],[Product]]=DashProduct)),tblShifts[[#This Row],[Date]],""))</f>
        <v>46294</v>
      </c>
      <c r="X77" s="28" t="s">
        <v>149</v>
      </c>
    </row>
    <row r="78" spans="2:24">
      <c r="B78" s="42">
        <v>46294</v>
      </c>
      <c r="C78" s="28" t="s">
        <v>83</v>
      </c>
      <c r="D78" s="28" t="s">
        <v>85</v>
      </c>
      <c r="E78" s="28" t="s">
        <v>93</v>
      </c>
      <c r="F78" s="28" t="s">
        <v>123</v>
      </c>
      <c r="G78" s="32">
        <v>2</v>
      </c>
      <c r="H78" s="32">
        <v>10</v>
      </c>
      <c r="I78" s="36">
        <v>78</v>
      </c>
      <c r="J78" s="43">
        <f>IF(tblShifts[[#This Row],[Date]]="","",IFERROR(INDEX(tblRoles[Loaded rate],MATCH(tblShifts[[#This Row],[Role]],tblRoles[Role],0)),""))</f>
        <v>45.2216806722689</v>
      </c>
      <c r="K78" s="44">
        <f>IF(tblShifts[[#This Row],[Date]]="","",IFERROR(INDEX(tblProducts[Std cycle (s/unit)],MATCH(tblShifts[[#This Row],[Product]],tblProducts[Product],0)),""))</f>
        <v>420</v>
      </c>
      <c r="L78" s="44">
        <f>IF(tblShifts[[#This Row],[Date]]="","",IFERROR(INDEX(tblProducts[Std crew (people)],MATCH(tblShifts[[#This Row],[Product]],tblProducts[Product],0)),""))</f>
        <v>2</v>
      </c>
      <c r="M78" s="44">
        <f>IF(tblShifts[[#This Row],[Date]]="","",tblShifts[[#This Row],[Operators]]*tblShifts[[#This Row],[Hours]])</f>
        <v>20</v>
      </c>
      <c r="N78" s="43">
        <f>IF(tblShifts[[#This Row],[Date]]="","",IF(tblShifts[[#This Row],[Loaded rate]]="","",tblShifts[[#This Row],[Crew hours]]*tblShifts[[#This Row],[Loaded rate]]))</f>
        <v>904.433613445378</v>
      </c>
      <c r="O78" s="45">
        <f>IF(tblShifts[[#This Row],[Date]]="","",IF(OR(tblShifts[[#This Row],[Labour cost]]="",N(tblShifts[[#This Row],[Good units]])=0),"",tblShifts[[#This Row],[Labour cost]]/tblShifts[[#This Row],[Good units]]))</f>
        <v>11.5953027364792</v>
      </c>
      <c r="P78" s="45">
        <f>IF(tblShifts[[#This Row],[Date]]="","",IF(OR(tblShifts[[#This Row],[Loaded rate]]="",tblShifts[[#This Row],[Std cycle]]=""),"",tblShifts[[#This Row],[Std crew]]*tblShifts[[#This Row],[Loaded rate]]*tblShifts[[#This Row],[Std cycle]]/3600))</f>
        <v>10.5517254901961</v>
      </c>
      <c r="Q78" s="43">
        <f>IF(tblShifts[[#This Row],[Date]]="","",IF(tblShifts[[#This Row],[Std cycle]]="","",tblShifts[[#This Row],[Good units]]*tblShifts[[#This Row],[Std crew]]*tblShifts[[#This Row],[Std cycle]]/3600))</f>
        <v>18.2</v>
      </c>
      <c r="R78" s="46">
        <f>IF(tblShifts[[#This Row],[Date]]="","",IF(OR(tblShifts[[#This Row],[Earned hours]]="",N(tblShifts[[#This Row],[Crew hours]])=0),"",tblShifts[[#This Row],[Earned hours]]/tblShifts[[#This Row],[Crew hours]]))</f>
        <v>0.91</v>
      </c>
      <c r="S78" s="47" t="str">
        <f>IF(NOT(ISNUMBER(tblShifts[[#This Row],[Efficiency]])),"",IF(tblShifts[[#This Row],[Efficiency]]&gt;=TargetEff,"On target",IF(tblShifts[[#This Row],[Efficiency]]&gt;=TargetEff*(1-0.05),"Near target","Below target")))</f>
        <v>On target</v>
      </c>
      <c r="T78" s="45">
        <f>IF(tblShifts[[#This Row],[Date]]="","",IF(OR(tblShifts[[#This Row],[Cost per unit]]="",tblShifts[[#This Row],[Std cost per unit]]=""),"",tblShifts[[#This Row],[Cost per unit]]-tblShifts[[#This Row],[Std cost per unit]]))</f>
        <v>1.04357724628313</v>
      </c>
      <c r="U78" s="43">
        <f>IF(tblShifts[[#This Row],[Date]]="","",IF(OR(tblShifts[[#This Row],[Labour cost]]="",tblShifts[[#This Row],[Std cost per unit]]=""),"",tblShifts[[#This Row],[Labour cost]]-tblShifts[[#This Row],[Std cost per unit]]*tblShifts[[#This Row],[Good units]]))</f>
        <v>81.3990252100841</v>
      </c>
      <c r="V7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8" s="48">
        <f>IF(tblShifts[[#This Row],[Date]]="","",IF(AND(tblShifts[[#This Row],[Date]]&gt;=FFrom,tblShifts[[#This Row],[Date]]&lt;=FTo,OR(DashLine="",tblShifts[[#This Row],[Line]]=DashLine),OR(DashProduct="",tblShifts[[#This Row],[Product]]=DashProduct)),tblShifts[[#This Row],[Date]],""))</f>
        <v>46294</v>
      </c>
      <c r="X78" s="28" t="s">
        <v>149</v>
      </c>
    </row>
    <row r="79" spans="2:24">
      <c r="B79" s="42">
        <v>46295</v>
      </c>
      <c r="C79" s="28" t="s">
        <v>81</v>
      </c>
      <c r="D79" s="28" t="s">
        <v>82</v>
      </c>
      <c r="E79" s="28" t="s">
        <v>87</v>
      </c>
      <c r="F79" s="28" t="s">
        <v>122</v>
      </c>
      <c r="G79" s="32">
        <v>3</v>
      </c>
      <c r="H79" s="32">
        <v>8</v>
      </c>
      <c r="I79" s="36">
        <v>284</v>
      </c>
      <c r="J79" s="43">
        <f>IF(tblShifts[[#This Row],[Date]]="","",IFERROR(INDEX(tblRoles[Loaded rate],MATCH(tblShifts[[#This Row],[Role]],tblRoles[Role],0)),""))</f>
        <v>34.5242647058824</v>
      </c>
      <c r="K79" s="44">
        <f>IF(tblShifts[[#This Row],[Date]]="","",IFERROR(INDEX(tblProducts[Std cycle (s/unit)],MATCH(tblShifts[[#This Row],[Product]],tblProducts[Product],0)),""))</f>
        <v>95</v>
      </c>
      <c r="L79" s="44">
        <f>IF(tblShifts[[#This Row],[Date]]="","",IFERROR(INDEX(tblProducts[Std crew (people)],MATCH(tblShifts[[#This Row],[Product]],tblProducts[Product],0)),""))</f>
        <v>3</v>
      </c>
      <c r="M79" s="44">
        <f>IF(tblShifts[[#This Row],[Date]]="","",tblShifts[[#This Row],[Operators]]*tblShifts[[#This Row],[Hours]])</f>
        <v>24</v>
      </c>
      <c r="N79" s="43">
        <f>IF(tblShifts[[#This Row],[Date]]="","",IF(tblShifts[[#This Row],[Loaded rate]]="","",tblShifts[[#This Row],[Crew hours]]*tblShifts[[#This Row],[Loaded rate]]))</f>
        <v>828.582352941176</v>
      </c>
      <c r="O79" s="45">
        <f>IF(tblShifts[[#This Row],[Date]]="","",IF(OR(tblShifts[[#This Row],[Labour cost]]="",N(tblShifts[[#This Row],[Good units]])=0),"",tblShifts[[#This Row],[Labour cost]]/tblShifts[[#This Row],[Good units]]))</f>
        <v>2.91754349627175</v>
      </c>
      <c r="P79" s="45">
        <f>IF(tblShifts[[#This Row],[Date]]="","",IF(OR(tblShifts[[#This Row],[Loaded rate]]="",tblShifts[[#This Row],[Std cycle]]=""),"",tblShifts[[#This Row],[Std crew]]*tblShifts[[#This Row],[Loaded rate]]*tblShifts[[#This Row],[Std cycle]]/3600))</f>
        <v>2.73317095588235</v>
      </c>
      <c r="Q79" s="43">
        <f>IF(tblShifts[[#This Row],[Date]]="","",IF(tblShifts[[#This Row],[Std cycle]]="","",tblShifts[[#This Row],[Good units]]*tblShifts[[#This Row],[Std crew]]*tblShifts[[#This Row],[Std cycle]]/3600))</f>
        <v>22.4833333333333</v>
      </c>
      <c r="R79" s="46">
        <f>IF(tblShifts[[#This Row],[Date]]="","",IF(OR(tblShifts[[#This Row],[Earned hours]]="",N(tblShifts[[#This Row],[Crew hours]])=0),"",tblShifts[[#This Row],[Earned hours]]/tblShifts[[#This Row],[Crew hours]]))</f>
        <v>0.936805555555556</v>
      </c>
      <c r="S79" s="47" t="str">
        <f>IF(NOT(ISNUMBER(tblShifts[[#This Row],[Efficiency]])),"",IF(tblShifts[[#This Row],[Efficiency]]&gt;=TargetEff,"On target",IF(tblShifts[[#This Row],[Efficiency]]&gt;=TargetEff*(1-0.05),"Near target","Below target")))</f>
        <v>On target</v>
      </c>
      <c r="T79" s="45">
        <f>IF(tblShifts[[#This Row],[Date]]="","",IF(OR(tblShifts[[#This Row],[Cost per unit]]="",tblShifts[[#This Row],[Std cost per unit]]=""),"",tblShifts[[#This Row],[Cost per unit]]-tblShifts[[#This Row],[Std cost per unit]]))</f>
        <v>0.184372540389395</v>
      </c>
      <c r="U79" s="43">
        <f>IF(tblShifts[[#This Row],[Date]]="","",IF(OR(tblShifts[[#This Row],[Labour cost]]="",tblShifts[[#This Row],[Std cost per unit]]=""),"",tblShifts[[#This Row],[Labour cost]]-tblShifts[[#This Row],[Std cost per unit]]*tblShifts[[#This Row],[Good units]]))</f>
        <v>52.3618014705883</v>
      </c>
      <c r="V7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79" s="48">
        <f>IF(tblShifts[[#This Row],[Date]]="","",IF(AND(tblShifts[[#This Row],[Date]]&gt;=FFrom,tblShifts[[#This Row],[Date]]&lt;=FTo,OR(DashLine="",tblShifts[[#This Row],[Line]]=DashLine),OR(DashProduct="",tblShifts[[#This Row],[Product]]=DashProduct)),tblShifts[[#This Row],[Date]],""))</f>
        <v>46295</v>
      </c>
      <c r="X79" s="28" t="s">
        <v>149</v>
      </c>
    </row>
    <row r="80" spans="2:24">
      <c r="B80" s="42">
        <v>46295</v>
      </c>
      <c r="C80" s="28" t="s">
        <v>81</v>
      </c>
      <c r="D80" s="28" t="s">
        <v>84</v>
      </c>
      <c r="E80" s="28" t="s">
        <v>89</v>
      </c>
      <c r="F80" s="28" t="s">
        <v>122</v>
      </c>
      <c r="G80" s="32">
        <v>2</v>
      </c>
      <c r="H80" s="32">
        <v>8</v>
      </c>
      <c r="I80" s="36">
        <v>187</v>
      </c>
      <c r="J80" s="43">
        <f>IF(tblShifts[[#This Row],[Date]]="","",IFERROR(INDEX(tblRoles[Loaded rate],MATCH(tblShifts[[#This Row],[Role]],tblRoles[Role],0)),""))</f>
        <v>34.5242647058824</v>
      </c>
      <c r="K80" s="44">
        <f>IF(tblShifts[[#This Row],[Date]]="","",IFERROR(INDEX(tblProducts[Std cycle (s/unit)],MATCH(tblShifts[[#This Row],[Product]],tblProducts[Product],0)),""))</f>
        <v>140</v>
      </c>
      <c r="L80" s="44">
        <f>IF(tblShifts[[#This Row],[Date]]="","",IFERROR(INDEX(tblProducts[Std crew (people)],MATCH(tblShifts[[#This Row],[Product]],tblProducts[Product],0)),""))</f>
        <v>2</v>
      </c>
      <c r="M80" s="44">
        <f>IF(tblShifts[[#This Row],[Date]]="","",tblShifts[[#This Row],[Operators]]*tblShifts[[#This Row],[Hours]])</f>
        <v>16</v>
      </c>
      <c r="N80" s="43">
        <f>IF(tblShifts[[#This Row],[Date]]="","",IF(tblShifts[[#This Row],[Loaded rate]]="","",tblShifts[[#This Row],[Crew hours]]*tblShifts[[#This Row],[Loaded rate]]))</f>
        <v>552.388235294118</v>
      </c>
      <c r="O80" s="45">
        <f>IF(tblShifts[[#This Row],[Date]]="","",IF(OR(tblShifts[[#This Row],[Labour cost]]="",N(tblShifts[[#This Row],[Good units]])=0),"",tblShifts[[#This Row],[Labour cost]]/tblShifts[[#This Row],[Good units]]))</f>
        <v>2.95394778232149</v>
      </c>
      <c r="P80" s="45">
        <f>IF(tblShifts[[#This Row],[Date]]="","",IF(OR(tblShifts[[#This Row],[Loaded rate]]="",tblShifts[[#This Row],[Std cycle]]=""),"",tblShifts[[#This Row],[Std crew]]*tblShifts[[#This Row],[Loaded rate]]*tblShifts[[#This Row],[Std cycle]]/3600))</f>
        <v>2.68522058823529</v>
      </c>
      <c r="Q80" s="43">
        <f>IF(tblShifts[[#This Row],[Date]]="","",IF(tblShifts[[#This Row],[Std cycle]]="","",tblShifts[[#This Row],[Good units]]*tblShifts[[#This Row],[Std crew]]*tblShifts[[#This Row],[Std cycle]]/3600))</f>
        <v>14.5444444444444</v>
      </c>
      <c r="R80" s="46">
        <f>IF(tblShifts[[#This Row],[Date]]="","",IF(OR(tblShifts[[#This Row],[Earned hours]]="",N(tblShifts[[#This Row],[Crew hours]])=0),"",tblShifts[[#This Row],[Earned hours]]/tblShifts[[#This Row],[Crew hours]]))</f>
        <v>0.909027777777778</v>
      </c>
      <c r="S80" s="47" t="str">
        <f>IF(NOT(ISNUMBER(tblShifts[[#This Row],[Efficiency]])),"",IF(tblShifts[[#This Row],[Efficiency]]&gt;=TargetEff,"On target",IF(tblShifts[[#This Row],[Efficiency]]&gt;=TargetEff*(1-0.05),"Near target","Below target")))</f>
        <v>On target</v>
      </c>
      <c r="T80" s="45">
        <f>IF(tblShifts[[#This Row],[Date]]="","",IF(OR(tblShifts[[#This Row],[Cost per unit]]="",tblShifts[[#This Row],[Std cost per unit]]=""),"",tblShifts[[#This Row],[Cost per unit]]-tblShifts[[#This Row],[Std cost per unit]]))</f>
        <v>0.26872719408619</v>
      </c>
      <c r="U80" s="43">
        <f>IF(tblShifts[[#This Row],[Date]]="","",IF(OR(tblShifts[[#This Row],[Labour cost]]="",tblShifts[[#This Row],[Std cost per unit]]=""),"",tblShifts[[#This Row],[Labour cost]]-tblShifts[[#This Row],[Std cost per unit]]*tblShifts[[#This Row],[Good units]]))</f>
        <v>50.2519852941176</v>
      </c>
      <c r="V8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0" s="48">
        <f>IF(tblShifts[[#This Row],[Date]]="","",IF(AND(tblShifts[[#This Row],[Date]]&gt;=FFrom,tblShifts[[#This Row],[Date]]&lt;=FTo,OR(DashLine="",tblShifts[[#This Row],[Line]]=DashLine),OR(DashProduct="",tblShifts[[#This Row],[Product]]=DashProduct)),tblShifts[[#This Row],[Date]],""))</f>
        <v>46295</v>
      </c>
      <c r="X80" s="28" t="s">
        <v>149</v>
      </c>
    </row>
    <row r="81" spans="2:24">
      <c r="B81" s="42">
        <v>46295</v>
      </c>
      <c r="C81" s="28" t="s">
        <v>81</v>
      </c>
      <c r="D81" s="28" t="s">
        <v>85</v>
      </c>
      <c r="E81" s="28" t="s">
        <v>93</v>
      </c>
      <c r="F81" s="28" t="s">
        <v>123</v>
      </c>
      <c r="G81" s="32">
        <v>2</v>
      </c>
      <c r="H81" s="32">
        <v>8</v>
      </c>
      <c r="I81" s="36">
        <v>60</v>
      </c>
      <c r="J81" s="43">
        <f>IF(tblShifts[[#This Row],[Date]]="","",IFERROR(INDEX(tblRoles[Loaded rate],MATCH(tblShifts[[#This Row],[Role]],tblRoles[Role],0)),""))</f>
        <v>45.2216806722689</v>
      </c>
      <c r="K81" s="44">
        <f>IF(tblShifts[[#This Row],[Date]]="","",IFERROR(INDEX(tblProducts[Std cycle (s/unit)],MATCH(tblShifts[[#This Row],[Product]],tblProducts[Product],0)),""))</f>
        <v>420</v>
      </c>
      <c r="L81" s="44">
        <f>IF(tblShifts[[#This Row],[Date]]="","",IFERROR(INDEX(tblProducts[Std crew (people)],MATCH(tblShifts[[#This Row],[Product]],tblProducts[Product],0)),""))</f>
        <v>2</v>
      </c>
      <c r="M81" s="44">
        <f>IF(tblShifts[[#This Row],[Date]]="","",tblShifts[[#This Row],[Operators]]*tblShifts[[#This Row],[Hours]])</f>
        <v>16</v>
      </c>
      <c r="N81" s="43">
        <f>IF(tblShifts[[#This Row],[Date]]="","",IF(tblShifts[[#This Row],[Loaded rate]]="","",tblShifts[[#This Row],[Crew hours]]*tblShifts[[#This Row],[Loaded rate]]))</f>
        <v>723.546890756303</v>
      </c>
      <c r="O81" s="45">
        <f>IF(tblShifts[[#This Row],[Date]]="","",IF(OR(tblShifts[[#This Row],[Labour cost]]="",N(tblShifts[[#This Row],[Good units]])=0),"",tblShifts[[#This Row],[Labour cost]]/tblShifts[[#This Row],[Good units]]))</f>
        <v>12.0591148459384</v>
      </c>
      <c r="P81" s="45">
        <f>IF(tblShifts[[#This Row],[Date]]="","",IF(OR(tblShifts[[#This Row],[Loaded rate]]="",tblShifts[[#This Row],[Std cycle]]=""),"",tblShifts[[#This Row],[Std crew]]*tblShifts[[#This Row],[Loaded rate]]*tblShifts[[#This Row],[Std cycle]]/3600))</f>
        <v>10.5517254901961</v>
      </c>
      <c r="Q81" s="43">
        <f>IF(tblShifts[[#This Row],[Date]]="","",IF(tblShifts[[#This Row],[Std cycle]]="","",tblShifts[[#This Row],[Good units]]*tblShifts[[#This Row],[Std crew]]*tblShifts[[#This Row],[Std cycle]]/3600))</f>
        <v>14</v>
      </c>
      <c r="R81" s="46">
        <f>IF(tblShifts[[#This Row],[Date]]="","",IF(OR(tblShifts[[#This Row],[Earned hours]]="",N(tblShifts[[#This Row],[Crew hours]])=0),"",tblShifts[[#This Row],[Earned hours]]/tblShifts[[#This Row],[Crew hours]]))</f>
        <v>0.875</v>
      </c>
      <c r="S81" s="47" t="str">
        <f>IF(NOT(ISNUMBER(tblShifts[[#This Row],[Efficiency]])),"",IF(tblShifts[[#This Row],[Efficiency]]&gt;=TargetEff,"On target",IF(tblShifts[[#This Row],[Efficiency]]&gt;=TargetEff*(1-0.05),"Near target","Below target")))</f>
        <v>On target</v>
      </c>
      <c r="T81" s="45">
        <f>IF(tblShifts[[#This Row],[Date]]="","",IF(OR(tblShifts[[#This Row],[Cost per unit]]="",tblShifts[[#This Row],[Std cost per unit]]=""),"",tblShifts[[#This Row],[Cost per unit]]-tblShifts[[#This Row],[Std cost per unit]]))</f>
        <v>1.5073893557423</v>
      </c>
      <c r="U81" s="43">
        <f>IF(tblShifts[[#This Row],[Date]]="","",IF(OR(tblShifts[[#This Row],[Labour cost]]="",tblShifts[[#This Row],[Std cost per unit]]=""),"",tblShifts[[#This Row],[Labour cost]]-tblShifts[[#This Row],[Std cost per unit]]*tblShifts[[#This Row],[Good units]]))</f>
        <v>90.4433613445378</v>
      </c>
      <c r="V8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1" s="48">
        <f>IF(tblShifts[[#This Row],[Date]]="","",IF(AND(tblShifts[[#This Row],[Date]]&gt;=FFrom,tblShifts[[#This Row],[Date]]&lt;=FTo,OR(DashLine="",tblShifts[[#This Row],[Line]]=DashLine),OR(DashProduct="",tblShifts[[#This Row],[Product]]=DashProduct)),tblShifts[[#This Row],[Date]],""))</f>
        <v>46295</v>
      </c>
      <c r="X81" s="28" t="s">
        <v>149</v>
      </c>
    </row>
    <row r="82" spans="2:24">
      <c r="B82" s="42">
        <v>46295</v>
      </c>
      <c r="C82" s="28" t="s">
        <v>83</v>
      </c>
      <c r="D82" s="28" t="s">
        <v>82</v>
      </c>
      <c r="E82" s="28" t="s">
        <v>87</v>
      </c>
      <c r="F82" s="28" t="s">
        <v>122</v>
      </c>
      <c r="G82" s="32">
        <v>3</v>
      </c>
      <c r="H82" s="32">
        <v>8</v>
      </c>
      <c r="I82" s="36">
        <v>271</v>
      </c>
      <c r="J82" s="43">
        <f>IF(tblShifts[[#This Row],[Date]]="","",IFERROR(INDEX(tblRoles[Loaded rate],MATCH(tblShifts[[#This Row],[Role]],tblRoles[Role],0)),""))</f>
        <v>34.5242647058824</v>
      </c>
      <c r="K82" s="44">
        <f>IF(tblShifts[[#This Row],[Date]]="","",IFERROR(INDEX(tblProducts[Std cycle (s/unit)],MATCH(tblShifts[[#This Row],[Product]],tblProducts[Product],0)),""))</f>
        <v>95</v>
      </c>
      <c r="L82" s="44">
        <f>IF(tblShifts[[#This Row],[Date]]="","",IFERROR(INDEX(tblProducts[Std crew (people)],MATCH(tblShifts[[#This Row],[Product]],tblProducts[Product],0)),""))</f>
        <v>3</v>
      </c>
      <c r="M82" s="44">
        <f>IF(tblShifts[[#This Row],[Date]]="","",tblShifts[[#This Row],[Operators]]*tblShifts[[#This Row],[Hours]])</f>
        <v>24</v>
      </c>
      <c r="N82" s="43">
        <f>IF(tblShifts[[#This Row],[Date]]="","",IF(tblShifts[[#This Row],[Loaded rate]]="","",tblShifts[[#This Row],[Crew hours]]*tblShifts[[#This Row],[Loaded rate]]))</f>
        <v>828.582352941176</v>
      </c>
      <c r="O82" s="45">
        <f>IF(tblShifts[[#This Row],[Date]]="","",IF(OR(tblShifts[[#This Row],[Labour cost]]="",N(tblShifts[[#This Row],[Good units]])=0),"",tblShifts[[#This Row],[Labour cost]]/tblShifts[[#This Row],[Good units]]))</f>
        <v>3.05749945734751</v>
      </c>
      <c r="P82" s="45">
        <f>IF(tblShifts[[#This Row],[Date]]="","",IF(OR(tblShifts[[#This Row],[Loaded rate]]="",tblShifts[[#This Row],[Std cycle]]=""),"",tblShifts[[#This Row],[Std crew]]*tblShifts[[#This Row],[Loaded rate]]*tblShifts[[#This Row],[Std cycle]]/3600))</f>
        <v>2.73317095588235</v>
      </c>
      <c r="Q82" s="43">
        <f>IF(tblShifts[[#This Row],[Date]]="","",IF(tblShifts[[#This Row],[Std cycle]]="","",tblShifts[[#This Row],[Good units]]*tblShifts[[#This Row],[Std crew]]*tblShifts[[#This Row],[Std cycle]]/3600))</f>
        <v>21.4541666666667</v>
      </c>
      <c r="R82" s="46">
        <f>IF(tblShifts[[#This Row],[Date]]="","",IF(OR(tblShifts[[#This Row],[Earned hours]]="",N(tblShifts[[#This Row],[Crew hours]])=0),"",tblShifts[[#This Row],[Earned hours]]/tblShifts[[#This Row],[Crew hours]]))</f>
        <v>0.893923611111111</v>
      </c>
      <c r="S82" s="47" t="str">
        <f>IF(NOT(ISNUMBER(tblShifts[[#This Row],[Efficiency]])),"",IF(tblShifts[[#This Row],[Efficiency]]&gt;=TargetEff,"On target",IF(tblShifts[[#This Row],[Efficiency]]&gt;=TargetEff*(1-0.05),"Near target","Below target")))</f>
        <v>On target</v>
      </c>
      <c r="T82" s="45">
        <f>IF(tblShifts[[#This Row],[Date]]="","",IF(OR(tblShifts[[#This Row],[Cost per unit]]="",tblShifts[[#This Row],[Std cost per unit]]=""),"",tblShifts[[#This Row],[Cost per unit]]-tblShifts[[#This Row],[Std cost per unit]]))</f>
        <v>0.324328501465162</v>
      </c>
      <c r="U82" s="43">
        <f>IF(tblShifts[[#This Row],[Date]]="","",IF(OR(tblShifts[[#This Row],[Labour cost]]="",tblShifts[[#This Row],[Std cost per unit]]=""),"",tblShifts[[#This Row],[Labour cost]]-tblShifts[[#This Row],[Std cost per unit]]*tblShifts[[#This Row],[Good units]]))</f>
        <v>87.8930238970588</v>
      </c>
      <c r="V8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2" s="48">
        <f>IF(tblShifts[[#This Row],[Date]]="","",IF(AND(tblShifts[[#This Row],[Date]]&gt;=FFrom,tblShifts[[#This Row],[Date]]&lt;=FTo,OR(DashLine="",tblShifts[[#This Row],[Line]]=DashLine),OR(DashProduct="",tblShifts[[#This Row],[Product]]=DashProduct)),tblShifts[[#This Row],[Date]],""))</f>
        <v>46295</v>
      </c>
      <c r="X82" s="28" t="s">
        <v>149</v>
      </c>
    </row>
    <row r="83" spans="2:24">
      <c r="B83" s="42">
        <v>46295</v>
      </c>
      <c r="C83" s="28" t="s">
        <v>83</v>
      </c>
      <c r="D83" s="28" t="s">
        <v>84</v>
      </c>
      <c r="E83" s="28" t="s">
        <v>89</v>
      </c>
      <c r="F83" s="28" t="s">
        <v>122</v>
      </c>
      <c r="G83" s="32">
        <v>2</v>
      </c>
      <c r="H83" s="32">
        <v>10</v>
      </c>
      <c r="I83" s="36">
        <v>201</v>
      </c>
      <c r="J83" s="43">
        <f>IF(tblShifts[[#This Row],[Date]]="","",IFERROR(INDEX(tblRoles[Loaded rate],MATCH(tblShifts[[#This Row],[Role]],tblRoles[Role],0)),""))</f>
        <v>34.5242647058824</v>
      </c>
      <c r="K83" s="44">
        <f>IF(tblShifts[[#This Row],[Date]]="","",IFERROR(INDEX(tblProducts[Std cycle (s/unit)],MATCH(tblShifts[[#This Row],[Product]],tblProducts[Product],0)),""))</f>
        <v>140</v>
      </c>
      <c r="L83" s="44">
        <f>IF(tblShifts[[#This Row],[Date]]="","",IFERROR(INDEX(tblProducts[Std crew (people)],MATCH(tblShifts[[#This Row],[Product]],tblProducts[Product],0)),""))</f>
        <v>2</v>
      </c>
      <c r="M83" s="44">
        <f>IF(tblShifts[[#This Row],[Date]]="","",tblShifts[[#This Row],[Operators]]*tblShifts[[#This Row],[Hours]])</f>
        <v>20</v>
      </c>
      <c r="N83" s="43">
        <f>IF(tblShifts[[#This Row],[Date]]="","",IF(tblShifts[[#This Row],[Loaded rate]]="","",tblShifts[[#This Row],[Crew hours]]*tblShifts[[#This Row],[Loaded rate]]))</f>
        <v>690.485294117647</v>
      </c>
      <c r="O83" s="45">
        <f>IF(tblShifts[[#This Row],[Date]]="","",IF(OR(tblShifts[[#This Row],[Labour cost]]="",N(tblShifts[[#This Row],[Good units]])=0),"",tblShifts[[#This Row],[Labour cost]]/tblShifts[[#This Row],[Good units]]))</f>
        <v>3.43525021949078</v>
      </c>
      <c r="P83" s="45">
        <f>IF(tblShifts[[#This Row],[Date]]="","",IF(OR(tblShifts[[#This Row],[Loaded rate]]="",tblShifts[[#This Row],[Std cycle]]=""),"",tblShifts[[#This Row],[Std crew]]*tblShifts[[#This Row],[Loaded rate]]*tblShifts[[#This Row],[Std cycle]]/3600))</f>
        <v>2.68522058823529</v>
      </c>
      <c r="Q83" s="43">
        <f>IF(tblShifts[[#This Row],[Date]]="","",IF(tblShifts[[#This Row],[Std cycle]]="","",tblShifts[[#This Row],[Good units]]*tblShifts[[#This Row],[Std crew]]*tblShifts[[#This Row],[Std cycle]]/3600))</f>
        <v>15.6333333333333</v>
      </c>
      <c r="R83" s="46">
        <f>IF(tblShifts[[#This Row],[Date]]="","",IF(OR(tblShifts[[#This Row],[Earned hours]]="",N(tblShifts[[#This Row],[Crew hours]])=0),"",tblShifts[[#This Row],[Earned hours]]/tblShifts[[#This Row],[Crew hours]]))</f>
        <v>0.781666666666667</v>
      </c>
      <c r="S83" s="47" t="str">
        <f>IF(NOT(ISNUMBER(tblShifts[[#This Row],[Efficiency]])),"",IF(tblShifts[[#This Row],[Efficiency]]&gt;=TargetEff,"On target",IF(tblShifts[[#This Row],[Efficiency]]&gt;=TargetEff*(1-0.05),"Near target","Below target")))</f>
        <v>Below target</v>
      </c>
      <c r="T83" s="45">
        <f>IF(tblShifts[[#This Row],[Date]]="","",IF(OR(tblShifts[[#This Row],[Cost per unit]]="",tblShifts[[#This Row],[Std cost per unit]]=""),"",tblShifts[[#This Row],[Cost per unit]]-tblShifts[[#This Row],[Std cost per unit]]))</f>
        <v>0.750029631255487</v>
      </c>
      <c r="U83" s="43">
        <f>IF(tblShifts[[#This Row],[Date]]="","",IF(OR(tblShifts[[#This Row],[Labour cost]]="",tblShifts[[#This Row],[Std cost per unit]]=""),"",tblShifts[[#This Row],[Labour cost]]-tblShifts[[#This Row],[Std cost per unit]]*tblShifts[[#This Row],[Good units]]))</f>
        <v>150.755955882353</v>
      </c>
      <c r="V8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3" s="48">
        <f>IF(tblShifts[[#This Row],[Date]]="","",IF(AND(tblShifts[[#This Row],[Date]]&gt;=FFrom,tblShifts[[#This Row],[Date]]&lt;=FTo,OR(DashLine="",tblShifts[[#This Row],[Line]]=DashLine),OR(DashProduct="",tblShifts[[#This Row],[Product]]=DashProduct)),tblShifts[[#This Row],[Date]],""))</f>
        <v>46295</v>
      </c>
      <c r="X83" s="28" t="s">
        <v>149</v>
      </c>
    </row>
    <row r="84" spans="2:24">
      <c r="B84" s="42">
        <v>46295</v>
      </c>
      <c r="C84" s="28" t="s">
        <v>83</v>
      </c>
      <c r="D84" s="28" t="s">
        <v>85</v>
      </c>
      <c r="E84" s="28" t="s">
        <v>93</v>
      </c>
      <c r="F84" s="28" t="s">
        <v>123</v>
      </c>
      <c r="G84" s="32">
        <v>2</v>
      </c>
      <c r="H84" s="32">
        <v>10</v>
      </c>
      <c r="I84" s="36">
        <v>82</v>
      </c>
      <c r="J84" s="43">
        <f>IF(tblShifts[[#This Row],[Date]]="","",IFERROR(INDEX(tblRoles[Loaded rate],MATCH(tblShifts[[#This Row],[Role]],tblRoles[Role],0)),""))</f>
        <v>45.2216806722689</v>
      </c>
      <c r="K84" s="44">
        <f>IF(tblShifts[[#This Row],[Date]]="","",IFERROR(INDEX(tblProducts[Std cycle (s/unit)],MATCH(tblShifts[[#This Row],[Product]],tblProducts[Product],0)),""))</f>
        <v>420</v>
      </c>
      <c r="L84" s="44">
        <f>IF(tblShifts[[#This Row],[Date]]="","",IFERROR(INDEX(tblProducts[Std crew (people)],MATCH(tblShifts[[#This Row],[Product]],tblProducts[Product],0)),""))</f>
        <v>2</v>
      </c>
      <c r="M84" s="44">
        <f>IF(tblShifts[[#This Row],[Date]]="","",tblShifts[[#This Row],[Operators]]*tblShifts[[#This Row],[Hours]])</f>
        <v>20</v>
      </c>
      <c r="N84" s="43">
        <f>IF(tblShifts[[#This Row],[Date]]="","",IF(tblShifts[[#This Row],[Loaded rate]]="","",tblShifts[[#This Row],[Crew hours]]*tblShifts[[#This Row],[Loaded rate]]))</f>
        <v>904.433613445378</v>
      </c>
      <c r="O84" s="45">
        <f>IF(tblShifts[[#This Row],[Date]]="","",IF(OR(tblShifts[[#This Row],[Labour cost]]="",N(tblShifts[[#This Row],[Good units]])=0),"",tblShifts[[#This Row],[Labour cost]]/tblShifts[[#This Row],[Good units]]))</f>
        <v>11.0296782127485</v>
      </c>
      <c r="P84" s="45">
        <f>IF(tblShifts[[#This Row],[Date]]="","",IF(OR(tblShifts[[#This Row],[Loaded rate]]="",tblShifts[[#This Row],[Std cycle]]=""),"",tblShifts[[#This Row],[Std crew]]*tblShifts[[#This Row],[Loaded rate]]*tblShifts[[#This Row],[Std cycle]]/3600))</f>
        <v>10.5517254901961</v>
      </c>
      <c r="Q84" s="43">
        <f>IF(tblShifts[[#This Row],[Date]]="","",IF(tblShifts[[#This Row],[Std cycle]]="","",tblShifts[[#This Row],[Good units]]*tblShifts[[#This Row],[Std crew]]*tblShifts[[#This Row],[Std cycle]]/3600))</f>
        <v>19.1333333333333</v>
      </c>
      <c r="R84" s="46">
        <f>IF(tblShifts[[#This Row],[Date]]="","",IF(OR(tblShifts[[#This Row],[Earned hours]]="",N(tblShifts[[#This Row],[Crew hours]])=0),"",tblShifts[[#This Row],[Earned hours]]/tblShifts[[#This Row],[Crew hours]]))</f>
        <v>0.956666666666667</v>
      </c>
      <c r="S84" s="47" t="str">
        <f>IF(NOT(ISNUMBER(tblShifts[[#This Row],[Efficiency]])),"",IF(tblShifts[[#This Row],[Efficiency]]&gt;=TargetEff,"On target",IF(tblShifts[[#This Row],[Efficiency]]&gt;=TargetEff*(1-0.05),"Near target","Below target")))</f>
        <v>On target</v>
      </c>
      <c r="T84" s="45">
        <f>IF(tblShifts[[#This Row],[Date]]="","",IF(OR(tblShifts[[#This Row],[Cost per unit]]="",tblShifts[[#This Row],[Std cost per unit]]=""),"",tblShifts[[#This Row],[Cost per unit]]-tblShifts[[#This Row],[Std cost per unit]]))</f>
        <v>0.477952722552436</v>
      </c>
      <c r="U84" s="43">
        <f>IF(tblShifts[[#This Row],[Date]]="","",IF(OR(tblShifts[[#This Row],[Labour cost]]="",tblShifts[[#This Row],[Std cost per unit]]=""),"",tblShifts[[#This Row],[Labour cost]]-tblShifts[[#This Row],[Std cost per unit]]*tblShifts[[#This Row],[Good units]]))</f>
        <v>39.1921232492998</v>
      </c>
      <c r="V8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4" s="48">
        <f>IF(tblShifts[[#This Row],[Date]]="","",IF(AND(tblShifts[[#This Row],[Date]]&gt;=FFrom,tblShifts[[#This Row],[Date]]&lt;=FTo,OR(DashLine="",tblShifts[[#This Row],[Line]]=DashLine),OR(DashProduct="",tblShifts[[#This Row],[Product]]=DashProduct)),tblShifts[[#This Row],[Date]],""))</f>
        <v>46295</v>
      </c>
      <c r="X84" s="28" t="s">
        <v>149</v>
      </c>
    </row>
    <row r="85" spans="2:24">
      <c r="B85" s="42">
        <v>46296</v>
      </c>
      <c r="C85" s="28" t="s">
        <v>81</v>
      </c>
      <c r="D85" s="28" t="s">
        <v>82</v>
      </c>
      <c r="E85" s="28" t="s">
        <v>87</v>
      </c>
      <c r="F85" s="28" t="s">
        <v>122</v>
      </c>
      <c r="G85" s="32">
        <v>3</v>
      </c>
      <c r="H85" s="32">
        <v>8</v>
      </c>
      <c r="I85" s="36">
        <v>282</v>
      </c>
      <c r="J85" s="43">
        <f>IF(tblShifts[[#This Row],[Date]]="","",IFERROR(INDEX(tblRoles[Loaded rate],MATCH(tblShifts[[#This Row],[Role]],tblRoles[Role],0)),""))</f>
        <v>34.5242647058824</v>
      </c>
      <c r="K85" s="44">
        <f>IF(tblShifts[[#This Row],[Date]]="","",IFERROR(INDEX(tblProducts[Std cycle (s/unit)],MATCH(tblShifts[[#This Row],[Product]],tblProducts[Product],0)),""))</f>
        <v>95</v>
      </c>
      <c r="L85" s="44">
        <f>IF(tblShifts[[#This Row],[Date]]="","",IFERROR(INDEX(tblProducts[Std crew (people)],MATCH(tblShifts[[#This Row],[Product]],tblProducts[Product],0)),""))</f>
        <v>3</v>
      </c>
      <c r="M85" s="44">
        <f>IF(tblShifts[[#This Row],[Date]]="","",tblShifts[[#This Row],[Operators]]*tblShifts[[#This Row],[Hours]])</f>
        <v>24</v>
      </c>
      <c r="N85" s="43">
        <f>IF(tblShifts[[#This Row],[Date]]="","",IF(tblShifts[[#This Row],[Loaded rate]]="","",tblShifts[[#This Row],[Crew hours]]*tblShifts[[#This Row],[Loaded rate]]))</f>
        <v>828.582352941176</v>
      </c>
      <c r="O85" s="45">
        <f>IF(tblShifts[[#This Row],[Date]]="","",IF(OR(tblShifts[[#This Row],[Labour cost]]="",N(tblShifts[[#This Row],[Good units]])=0),"",tblShifts[[#This Row],[Labour cost]]/tblShifts[[#This Row],[Good units]]))</f>
        <v>2.93823529411765</v>
      </c>
      <c r="P85" s="45">
        <f>IF(tblShifts[[#This Row],[Date]]="","",IF(OR(tblShifts[[#This Row],[Loaded rate]]="",tblShifts[[#This Row],[Std cycle]]=""),"",tblShifts[[#This Row],[Std crew]]*tblShifts[[#This Row],[Loaded rate]]*tblShifts[[#This Row],[Std cycle]]/3600))</f>
        <v>2.73317095588235</v>
      </c>
      <c r="Q85" s="43">
        <f>IF(tblShifts[[#This Row],[Date]]="","",IF(tblShifts[[#This Row],[Std cycle]]="","",tblShifts[[#This Row],[Good units]]*tblShifts[[#This Row],[Std crew]]*tblShifts[[#This Row],[Std cycle]]/3600))</f>
        <v>22.325</v>
      </c>
      <c r="R85" s="46">
        <f>IF(tblShifts[[#This Row],[Date]]="","",IF(OR(tblShifts[[#This Row],[Earned hours]]="",N(tblShifts[[#This Row],[Crew hours]])=0),"",tblShifts[[#This Row],[Earned hours]]/tblShifts[[#This Row],[Crew hours]]))</f>
        <v>0.930208333333333</v>
      </c>
      <c r="S85" s="47" t="str">
        <f>IF(NOT(ISNUMBER(tblShifts[[#This Row],[Efficiency]])),"",IF(tblShifts[[#This Row],[Efficiency]]&gt;=TargetEff,"On target",IF(tblShifts[[#This Row],[Efficiency]]&gt;=TargetEff*(1-0.05),"Near target","Below target")))</f>
        <v>On target</v>
      </c>
      <c r="T85" s="45">
        <f>IF(tblShifts[[#This Row],[Date]]="","",IF(OR(tblShifts[[#This Row],[Cost per unit]]="",tblShifts[[#This Row],[Std cost per unit]]=""),"",tblShifts[[#This Row],[Cost per unit]]-tblShifts[[#This Row],[Std cost per unit]]))</f>
        <v>0.205064338235294</v>
      </c>
      <c r="U85" s="43">
        <f>IF(tblShifts[[#This Row],[Date]]="","",IF(OR(tblShifts[[#This Row],[Labour cost]]="",tblShifts[[#This Row],[Std cost per unit]]=""),"",tblShifts[[#This Row],[Labour cost]]-tblShifts[[#This Row],[Std cost per unit]]*tblShifts[[#This Row],[Good units]]))</f>
        <v>57.8281433823529</v>
      </c>
      <c r="V8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5" s="48">
        <f>IF(tblShifts[[#This Row],[Date]]="","",IF(AND(tblShifts[[#This Row],[Date]]&gt;=FFrom,tblShifts[[#This Row],[Date]]&lt;=FTo,OR(DashLine="",tblShifts[[#This Row],[Line]]=DashLine),OR(DashProduct="",tblShifts[[#This Row],[Product]]=DashProduct)),tblShifts[[#This Row],[Date]],""))</f>
        <v>46296</v>
      </c>
      <c r="X85" s="28" t="s">
        <v>149</v>
      </c>
    </row>
    <row r="86" spans="2:24">
      <c r="B86" s="42">
        <v>46296</v>
      </c>
      <c r="C86" s="28" t="s">
        <v>81</v>
      </c>
      <c r="D86" s="28" t="s">
        <v>84</v>
      </c>
      <c r="E86" s="28" t="s">
        <v>91</v>
      </c>
      <c r="F86" s="28" t="s">
        <v>122</v>
      </c>
      <c r="G86" s="32">
        <v>2</v>
      </c>
      <c r="H86" s="32">
        <v>8</v>
      </c>
      <c r="I86" s="36">
        <v>536</v>
      </c>
      <c r="J86" s="43">
        <f>IF(tblShifts[[#This Row],[Date]]="","",IFERROR(INDEX(tblRoles[Loaded rate],MATCH(tblShifts[[#This Row],[Role]],tblRoles[Role],0)),""))</f>
        <v>34.5242647058824</v>
      </c>
      <c r="K86" s="44">
        <f>IF(tblShifts[[#This Row],[Date]]="","",IFERROR(INDEX(tblProducts[Std cycle (s/unit)],MATCH(tblShifts[[#This Row],[Product]],tblProducts[Product],0)),""))</f>
        <v>48</v>
      </c>
      <c r="L86" s="44">
        <f>IF(tblShifts[[#This Row],[Date]]="","",IFERROR(INDEX(tblProducts[Std crew (people)],MATCH(tblShifts[[#This Row],[Product]],tblProducts[Product],0)),""))</f>
        <v>2</v>
      </c>
      <c r="M86" s="44">
        <f>IF(tblShifts[[#This Row],[Date]]="","",tblShifts[[#This Row],[Operators]]*tblShifts[[#This Row],[Hours]])</f>
        <v>16</v>
      </c>
      <c r="N86" s="43">
        <f>IF(tblShifts[[#This Row],[Date]]="","",IF(tblShifts[[#This Row],[Loaded rate]]="","",tblShifts[[#This Row],[Crew hours]]*tblShifts[[#This Row],[Loaded rate]]))</f>
        <v>552.388235294118</v>
      </c>
      <c r="O86" s="45">
        <f>IF(tblShifts[[#This Row],[Date]]="","",IF(OR(tblShifts[[#This Row],[Labour cost]]="",N(tblShifts[[#This Row],[Good units]])=0),"",tblShifts[[#This Row],[Labour cost]]/tblShifts[[#This Row],[Good units]]))</f>
        <v>1.03057506584723</v>
      </c>
      <c r="P86" s="45">
        <f>IF(tblShifts[[#This Row],[Date]]="","",IF(OR(tblShifts[[#This Row],[Loaded rate]]="",tblShifts[[#This Row],[Std cycle]]=""),"",tblShifts[[#This Row],[Std crew]]*tblShifts[[#This Row],[Loaded rate]]*tblShifts[[#This Row],[Std cycle]]/3600))</f>
        <v>0.920647058823529</v>
      </c>
      <c r="Q86" s="43">
        <f>IF(tblShifts[[#This Row],[Date]]="","",IF(tblShifts[[#This Row],[Std cycle]]="","",tblShifts[[#This Row],[Good units]]*tblShifts[[#This Row],[Std crew]]*tblShifts[[#This Row],[Std cycle]]/3600))</f>
        <v>14.2933333333333</v>
      </c>
      <c r="R86" s="46">
        <f>IF(tblShifts[[#This Row],[Date]]="","",IF(OR(tblShifts[[#This Row],[Earned hours]]="",N(tblShifts[[#This Row],[Crew hours]])=0),"",tblShifts[[#This Row],[Earned hours]]/tblShifts[[#This Row],[Crew hours]]))</f>
        <v>0.893333333333333</v>
      </c>
      <c r="S86" s="47" t="str">
        <f>IF(NOT(ISNUMBER(tblShifts[[#This Row],[Efficiency]])),"",IF(tblShifts[[#This Row],[Efficiency]]&gt;=TargetEff,"On target",IF(tblShifts[[#This Row],[Efficiency]]&gt;=TargetEff*(1-0.05),"Near target","Below target")))</f>
        <v>On target</v>
      </c>
      <c r="T86" s="45">
        <f>IF(tblShifts[[#This Row],[Date]]="","",IF(OR(tblShifts[[#This Row],[Cost per unit]]="",tblShifts[[#This Row],[Std cost per unit]]=""),"",tblShifts[[#This Row],[Cost per unit]]-tblShifts[[#This Row],[Std cost per unit]]))</f>
        <v>0.109928007023705</v>
      </c>
      <c r="U86" s="43">
        <f>IF(tblShifts[[#This Row],[Date]]="","",IF(OR(tblShifts[[#This Row],[Labour cost]]="",tblShifts[[#This Row],[Std cost per unit]]=""),"",tblShifts[[#This Row],[Labour cost]]-tblShifts[[#This Row],[Std cost per unit]]*tblShifts[[#This Row],[Good units]]))</f>
        <v>58.9214117647059</v>
      </c>
      <c r="V8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6" s="48">
        <f>IF(tblShifts[[#This Row],[Date]]="","",IF(AND(tblShifts[[#This Row],[Date]]&gt;=FFrom,tblShifts[[#This Row],[Date]]&lt;=FTo,OR(DashLine="",tblShifts[[#This Row],[Line]]=DashLine),OR(DashProduct="",tblShifts[[#This Row],[Product]]=DashProduct)),tblShifts[[#This Row],[Date]],""))</f>
        <v>46296</v>
      </c>
      <c r="X86" s="28" t="s">
        <v>149</v>
      </c>
    </row>
    <row r="87" spans="2:24">
      <c r="B87" s="42">
        <v>46296</v>
      </c>
      <c r="C87" s="28" t="s">
        <v>81</v>
      </c>
      <c r="D87" s="28" t="s">
        <v>85</v>
      </c>
      <c r="E87" s="28" t="s">
        <v>93</v>
      </c>
      <c r="F87" s="28" t="s">
        <v>123</v>
      </c>
      <c r="G87" s="32">
        <v>2</v>
      </c>
      <c r="H87" s="32">
        <v>8</v>
      </c>
      <c r="I87" s="36">
        <v>61</v>
      </c>
      <c r="J87" s="43">
        <f>IF(tblShifts[[#This Row],[Date]]="","",IFERROR(INDEX(tblRoles[Loaded rate],MATCH(tblShifts[[#This Row],[Role]],tblRoles[Role],0)),""))</f>
        <v>45.2216806722689</v>
      </c>
      <c r="K87" s="44">
        <f>IF(tblShifts[[#This Row],[Date]]="","",IFERROR(INDEX(tblProducts[Std cycle (s/unit)],MATCH(tblShifts[[#This Row],[Product]],tblProducts[Product],0)),""))</f>
        <v>420</v>
      </c>
      <c r="L87" s="44">
        <f>IF(tblShifts[[#This Row],[Date]]="","",IFERROR(INDEX(tblProducts[Std crew (people)],MATCH(tblShifts[[#This Row],[Product]],tblProducts[Product],0)),""))</f>
        <v>2</v>
      </c>
      <c r="M87" s="44">
        <f>IF(tblShifts[[#This Row],[Date]]="","",tblShifts[[#This Row],[Operators]]*tblShifts[[#This Row],[Hours]])</f>
        <v>16</v>
      </c>
      <c r="N87" s="43">
        <f>IF(tblShifts[[#This Row],[Date]]="","",IF(tblShifts[[#This Row],[Loaded rate]]="","",tblShifts[[#This Row],[Crew hours]]*tblShifts[[#This Row],[Loaded rate]]))</f>
        <v>723.546890756303</v>
      </c>
      <c r="O87" s="45">
        <f>IF(tblShifts[[#This Row],[Date]]="","",IF(OR(tblShifts[[#This Row],[Labour cost]]="",N(tblShifts[[#This Row],[Good units]])=0),"",tblShifts[[#This Row],[Labour cost]]/tblShifts[[#This Row],[Good units]]))</f>
        <v>11.8614244386279</v>
      </c>
      <c r="P87" s="45">
        <f>IF(tblShifts[[#This Row],[Date]]="","",IF(OR(tblShifts[[#This Row],[Loaded rate]]="",tblShifts[[#This Row],[Std cycle]]=""),"",tblShifts[[#This Row],[Std crew]]*tblShifts[[#This Row],[Loaded rate]]*tblShifts[[#This Row],[Std cycle]]/3600))</f>
        <v>10.5517254901961</v>
      </c>
      <c r="Q87" s="43">
        <f>IF(tblShifts[[#This Row],[Date]]="","",IF(tblShifts[[#This Row],[Std cycle]]="","",tblShifts[[#This Row],[Good units]]*tblShifts[[#This Row],[Std crew]]*tblShifts[[#This Row],[Std cycle]]/3600))</f>
        <v>14.2333333333333</v>
      </c>
      <c r="R87" s="46">
        <f>IF(tblShifts[[#This Row],[Date]]="","",IF(OR(tblShifts[[#This Row],[Earned hours]]="",N(tblShifts[[#This Row],[Crew hours]])=0),"",tblShifts[[#This Row],[Earned hours]]/tblShifts[[#This Row],[Crew hours]]))</f>
        <v>0.889583333333333</v>
      </c>
      <c r="S87" s="47" t="str">
        <f>IF(NOT(ISNUMBER(tblShifts[[#This Row],[Efficiency]])),"",IF(tblShifts[[#This Row],[Efficiency]]&gt;=TargetEff,"On target",IF(tblShifts[[#This Row],[Efficiency]]&gt;=TargetEff*(1-0.05),"Near target","Below target")))</f>
        <v>On target</v>
      </c>
      <c r="T87" s="45">
        <f>IF(tblShifts[[#This Row],[Date]]="","",IF(OR(tblShifts[[#This Row],[Cost per unit]]="",tblShifts[[#This Row],[Std cost per unit]]=""),"",tblShifts[[#This Row],[Cost per unit]]-tblShifts[[#This Row],[Std cost per unit]]))</f>
        <v>1.30969894843183</v>
      </c>
      <c r="U87" s="43">
        <f>IF(tblShifts[[#This Row],[Date]]="","",IF(OR(tblShifts[[#This Row],[Labour cost]]="",tblShifts[[#This Row],[Std cost per unit]]=""),"",tblShifts[[#This Row],[Labour cost]]-tblShifts[[#This Row],[Std cost per unit]]*tblShifts[[#This Row],[Good units]]))</f>
        <v>79.8916358543418</v>
      </c>
      <c r="V8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7" s="48">
        <f>IF(tblShifts[[#This Row],[Date]]="","",IF(AND(tblShifts[[#This Row],[Date]]&gt;=FFrom,tblShifts[[#This Row],[Date]]&lt;=FTo,OR(DashLine="",tblShifts[[#This Row],[Line]]=DashLine),OR(DashProduct="",tblShifts[[#This Row],[Product]]=DashProduct)),tblShifts[[#This Row],[Date]],""))</f>
        <v>46296</v>
      </c>
      <c r="X87" s="28" t="s">
        <v>149</v>
      </c>
    </row>
    <row r="88" spans="2:24">
      <c r="B88" s="42">
        <v>46296</v>
      </c>
      <c r="C88" s="28" t="s">
        <v>83</v>
      </c>
      <c r="D88" s="28" t="s">
        <v>82</v>
      </c>
      <c r="E88" s="28" t="s">
        <v>87</v>
      </c>
      <c r="F88" s="28" t="s">
        <v>122</v>
      </c>
      <c r="G88" s="32">
        <v>3</v>
      </c>
      <c r="H88" s="32">
        <v>8</v>
      </c>
      <c r="I88" s="36">
        <v>283</v>
      </c>
      <c r="J88" s="43">
        <f>IF(tblShifts[[#This Row],[Date]]="","",IFERROR(INDEX(tblRoles[Loaded rate],MATCH(tblShifts[[#This Row],[Role]],tblRoles[Role],0)),""))</f>
        <v>34.5242647058824</v>
      </c>
      <c r="K88" s="44">
        <f>IF(tblShifts[[#This Row],[Date]]="","",IFERROR(INDEX(tblProducts[Std cycle (s/unit)],MATCH(tblShifts[[#This Row],[Product]],tblProducts[Product],0)),""))</f>
        <v>95</v>
      </c>
      <c r="L88" s="44">
        <f>IF(tblShifts[[#This Row],[Date]]="","",IFERROR(INDEX(tblProducts[Std crew (people)],MATCH(tblShifts[[#This Row],[Product]],tblProducts[Product],0)),""))</f>
        <v>3</v>
      </c>
      <c r="M88" s="44">
        <f>IF(tblShifts[[#This Row],[Date]]="","",tblShifts[[#This Row],[Operators]]*tblShifts[[#This Row],[Hours]])</f>
        <v>24</v>
      </c>
      <c r="N88" s="43">
        <f>IF(tblShifts[[#This Row],[Date]]="","",IF(tblShifts[[#This Row],[Loaded rate]]="","",tblShifts[[#This Row],[Crew hours]]*tblShifts[[#This Row],[Loaded rate]]))</f>
        <v>828.582352941176</v>
      </c>
      <c r="O88" s="45">
        <f>IF(tblShifts[[#This Row],[Date]]="","",IF(OR(tblShifts[[#This Row],[Labour cost]]="",N(tblShifts[[#This Row],[Good units]])=0),"",tblShifts[[#This Row],[Labour cost]]/tblShifts[[#This Row],[Good units]]))</f>
        <v>2.92785283724797</v>
      </c>
      <c r="P88" s="45">
        <f>IF(tblShifts[[#This Row],[Date]]="","",IF(OR(tblShifts[[#This Row],[Loaded rate]]="",tblShifts[[#This Row],[Std cycle]]=""),"",tblShifts[[#This Row],[Std crew]]*tblShifts[[#This Row],[Loaded rate]]*tblShifts[[#This Row],[Std cycle]]/3600))</f>
        <v>2.73317095588235</v>
      </c>
      <c r="Q88" s="43">
        <f>IF(tblShifts[[#This Row],[Date]]="","",IF(tblShifts[[#This Row],[Std cycle]]="","",tblShifts[[#This Row],[Good units]]*tblShifts[[#This Row],[Std crew]]*tblShifts[[#This Row],[Std cycle]]/3600))</f>
        <v>22.4041666666667</v>
      </c>
      <c r="R88" s="46">
        <f>IF(tblShifts[[#This Row],[Date]]="","",IF(OR(tblShifts[[#This Row],[Earned hours]]="",N(tblShifts[[#This Row],[Crew hours]])=0),"",tblShifts[[#This Row],[Earned hours]]/tblShifts[[#This Row],[Crew hours]]))</f>
        <v>0.933506944444444</v>
      </c>
      <c r="S88" s="47" t="str">
        <f>IF(NOT(ISNUMBER(tblShifts[[#This Row],[Efficiency]])),"",IF(tblShifts[[#This Row],[Efficiency]]&gt;=TargetEff,"On target",IF(tblShifts[[#This Row],[Efficiency]]&gt;=TargetEff*(1-0.05),"Near target","Below target")))</f>
        <v>On target</v>
      </c>
      <c r="T88" s="45">
        <f>IF(tblShifts[[#This Row],[Date]]="","",IF(OR(tblShifts[[#This Row],[Cost per unit]]="",tblShifts[[#This Row],[Std cost per unit]]=""),"",tblShifts[[#This Row],[Cost per unit]]-tblShifts[[#This Row],[Std cost per unit]]))</f>
        <v>0.194681881365621</v>
      </c>
      <c r="U88" s="43">
        <f>IF(tblShifts[[#This Row],[Date]]="","",IF(OR(tblShifts[[#This Row],[Labour cost]]="",tblShifts[[#This Row],[Std cost per unit]]=""),"",tblShifts[[#This Row],[Labour cost]]-tblShifts[[#This Row],[Std cost per unit]]*tblShifts[[#This Row],[Good units]]))</f>
        <v>55.0949724264706</v>
      </c>
      <c r="V8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8" s="48">
        <f>IF(tblShifts[[#This Row],[Date]]="","",IF(AND(tblShifts[[#This Row],[Date]]&gt;=FFrom,tblShifts[[#This Row],[Date]]&lt;=FTo,OR(DashLine="",tblShifts[[#This Row],[Line]]=DashLine),OR(DashProduct="",tblShifts[[#This Row],[Product]]=DashProduct)),tblShifts[[#This Row],[Date]],""))</f>
        <v>46296</v>
      </c>
      <c r="X88" s="28" t="s">
        <v>149</v>
      </c>
    </row>
    <row r="89" spans="2:24">
      <c r="B89" s="42">
        <v>46296</v>
      </c>
      <c r="C89" s="28" t="s">
        <v>83</v>
      </c>
      <c r="D89" s="28" t="s">
        <v>84</v>
      </c>
      <c r="E89" s="28" t="s">
        <v>91</v>
      </c>
      <c r="F89" s="28" t="s">
        <v>122</v>
      </c>
      <c r="G89" s="32">
        <v>2</v>
      </c>
      <c r="H89" s="32">
        <v>8</v>
      </c>
      <c r="I89" s="36">
        <v>432</v>
      </c>
      <c r="J89" s="43">
        <f>IF(tblShifts[[#This Row],[Date]]="","",IFERROR(INDEX(tblRoles[Loaded rate],MATCH(tblShifts[[#This Row],[Role]],tblRoles[Role],0)),""))</f>
        <v>34.5242647058824</v>
      </c>
      <c r="K89" s="44">
        <f>IF(tblShifts[[#This Row],[Date]]="","",IFERROR(INDEX(tblProducts[Std cycle (s/unit)],MATCH(tblShifts[[#This Row],[Product]],tblProducts[Product],0)),""))</f>
        <v>48</v>
      </c>
      <c r="L89" s="44">
        <f>IF(tblShifts[[#This Row],[Date]]="","",IFERROR(INDEX(tblProducts[Std crew (people)],MATCH(tblShifts[[#This Row],[Product]],tblProducts[Product],0)),""))</f>
        <v>2</v>
      </c>
      <c r="M89" s="44">
        <f>IF(tblShifts[[#This Row],[Date]]="","",tblShifts[[#This Row],[Operators]]*tblShifts[[#This Row],[Hours]])</f>
        <v>16</v>
      </c>
      <c r="N89" s="43">
        <f>IF(tblShifts[[#This Row],[Date]]="","",IF(tblShifts[[#This Row],[Loaded rate]]="","",tblShifts[[#This Row],[Crew hours]]*tblShifts[[#This Row],[Loaded rate]]))</f>
        <v>552.388235294118</v>
      </c>
      <c r="O89" s="45">
        <f>IF(tblShifts[[#This Row],[Date]]="","",IF(OR(tblShifts[[#This Row],[Labour cost]]="",N(tblShifts[[#This Row],[Good units]])=0),"",tblShifts[[#This Row],[Labour cost]]/tblShifts[[#This Row],[Good units]]))</f>
        <v>1.27867647058824</v>
      </c>
      <c r="P89" s="45">
        <f>IF(tblShifts[[#This Row],[Date]]="","",IF(OR(tblShifts[[#This Row],[Loaded rate]]="",tblShifts[[#This Row],[Std cycle]]=""),"",tblShifts[[#This Row],[Std crew]]*tblShifts[[#This Row],[Loaded rate]]*tblShifts[[#This Row],[Std cycle]]/3600))</f>
        <v>0.920647058823529</v>
      </c>
      <c r="Q89" s="43">
        <f>IF(tblShifts[[#This Row],[Date]]="","",IF(tblShifts[[#This Row],[Std cycle]]="","",tblShifts[[#This Row],[Good units]]*tblShifts[[#This Row],[Std crew]]*tblShifts[[#This Row],[Std cycle]]/3600))</f>
        <v>11.52</v>
      </c>
      <c r="R89" s="46">
        <f>IF(tblShifts[[#This Row],[Date]]="","",IF(OR(tblShifts[[#This Row],[Earned hours]]="",N(tblShifts[[#This Row],[Crew hours]])=0),"",tblShifts[[#This Row],[Earned hours]]/tblShifts[[#This Row],[Crew hours]]))</f>
        <v>0.72</v>
      </c>
      <c r="S89" s="47" t="str">
        <f>IF(NOT(ISNUMBER(tblShifts[[#This Row],[Efficiency]])),"",IF(tblShifts[[#This Row],[Efficiency]]&gt;=TargetEff,"On target",IF(tblShifts[[#This Row],[Efficiency]]&gt;=TargetEff*(1-0.05),"Near target","Below target")))</f>
        <v>Below target</v>
      </c>
      <c r="T89" s="45">
        <f>IF(tblShifts[[#This Row],[Date]]="","",IF(OR(tblShifts[[#This Row],[Cost per unit]]="",tblShifts[[#This Row],[Std cost per unit]]=""),"",tblShifts[[#This Row],[Cost per unit]]-tblShifts[[#This Row],[Std cost per unit]]))</f>
        <v>0.358029411764706</v>
      </c>
      <c r="U89" s="43">
        <f>IF(tblShifts[[#This Row],[Date]]="","",IF(OR(tblShifts[[#This Row],[Labour cost]]="",tblShifts[[#This Row],[Std cost per unit]]=""),"",tblShifts[[#This Row],[Labour cost]]-tblShifts[[#This Row],[Std cost per unit]]*tblShifts[[#This Row],[Good units]]))</f>
        <v>154.668705882353</v>
      </c>
      <c r="V8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89" s="48">
        <f>IF(tblShifts[[#This Row],[Date]]="","",IF(AND(tblShifts[[#This Row],[Date]]&gt;=FFrom,tblShifts[[#This Row],[Date]]&lt;=FTo,OR(DashLine="",tblShifts[[#This Row],[Line]]=DashLine),OR(DashProduct="",tblShifts[[#This Row],[Product]]=DashProduct)),tblShifts[[#This Row],[Date]],""))</f>
        <v>46296</v>
      </c>
      <c r="X89" s="28" t="s">
        <v>149</v>
      </c>
    </row>
    <row r="90" spans="2:24">
      <c r="B90" s="42">
        <v>46296</v>
      </c>
      <c r="C90" s="28" t="s">
        <v>83</v>
      </c>
      <c r="D90" s="28" t="s">
        <v>85</v>
      </c>
      <c r="E90" s="28" t="s">
        <v>93</v>
      </c>
      <c r="F90" s="28" t="s">
        <v>123</v>
      </c>
      <c r="G90" s="32">
        <v>2</v>
      </c>
      <c r="H90" s="32">
        <v>8</v>
      </c>
      <c r="I90" s="36">
        <v>61</v>
      </c>
      <c r="J90" s="43">
        <f>IF(tblShifts[[#This Row],[Date]]="","",IFERROR(INDEX(tblRoles[Loaded rate],MATCH(tblShifts[[#This Row],[Role]],tblRoles[Role],0)),""))</f>
        <v>45.2216806722689</v>
      </c>
      <c r="K90" s="44">
        <f>IF(tblShifts[[#This Row],[Date]]="","",IFERROR(INDEX(tblProducts[Std cycle (s/unit)],MATCH(tblShifts[[#This Row],[Product]],tblProducts[Product],0)),""))</f>
        <v>420</v>
      </c>
      <c r="L90" s="44">
        <f>IF(tblShifts[[#This Row],[Date]]="","",IFERROR(INDEX(tblProducts[Std crew (people)],MATCH(tblShifts[[#This Row],[Product]],tblProducts[Product],0)),""))</f>
        <v>2</v>
      </c>
      <c r="M90" s="44">
        <f>IF(tblShifts[[#This Row],[Date]]="","",tblShifts[[#This Row],[Operators]]*tblShifts[[#This Row],[Hours]])</f>
        <v>16</v>
      </c>
      <c r="N90" s="43">
        <f>IF(tblShifts[[#This Row],[Date]]="","",IF(tblShifts[[#This Row],[Loaded rate]]="","",tblShifts[[#This Row],[Crew hours]]*tblShifts[[#This Row],[Loaded rate]]))</f>
        <v>723.546890756303</v>
      </c>
      <c r="O90" s="45">
        <f>IF(tblShifts[[#This Row],[Date]]="","",IF(OR(tblShifts[[#This Row],[Labour cost]]="",N(tblShifts[[#This Row],[Good units]])=0),"",tblShifts[[#This Row],[Labour cost]]/tblShifts[[#This Row],[Good units]]))</f>
        <v>11.8614244386279</v>
      </c>
      <c r="P90" s="45">
        <f>IF(tblShifts[[#This Row],[Date]]="","",IF(OR(tblShifts[[#This Row],[Loaded rate]]="",tblShifts[[#This Row],[Std cycle]]=""),"",tblShifts[[#This Row],[Std crew]]*tblShifts[[#This Row],[Loaded rate]]*tblShifts[[#This Row],[Std cycle]]/3600))</f>
        <v>10.5517254901961</v>
      </c>
      <c r="Q90" s="43">
        <f>IF(tblShifts[[#This Row],[Date]]="","",IF(tblShifts[[#This Row],[Std cycle]]="","",tblShifts[[#This Row],[Good units]]*tblShifts[[#This Row],[Std crew]]*tblShifts[[#This Row],[Std cycle]]/3600))</f>
        <v>14.2333333333333</v>
      </c>
      <c r="R90" s="46">
        <f>IF(tblShifts[[#This Row],[Date]]="","",IF(OR(tblShifts[[#This Row],[Earned hours]]="",N(tblShifts[[#This Row],[Crew hours]])=0),"",tblShifts[[#This Row],[Earned hours]]/tblShifts[[#This Row],[Crew hours]]))</f>
        <v>0.889583333333333</v>
      </c>
      <c r="S90" s="47" t="str">
        <f>IF(NOT(ISNUMBER(tblShifts[[#This Row],[Efficiency]])),"",IF(tblShifts[[#This Row],[Efficiency]]&gt;=TargetEff,"On target",IF(tblShifts[[#This Row],[Efficiency]]&gt;=TargetEff*(1-0.05),"Near target","Below target")))</f>
        <v>On target</v>
      </c>
      <c r="T90" s="45">
        <f>IF(tblShifts[[#This Row],[Date]]="","",IF(OR(tblShifts[[#This Row],[Cost per unit]]="",tblShifts[[#This Row],[Std cost per unit]]=""),"",tblShifts[[#This Row],[Cost per unit]]-tblShifts[[#This Row],[Std cost per unit]]))</f>
        <v>1.30969894843183</v>
      </c>
      <c r="U90" s="43">
        <f>IF(tblShifts[[#This Row],[Date]]="","",IF(OR(tblShifts[[#This Row],[Labour cost]]="",tblShifts[[#This Row],[Std cost per unit]]=""),"",tblShifts[[#This Row],[Labour cost]]-tblShifts[[#This Row],[Std cost per unit]]*tblShifts[[#This Row],[Good units]]))</f>
        <v>79.8916358543418</v>
      </c>
      <c r="V9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0" s="48">
        <f>IF(tblShifts[[#This Row],[Date]]="","",IF(AND(tblShifts[[#This Row],[Date]]&gt;=FFrom,tblShifts[[#This Row],[Date]]&lt;=FTo,OR(DashLine="",tblShifts[[#This Row],[Line]]=DashLine),OR(DashProduct="",tblShifts[[#This Row],[Product]]=DashProduct)),tblShifts[[#This Row],[Date]],""))</f>
        <v>46296</v>
      </c>
      <c r="X90" s="28" t="s">
        <v>149</v>
      </c>
    </row>
    <row r="91" spans="2:24">
      <c r="B91" s="42">
        <v>46297</v>
      </c>
      <c r="C91" s="28" t="s">
        <v>81</v>
      </c>
      <c r="D91" s="28" t="s">
        <v>82</v>
      </c>
      <c r="E91" s="28" t="s">
        <v>87</v>
      </c>
      <c r="F91" s="28" t="s">
        <v>122</v>
      </c>
      <c r="G91" s="32">
        <v>4</v>
      </c>
      <c r="H91" s="32">
        <v>8</v>
      </c>
      <c r="I91" s="36">
        <v>350</v>
      </c>
      <c r="J91" s="43">
        <f>IF(tblShifts[[#This Row],[Date]]="","",IFERROR(INDEX(tblRoles[Loaded rate],MATCH(tblShifts[[#This Row],[Role]],tblRoles[Role],0)),""))</f>
        <v>34.5242647058824</v>
      </c>
      <c r="K91" s="44">
        <f>IF(tblShifts[[#This Row],[Date]]="","",IFERROR(INDEX(tblProducts[Std cycle (s/unit)],MATCH(tblShifts[[#This Row],[Product]],tblProducts[Product],0)),""))</f>
        <v>95</v>
      </c>
      <c r="L91" s="44">
        <f>IF(tblShifts[[#This Row],[Date]]="","",IFERROR(INDEX(tblProducts[Std crew (people)],MATCH(tblShifts[[#This Row],[Product]],tblProducts[Product],0)),""))</f>
        <v>3</v>
      </c>
      <c r="M91" s="44">
        <f>IF(tblShifts[[#This Row],[Date]]="","",tblShifts[[#This Row],[Operators]]*tblShifts[[#This Row],[Hours]])</f>
        <v>32</v>
      </c>
      <c r="N91" s="43">
        <f>IF(tblShifts[[#This Row],[Date]]="","",IF(tblShifts[[#This Row],[Loaded rate]]="","",tblShifts[[#This Row],[Crew hours]]*tblShifts[[#This Row],[Loaded rate]]))</f>
        <v>1104.77647058824</v>
      </c>
      <c r="O91" s="45">
        <f>IF(tblShifts[[#This Row],[Date]]="","",IF(OR(tblShifts[[#This Row],[Labour cost]]="",N(tblShifts[[#This Row],[Good units]])=0),"",tblShifts[[#This Row],[Labour cost]]/tblShifts[[#This Row],[Good units]]))</f>
        <v>3.15650420168067</v>
      </c>
      <c r="P91" s="45">
        <f>IF(tblShifts[[#This Row],[Date]]="","",IF(OR(tblShifts[[#This Row],[Loaded rate]]="",tblShifts[[#This Row],[Std cycle]]=""),"",tblShifts[[#This Row],[Std crew]]*tblShifts[[#This Row],[Loaded rate]]*tblShifts[[#This Row],[Std cycle]]/3600))</f>
        <v>2.73317095588235</v>
      </c>
      <c r="Q91" s="43">
        <f>IF(tblShifts[[#This Row],[Date]]="","",IF(tblShifts[[#This Row],[Std cycle]]="","",tblShifts[[#This Row],[Good units]]*tblShifts[[#This Row],[Std crew]]*tblShifts[[#This Row],[Std cycle]]/3600))</f>
        <v>27.7083333333333</v>
      </c>
      <c r="R91" s="46">
        <f>IF(tblShifts[[#This Row],[Date]]="","",IF(OR(tblShifts[[#This Row],[Earned hours]]="",N(tblShifts[[#This Row],[Crew hours]])=0),"",tblShifts[[#This Row],[Earned hours]]/tblShifts[[#This Row],[Crew hours]]))</f>
        <v>0.865885416666667</v>
      </c>
      <c r="S91" s="47" t="str">
        <f>IF(NOT(ISNUMBER(tblShifts[[#This Row],[Efficiency]])),"",IF(tblShifts[[#This Row],[Efficiency]]&gt;=TargetEff,"On target",IF(tblShifts[[#This Row],[Efficiency]]&gt;=TargetEff*(1-0.05),"Near target","Below target")))</f>
        <v>On target</v>
      </c>
      <c r="T91" s="45">
        <f>IF(tblShifts[[#This Row],[Date]]="","",IF(OR(tblShifts[[#This Row],[Cost per unit]]="",tblShifts[[#This Row],[Std cost per unit]]=""),"",tblShifts[[#This Row],[Cost per unit]]-tblShifts[[#This Row],[Std cost per unit]]))</f>
        <v>0.423333245798319</v>
      </c>
      <c r="U91" s="43">
        <f>IF(tblShifts[[#This Row],[Date]]="","",IF(OR(tblShifts[[#This Row],[Labour cost]]="",tblShifts[[#This Row],[Std cost per unit]]=""),"",tblShifts[[#This Row],[Labour cost]]-tblShifts[[#This Row],[Std cost per unit]]*tblShifts[[#This Row],[Good units]]))</f>
        <v>148.166636029412</v>
      </c>
      <c r="V9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1" s="48">
        <f>IF(tblShifts[[#This Row],[Date]]="","",IF(AND(tblShifts[[#This Row],[Date]]&gt;=FFrom,tblShifts[[#This Row],[Date]]&lt;=FTo,OR(DashLine="",tblShifts[[#This Row],[Line]]=DashLine),OR(DashProduct="",tblShifts[[#This Row],[Product]]=DashProduct)),tblShifts[[#This Row],[Date]],""))</f>
        <v>46297</v>
      </c>
      <c r="X91" s="28" t="s">
        <v>149</v>
      </c>
    </row>
    <row r="92" spans="2:24">
      <c r="B92" s="42">
        <v>46297</v>
      </c>
      <c r="C92" s="28" t="s">
        <v>81</v>
      </c>
      <c r="D92" s="28" t="s">
        <v>84</v>
      </c>
      <c r="E92" s="28" t="s">
        <v>91</v>
      </c>
      <c r="F92" s="28" t="s">
        <v>122</v>
      </c>
      <c r="G92" s="32">
        <v>2</v>
      </c>
      <c r="H92" s="32">
        <v>10</v>
      </c>
      <c r="I92" s="36">
        <v>680</v>
      </c>
      <c r="J92" s="43">
        <f>IF(tblShifts[[#This Row],[Date]]="","",IFERROR(INDEX(tblRoles[Loaded rate],MATCH(tblShifts[[#This Row],[Role]],tblRoles[Role],0)),""))</f>
        <v>34.5242647058824</v>
      </c>
      <c r="K92" s="44">
        <f>IF(tblShifts[[#This Row],[Date]]="","",IFERROR(INDEX(tblProducts[Std cycle (s/unit)],MATCH(tblShifts[[#This Row],[Product]],tblProducts[Product],0)),""))</f>
        <v>48</v>
      </c>
      <c r="L92" s="44">
        <f>IF(tblShifts[[#This Row],[Date]]="","",IFERROR(INDEX(tblProducts[Std crew (people)],MATCH(tblShifts[[#This Row],[Product]],tblProducts[Product],0)),""))</f>
        <v>2</v>
      </c>
      <c r="M92" s="44">
        <f>IF(tblShifts[[#This Row],[Date]]="","",tblShifts[[#This Row],[Operators]]*tblShifts[[#This Row],[Hours]])</f>
        <v>20</v>
      </c>
      <c r="N92" s="43">
        <f>IF(tblShifts[[#This Row],[Date]]="","",IF(tblShifts[[#This Row],[Loaded rate]]="","",tblShifts[[#This Row],[Crew hours]]*tblShifts[[#This Row],[Loaded rate]]))</f>
        <v>690.485294117647</v>
      </c>
      <c r="O92" s="45">
        <f>IF(tblShifts[[#This Row],[Date]]="","",IF(OR(tblShifts[[#This Row],[Labour cost]]="",N(tblShifts[[#This Row],[Good units]])=0),"",tblShifts[[#This Row],[Labour cost]]/tblShifts[[#This Row],[Good units]]))</f>
        <v>1.01541955017301</v>
      </c>
      <c r="P92" s="45">
        <f>IF(tblShifts[[#This Row],[Date]]="","",IF(OR(tblShifts[[#This Row],[Loaded rate]]="",tblShifts[[#This Row],[Std cycle]]=""),"",tblShifts[[#This Row],[Std crew]]*tblShifts[[#This Row],[Loaded rate]]*tblShifts[[#This Row],[Std cycle]]/3600))</f>
        <v>0.920647058823529</v>
      </c>
      <c r="Q92" s="43">
        <f>IF(tblShifts[[#This Row],[Date]]="","",IF(tblShifts[[#This Row],[Std cycle]]="","",tblShifts[[#This Row],[Good units]]*tblShifts[[#This Row],[Std crew]]*tblShifts[[#This Row],[Std cycle]]/3600))</f>
        <v>18.1333333333333</v>
      </c>
      <c r="R92" s="46">
        <f>IF(tblShifts[[#This Row],[Date]]="","",IF(OR(tblShifts[[#This Row],[Earned hours]]="",N(tblShifts[[#This Row],[Crew hours]])=0),"",tblShifts[[#This Row],[Earned hours]]/tblShifts[[#This Row],[Crew hours]]))</f>
        <v>0.906666666666667</v>
      </c>
      <c r="S92" s="47" t="str">
        <f>IF(NOT(ISNUMBER(tblShifts[[#This Row],[Efficiency]])),"",IF(tblShifts[[#This Row],[Efficiency]]&gt;=TargetEff,"On target",IF(tblShifts[[#This Row],[Efficiency]]&gt;=TargetEff*(1-0.05),"Near target","Below target")))</f>
        <v>On target</v>
      </c>
      <c r="T92" s="45">
        <f>IF(tblShifts[[#This Row],[Date]]="","",IF(OR(tblShifts[[#This Row],[Cost per unit]]="",tblShifts[[#This Row],[Std cost per unit]]=""),"",tblShifts[[#This Row],[Cost per unit]]-tblShifts[[#This Row],[Std cost per unit]]))</f>
        <v>0.094772491349481</v>
      </c>
      <c r="U92" s="43">
        <f>IF(tblShifts[[#This Row],[Date]]="","",IF(OR(tblShifts[[#This Row],[Labour cost]]="",tblShifts[[#This Row],[Std cost per unit]]=""),"",tblShifts[[#This Row],[Labour cost]]-tblShifts[[#This Row],[Std cost per unit]]*tblShifts[[#This Row],[Good units]]))</f>
        <v>64.4452941176471</v>
      </c>
      <c r="V9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2" s="48">
        <f>IF(tblShifts[[#This Row],[Date]]="","",IF(AND(tblShifts[[#This Row],[Date]]&gt;=FFrom,tblShifts[[#This Row],[Date]]&lt;=FTo,OR(DashLine="",tblShifts[[#This Row],[Line]]=DashLine),OR(DashProduct="",tblShifts[[#This Row],[Product]]=DashProduct)),tblShifts[[#This Row],[Date]],""))</f>
        <v>46297</v>
      </c>
      <c r="X92" s="28" t="s">
        <v>149</v>
      </c>
    </row>
    <row r="93" spans="2:24">
      <c r="B93" s="42">
        <v>46297</v>
      </c>
      <c r="C93" s="28" t="s">
        <v>81</v>
      </c>
      <c r="D93" s="28" t="s">
        <v>85</v>
      </c>
      <c r="E93" s="28" t="s">
        <v>93</v>
      </c>
      <c r="F93" s="28" t="s">
        <v>123</v>
      </c>
      <c r="G93" s="32">
        <v>2</v>
      </c>
      <c r="H93" s="32">
        <v>8</v>
      </c>
      <c r="I93" s="36">
        <v>66</v>
      </c>
      <c r="J93" s="43">
        <f>IF(tblShifts[[#This Row],[Date]]="","",IFERROR(INDEX(tblRoles[Loaded rate],MATCH(tblShifts[[#This Row],[Role]],tblRoles[Role],0)),""))</f>
        <v>45.2216806722689</v>
      </c>
      <c r="K93" s="44">
        <f>IF(tblShifts[[#This Row],[Date]]="","",IFERROR(INDEX(tblProducts[Std cycle (s/unit)],MATCH(tblShifts[[#This Row],[Product]],tblProducts[Product],0)),""))</f>
        <v>420</v>
      </c>
      <c r="L93" s="44">
        <f>IF(tblShifts[[#This Row],[Date]]="","",IFERROR(INDEX(tblProducts[Std crew (people)],MATCH(tblShifts[[#This Row],[Product]],tblProducts[Product],0)),""))</f>
        <v>2</v>
      </c>
      <c r="M93" s="44">
        <f>IF(tblShifts[[#This Row],[Date]]="","",tblShifts[[#This Row],[Operators]]*tblShifts[[#This Row],[Hours]])</f>
        <v>16</v>
      </c>
      <c r="N93" s="43">
        <f>IF(tblShifts[[#This Row],[Date]]="","",IF(tblShifts[[#This Row],[Loaded rate]]="","",tblShifts[[#This Row],[Crew hours]]*tblShifts[[#This Row],[Loaded rate]]))</f>
        <v>723.546890756303</v>
      </c>
      <c r="O93" s="45">
        <f>IF(tblShifts[[#This Row],[Date]]="","",IF(OR(tblShifts[[#This Row],[Labour cost]]="",N(tblShifts[[#This Row],[Good units]])=0),"",tblShifts[[#This Row],[Labour cost]]/tblShifts[[#This Row],[Good units]]))</f>
        <v>10.9628316781258</v>
      </c>
      <c r="P93" s="45">
        <f>IF(tblShifts[[#This Row],[Date]]="","",IF(OR(tblShifts[[#This Row],[Loaded rate]]="",tblShifts[[#This Row],[Std cycle]]=""),"",tblShifts[[#This Row],[Std crew]]*tblShifts[[#This Row],[Loaded rate]]*tblShifts[[#This Row],[Std cycle]]/3600))</f>
        <v>10.5517254901961</v>
      </c>
      <c r="Q93" s="43">
        <f>IF(tblShifts[[#This Row],[Date]]="","",IF(tblShifts[[#This Row],[Std cycle]]="","",tblShifts[[#This Row],[Good units]]*tblShifts[[#This Row],[Std crew]]*tblShifts[[#This Row],[Std cycle]]/3600))</f>
        <v>15.4</v>
      </c>
      <c r="R93" s="46">
        <f>IF(tblShifts[[#This Row],[Date]]="","",IF(OR(tblShifts[[#This Row],[Earned hours]]="",N(tblShifts[[#This Row],[Crew hours]])=0),"",tblShifts[[#This Row],[Earned hours]]/tblShifts[[#This Row],[Crew hours]]))</f>
        <v>0.9625</v>
      </c>
      <c r="S93" s="47" t="str">
        <f>IF(NOT(ISNUMBER(tblShifts[[#This Row],[Efficiency]])),"",IF(tblShifts[[#This Row],[Efficiency]]&gt;=TargetEff,"On target",IF(tblShifts[[#This Row],[Efficiency]]&gt;=TargetEff*(1-0.05),"Near target","Below target")))</f>
        <v>On target</v>
      </c>
      <c r="T93" s="45">
        <f>IF(tblShifts[[#This Row],[Date]]="","",IF(OR(tblShifts[[#This Row],[Cost per unit]]="",tblShifts[[#This Row],[Std cost per unit]]=""),"",tblShifts[[#This Row],[Cost per unit]]-tblShifts[[#This Row],[Std cost per unit]]))</f>
        <v>0.411106187929718</v>
      </c>
      <c r="U93" s="43">
        <f>IF(tblShifts[[#This Row],[Date]]="","",IF(OR(tblShifts[[#This Row],[Labour cost]]="",tblShifts[[#This Row],[Std cost per unit]]=""),"",tblShifts[[#This Row],[Labour cost]]-tblShifts[[#This Row],[Std cost per unit]]*tblShifts[[#This Row],[Good units]]))</f>
        <v>27.1330084033614</v>
      </c>
      <c r="V9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3" s="48">
        <f>IF(tblShifts[[#This Row],[Date]]="","",IF(AND(tblShifts[[#This Row],[Date]]&gt;=FFrom,tblShifts[[#This Row],[Date]]&lt;=FTo,OR(DashLine="",tblShifts[[#This Row],[Line]]=DashLine),OR(DashProduct="",tblShifts[[#This Row],[Product]]=DashProduct)),tblShifts[[#This Row],[Date]],""))</f>
        <v>46297</v>
      </c>
      <c r="X93" s="28" t="s">
        <v>149</v>
      </c>
    </row>
    <row r="94" spans="2:24">
      <c r="B94" s="42">
        <v>46297</v>
      </c>
      <c r="C94" s="28" t="s">
        <v>83</v>
      </c>
      <c r="D94" s="28" t="s">
        <v>82</v>
      </c>
      <c r="E94" s="28" t="s">
        <v>87</v>
      </c>
      <c r="F94" s="28" t="s">
        <v>122</v>
      </c>
      <c r="G94" s="32">
        <v>3</v>
      </c>
      <c r="H94" s="32">
        <v>8</v>
      </c>
      <c r="I94" s="36">
        <v>268</v>
      </c>
      <c r="J94" s="43">
        <f>IF(tblShifts[[#This Row],[Date]]="","",IFERROR(INDEX(tblRoles[Loaded rate],MATCH(tblShifts[[#This Row],[Role]],tblRoles[Role],0)),""))</f>
        <v>34.5242647058824</v>
      </c>
      <c r="K94" s="44">
        <f>IF(tblShifts[[#This Row],[Date]]="","",IFERROR(INDEX(tblProducts[Std cycle (s/unit)],MATCH(tblShifts[[#This Row],[Product]],tblProducts[Product],0)),""))</f>
        <v>95</v>
      </c>
      <c r="L94" s="44">
        <f>IF(tblShifts[[#This Row],[Date]]="","",IFERROR(INDEX(tblProducts[Std crew (people)],MATCH(tblShifts[[#This Row],[Product]],tblProducts[Product],0)),""))</f>
        <v>3</v>
      </c>
      <c r="M94" s="44">
        <f>IF(tblShifts[[#This Row],[Date]]="","",tblShifts[[#This Row],[Operators]]*tblShifts[[#This Row],[Hours]])</f>
        <v>24</v>
      </c>
      <c r="N94" s="43">
        <f>IF(tblShifts[[#This Row],[Date]]="","",IF(tblShifts[[#This Row],[Loaded rate]]="","",tblShifts[[#This Row],[Crew hours]]*tblShifts[[#This Row],[Loaded rate]]))</f>
        <v>828.582352941176</v>
      </c>
      <c r="O94" s="45">
        <f>IF(tblShifts[[#This Row],[Date]]="","",IF(OR(tblShifts[[#This Row],[Labour cost]]="",N(tblShifts[[#This Row],[Good units]])=0),"",tblShifts[[#This Row],[Labour cost]]/tblShifts[[#This Row],[Good units]]))</f>
        <v>3.0917251975417</v>
      </c>
      <c r="P94" s="45">
        <f>IF(tblShifts[[#This Row],[Date]]="","",IF(OR(tblShifts[[#This Row],[Loaded rate]]="",tblShifts[[#This Row],[Std cycle]]=""),"",tblShifts[[#This Row],[Std crew]]*tblShifts[[#This Row],[Loaded rate]]*tblShifts[[#This Row],[Std cycle]]/3600))</f>
        <v>2.73317095588235</v>
      </c>
      <c r="Q94" s="43">
        <f>IF(tblShifts[[#This Row],[Date]]="","",IF(tblShifts[[#This Row],[Std cycle]]="","",tblShifts[[#This Row],[Good units]]*tblShifts[[#This Row],[Std crew]]*tblShifts[[#This Row],[Std cycle]]/3600))</f>
        <v>21.2166666666667</v>
      </c>
      <c r="R94" s="46">
        <f>IF(tblShifts[[#This Row],[Date]]="","",IF(OR(tblShifts[[#This Row],[Earned hours]]="",N(tblShifts[[#This Row],[Crew hours]])=0),"",tblShifts[[#This Row],[Earned hours]]/tblShifts[[#This Row],[Crew hours]]))</f>
        <v>0.884027777777778</v>
      </c>
      <c r="S94" s="47" t="str">
        <f>IF(NOT(ISNUMBER(tblShifts[[#This Row],[Efficiency]])),"",IF(tblShifts[[#This Row],[Efficiency]]&gt;=TargetEff,"On target",IF(tblShifts[[#This Row],[Efficiency]]&gt;=TargetEff*(1-0.05),"Near target","Below target")))</f>
        <v>On target</v>
      </c>
      <c r="T94" s="45">
        <f>IF(tblShifts[[#This Row],[Date]]="","",IF(OR(tblShifts[[#This Row],[Cost per unit]]="",tblShifts[[#This Row],[Std cost per unit]]=""),"",tblShifts[[#This Row],[Cost per unit]]-tblShifts[[#This Row],[Std cost per unit]]))</f>
        <v>0.35855424165935</v>
      </c>
      <c r="U94" s="43">
        <f>IF(tblShifts[[#This Row],[Date]]="","",IF(OR(tblShifts[[#This Row],[Labour cost]]="",tblShifts[[#This Row],[Std cost per unit]]=""),"",tblShifts[[#This Row],[Labour cost]]-tblShifts[[#This Row],[Std cost per unit]]*tblShifts[[#This Row],[Good units]]))</f>
        <v>96.0925367647059</v>
      </c>
      <c r="V9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4" s="48">
        <f>IF(tblShifts[[#This Row],[Date]]="","",IF(AND(tblShifts[[#This Row],[Date]]&gt;=FFrom,tblShifts[[#This Row],[Date]]&lt;=FTo,OR(DashLine="",tblShifts[[#This Row],[Line]]=DashLine),OR(DashProduct="",tblShifts[[#This Row],[Product]]=DashProduct)),tblShifts[[#This Row],[Date]],""))</f>
        <v>46297</v>
      </c>
      <c r="X94" s="28" t="s">
        <v>149</v>
      </c>
    </row>
    <row r="95" spans="2:24">
      <c r="B95" s="42">
        <v>46297</v>
      </c>
      <c r="C95" s="28" t="s">
        <v>83</v>
      </c>
      <c r="D95" s="28" t="s">
        <v>84</v>
      </c>
      <c r="E95" s="28" t="s">
        <v>91</v>
      </c>
      <c r="F95" s="28" t="s">
        <v>122</v>
      </c>
      <c r="G95" s="32">
        <v>2</v>
      </c>
      <c r="H95" s="32">
        <v>8</v>
      </c>
      <c r="I95" s="36">
        <v>452</v>
      </c>
      <c r="J95" s="43">
        <f>IF(tblShifts[[#This Row],[Date]]="","",IFERROR(INDEX(tblRoles[Loaded rate],MATCH(tblShifts[[#This Row],[Role]],tblRoles[Role],0)),""))</f>
        <v>34.5242647058824</v>
      </c>
      <c r="K95" s="44">
        <f>IF(tblShifts[[#This Row],[Date]]="","",IFERROR(INDEX(tblProducts[Std cycle (s/unit)],MATCH(tblShifts[[#This Row],[Product]],tblProducts[Product],0)),""))</f>
        <v>48</v>
      </c>
      <c r="L95" s="44">
        <f>IF(tblShifts[[#This Row],[Date]]="","",IFERROR(INDEX(tblProducts[Std crew (people)],MATCH(tblShifts[[#This Row],[Product]],tblProducts[Product],0)),""))</f>
        <v>2</v>
      </c>
      <c r="M95" s="44">
        <f>IF(tblShifts[[#This Row],[Date]]="","",tblShifts[[#This Row],[Operators]]*tblShifts[[#This Row],[Hours]])</f>
        <v>16</v>
      </c>
      <c r="N95" s="43">
        <f>IF(tblShifts[[#This Row],[Date]]="","",IF(tblShifts[[#This Row],[Loaded rate]]="","",tblShifts[[#This Row],[Crew hours]]*tblShifts[[#This Row],[Loaded rate]]))</f>
        <v>552.388235294118</v>
      </c>
      <c r="O95" s="45">
        <f>IF(tblShifts[[#This Row],[Date]]="","",IF(OR(tblShifts[[#This Row],[Labour cost]]="",N(tblShifts[[#This Row],[Good units]])=0),"",tblShifts[[#This Row],[Labour cost]]/tblShifts[[#This Row],[Good units]]))</f>
        <v>1.22209786569495</v>
      </c>
      <c r="P95" s="45">
        <f>IF(tblShifts[[#This Row],[Date]]="","",IF(OR(tblShifts[[#This Row],[Loaded rate]]="",tblShifts[[#This Row],[Std cycle]]=""),"",tblShifts[[#This Row],[Std crew]]*tblShifts[[#This Row],[Loaded rate]]*tblShifts[[#This Row],[Std cycle]]/3600))</f>
        <v>0.920647058823529</v>
      </c>
      <c r="Q95" s="43">
        <f>IF(tblShifts[[#This Row],[Date]]="","",IF(tblShifts[[#This Row],[Std cycle]]="","",tblShifts[[#This Row],[Good units]]*tblShifts[[#This Row],[Std crew]]*tblShifts[[#This Row],[Std cycle]]/3600))</f>
        <v>12.0533333333333</v>
      </c>
      <c r="R95" s="46">
        <f>IF(tblShifts[[#This Row],[Date]]="","",IF(OR(tblShifts[[#This Row],[Earned hours]]="",N(tblShifts[[#This Row],[Crew hours]])=0),"",tblShifts[[#This Row],[Earned hours]]/tblShifts[[#This Row],[Crew hours]]))</f>
        <v>0.753333333333333</v>
      </c>
      <c r="S95" s="47" t="str">
        <f>IF(NOT(ISNUMBER(tblShifts[[#This Row],[Efficiency]])),"",IF(tblShifts[[#This Row],[Efficiency]]&gt;=TargetEff,"On target",IF(tblShifts[[#This Row],[Efficiency]]&gt;=TargetEff*(1-0.05),"Near target","Below target")))</f>
        <v>Below target</v>
      </c>
      <c r="T95" s="45">
        <f>IF(tblShifts[[#This Row],[Date]]="","",IF(OR(tblShifts[[#This Row],[Cost per unit]]="",tblShifts[[#This Row],[Std cost per unit]]=""),"",tblShifts[[#This Row],[Cost per unit]]-tblShifts[[#This Row],[Std cost per unit]]))</f>
        <v>0.301450806871421</v>
      </c>
      <c r="U95" s="43">
        <f>IF(tblShifts[[#This Row],[Date]]="","",IF(OR(tblShifts[[#This Row],[Labour cost]]="",tblShifts[[#This Row],[Std cost per unit]]=""),"",tblShifts[[#This Row],[Labour cost]]-tblShifts[[#This Row],[Std cost per unit]]*tblShifts[[#This Row],[Good units]]))</f>
        <v>136.255764705882</v>
      </c>
      <c r="V9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5" s="48">
        <f>IF(tblShifts[[#This Row],[Date]]="","",IF(AND(tblShifts[[#This Row],[Date]]&gt;=FFrom,tblShifts[[#This Row],[Date]]&lt;=FTo,OR(DashLine="",tblShifts[[#This Row],[Line]]=DashLine),OR(DashProduct="",tblShifts[[#This Row],[Product]]=DashProduct)),tblShifts[[#This Row],[Date]],""))</f>
        <v>46297</v>
      </c>
      <c r="X95" s="28" t="s">
        <v>149</v>
      </c>
    </row>
    <row r="96" spans="2:24">
      <c r="B96" s="42">
        <v>46297</v>
      </c>
      <c r="C96" s="28" t="s">
        <v>83</v>
      </c>
      <c r="D96" s="28" t="s">
        <v>85</v>
      </c>
      <c r="E96" s="28" t="s">
        <v>93</v>
      </c>
      <c r="F96" s="28" t="s">
        <v>123</v>
      </c>
      <c r="G96" s="32">
        <v>2</v>
      </c>
      <c r="H96" s="32">
        <v>8</v>
      </c>
      <c r="I96" s="36">
        <v>62</v>
      </c>
      <c r="J96" s="43">
        <f>IF(tblShifts[[#This Row],[Date]]="","",IFERROR(INDEX(tblRoles[Loaded rate],MATCH(tblShifts[[#This Row],[Role]],tblRoles[Role],0)),""))</f>
        <v>45.2216806722689</v>
      </c>
      <c r="K96" s="44">
        <f>IF(tblShifts[[#This Row],[Date]]="","",IFERROR(INDEX(tblProducts[Std cycle (s/unit)],MATCH(tblShifts[[#This Row],[Product]],tblProducts[Product],0)),""))</f>
        <v>420</v>
      </c>
      <c r="L96" s="44">
        <f>IF(tblShifts[[#This Row],[Date]]="","",IFERROR(INDEX(tblProducts[Std crew (people)],MATCH(tblShifts[[#This Row],[Product]],tblProducts[Product],0)),""))</f>
        <v>2</v>
      </c>
      <c r="M96" s="44">
        <f>IF(tblShifts[[#This Row],[Date]]="","",tblShifts[[#This Row],[Operators]]*tblShifts[[#This Row],[Hours]])</f>
        <v>16</v>
      </c>
      <c r="N96" s="43">
        <f>IF(tblShifts[[#This Row],[Date]]="","",IF(tblShifts[[#This Row],[Loaded rate]]="","",tblShifts[[#This Row],[Crew hours]]*tblShifts[[#This Row],[Loaded rate]]))</f>
        <v>723.546890756303</v>
      </c>
      <c r="O96" s="45">
        <f>IF(tblShifts[[#This Row],[Date]]="","",IF(OR(tblShifts[[#This Row],[Labour cost]]="",N(tblShifts[[#This Row],[Good units]])=0),"",tblShifts[[#This Row],[Labour cost]]/tblShifts[[#This Row],[Good units]]))</f>
        <v>11.6701111412307</v>
      </c>
      <c r="P96" s="45">
        <f>IF(tblShifts[[#This Row],[Date]]="","",IF(OR(tblShifts[[#This Row],[Loaded rate]]="",tblShifts[[#This Row],[Std cycle]]=""),"",tblShifts[[#This Row],[Std crew]]*tblShifts[[#This Row],[Loaded rate]]*tblShifts[[#This Row],[Std cycle]]/3600))</f>
        <v>10.5517254901961</v>
      </c>
      <c r="Q96" s="43">
        <f>IF(tblShifts[[#This Row],[Date]]="","",IF(tblShifts[[#This Row],[Std cycle]]="","",tblShifts[[#This Row],[Good units]]*tblShifts[[#This Row],[Std crew]]*tblShifts[[#This Row],[Std cycle]]/3600))</f>
        <v>14.4666666666667</v>
      </c>
      <c r="R96" s="46">
        <f>IF(tblShifts[[#This Row],[Date]]="","",IF(OR(tblShifts[[#This Row],[Earned hours]]="",N(tblShifts[[#This Row],[Crew hours]])=0),"",tblShifts[[#This Row],[Earned hours]]/tblShifts[[#This Row],[Crew hours]]))</f>
        <v>0.904166666666667</v>
      </c>
      <c r="S96" s="47" t="str">
        <f>IF(NOT(ISNUMBER(tblShifts[[#This Row],[Efficiency]])),"",IF(tblShifts[[#This Row],[Efficiency]]&gt;=TargetEff,"On target",IF(tblShifts[[#This Row],[Efficiency]]&gt;=TargetEff*(1-0.05),"Near target","Below target")))</f>
        <v>On target</v>
      </c>
      <c r="T96" s="45">
        <f>IF(tblShifts[[#This Row],[Date]]="","",IF(OR(tblShifts[[#This Row],[Cost per unit]]="",tblShifts[[#This Row],[Std cost per unit]]=""),"",tblShifts[[#This Row],[Cost per unit]]-tblShifts[[#This Row],[Std cost per unit]]))</f>
        <v>1.11838565103461</v>
      </c>
      <c r="U96" s="43">
        <f>IF(tblShifts[[#This Row],[Date]]="","",IF(OR(tblShifts[[#This Row],[Labour cost]]="",tblShifts[[#This Row],[Std cost per unit]]=""),"",tblShifts[[#This Row],[Labour cost]]-tblShifts[[#This Row],[Std cost per unit]]*tblShifts[[#This Row],[Good units]]))</f>
        <v>69.3399103641457</v>
      </c>
      <c r="V9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6" s="48">
        <f>IF(tblShifts[[#This Row],[Date]]="","",IF(AND(tblShifts[[#This Row],[Date]]&gt;=FFrom,tblShifts[[#This Row],[Date]]&lt;=FTo,OR(DashLine="",tblShifts[[#This Row],[Line]]=DashLine),OR(DashProduct="",tblShifts[[#This Row],[Product]]=DashProduct)),tblShifts[[#This Row],[Date]],""))</f>
        <v>46297</v>
      </c>
      <c r="X96" s="28" t="s">
        <v>149</v>
      </c>
    </row>
    <row r="97" spans="2:24">
      <c r="B97" s="42">
        <v>46300</v>
      </c>
      <c r="C97" s="28" t="s">
        <v>81</v>
      </c>
      <c r="D97" s="28" t="s">
        <v>82</v>
      </c>
      <c r="E97" s="28" t="s">
        <v>87</v>
      </c>
      <c r="F97" s="28" t="s">
        <v>122</v>
      </c>
      <c r="G97" s="32">
        <v>3</v>
      </c>
      <c r="H97" s="32">
        <v>8</v>
      </c>
      <c r="I97" s="36">
        <v>287</v>
      </c>
      <c r="J97" s="43">
        <f>IF(tblShifts[[#This Row],[Date]]="","",IFERROR(INDEX(tblRoles[Loaded rate],MATCH(tblShifts[[#This Row],[Role]],tblRoles[Role],0)),""))</f>
        <v>34.5242647058824</v>
      </c>
      <c r="K97" s="44">
        <f>IF(tblShifts[[#This Row],[Date]]="","",IFERROR(INDEX(tblProducts[Std cycle (s/unit)],MATCH(tblShifts[[#This Row],[Product]],tblProducts[Product],0)),""))</f>
        <v>95</v>
      </c>
      <c r="L97" s="44">
        <f>IF(tblShifts[[#This Row],[Date]]="","",IFERROR(INDEX(tblProducts[Std crew (people)],MATCH(tblShifts[[#This Row],[Product]],tblProducts[Product],0)),""))</f>
        <v>3</v>
      </c>
      <c r="M97" s="44">
        <f>IF(tblShifts[[#This Row],[Date]]="","",tblShifts[[#This Row],[Operators]]*tblShifts[[#This Row],[Hours]])</f>
        <v>24</v>
      </c>
      <c r="N97" s="43">
        <f>IF(tblShifts[[#This Row],[Date]]="","",IF(tblShifts[[#This Row],[Loaded rate]]="","",tblShifts[[#This Row],[Crew hours]]*tblShifts[[#This Row],[Loaded rate]]))</f>
        <v>828.582352941176</v>
      </c>
      <c r="O97" s="45">
        <f>IF(tblShifts[[#This Row],[Date]]="","",IF(OR(tblShifts[[#This Row],[Labour cost]]="",N(tblShifts[[#This Row],[Good units]])=0),"",tblShifts[[#This Row],[Labour cost]]/tblShifts[[#This Row],[Good units]]))</f>
        <v>2.88704652592744</v>
      </c>
      <c r="P97" s="45">
        <f>IF(tblShifts[[#This Row],[Date]]="","",IF(OR(tblShifts[[#This Row],[Loaded rate]]="",tblShifts[[#This Row],[Std cycle]]=""),"",tblShifts[[#This Row],[Std crew]]*tblShifts[[#This Row],[Loaded rate]]*tblShifts[[#This Row],[Std cycle]]/3600))</f>
        <v>2.73317095588235</v>
      </c>
      <c r="Q97" s="43">
        <f>IF(tblShifts[[#This Row],[Date]]="","",IF(tblShifts[[#This Row],[Std cycle]]="","",tblShifts[[#This Row],[Good units]]*tblShifts[[#This Row],[Std crew]]*tblShifts[[#This Row],[Std cycle]]/3600))</f>
        <v>22.7208333333333</v>
      </c>
      <c r="R97" s="46">
        <f>IF(tblShifts[[#This Row],[Date]]="","",IF(OR(tblShifts[[#This Row],[Earned hours]]="",N(tblShifts[[#This Row],[Crew hours]])=0),"",tblShifts[[#This Row],[Earned hours]]/tblShifts[[#This Row],[Crew hours]]))</f>
        <v>0.946701388888889</v>
      </c>
      <c r="S97" s="47" t="str">
        <f>IF(NOT(ISNUMBER(tblShifts[[#This Row],[Efficiency]])),"",IF(tblShifts[[#This Row],[Efficiency]]&gt;=TargetEff,"On target",IF(tblShifts[[#This Row],[Efficiency]]&gt;=TargetEff*(1-0.05),"Near target","Below target")))</f>
        <v>On target</v>
      </c>
      <c r="T97" s="45">
        <f>IF(tblShifts[[#This Row],[Date]]="","",IF(OR(tblShifts[[#This Row],[Cost per unit]]="",tblShifts[[#This Row],[Std cost per unit]]=""),"",tblShifts[[#This Row],[Cost per unit]]-tblShifts[[#This Row],[Std cost per unit]]))</f>
        <v>0.153875570045091</v>
      </c>
      <c r="U97" s="43">
        <f>IF(tblShifts[[#This Row],[Date]]="","",IF(OR(tblShifts[[#This Row],[Labour cost]]="",tblShifts[[#This Row],[Std cost per unit]]=""),"",tblShifts[[#This Row],[Labour cost]]-tblShifts[[#This Row],[Std cost per unit]]*tblShifts[[#This Row],[Good units]]))</f>
        <v>44.1622886029412</v>
      </c>
      <c r="V9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7" s="48">
        <f>IF(tblShifts[[#This Row],[Date]]="","",IF(AND(tblShifts[[#This Row],[Date]]&gt;=FFrom,tblShifts[[#This Row],[Date]]&lt;=FTo,OR(DashLine="",tblShifts[[#This Row],[Line]]=DashLine),OR(DashProduct="",tblShifts[[#This Row],[Product]]=DashProduct)),tblShifts[[#This Row],[Date]],""))</f>
        <v>46300</v>
      </c>
      <c r="X97" s="28" t="s">
        <v>149</v>
      </c>
    </row>
    <row r="98" spans="2:24">
      <c r="B98" s="42">
        <v>46300</v>
      </c>
      <c r="C98" s="28" t="s">
        <v>81</v>
      </c>
      <c r="D98" s="28" t="s">
        <v>84</v>
      </c>
      <c r="E98" s="28" t="s">
        <v>89</v>
      </c>
      <c r="F98" s="28" t="s">
        <v>122</v>
      </c>
      <c r="G98" s="32">
        <v>2</v>
      </c>
      <c r="H98" s="32">
        <v>8</v>
      </c>
      <c r="I98" s="36">
        <v>177</v>
      </c>
      <c r="J98" s="43">
        <f>IF(tblShifts[[#This Row],[Date]]="","",IFERROR(INDEX(tblRoles[Loaded rate],MATCH(tblShifts[[#This Row],[Role]],tblRoles[Role],0)),""))</f>
        <v>34.5242647058824</v>
      </c>
      <c r="K98" s="44">
        <f>IF(tblShifts[[#This Row],[Date]]="","",IFERROR(INDEX(tblProducts[Std cycle (s/unit)],MATCH(tblShifts[[#This Row],[Product]],tblProducts[Product],0)),""))</f>
        <v>140</v>
      </c>
      <c r="L98" s="44">
        <f>IF(tblShifts[[#This Row],[Date]]="","",IFERROR(INDEX(tblProducts[Std crew (people)],MATCH(tblShifts[[#This Row],[Product]],tblProducts[Product],0)),""))</f>
        <v>2</v>
      </c>
      <c r="M98" s="44">
        <f>IF(tblShifts[[#This Row],[Date]]="","",tblShifts[[#This Row],[Operators]]*tblShifts[[#This Row],[Hours]])</f>
        <v>16</v>
      </c>
      <c r="N98" s="43">
        <f>IF(tblShifts[[#This Row],[Date]]="","",IF(tblShifts[[#This Row],[Loaded rate]]="","",tblShifts[[#This Row],[Crew hours]]*tblShifts[[#This Row],[Loaded rate]]))</f>
        <v>552.388235294118</v>
      </c>
      <c r="O98" s="45">
        <f>IF(tblShifts[[#This Row],[Date]]="","",IF(OR(tblShifts[[#This Row],[Labour cost]]="",N(tblShifts[[#This Row],[Good units]])=0),"",tblShifts[[#This Row],[Labour cost]]/tblShifts[[#This Row],[Good units]]))</f>
        <v>3.12083748753739</v>
      </c>
      <c r="P98" s="45">
        <f>IF(tblShifts[[#This Row],[Date]]="","",IF(OR(tblShifts[[#This Row],[Loaded rate]]="",tblShifts[[#This Row],[Std cycle]]=""),"",tblShifts[[#This Row],[Std crew]]*tblShifts[[#This Row],[Loaded rate]]*tblShifts[[#This Row],[Std cycle]]/3600))</f>
        <v>2.68522058823529</v>
      </c>
      <c r="Q98" s="43">
        <f>IF(tblShifts[[#This Row],[Date]]="","",IF(tblShifts[[#This Row],[Std cycle]]="","",tblShifts[[#This Row],[Good units]]*tblShifts[[#This Row],[Std crew]]*tblShifts[[#This Row],[Std cycle]]/3600))</f>
        <v>13.7666666666667</v>
      </c>
      <c r="R98" s="46">
        <f>IF(tblShifts[[#This Row],[Date]]="","",IF(OR(tblShifts[[#This Row],[Earned hours]]="",N(tblShifts[[#This Row],[Crew hours]])=0),"",tblShifts[[#This Row],[Earned hours]]/tblShifts[[#This Row],[Crew hours]]))</f>
        <v>0.860416666666667</v>
      </c>
      <c r="S98" s="47" t="str">
        <f>IF(NOT(ISNUMBER(tblShifts[[#This Row],[Efficiency]])),"",IF(tblShifts[[#This Row],[Efficiency]]&gt;=TargetEff,"On target",IF(tblShifts[[#This Row],[Efficiency]]&gt;=TargetEff*(1-0.05),"Near target","Below target")))</f>
        <v>On target</v>
      </c>
      <c r="T98" s="45">
        <f>IF(tblShifts[[#This Row],[Date]]="","",IF(OR(tblShifts[[#This Row],[Cost per unit]]="",tblShifts[[#This Row],[Std cost per unit]]=""),"",tblShifts[[#This Row],[Cost per unit]]-tblShifts[[#This Row],[Std cost per unit]]))</f>
        <v>0.435616899302093</v>
      </c>
      <c r="U98" s="43">
        <f>IF(tblShifts[[#This Row],[Date]]="","",IF(OR(tblShifts[[#This Row],[Labour cost]]="",tblShifts[[#This Row],[Std cost per unit]]=""),"",tblShifts[[#This Row],[Labour cost]]-tblShifts[[#This Row],[Std cost per unit]]*tblShifts[[#This Row],[Good units]]))</f>
        <v>77.1041911764705</v>
      </c>
      <c r="V9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8" s="48">
        <f>IF(tblShifts[[#This Row],[Date]]="","",IF(AND(tblShifts[[#This Row],[Date]]&gt;=FFrom,tblShifts[[#This Row],[Date]]&lt;=FTo,OR(DashLine="",tblShifts[[#This Row],[Line]]=DashLine),OR(DashProduct="",tblShifts[[#This Row],[Product]]=DashProduct)),tblShifts[[#This Row],[Date]],""))</f>
        <v>46300</v>
      </c>
      <c r="X98" s="28" t="s">
        <v>149</v>
      </c>
    </row>
    <row r="99" spans="2:24">
      <c r="B99" s="42">
        <v>46300</v>
      </c>
      <c r="C99" s="28" t="s">
        <v>81</v>
      </c>
      <c r="D99" s="28" t="s">
        <v>85</v>
      </c>
      <c r="E99" s="28" t="s">
        <v>93</v>
      </c>
      <c r="F99" s="28" t="s">
        <v>123</v>
      </c>
      <c r="G99" s="32">
        <v>2</v>
      </c>
      <c r="H99" s="32">
        <v>10</v>
      </c>
      <c r="I99" s="36">
        <v>74</v>
      </c>
      <c r="J99" s="43">
        <f>IF(tblShifts[[#This Row],[Date]]="","",IFERROR(INDEX(tblRoles[Loaded rate],MATCH(tblShifts[[#This Row],[Role]],tblRoles[Role],0)),""))</f>
        <v>45.2216806722689</v>
      </c>
      <c r="K99" s="44">
        <f>IF(tblShifts[[#This Row],[Date]]="","",IFERROR(INDEX(tblProducts[Std cycle (s/unit)],MATCH(tblShifts[[#This Row],[Product]],tblProducts[Product],0)),""))</f>
        <v>420</v>
      </c>
      <c r="L99" s="44">
        <f>IF(tblShifts[[#This Row],[Date]]="","",IFERROR(INDEX(tblProducts[Std crew (people)],MATCH(tblShifts[[#This Row],[Product]],tblProducts[Product],0)),""))</f>
        <v>2</v>
      </c>
      <c r="M99" s="44">
        <f>IF(tblShifts[[#This Row],[Date]]="","",tblShifts[[#This Row],[Operators]]*tblShifts[[#This Row],[Hours]])</f>
        <v>20</v>
      </c>
      <c r="N99" s="43">
        <f>IF(tblShifts[[#This Row],[Date]]="","",IF(tblShifts[[#This Row],[Loaded rate]]="","",tblShifts[[#This Row],[Crew hours]]*tblShifts[[#This Row],[Loaded rate]]))</f>
        <v>904.433613445378</v>
      </c>
      <c r="O99" s="45">
        <f>IF(tblShifts[[#This Row],[Date]]="","",IF(OR(tblShifts[[#This Row],[Labour cost]]="",N(tblShifts[[#This Row],[Good units]])=0),"",tblShifts[[#This Row],[Labour cost]]/tblShifts[[#This Row],[Good units]]))</f>
        <v>12.22207585737</v>
      </c>
      <c r="P99" s="45">
        <f>IF(tblShifts[[#This Row],[Date]]="","",IF(OR(tblShifts[[#This Row],[Loaded rate]]="",tblShifts[[#This Row],[Std cycle]]=""),"",tblShifts[[#This Row],[Std crew]]*tblShifts[[#This Row],[Loaded rate]]*tblShifts[[#This Row],[Std cycle]]/3600))</f>
        <v>10.5517254901961</v>
      </c>
      <c r="Q99" s="43">
        <f>IF(tblShifts[[#This Row],[Date]]="","",IF(tblShifts[[#This Row],[Std cycle]]="","",tblShifts[[#This Row],[Good units]]*tblShifts[[#This Row],[Std crew]]*tblShifts[[#This Row],[Std cycle]]/3600))</f>
        <v>17.2666666666667</v>
      </c>
      <c r="R99" s="46">
        <f>IF(tblShifts[[#This Row],[Date]]="","",IF(OR(tblShifts[[#This Row],[Earned hours]]="",N(tblShifts[[#This Row],[Crew hours]])=0),"",tblShifts[[#This Row],[Earned hours]]/tblShifts[[#This Row],[Crew hours]]))</f>
        <v>0.863333333333333</v>
      </c>
      <c r="S99" s="47" t="str">
        <f>IF(NOT(ISNUMBER(tblShifts[[#This Row],[Efficiency]])),"",IF(tblShifts[[#This Row],[Efficiency]]&gt;=TargetEff,"On target",IF(tblShifts[[#This Row],[Efficiency]]&gt;=TargetEff*(1-0.05),"Near target","Below target")))</f>
        <v>On target</v>
      </c>
      <c r="T99" s="45">
        <f>IF(tblShifts[[#This Row],[Date]]="","",IF(OR(tblShifts[[#This Row],[Cost per unit]]="",tblShifts[[#This Row],[Std cost per unit]]=""),"",tblShifts[[#This Row],[Cost per unit]]-tblShifts[[#This Row],[Std cost per unit]]))</f>
        <v>1.6703503671739</v>
      </c>
      <c r="U99" s="43">
        <f>IF(tblShifts[[#This Row],[Date]]="","",IF(OR(tblShifts[[#This Row],[Labour cost]]="",tblShifts[[#This Row],[Std cost per unit]]=""),"",tblShifts[[#This Row],[Labour cost]]-tblShifts[[#This Row],[Std cost per unit]]*tblShifts[[#This Row],[Good units]]))</f>
        <v>123.605927170868</v>
      </c>
      <c r="V9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99" s="48">
        <f>IF(tblShifts[[#This Row],[Date]]="","",IF(AND(tblShifts[[#This Row],[Date]]&gt;=FFrom,tblShifts[[#This Row],[Date]]&lt;=FTo,OR(DashLine="",tblShifts[[#This Row],[Line]]=DashLine),OR(DashProduct="",tblShifts[[#This Row],[Product]]=DashProduct)),tblShifts[[#This Row],[Date]],""))</f>
        <v>46300</v>
      </c>
      <c r="X99" s="28" t="s">
        <v>149</v>
      </c>
    </row>
    <row r="100" spans="2:24">
      <c r="B100" s="42">
        <v>46300</v>
      </c>
      <c r="C100" s="28" t="s">
        <v>83</v>
      </c>
      <c r="D100" s="28" t="s">
        <v>82</v>
      </c>
      <c r="E100" s="28" t="s">
        <v>87</v>
      </c>
      <c r="F100" s="28" t="s">
        <v>122</v>
      </c>
      <c r="G100" s="32">
        <v>3</v>
      </c>
      <c r="H100" s="32">
        <v>8</v>
      </c>
      <c r="I100" s="36">
        <v>265</v>
      </c>
      <c r="J100" s="43">
        <f>IF(tblShifts[[#This Row],[Date]]="","",IFERROR(INDEX(tblRoles[Loaded rate],MATCH(tblShifts[[#This Row],[Role]],tblRoles[Role],0)),""))</f>
        <v>34.5242647058824</v>
      </c>
      <c r="K100" s="44">
        <f>IF(tblShifts[[#This Row],[Date]]="","",IFERROR(INDEX(tblProducts[Std cycle (s/unit)],MATCH(tblShifts[[#This Row],[Product]],tblProducts[Product],0)),""))</f>
        <v>95</v>
      </c>
      <c r="L100" s="44">
        <f>IF(tblShifts[[#This Row],[Date]]="","",IFERROR(INDEX(tblProducts[Std crew (people)],MATCH(tblShifts[[#This Row],[Product]],tblProducts[Product],0)),""))</f>
        <v>3</v>
      </c>
      <c r="M100" s="44">
        <f>IF(tblShifts[[#This Row],[Date]]="","",tblShifts[[#This Row],[Operators]]*tblShifts[[#This Row],[Hours]])</f>
        <v>24</v>
      </c>
      <c r="N100" s="43">
        <f>IF(tblShifts[[#This Row],[Date]]="","",IF(tblShifts[[#This Row],[Loaded rate]]="","",tblShifts[[#This Row],[Crew hours]]*tblShifts[[#This Row],[Loaded rate]]))</f>
        <v>828.582352941176</v>
      </c>
      <c r="O100" s="45">
        <f>IF(tblShifts[[#This Row],[Date]]="","",IF(OR(tblShifts[[#This Row],[Labour cost]]="",N(tblShifts[[#This Row],[Good units]])=0),"",tblShifts[[#This Row],[Labour cost]]/tblShifts[[#This Row],[Good units]]))</f>
        <v>3.12672586015538</v>
      </c>
      <c r="P100" s="45">
        <f>IF(tblShifts[[#This Row],[Date]]="","",IF(OR(tblShifts[[#This Row],[Loaded rate]]="",tblShifts[[#This Row],[Std cycle]]=""),"",tblShifts[[#This Row],[Std crew]]*tblShifts[[#This Row],[Loaded rate]]*tblShifts[[#This Row],[Std cycle]]/3600))</f>
        <v>2.73317095588235</v>
      </c>
      <c r="Q100" s="43">
        <f>IF(tblShifts[[#This Row],[Date]]="","",IF(tblShifts[[#This Row],[Std cycle]]="","",tblShifts[[#This Row],[Good units]]*tblShifts[[#This Row],[Std crew]]*tblShifts[[#This Row],[Std cycle]]/3600))</f>
        <v>20.9791666666667</v>
      </c>
      <c r="R100" s="46">
        <f>IF(tblShifts[[#This Row],[Date]]="","",IF(OR(tblShifts[[#This Row],[Earned hours]]="",N(tblShifts[[#This Row],[Crew hours]])=0),"",tblShifts[[#This Row],[Earned hours]]/tblShifts[[#This Row],[Crew hours]]))</f>
        <v>0.874131944444445</v>
      </c>
      <c r="S100" s="47" t="str">
        <f>IF(NOT(ISNUMBER(tblShifts[[#This Row],[Efficiency]])),"",IF(tblShifts[[#This Row],[Efficiency]]&gt;=TargetEff,"On target",IF(tblShifts[[#This Row],[Efficiency]]&gt;=TargetEff*(1-0.05),"Near target","Below target")))</f>
        <v>On target</v>
      </c>
      <c r="T100" s="45">
        <f>IF(tblShifts[[#This Row],[Date]]="","",IF(OR(tblShifts[[#This Row],[Cost per unit]]="",tblShifts[[#This Row],[Std cost per unit]]=""),"",tblShifts[[#This Row],[Cost per unit]]-tblShifts[[#This Row],[Std cost per unit]]))</f>
        <v>0.39355490427303</v>
      </c>
      <c r="U100" s="43">
        <f>IF(tblShifts[[#This Row],[Date]]="","",IF(OR(tblShifts[[#This Row],[Labour cost]]="",tblShifts[[#This Row],[Std cost per unit]]=""),"",tblShifts[[#This Row],[Labour cost]]-tblShifts[[#This Row],[Std cost per unit]]*tblShifts[[#This Row],[Good units]]))</f>
        <v>104.292049632353</v>
      </c>
      <c r="V10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0" s="48">
        <f>IF(tblShifts[[#This Row],[Date]]="","",IF(AND(tblShifts[[#This Row],[Date]]&gt;=FFrom,tblShifts[[#This Row],[Date]]&lt;=FTo,OR(DashLine="",tblShifts[[#This Row],[Line]]=DashLine),OR(DashProduct="",tblShifts[[#This Row],[Product]]=DashProduct)),tblShifts[[#This Row],[Date]],""))</f>
        <v>46300</v>
      </c>
      <c r="X100" s="28" t="s">
        <v>149</v>
      </c>
    </row>
    <row r="101" spans="2:24">
      <c r="B101" s="42">
        <v>46300</v>
      </c>
      <c r="C101" s="28" t="s">
        <v>83</v>
      </c>
      <c r="D101" s="28" t="s">
        <v>84</v>
      </c>
      <c r="E101" s="28" t="s">
        <v>89</v>
      </c>
      <c r="F101" s="28" t="s">
        <v>122</v>
      </c>
      <c r="G101" s="32">
        <v>2</v>
      </c>
      <c r="H101" s="32">
        <v>8</v>
      </c>
      <c r="I101" s="36">
        <v>153</v>
      </c>
      <c r="J101" s="43">
        <f>IF(tblShifts[[#This Row],[Date]]="","",IFERROR(INDEX(tblRoles[Loaded rate],MATCH(tblShifts[[#This Row],[Role]],tblRoles[Role],0)),""))</f>
        <v>34.5242647058824</v>
      </c>
      <c r="K101" s="44">
        <f>IF(tblShifts[[#This Row],[Date]]="","",IFERROR(INDEX(tblProducts[Std cycle (s/unit)],MATCH(tblShifts[[#This Row],[Product]],tblProducts[Product],0)),""))</f>
        <v>140</v>
      </c>
      <c r="L101" s="44">
        <f>IF(tblShifts[[#This Row],[Date]]="","",IFERROR(INDEX(tblProducts[Std crew (people)],MATCH(tblShifts[[#This Row],[Product]],tblProducts[Product],0)),""))</f>
        <v>2</v>
      </c>
      <c r="M101" s="44">
        <f>IF(tblShifts[[#This Row],[Date]]="","",tblShifts[[#This Row],[Operators]]*tblShifts[[#This Row],[Hours]])</f>
        <v>16</v>
      </c>
      <c r="N101" s="43">
        <f>IF(tblShifts[[#This Row],[Date]]="","",IF(tblShifts[[#This Row],[Loaded rate]]="","",tblShifts[[#This Row],[Crew hours]]*tblShifts[[#This Row],[Loaded rate]]))</f>
        <v>552.388235294118</v>
      </c>
      <c r="O101" s="45">
        <f>IF(tblShifts[[#This Row],[Date]]="","",IF(OR(tblShifts[[#This Row],[Labour cost]]="",N(tblShifts[[#This Row],[Good units]])=0),"",tblShifts[[#This Row],[Labour cost]]/tblShifts[[#This Row],[Good units]]))</f>
        <v>3.61038062283737</v>
      </c>
      <c r="P101" s="45">
        <f>IF(tblShifts[[#This Row],[Date]]="","",IF(OR(tblShifts[[#This Row],[Loaded rate]]="",tblShifts[[#This Row],[Std cycle]]=""),"",tblShifts[[#This Row],[Std crew]]*tblShifts[[#This Row],[Loaded rate]]*tblShifts[[#This Row],[Std cycle]]/3600))</f>
        <v>2.68522058823529</v>
      </c>
      <c r="Q101" s="43">
        <f>IF(tblShifts[[#This Row],[Date]]="","",IF(tblShifts[[#This Row],[Std cycle]]="","",tblShifts[[#This Row],[Good units]]*tblShifts[[#This Row],[Std crew]]*tblShifts[[#This Row],[Std cycle]]/3600))</f>
        <v>11.9</v>
      </c>
      <c r="R101" s="46">
        <f>IF(tblShifts[[#This Row],[Date]]="","",IF(OR(tblShifts[[#This Row],[Earned hours]]="",N(tblShifts[[#This Row],[Crew hours]])=0),"",tblShifts[[#This Row],[Earned hours]]/tblShifts[[#This Row],[Crew hours]]))</f>
        <v>0.74375</v>
      </c>
      <c r="S101" s="47" t="str">
        <f>IF(NOT(ISNUMBER(tblShifts[[#This Row],[Efficiency]])),"",IF(tblShifts[[#This Row],[Efficiency]]&gt;=TargetEff,"On target",IF(tblShifts[[#This Row],[Efficiency]]&gt;=TargetEff*(1-0.05),"Near target","Below target")))</f>
        <v>Below target</v>
      </c>
      <c r="T101" s="45">
        <f>IF(tblShifts[[#This Row],[Date]]="","",IF(OR(tblShifts[[#This Row],[Cost per unit]]="",tblShifts[[#This Row],[Std cost per unit]]=""),"",tblShifts[[#This Row],[Cost per unit]]-tblShifts[[#This Row],[Std cost per unit]]))</f>
        <v>0.925160034602076</v>
      </c>
      <c r="U101" s="43">
        <f>IF(tblShifts[[#This Row],[Date]]="","",IF(OR(tblShifts[[#This Row],[Labour cost]]="",tblShifts[[#This Row],[Std cost per unit]]=""),"",tblShifts[[#This Row],[Labour cost]]-tblShifts[[#This Row],[Std cost per unit]]*tblShifts[[#This Row],[Good units]]))</f>
        <v>141.549485294118</v>
      </c>
      <c r="V10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1" s="48">
        <f>IF(tblShifts[[#This Row],[Date]]="","",IF(AND(tblShifts[[#This Row],[Date]]&gt;=FFrom,tblShifts[[#This Row],[Date]]&lt;=FTo,OR(DashLine="",tblShifts[[#This Row],[Line]]=DashLine),OR(DashProduct="",tblShifts[[#This Row],[Product]]=DashProduct)),tblShifts[[#This Row],[Date]],""))</f>
        <v>46300</v>
      </c>
      <c r="X101" s="28" t="s">
        <v>149</v>
      </c>
    </row>
    <row r="102" spans="2:24">
      <c r="B102" s="42">
        <v>46300</v>
      </c>
      <c r="C102" s="28" t="s">
        <v>83</v>
      </c>
      <c r="D102" s="28" t="s">
        <v>85</v>
      </c>
      <c r="E102" s="28" t="s">
        <v>93</v>
      </c>
      <c r="F102" s="28" t="s">
        <v>123</v>
      </c>
      <c r="G102" s="32">
        <v>2</v>
      </c>
      <c r="H102" s="32">
        <v>8</v>
      </c>
      <c r="I102" s="36">
        <v>61</v>
      </c>
      <c r="J102" s="43">
        <f>IF(tblShifts[[#This Row],[Date]]="","",IFERROR(INDEX(tblRoles[Loaded rate],MATCH(tblShifts[[#This Row],[Role]],tblRoles[Role],0)),""))</f>
        <v>45.2216806722689</v>
      </c>
      <c r="K102" s="44">
        <f>IF(tblShifts[[#This Row],[Date]]="","",IFERROR(INDEX(tblProducts[Std cycle (s/unit)],MATCH(tblShifts[[#This Row],[Product]],tblProducts[Product],0)),""))</f>
        <v>420</v>
      </c>
      <c r="L102" s="44">
        <f>IF(tblShifts[[#This Row],[Date]]="","",IFERROR(INDEX(tblProducts[Std crew (people)],MATCH(tblShifts[[#This Row],[Product]],tblProducts[Product],0)),""))</f>
        <v>2</v>
      </c>
      <c r="M102" s="44">
        <f>IF(tblShifts[[#This Row],[Date]]="","",tblShifts[[#This Row],[Operators]]*tblShifts[[#This Row],[Hours]])</f>
        <v>16</v>
      </c>
      <c r="N102" s="43">
        <f>IF(tblShifts[[#This Row],[Date]]="","",IF(tblShifts[[#This Row],[Loaded rate]]="","",tblShifts[[#This Row],[Crew hours]]*tblShifts[[#This Row],[Loaded rate]]))</f>
        <v>723.546890756303</v>
      </c>
      <c r="O102" s="45">
        <f>IF(tblShifts[[#This Row],[Date]]="","",IF(OR(tblShifts[[#This Row],[Labour cost]]="",N(tblShifts[[#This Row],[Good units]])=0),"",tblShifts[[#This Row],[Labour cost]]/tblShifts[[#This Row],[Good units]]))</f>
        <v>11.8614244386279</v>
      </c>
      <c r="P102" s="45">
        <f>IF(tblShifts[[#This Row],[Date]]="","",IF(OR(tblShifts[[#This Row],[Loaded rate]]="",tblShifts[[#This Row],[Std cycle]]=""),"",tblShifts[[#This Row],[Std crew]]*tblShifts[[#This Row],[Loaded rate]]*tblShifts[[#This Row],[Std cycle]]/3600))</f>
        <v>10.5517254901961</v>
      </c>
      <c r="Q102" s="43">
        <f>IF(tblShifts[[#This Row],[Date]]="","",IF(tblShifts[[#This Row],[Std cycle]]="","",tblShifts[[#This Row],[Good units]]*tblShifts[[#This Row],[Std crew]]*tblShifts[[#This Row],[Std cycle]]/3600))</f>
        <v>14.2333333333333</v>
      </c>
      <c r="R102" s="46">
        <f>IF(tblShifts[[#This Row],[Date]]="","",IF(OR(tblShifts[[#This Row],[Earned hours]]="",N(tblShifts[[#This Row],[Crew hours]])=0),"",tblShifts[[#This Row],[Earned hours]]/tblShifts[[#This Row],[Crew hours]]))</f>
        <v>0.889583333333333</v>
      </c>
      <c r="S102" s="47" t="str">
        <f>IF(NOT(ISNUMBER(tblShifts[[#This Row],[Efficiency]])),"",IF(tblShifts[[#This Row],[Efficiency]]&gt;=TargetEff,"On target",IF(tblShifts[[#This Row],[Efficiency]]&gt;=TargetEff*(1-0.05),"Near target","Below target")))</f>
        <v>On target</v>
      </c>
      <c r="T102" s="45">
        <f>IF(tblShifts[[#This Row],[Date]]="","",IF(OR(tblShifts[[#This Row],[Cost per unit]]="",tblShifts[[#This Row],[Std cost per unit]]=""),"",tblShifts[[#This Row],[Cost per unit]]-tblShifts[[#This Row],[Std cost per unit]]))</f>
        <v>1.30969894843183</v>
      </c>
      <c r="U102" s="43">
        <f>IF(tblShifts[[#This Row],[Date]]="","",IF(OR(tblShifts[[#This Row],[Labour cost]]="",tblShifts[[#This Row],[Std cost per unit]]=""),"",tblShifts[[#This Row],[Labour cost]]-tblShifts[[#This Row],[Std cost per unit]]*tblShifts[[#This Row],[Good units]]))</f>
        <v>79.8916358543418</v>
      </c>
      <c r="V10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2" s="48">
        <f>IF(tblShifts[[#This Row],[Date]]="","",IF(AND(tblShifts[[#This Row],[Date]]&gt;=FFrom,tblShifts[[#This Row],[Date]]&lt;=FTo,OR(DashLine="",tblShifts[[#This Row],[Line]]=DashLine),OR(DashProduct="",tblShifts[[#This Row],[Product]]=DashProduct)),tblShifts[[#This Row],[Date]],""))</f>
        <v>46300</v>
      </c>
      <c r="X102" s="28" t="s">
        <v>149</v>
      </c>
    </row>
    <row r="103" spans="2:24">
      <c r="B103" s="42">
        <v>46301</v>
      </c>
      <c r="C103" s="28" t="s">
        <v>81</v>
      </c>
      <c r="D103" s="28" t="s">
        <v>82</v>
      </c>
      <c r="E103" s="28" t="s">
        <v>87</v>
      </c>
      <c r="F103" s="28" t="s">
        <v>122</v>
      </c>
      <c r="G103" s="32">
        <v>3</v>
      </c>
      <c r="H103" s="32">
        <v>8</v>
      </c>
      <c r="I103" s="36">
        <v>274</v>
      </c>
      <c r="J103" s="43">
        <f>IF(tblShifts[[#This Row],[Date]]="","",IFERROR(INDEX(tblRoles[Loaded rate],MATCH(tblShifts[[#This Row],[Role]],tblRoles[Role],0)),""))</f>
        <v>34.5242647058824</v>
      </c>
      <c r="K103" s="44">
        <f>IF(tblShifts[[#This Row],[Date]]="","",IFERROR(INDEX(tblProducts[Std cycle (s/unit)],MATCH(tblShifts[[#This Row],[Product]],tblProducts[Product],0)),""))</f>
        <v>95</v>
      </c>
      <c r="L103" s="44">
        <f>IF(tblShifts[[#This Row],[Date]]="","",IFERROR(INDEX(tblProducts[Std crew (people)],MATCH(tblShifts[[#This Row],[Product]],tblProducts[Product],0)),""))</f>
        <v>3</v>
      </c>
      <c r="M103" s="44">
        <f>IF(tblShifts[[#This Row],[Date]]="","",tblShifts[[#This Row],[Operators]]*tblShifts[[#This Row],[Hours]])</f>
        <v>24</v>
      </c>
      <c r="N103" s="43">
        <f>IF(tblShifts[[#This Row],[Date]]="","",IF(tblShifts[[#This Row],[Loaded rate]]="","",tblShifts[[#This Row],[Crew hours]]*tblShifts[[#This Row],[Loaded rate]]))</f>
        <v>828.582352941176</v>
      </c>
      <c r="O103" s="45">
        <f>IF(tblShifts[[#This Row],[Date]]="","",IF(OR(tblShifts[[#This Row],[Labour cost]]="",N(tblShifts[[#This Row],[Good units]])=0),"",tblShifts[[#This Row],[Labour cost]]/tblShifts[[#This Row],[Good units]]))</f>
        <v>3.0240231859167</v>
      </c>
      <c r="P103" s="45">
        <f>IF(tblShifts[[#This Row],[Date]]="","",IF(OR(tblShifts[[#This Row],[Loaded rate]]="",tblShifts[[#This Row],[Std cycle]]=""),"",tblShifts[[#This Row],[Std crew]]*tblShifts[[#This Row],[Loaded rate]]*tblShifts[[#This Row],[Std cycle]]/3600))</f>
        <v>2.73317095588235</v>
      </c>
      <c r="Q103" s="43">
        <f>IF(tblShifts[[#This Row],[Date]]="","",IF(tblShifts[[#This Row],[Std cycle]]="","",tblShifts[[#This Row],[Good units]]*tblShifts[[#This Row],[Std crew]]*tblShifts[[#This Row],[Std cycle]]/3600))</f>
        <v>21.6916666666667</v>
      </c>
      <c r="R103" s="46">
        <f>IF(tblShifts[[#This Row],[Date]]="","",IF(OR(tblShifts[[#This Row],[Earned hours]]="",N(tblShifts[[#This Row],[Crew hours]])=0),"",tblShifts[[#This Row],[Earned hours]]/tblShifts[[#This Row],[Crew hours]]))</f>
        <v>0.903819444444444</v>
      </c>
      <c r="S103" s="47" t="str">
        <f>IF(NOT(ISNUMBER(tblShifts[[#This Row],[Efficiency]])),"",IF(tblShifts[[#This Row],[Efficiency]]&gt;=TargetEff,"On target",IF(tblShifts[[#This Row],[Efficiency]]&gt;=TargetEff*(1-0.05),"Near target","Below target")))</f>
        <v>On target</v>
      </c>
      <c r="T103" s="45">
        <f>IF(tblShifts[[#This Row],[Date]]="","",IF(OR(tblShifts[[#This Row],[Cost per unit]]="",tblShifts[[#This Row],[Std cost per unit]]=""),"",tblShifts[[#This Row],[Cost per unit]]-tblShifts[[#This Row],[Std cost per unit]]))</f>
        <v>0.290852230034349</v>
      </c>
      <c r="U103" s="43">
        <f>IF(tblShifts[[#This Row],[Date]]="","",IF(OR(tblShifts[[#This Row],[Labour cost]]="",tblShifts[[#This Row],[Std cost per unit]]=""),"",tblShifts[[#This Row],[Labour cost]]-tblShifts[[#This Row],[Std cost per unit]]*tblShifts[[#This Row],[Good units]]))</f>
        <v>79.6935110294118</v>
      </c>
      <c r="V10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3" s="48">
        <f>IF(tblShifts[[#This Row],[Date]]="","",IF(AND(tblShifts[[#This Row],[Date]]&gt;=FFrom,tblShifts[[#This Row],[Date]]&lt;=FTo,OR(DashLine="",tblShifts[[#This Row],[Line]]=DashLine),OR(DashProduct="",tblShifts[[#This Row],[Product]]=DashProduct)),tblShifts[[#This Row],[Date]],""))</f>
        <v>46301</v>
      </c>
      <c r="X103" s="28" t="s">
        <v>149</v>
      </c>
    </row>
    <row r="104" spans="2:24">
      <c r="B104" s="42">
        <v>46301</v>
      </c>
      <c r="C104" s="28" t="s">
        <v>81</v>
      </c>
      <c r="D104" s="28" t="s">
        <v>84</v>
      </c>
      <c r="E104" s="28" t="s">
        <v>89</v>
      </c>
      <c r="F104" s="28" t="s">
        <v>122</v>
      </c>
      <c r="G104" s="32">
        <v>2</v>
      </c>
      <c r="H104" s="32">
        <v>8</v>
      </c>
      <c r="I104" s="36">
        <v>191</v>
      </c>
      <c r="J104" s="43">
        <f>IF(tblShifts[[#This Row],[Date]]="","",IFERROR(INDEX(tblRoles[Loaded rate],MATCH(tblShifts[[#This Row],[Role]],tblRoles[Role],0)),""))</f>
        <v>34.5242647058824</v>
      </c>
      <c r="K104" s="44">
        <f>IF(tblShifts[[#This Row],[Date]]="","",IFERROR(INDEX(tblProducts[Std cycle (s/unit)],MATCH(tblShifts[[#This Row],[Product]],tblProducts[Product],0)),""))</f>
        <v>140</v>
      </c>
      <c r="L104" s="44">
        <f>IF(tblShifts[[#This Row],[Date]]="","",IFERROR(INDEX(tblProducts[Std crew (people)],MATCH(tblShifts[[#This Row],[Product]],tblProducts[Product],0)),""))</f>
        <v>2</v>
      </c>
      <c r="M104" s="44">
        <f>IF(tblShifts[[#This Row],[Date]]="","",tblShifts[[#This Row],[Operators]]*tblShifts[[#This Row],[Hours]])</f>
        <v>16</v>
      </c>
      <c r="N104" s="43">
        <f>IF(tblShifts[[#This Row],[Date]]="","",IF(tblShifts[[#This Row],[Loaded rate]]="","",tblShifts[[#This Row],[Crew hours]]*tblShifts[[#This Row],[Loaded rate]]))</f>
        <v>552.388235294118</v>
      </c>
      <c r="O104" s="45">
        <f>IF(tblShifts[[#This Row],[Date]]="","",IF(OR(tblShifts[[#This Row],[Labour cost]]="",N(tblShifts[[#This Row],[Good units]])=0),"",tblShifts[[#This Row],[Labour cost]]/tblShifts[[#This Row],[Good units]]))</f>
        <v>2.89208500153988</v>
      </c>
      <c r="P104" s="45">
        <f>IF(tblShifts[[#This Row],[Date]]="","",IF(OR(tblShifts[[#This Row],[Loaded rate]]="",tblShifts[[#This Row],[Std cycle]]=""),"",tblShifts[[#This Row],[Std crew]]*tblShifts[[#This Row],[Loaded rate]]*tblShifts[[#This Row],[Std cycle]]/3600))</f>
        <v>2.68522058823529</v>
      </c>
      <c r="Q104" s="43">
        <f>IF(tblShifts[[#This Row],[Date]]="","",IF(tblShifts[[#This Row],[Std cycle]]="","",tblShifts[[#This Row],[Good units]]*tblShifts[[#This Row],[Std crew]]*tblShifts[[#This Row],[Std cycle]]/3600))</f>
        <v>14.8555555555556</v>
      </c>
      <c r="R104" s="46">
        <f>IF(tblShifts[[#This Row],[Date]]="","",IF(OR(tblShifts[[#This Row],[Earned hours]]="",N(tblShifts[[#This Row],[Crew hours]])=0),"",tblShifts[[#This Row],[Earned hours]]/tblShifts[[#This Row],[Crew hours]]))</f>
        <v>0.928472222222222</v>
      </c>
      <c r="S104" s="47" t="str">
        <f>IF(NOT(ISNUMBER(tblShifts[[#This Row],[Efficiency]])),"",IF(tblShifts[[#This Row],[Efficiency]]&gt;=TargetEff,"On target",IF(tblShifts[[#This Row],[Efficiency]]&gt;=TargetEff*(1-0.05),"Near target","Below target")))</f>
        <v>On target</v>
      </c>
      <c r="T104" s="45">
        <f>IF(tblShifts[[#This Row],[Date]]="","",IF(OR(tblShifts[[#This Row],[Cost per unit]]="",tblShifts[[#This Row],[Std cost per unit]]=""),"",tblShifts[[#This Row],[Cost per unit]]-tblShifts[[#This Row],[Std cost per unit]]))</f>
        <v>0.206864413304589</v>
      </c>
      <c r="U104" s="43">
        <f>IF(tblShifts[[#This Row],[Date]]="","",IF(OR(tblShifts[[#This Row],[Labour cost]]="",tblShifts[[#This Row],[Std cost per unit]]=""),"",tblShifts[[#This Row],[Labour cost]]-tblShifts[[#This Row],[Std cost per unit]]*tblShifts[[#This Row],[Good units]]))</f>
        <v>39.5111029411764</v>
      </c>
      <c r="V10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4" s="48">
        <f>IF(tblShifts[[#This Row],[Date]]="","",IF(AND(tblShifts[[#This Row],[Date]]&gt;=FFrom,tblShifts[[#This Row],[Date]]&lt;=FTo,OR(DashLine="",tblShifts[[#This Row],[Line]]=DashLine),OR(DashProduct="",tblShifts[[#This Row],[Product]]=DashProduct)),tblShifts[[#This Row],[Date]],""))</f>
        <v>46301</v>
      </c>
      <c r="X104" s="28" t="s">
        <v>149</v>
      </c>
    </row>
    <row r="105" spans="2:24">
      <c r="B105" s="42">
        <v>46301</v>
      </c>
      <c r="C105" s="28" t="s">
        <v>81</v>
      </c>
      <c r="D105" s="28" t="s">
        <v>85</v>
      </c>
      <c r="E105" s="28" t="s">
        <v>93</v>
      </c>
      <c r="F105" s="28" t="s">
        <v>123</v>
      </c>
      <c r="G105" s="32">
        <v>2</v>
      </c>
      <c r="H105" s="32">
        <v>8</v>
      </c>
      <c r="I105" s="36">
        <v>62</v>
      </c>
      <c r="J105" s="43">
        <f>IF(tblShifts[[#This Row],[Date]]="","",IFERROR(INDEX(tblRoles[Loaded rate],MATCH(tblShifts[[#This Row],[Role]],tblRoles[Role],0)),""))</f>
        <v>45.2216806722689</v>
      </c>
      <c r="K105" s="44">
        <f>IF(tblShifts[[#This Row],[Date]]="","",IFERROR(INDEX(tblProducts[Std cycle (s/unit)],MATCH(tblShifts[[#This Row],[Product]],tblProducts[Product],0)),""))</f>
        <v>420</v>
      </c>
      <c r="L105" s="44">
        <f>IF(tblShifts[[#This Row],[Date]]="","",IFERROR(INDEX(tblProducts[Std crew (people)],MATCH(tblShifts[[#This Row],[Product]],tblProducts[Product],0)),""))</f>
        <v>2</v>
      </c>
      <c r="M105" s="44">
        <f>IF(tblShifts[[#This Row],[Date]]="","",tblShifts[[#This Row],[Operators]]*tblShifts[[#This Row],[Hours]])</f>
        <v>16</v>
      </c>
      <c r="N105" s="43">
        <f>IF(tblShifts[[#This Row],[Date]]="","",IF(tblShifts[[#This Row],[Loaded rate]]="","",tblShifts[[#This Row],[Crew hours]]*tblShifts[[#This Row],[Loaded rate]]))</f>
        <v>723.546890756303</v>
      </c>
      <c r="O105" s="45">
        <f>IF(tblShifts[[#This Row],[Date]]="","",IF(OR(tblShifts[[#This Row],[Labour cost]]="",N(tblShifts[[#This Row],[Good units]])=0),"",tblShifts[[#This Row],[Labour cost]]/tblShifts[[#This Row],[Good units]]))</f>
        <v>11.6701111412307</v>
      </c>
      <c r="P105" s="45">
        <f>IF(tblShifts[[#This Row],[Date]]="","",IF(OR(tblShifts[[#This Row],[Loaded rate]]="",tblShifts[[#This Row],[Std cycle]]=""),"",tblShifts[[#This Row],[Std crew]]*tblShifts[[#This Row],[Loaded rate]]*tblShifts[[#This Row],[Std cycle]]/3600))</f>
        <v>10.5517254901961</v>
      </c>
      <c r="Q105" s="43">
        <f>IF(tblShifts[[#This Row],[Date]]="","",IF(tblShifts[[#This Row],[Std cycle]]="","",tblShifts[[#This Row],[Good units]]*tblShifts[[#This Row],[Std crew]]*tblShifts[[#This Row],[Std cycle]]/3600))</f>
        <v>14.4666666666667</v>
      </c>
      <c r="R105" s="46">
        <f>IF(tblShifts[[#This Row],[Date]]="","",IF(OR(tblShifts[[#This Row],[Earned hours]]="",N(tblShifts[[#This Row],[Crew hours]])=0),"",tblShifts[[#This Row],[Earned hours]]/tblShifts[[#This Row],[Crew hours]]))</f>
        <v>0.904166666666667</v>
      </c>
      <c r="S105" s="47" t="str">
        <f>IF(NOT(ISNUMBER(tblShifts[[#This Row],[Efficiency]])),"",IF(tblShifts[[#This Row],[Efficiency]]&gt;=TargetEff,"On target",IF(tblShifts[[#This Row],[Efficiency]]&gt;=TargetEff*(1-0.05),"Near target","Below target")))</f>
        <v>On target</v>
      </c>
      <c r="T105" s="45">
        <f>IF(tblShifts[[#This Row],[Date]]="","",IF(OR(tblShifts[[#This Row],[Cost per unit]]="",tblShifts[[#This Row],[Std cost per unit]]=""),"",tblShifts[[#This Row],[Cost per unit]]-tblShifts[[#This Row],[Std cost per unit]]))</f>
        <v>1.11838565103461</v>
      </c>
      <c r="U105" s="43">
        <f>IF(tblShifts[[#This Row],[Date]]="","",IF(OR(tblShifts[[#This Row],[Labour cost]]="",tblShifts[[#This Row],[Std cost per unit]]=""),"",tblShifts[[#This Row],[Labour cost]]-tblShifts[[#This Row],[Std cost per unit]]*tblShifts[[#This Row],[Good units]]))</f>
        <v>69.3399103641457</v>
      </c>
      <c r="V10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5" s="48">
        <f>IF(tblShifts[[#This Row],[Date]]="","",IF(AND(tblShifts[[#This Row],[Date]]&gt;=FFrom,tblShifts[[#This Row],[Date]]&lt;=FTo,OR(DashLine="",tblShifts[[#This Row],[Line]]=DashLine),OR(DashProduct="",tblShifts[[#This Row],[Product]]=DashProduct)),tblShifts[[#This Row],[Date]],""))</f>
        <v>46301</v>
      </c>
      <c r="X105" s="28" t="s">
        <v>149</v>
      </c>
    </row>
    <row r="106" spans="2:24">
      <c r="B106" s="42">
        <v>46301</v>
      </c>
      <c r="C106" s="28" t="s">
        <v>83</v>
      </c>
      <c r="D106" s="28" t="s">
        <v>82</v>
      </c>
      <c r="E106" s="28" t="s">
        <v>87</v>
      </c>
      <c r="F106" s="28" t="s">
        <v>122</v>
      </c>
      <c r="G106" s="32">
        <v>4</v>
      </c>
      <c r="H106" s="32">
        <v>8</v>
      </c>
      <c r="I106" s="36">
        <v>342</v>
      </c>
      <c r="J106" s="43">
        <f>IF(tblShifts[[#This Row],[Date]]="","",IFERROR(INDEX(tblRoles[Loaded rate],MATCH(tblShifts[[#This Row],[Role]],tblRoles[Role],0)),""))</f>
        <v>34.5242647058824</v>
      </c>
      <c r="K106" s="44">
        <f>IF(tblShifts[[#This Row],[Date]]="","",IFERROR(INDEX(tblProducts[Std cycle (s/unit)],MATCH(tblShifts[[#This Row],[Product]],tblProducts[Product],0)),""))</f>
        <v>95</v>
      </c>
      <c r="L106" s="44">
        <f>IF(tblShifts[[#This Row],[Date]]="","",IFERROR(INDEX(tblProducts[Std crew (people)],MATCH(tblShifts[[#This Row],[Product]],tblProducts[Product],0)),""))</f>
        <v>3</v>
      </c>
      <c r="M106" s="44">
        <f>IF(tblShifts[[#This Row],[Date]]="","",tblShifts[[#This Row],[Operators]]*tblShifts[[#This Row],[Hours]])</f>
        <v>32</v>
      </c>
      <c r="N106" s="43">
        <f>IF(tblShifts[[#This Row],[Date]]="","",IF(tblShifts[[#This Row],[Loaded rate]]="","",tblShifts[[#This Row],[Crew hours]]*tblShifts[[#This Row],[Loaded rate]]))</f>
        <v>1104.77647058824</v>
      </c>
      <c r="O106" s="45">
        <f>IF(tblShifts[[#This Row],[Date]]="","",IF(OR(tblShifts[[#This Row],[Labour cost]]="",N(tblShifts[[#This Row],[Good units]])=0),"",tblShifts[[#This Row],[Labour cost]]/tblShifts[[#This Row],[Good units]]))</f>
        <v>3.23034055727554</v>
      </c>
      <c r="P106" s="45">
        <f>IF(tblShifts[[#This Row],[Date]]="","",IF(OR(tblShifts[[#This Row],[Loaded rate]]="",tblShifts[[#This Row],[Std cycle]]=""),"",tblShifts[[#This Row],[Std crew]]*tblShifts[[#This Row],[Loaded rate]]*tblShifts[[#This Row],[Std cycle]]/3600))</f>
        <v>2.73317095588235</v>
      </c>
      <c r="Q106" s="43">
        <f>IF(tblShifts[[#This Row],[Date]]="","",IF(tblShifts[[#This Row],[Std cycle]]="","",tblShifts[[#This Row],[Good units]]*tblShifts[[#This Row],[Std crew]]*tblShifts[[#This Row],[Std cycle]]/3600))</f>
        <v>27.075</v>
      </c>
      <c r="R106" s="46">
        <f>IF(tblShifts[[#This Row],[Date]]="","",IF(OR(tblShifts[[#This Row],[Earned hours]]="",N(tblShifts[[#This Row],[Crew hours]])=0),"",tblShifts[[#This Row],[Earned hours]]/tblShifts[[#This Row],[Crew hours]]))</f>
        <v>0.84609375</v>
      </c>
      <c r="S106" s="47" t="str">
        <f>IF(NOT(ISNUMBER(tblShifts[[#This Row],[Efficiency]])),"",IF(tblShifts[[#This Row],[Efficiency]]&gt;=TargetEff,"On target",IF(tblShifts[[#This Row],[Efficiency]]&gt;=TargetEff*(1-0.05),"Near target","Below target")))</f>
        <v>Near target</v>
      </c>
      <c r="T106" s="45">
        <f>IF(tblShifts[[#This Row],[Date]]="","",IF(OR(tblShifts[[#This Row],[Cost per unit]]="",tblShifts[[#This Row],[Std cost per unit]]=""),"",tblShifts[[#This Row],[Cost per unit]]-tblShifts[[#This Row],[Std cost per unit]]))</f>
        <v>0.497169601393189</v>
      </c>
      <c r="U106" s="43">
        <f>IF(tblShifts[[#This Row],[Date]]="","",IF(OR(tblShifts[[#This Row],[Labour cost]]="",tblShifts[[#This Row],[Std cost per unit]]=""),"",tblShifts[[#This Row],[Labour cost]]-tblShifts[[#This Row],[Std cost per unit]]*tblShifts[[#This Row],[Good units]]))</f>
        <v>170.032003676471</v>
      </c>
      <c r="V10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6" s="48">
        <f>IF(tblShifts[[#This Row],[Date]]="","",IF(AND(tblShifts[[#This Row],[Date]]&gt;=FFrom,tblShifts[[#This Row],[Date]]&lt;=FTo,OR(DashLine="",tblShifts[[#This Row],[Line]]=DashLine),OR(DashProduct="",tblShifts[[#This Row],[Product]]=DashProduct)),tblShifts[[#This Row],[Date]],""))</f>
        <v>46301</v>
      </c>
      <c r="X106" s="28" t="s">
        <v>149</v>
      </c>
    </row>
    <row r="107" spans="2:24">
      <c r="B107" s="42">
        <v>46301</v>
      </c>
      <c r="C107" s="28" t="s">
        <v>83</v>
      </c>
      <c r="D107" s="28" t="s">
        <v>84</v>
      </c>
      <c r="E107" s="28" t="s">
        <v>89</v>
      </c>
      <c r="F107" s="28" t="s">
        <v>122</v>
      </c>
      <c r="G107" s="32">
        <v>2</v>
      </c>
      <c r="H107" s="32">
        <v>8</v>
      </c>
      <c r="I107" s="36">
        <v>164</v>
      </c>
      <c r="J107" s="43">
        <f>IF(tblShifts[[#This Row],[Date]]="","",IFERROR(INDEX(tblRoles[Loaded rate],MATCH(tblShifts[[#This Row],[Role]],tblRoles[Role],0)),""))</f>
        <v>34.5242647058824</v>
      </c>
      <c r="K107" s="44">
        <f>IF(tblShifts[[#This Row],[Date]]="","",IFERROR(INDEX(tblProducts[Std cycle (s/unit)],MATCH(tblShifts[[#This Row],[Product]],tblProducts[Product],0)),""))</f>
        <v>140</v>
      </c>
      <c r="L107" s="44">
        <f>IF(tblShifts[[#This Row],[Date]]="","",IFERROR(INDEX(tblProducts[Std crew (people)],MATCH(tblShifts[[#This Row],[Product]],tblProducts[Product],0)),""))</f>
        <v>2</v>
      </c>
      <c r="M107" s="44">
        <f>IF(tblShifts[[#This Row],[Date]]="","",tblShifts[[#This Row],[Operators]]*tblShifts[[#This Row],[Hours]])</f>
        <v>16</v>
      </c>
      <c r="N107" s="43">
        <f>IF(tblShifts[[#This Row],[Date]]="","",IF(tblShifts[[#This Row],[Loaded rate]]="","",tblShifts[[#This Row],[Crew hours]]*tblShifts[[#This Row],[Loaded rate]]))</f>
        <v>552.388235294118</v>
      </c>
      <c r="O107" s="45">
        <f>IF(tblShifts[[#This Row],[Date]]="","",IF(OR(tblShifts[[#This Row],[Labour cost]]="",N(tblShifts[[#This Row],[Good units]])=0),"",tblShifts[[#This Row],[Labour cost]]/tblShifts[[#This Row],[Good units]]))</f>
        <v>3.36822094691535</v>
      </c>
      <c r="P107" s="45">
        <f>IF(tblShifts[[#This Row],[Date]]="","",IF(OR(tblShifts[[#This Row],[Loaded rate]]="",tblShifts[[#This Row],[Std cycle]]=""),"",tblShifts[[#This Row],[Std crew]]*tblShifts[[#This Row],[Loaded rate]]*tblShifts[[#This Row],[Std cycle]]/3600))</f>
        <v>2.68522058823529</v>
      </c>
      <c r="Q107" s="43">
        <f>IF(tblShifts[[#This Row],[Date]]="","",IF(tblShifts[[#This Row],[Std cycle]]="","",tblShifts[[#This Row],[Good units]]*tblShifts[[#This Row],[Std crew]]*tblShifts[[#This Row],[Std cycle]]/3600))</f>
        <v>12.7555555555556</v>
      </c>
      <c r="R107" s="46">
        <f>IF(tblShifts[[#This Row],[Date]]="","",IF(OR(tblShifts[[#This Row],[Earned hours]]="",N(tblShifts[[#This Row],[Crew hours]])=0),"",tblShifts[[#This Row],[Earned hours]]/tblShifts[[#This Row],[Crew hours]]))</f>
        <v>0.797222222222222</v>
      </c>
      <c r="S107" s="47" t="str">
        <f>IF(NOT(ISNUMBER(tblShifts[[#This Row],[Efficiency]])),"",IF(tblShifts[[#This Row],[Efficiency]]&gt;=TargetEff,"On target",IF(tblShifts[[#This Row],[Efficiency]]&gt;=TargetEff*(1-0.05),"Near target","Below target")))</f>
        <v>Below target</v>
      </c>
      <c r="T107" s="45">
        <f>IF(tblShifts[[#This Row],[Date]]="","",IF(OR(tblShifts[[#This Row],[Cost per unit]]="",tblShifts[[#This Row],[Std cost per unit]]=""),"",tblShifts[[#This Row],[Cost per unit]]-tblShifts[[#This Row],[Std cost per unit]]))</f>
        <v>0.683000358680057</v>
      </c>
      <c r="U107" s="43">
        <f>IF(tblShifts[[#This Row],[Date]]="","",IF(OR(tblShifts[[#This Row],[Labour cost]]="",tblShifts[[#This Row],[Std cost per unit]]=""),"",tblShifts[[#This Row],[Labour cost]]-tblShifts[[#This Row],[Std cost per unit]]*tblShifts[[#This Row],[Good units]]))</f>
        <v>112.012058823529</v>
      </c>
      <c r="V10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7" s="48">
        <f>IF(tblShifts[[#This Row],[Date]]="","",IF(AND(tblShifts[[#This Row],[Date]]&gt;=FFrom,tblShifts[[#This Row],[Date]]&lt;=FTo,OR(DashLine="",tblShifts[[#This Row],[Line]]=DashLine),OR(DashProduct="",tblShifts[[#This Row],[Product]]=DashProduct)),tblShifts[[#This Row],[Date]],""))</f>
        <v>46301</v>
      </c>
      <c r="X107" s="28" t="s">
        <v>149</v>
      </c>
    </row>
    <row r="108" spans="2:24">
      <c r="B108" s="42">
        <v>46301</v>
      </c>
      <c r="C108" s="28" t="s">
        <v>83</v>
      </c>
      <c r="D108" s="28" t="s">
        <v>85</v>
      </c>
      <c r="E108" s="28" t="s">
        <v>93</v>
      </c>
      <c r="F108" s="28" t="s">
        <v>123</v>
      </c>
      <c r="G108" s="32">
        <v>2</v>
      </c>
      <c r="H108" s="32">
        <v>8</v>
      </c>
      <c r="I108" s="36">
        <v>61</v>
      </c>
      <c r="J108" s="43">
        <f>IF(tblShifts[[#This Row],[Date]]="","",IFERROR(INDEX(tblRoles[Loaded rate],MATCH(tblShifts[[#This Row],[Role]],tblRoles[Role],0)),""))</f>
        <v>45.2216806722689</v>
      </c>
      <c r="K108" s="44">
        <f>IF(tblShifts[[#This Row],[Date]]="","",IFERROR(INDEX(tblProducts[Std cycle (s/unit)],MATCH(tblShifts[[#This Row],[Product]],tblProducts[Product],0)),""))</f>
        <v>420</v>
      </c>
      <c r="L108" s="44">
        <f>IF(tblShifts[[#This Row],[Date]]="","",IFERROR(INDEX(tblProducts[Std crew (people)],MATCH(tblShifts[[#This Row],[Product]],tblProducts[Product],0)),""))</f>
        <v>2</v>
      </c>
      <c r="M108" s="44">
        <f>IF(tblShifts[[#This Row],[Date]]="","",tblShifts[[#This Row],[Operators]]*tblShifts[[#This Row],[Hours]])</f>
        <v>16</v>
      </c>
      <c r="N108" s="43">
        <f>IF(tblShifts[[#This Row],[Date]]="","",IF(tblShifts[[#This Row],[Loaded rate]]="","",tblShifts[[#This Row],[Crew hours]]*tblShifts[[#This Row],[Loaded rate]]))</f>
        <v>723.546890756303</v>
      </c>
      <c r="O108" s="45">
        <f>IF(tblShifts[[#This Row],[Date]]="","",IF(OR(tblShifts[[#This Row],[Labour cost]]="",N(tblShifts[[#This Row],[Good units]])=0),"",tblShifts[[#This Row],[Labour cost]]/tblShifts[[#This Row],[Good units]]))</f>
        <v>11.8614244386279</v>
      </c>
      <c r="P108" s="45">
        <f>IF(tblShifts[[#This Row],[Date]]="","",IF(OR(tblShifts[[#This Row],[Loaded rate]]="",tblShifts[[#This Row],[Std cycle]]=""),"",tblShifts[[#This Row],[Std crew]]*tblShifts[[#This Row],[Loaded rate]]*tblShifts[[#This Row],[Std cycle]]/3600))</f>
        <v>10.5517254901961</v>
      </c>
      <c r="Q108" s="43">
        <f>IF(tblShifts[[#This Row],[Date]]="","",IF(tblShifts[[#This Row],[Std cycle]]="","",tblShifts[[#This Row],[Good units]]*tblShifts[[#This Row],[Std crew]]*tblShifts[[#This Row],[Std cycle]]/3600))</f>
        <v>14.2333333333333</v>
      </c>
      <c r="R108" s="46">
        <f>IF(tblShifts[[#This Row],[Date]]="","",IF(OR(tblShifts[[#This Row],[Earned hours]]="",N(tblShifts[[#This Row],[Crew hours]])=0),"",tblShifts[[#This Row],[Earned hours]]/tblShifts[[#This Row],[Crew hours]]))</f>
        <v>0.889583333333333</v>
      </c>
      <c r="S108" s="47" t="str">
        <f>IF(NOT(ISNUMBER(tblShifts[[#This Row],[Efficiency]])),"",IF(tblShifts[[#This Row],[Efficiency]]&gt;=TargetEff,"On target",IF(tblShifts[[#This Row],[Efficiency]]&gt;=TargetEff*(1-0.05),"Near target","Below target")))</f>
        <v>On target</v>
      </c>
      <c r="T108" s="45">
        <f>IF(tblShifts[[#This Row],[Date]]="","",IF(OR(tblShifts[[#This Row],[Cost per unit]]="",tblShifts[[#This Row],[Std cost per unit]]=""),"",tblShifts[[#This Row],[Cost per unit]]-tblShifts[[#This Row],[Std cost per unit]]))</f>
        <v>1.30969894843183</v>
      </c>
      <c r="U108" s="43">
        <f>IF(tblShifts[[#This Row],[Date]]="","",IF(OR(tblShifts[[#This Row],[Labour cost]]="",tblShifts[[#This Row],[Std cost per unit]]=""),"",tblShifts[[#This Row],[Labour cost]]-tblShifts[[#This Row],[Std cost per unit]]*tblShifts[[#This Row],[Good units]]))</f>
        <v>79.8916358543418</v>
      </c>
      <c r="V10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8" s="48">
        <f>IF(tblShifts[[#This Row],[Date]]="","",IF(AND(tblShifts[[#This Row],[Date]]&gt;=FFrom,tblShifts[[#This Row],[Date]]&lt;=FTo,OR(DashLine="",tblShifts[[#This Row],[Line]]=DashLine),OR(DashProduct="",tblShifts[[#This Row],[Product]]=DashProduct)),tblShifts[[#This Row],[Date]],""))</f>
        <v>46301</v>
      </c>
      <c r="X108" s="28" t="s">
        <v>149</v>
      </c>
    </row>
    <row r="109" spans="2:24">
      <c r="B109" s="42">
        <v>46302</v>
      </c>
      <c r="C109" s="28" t="s">
        <v>81</v>
      </c>
      <c r="D109" s="28" t="s">
        <v>82</v>
      </c>
      <c r="E109" s="28" t="s">
        <v>87</v>
      </c>
      <c r="F109" s="28" t="s">
        <v>122</v>
      </c>
      <c r="G109" s="32">
        <v>3</v>
      </c>
      <c r="H109" s="32">
        <v>8</v>
      </c>
      <c r="I109" s="36">
        <v>270</v>
      </c>
      <c r="J109" s="43">
        <f>IF(tblShifts[[#This Row],[Date]]="","",IFERROR(INDEX(tblRoles[Loaded rate],MATCH(tblShifts[[#This Row],[Role]],tblRoles[Role],0)),""))</f>
        <v>34.5242647058824</v>
      </c>
      <c r="K109" s="44">
        <f>IF(tblShifts[[#This Row],[Date]]="","",IFERROR(INDEX(tblProducts[Std cycle (s/unit)],MATCH(tblShifts[[#This Row],[Product]],tblProducts[Product],0)),""))</f>
        <v>95</v>
      </c>
      <c r="L109" s="44">
        <f>IF(tblShifts[[#This Row],[Date]]="","",IFERROR(INDEX(tblProducts[Std crew (people)],MATCH(tblShifts[[#This Row],[Product]],tblProducts[Product],0)),""))</f>
        <v>3</v>
      </c>
      <c r="M109" s="44">
        <f>IF(tblShifts[[#This Row],[Date]]="","",tblShifts[[#This Row],[Operators]]*tblShifts[[#This Row],[Hours]])</f>
        <v>24</v>
      </c>
      <c r="N109" s="43">
        <f>IF(tblShifts[[#This Row],[Date]]="","",IF(tblShifts[[#This Row],[Loaded rate]]="","",tblShifts[[#This Row],[Crew hours]]*tblShifts[[#This Row],[Loaded rate]]))</f>
        <v>828.582352941176</v>
      </c>
      <c r="O109" s="45">
        <f>IF(tblShifts[[#This Row],[Date]]="","",IF(OR(tblShifts[[#This Row],[Labour cost]]="",N(tblShifts[[#This Row],[Good units]])=0),"",tblShifts[[#This Row],[Labour cost]]/tblShifts[[#This Row],[Good units]]))</f>
        <v>3.06882352941176</v>
      </c>
      <c r="P109" s="45">
        <f>IF(tblShifts[[#This Row],[Date]]="","",IF(OR(tblShifts[[#This Row],[Loaded rate]]="",tblShifts[[#This Row],[Std cycle]]=""),"",tblShifts[[#This Row],[Std crew]]*tblShifts[[#This Row],[Loaded rate]]*tblShifts[[#This Row],[Std cycle]]/3600))</f>
        <v>2.73317095588235</v>
      </c>
      <c r="Q109" s="43">
        <f>IF(tblShifts[[#This Row],[Date]]="","",IF(tblShifts[[#This Row],[Std cycle]]="","",tblShifts[[#This Row],[Good units]]*tblShifts[[#This Row],[Std crew]]*tblShifts[[#This Row],[Std cycle]]/3600))</f>
        <v>21.375</v>
      </c>
      <c r="R109" s="46">
        <f>IF(tblShifts[[#This Row],[Date]]="","",IF(OR(tblShifts[[#This Row],[Earned hours]]="",N(tblShifts[[#This Row],[Crew hours]])=0),"",tblShifts[[#This Row],[Earned hours]]/tblShifts[[#This Row],[Crew hours]]))</f>
        <v>0.890625</v>
      </c>
      <c r="S109" s="47" t="str">
        <f>IF(NOT(ISNUMBER(tblShifts[[#This Row],[Efficiency]])),"",IF(tblShifts[[#This Row],[Efficiency]]&gt;=TargetEff,"On target",IF(tblShifts[[#This Row],[Efficiency]]&gt;=TargetEff*(1-0.05),"Near target","Below target")))</f>
        <v>On target</v>
      </c>
      <c r="T109" s="45">
        <f>IF(tblShifts[[#This Row],[Date]]="","",IF(OR(tblShifts[[#This Row],[Cost per unit]]="",tblShifts[[#This Row],[Std cost per unit]]=""),"",tblShifts[[#This Row],[Cost per unit]]-tblShifts[[#This Row],[Std cost per unit]]))</f>
        <v>0.335652573529412</v>
      </c>
      <c r="U109" s="43">
        <f>IF(tblShifts[[#This Row],[Date]]="","",IF(OR(tblShifts[[#This Row],[Labour cost]]="",tblShifts[[#This Row],[Std cost per unit]]=""),"",tblShifts[[#This Row],[Labour cost]]-tblShifts[[#This Row],[Std cost per unit]]*tblShifts[[#This Row],[Good units]]))</f>
        <v>90.6261948529411</v>
      </c>
      <c r="V10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09" s="48">
        <f>IF(tblShifts[[#This Row],[Date]]="","",IF(AND(tblShifts[[#This Row],[Date]]&gt;=FFrom,tblShifts[[#This Row],[Date]]&lt;=FTo,OR(DashLine="",tblShifts[[#This Row],[Line]]=DashLine),OR(DashProduct="",tblShifts[[#This Row],[Product]]=DashProduct)),tblShifts[[#This Row],[Date]],""))</f>
        <v>46302</v>
      </c>
      <c r="X109" s="28" t="s">
        <v>149</v>
      </c>
    </row>
    <row r="110" spans="2:24">
      <c r="B110" s="42">
        <v>46302</v>
      </c>
      <c r="C110" s="28" t="s">
        <v>81</v>
      </c>
      <c r="D110" s="28" t="s">
        <v>84</v>
      </c>
      <c r="E110" s="28" t="s">
        <v>89</v>
      </c>
      <c r="F110" s="28" t="s">
        <v>122</v>
      </c>
      <c r="G110" s="32">
        <v>2</v>
      </c>
      <c r="H110" s="32">
        <v>8</v>
      </c>
      <c r="I110" s="36">
        <v>194</v>
      </c>
      <c r="J110" s="43">
        <f>IF(tblShifts[[#This Row],[Date]]="","",IFERROR(INDEX(tblRoles[Loaded rate],MATCH(tblShifts[[#This Row],[Role]],tblRoles[Role],0)),""))</f>
        <v>34.5242647058824</v>
      </c>
      <c r="K110" s="44">
        <f>IF(tblShifts[[#This Row],[Date]]="","",IFERROR(INDEX(tblProducts[Std cycle (s/unit)],MATCH(tblShifts[[#This Row],[Product]],tblProducts[Product],0)),""))</f>
        <v>140</v>
      </c>
      <c r="L110" s="44">
        <f>IF(tblShifts[[#This Row],[Date]]="","",IFERROR(INDEX(tblProducts[Std crew (people)],MATCH(tblShifts[[#This Row],[Product]],tblProducts[Product],0)),""))</f>
        <v>2</v>
      </c>
      <c r="M110" s="44">
        <f>IF(tblShifts[[#This Row],[Date]]="","",tblShifts[[#This Row],[Operators]]*tblShifts[[#This Row],[Hours]])</f>
        <v>16</v>
      </c>
      <c r="N110" s="43">
        <f>IF(tblShifts[[#This Row],[Date]]="","",IF(tblShifts[[#This Row],[Loaded rate]]="","",tblShifts[[#This Row],[Crew hours]]*tblShifts[[#This Row],[Loaded rate]]))</f>
        <v>552.388235294118</v>
      </c>
      <c r="O110" s="45">
        <f>IF(tblShifts[[#This Row],[Date]]="","",IF(OR(tblShifts[[#This Row],[Labour cost]]="",N(tblShifts[[#This Row],[Good units]])=0),"",tblShifts[[#This Row],[Labour cost]]/tblShifts[[#This Row],[Good units]]))</f>
        <v>2.84736203759854</v>
      </c>
      <c r="P110" s="45">
        <f>IF(tblShifts[[#This Row],[Date]]="","",IF(OR(tblShifts[[#This Row],[Loaded rate]]="",tblShifts[[#This Row],[Std cycle]]=""),"",tblShifts[[#This Row],[Std crew]]*tblShifts[[#This Row],[Loaded rate]]*tblShifts[[#This Row],[Std cycle]]/3600))</f>
        <v>2.68522058823529</v>
      </c>
      <c r="Q110" s="43">
        <f>IF(tblShifts[[#This Row],[Date]]="","",IF(tblShifts[[#This Row],[Std cycle]]="","",tblShifts[[#This Row],[Good units]]*tblShifts[[#This Row],[Std crew]]*tblShifts[[#This Row],[Std cycle]]/3600))</f>
        <v>15.0888888888889</v>
      </c>
      <c r="R110" s="46">
        <f>IF(tblShifts[[#This Row],[Date]]="","",IF(OR(tblShifts[[#This Row],[Earned hours]]="",N(tblShifts[[#This Row],[Crew hours]])=0),"",tblShifts[[#This Row],[Earned hours]]/tblShifts[[#This Row],[Crew hours]]))</f>
        <v>0.943055555555556</v>
      </c>
      <c r="S110" s="47" t="str">
        <f>IF(NOT(ISNUMBER(tblShifts[[#This Row],[Efficiency]])),"",IF(tblShifts[[#This Row],[Efficiency]]&gt;=TargetEff,"On target",IF(tblShifts[[#This Row],[Efficiency]]&gt;=TargetEff*(1-0.05),"Near target","Below target")))</f>
        <v>On target</v>
      </c>
      <c r="T110" s="45">
        <f>IF(tblShifts[[#This Row],[Date]]="","",IF(OR(tblShifts[[#This Row],[Cost per unit]]="",tblShifts[[#This Row],[Std cost per unit]]=""),"",tblShifts[[#This Row],[Cost per unit]]-tblShifts[[#This Row],[Std cost per unit]]))</f>
        <v>0.16214144936325</v>
      </c>
      <c r="U110" s="43">
        <f>IF(tblShifts[[#This Row],[Date]]="","",IF(OR(tblShifts[[#This Row],[Labour cost]]="",tblShifts[[#This Row],[Std cost per unit]]=""),"",tblShifts[[#This Row],[Labour cost]]-tblShifts[[#This Row],[Std cost per unit]]*tblShifts[[#This Row],[Good units]]))</f>
        <v>31.4554411764706</v>
      </c>
      <c r="V11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0" s="48">
        <f>IF(tblShifts[[#This Row],[Date]]="","",IF(AND(tblShifts[[#This Row],[Date]]&gt;=FFrom,tblShifts[[#This Row],[Date]]&lt;=FTo,OR(DashLine="",tblShifts[[#This Row],[Line]]=DashLine),OR(DashProduct="",tblShifts[[#This Row],[Product]]=DashProduct)),tblShifts[[#This Row],[Date]],""))</f>
        <v>46302</v>
      </c>
      <c r="X110" s="28" t="s">
        <v>149</v>
      </c>
    </row>
    <row r="111" spans="2:24">
      <c r="B111" s="42">
        <v>46302</v>
      </c>
      <c r="C111" s="28" t="s">
        <v>81</v>
      </c>
      <c r="D111" s="28" t="s">
        <v>85</v>
      </c>
      <c r="E111" s="28" t="s">
        <v>93</v>
      </c>
      <c r="F111" s="28" t="s">
        <v>123</v>
      </c>
      <c r="G111" s="32">
        <v>2</v>
      </c>
      <c r="H111" s="32">
        <v>8</v>
      </c>
      <c r="I111" s="36">
        <v>61</v>
      </c>
      <c r="J111" s="43">
        <f>IF(tblShifts[[#This Row],[Date]]="","",IFERROR(INDEX(tblRoles[Loaded rate],MATCH(tblShifts[[#This Row],[Role]],tblRoles[Role],0)),""))</f>
        <v>45.2216806722689</v>
      </c>
      <c r="K111" s="44">
        <f>IF(tblShifts[[#This Row],[Date]]="","",IFERROR(INDEX(tblProducts[Std cycle (s/unit)],MATCH(tblShifts[[#This Row],[Product]],tblProducts[Product],0)),""))</f>
        <v>420</v>
      </c>
      <c r="L111" s="44">
        <f>IF(tblShifts[[#This Row],[Date]]="","",IFERROR(INDEX(tblProducts[Std crew (people)],MATCH(tblShifts[[#This Row],[Product]],tblProducts[Product],0)),""))</f>
        <v>2</v>
      </c>
      <c r="M111" s="44">
        <f>IF(tblShifts[[#This Row],[Date]]="","",tblShifts[[#This Row],[Operators]]*tblShifts[[#This Row],[Hours]])</f>
        <v>16</v>
      </c>
      <c r="N111" s="43">
        <f>IF(tblShifts[[#This Row],[Date]]="","",IF(tblShifts[[#This Row],[Loaded rate]]="","",tblShifts[[#This Row],[Crew hours]]*tblShifts[[#This Row],[Loaded rate]]))</f>
        <v>723.546890756303</v>
      </c>
      <c r="O111" s="45">
        <f>IF(tblShifts[[#This Row],[Date]]="","",IF(OR(tblShifts[[#This Row],[Labour cost]]="",N(tblShifts[[#This Row],[Good units]])=0),"",tblShifts[[#This Row],[Labour cost]]/tblShifts[[#This Row],[Good units]]))</f>
        <v>11.8614244386279</v>
      </c>
      <c r="P111" s="45">
        <f>IF(tblShifts[[#This Row],[Date]]="","",IF(OR(tblShifts[[#This Row],[Loaded rate]]="",tblShifts[[#This Row],[Std cycle]]=""),"",tblShifts[[#This Row],[Std crew]]*tblShifts[[#This Row],[Loaded rate]]*tblShifts[[#This Row],[Std cycle]]/3600))</f>
        <v>10.5517254901961</v>
      </c>
      <c r="Q111" s="43">
        <f>IF(tblShifts[[#This Row],[Date]]="","",IF(tblShifts[[#This Row],[Std cycle]]="","",tblShifts[[#This Row],[Good units]]*tblShifts[[#This Row],[Std crew]]*tblShifts[[#This Row],[Std cycle]]/3600))</f>
        <v>14.2333333333333</v>
      </c>
      <c r="R111" s="46">
        <f>IF(tblShifts[[#This Row],[Date]]="","",IF(OR(tblShifts[[#This Row],[Earned hours]]="",N(tblShifts[[#This Row],[Crew hours]])=0),"",tblShifts[[#This Row],[Earned hours]]/tblShifts[[#This Row],[Crew hours]]))</f>
        <v>0.889583333333333</v>
      </c>
      <c r="S111" s="47" t="str">
        <f>IF(NOT(ISNUMBER(tblShifts[[#This Row],[Efficiency]])),"",IF(tblShifts[[#This Row],[Efficiency]]&gt;=TargetEff,"On target",IF(tblShifts[[#This Row],[Efficiency]]&gt;=TargetEff*(1-0.05),"Near target","Below target")))</f>
        <v>On target</v>
      </c>
      <c r="T111" s="45">
        <f>IF(tblShifts[[#This Row],[Date]]="","",IF(OR(tblShifts[[#This Row],[Cost per unit]]="",tblShifts[[#This Row],[Std cost per unit]]=""),"",tblShifts[[#This Row],[Cost per unit]]-tblShifts[[#This Row],[Std cost per unit]]))</f>
        <v>1.30969894843183</v>
      </c>
      <c r="U111" s="43">
        <f>IF(tblShifts[[#This Row],[Date]]="","",IF(OR(tblShifts[[#This Row],[Labour cost]]="",tblShifts[[#This Row],[Std cost per unit]]=""),"",tblShifts[[#This Row],[Labour cost]]-tblShifts[[#This Row],[Std cost per unit]]*tblShifts[[#This Row],[Good units]]))</f>
        <v>79.8916358543418</v>
      </c>
      <c r="V11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1" s="48">
        <f>IF(tblShifts[[#This Row],[Date]]="","",IF(AND(tblShifts[[#This Row],[Date]]&gt;=FFrom,tblShifts[[#This Row],[Date]]&lt;=FTo,OR(DashLine="",tblShifts[[#This Row],[Line]]=DashLine),OR(DashProduct="",tblShifts[[#This Row],[Product]]=DashProduct)),tblShifts[[#This Row],[Date]],""))</f>
        <v>46302</v>
      </c>
      <c r="X111" s="28" t="s">
        <v>149</v>
      </c>
    </row>
    <row r="112" spans="2:24">
      <c r="B112" s="42">
        <v>46302</v>
      </c>
      <c r="C112" s="28" t="s">
        <v>83</v>
      </c>
      <c r="D112" s="28" t="s">
        <v>82</v>
      </c>
      <c r="E112" s="28" t="s">
        <v>87</v>
      </c>
      <c r="F112" s="28" t="s">
        <v>122</v>
      </c>
      <c r="G112" s="32">
        <v>3</v>
      </c>
      <c r="H112" s="32">
        <v>8</v>
      </c>
      <c r="I112" s="36">
        <v>260</v>
      </c>
      <c r="J112" s="43">
        <f>IF(tblShifts[[#This Row],[Date]]="","",IFERROR(INDEX(tblRoles[Loaded rate],MATCH(tblShifts[[#This Row],[Role]],tblRoles[Role],0)),""))</f>
        <v>34.5242647058824</v>
      </c>
      <c r="K112" s="44">
        <f>IF(tblShifts[[#This Row],[Date]]="","",IFERROR(INDEX(tblProducts[Std cycle (s/unit)],MATCH(tblShifts[[#This Row],[Product]],tblProducts[Product],0)),""))</f>
        <v>95</v>
      </c>
      <c r="L112" s="44">
        <f>IF(tblShifts[[#This Row],[Date]]="","",IFERROR(INDEX(tblProducts[Std crew (people)],MATCH(tblShifts[[#This Row],[Product]],tblProducts[Product],0)),""))</f>
        <v>3</v>
      </c>
      <c r="M112" s="44">
        <f>IF(tblShifts[[#This Row],[Date]]="","",tblShifts[[#This Row],[Operators]]*tblShifts[[#This Row],[Hours]])</f>
        <v>24</v>
      </c>
      <c r="N112" s="43">
        <f>IF(tblShifts[[#This Row],[Date]]="","",IF(tblShifts[[#This Row],[Loaded rate]]="","",tblShifts[[#This Row],[Crew hours]]*tblShifts[[#This Row],[Loaded rate]]))</f>
        <v>828.582352941176</v>
      </c>
      <c r="O112" s="45">
        <f>IF(tblShifts[[#This Row],[Date]]="","",IF(OR(tblShifts[[#This Row],[Labour cost]]="",N(tblShifts[[#This Row],[Good units]])=0),"",tblShifts[[#This Row],[Labour cost]]/tblShifts[[#This Row],[Good units]]))</f>
        <v>3.18685520361991</v>
      </c>
      <c r="P112" s="45">
        <f>IF(tblShifts[[#This Row],[Date]]="","",IF(OR(tblShifts[[#This Row],[Loaded rate]]="",tblShifts[[#This Row],[Std cycle]]=""),"",tblShifts[[#This Row],[Std crew]]*tblShifts[[#This Row],[Loaded rate]]*tblShifts[[#This Row],[Std cycle]]/3600))</f>
        <v>2.73317095588235</v>
      </c>
      <c r="Q112" s="43">
        <f>IF(tblShifts[[#This Row],[Date]]="","",IF(tblShifts[[#This Row],[Std cycle]]="","",tblShifts[[#This Row],[Good units]]*tblShifts[[#This Row],[Std crew]]*tblShifts[[#This Row],[Std cycle]]/3600))</f>
        <v>20.5833333333333</v>
      </c>
      <c r="R112" s="46">
        <f>IF(tblShifts[[#This Row],[Date]]="","",IF(OR(tblShifts[[#This Row],[Earned hours]]="",N(tblShifts[[#This Row],[Crew hours]])=0),"",tblShifts[[#This Row],[Earned hours]]/tblShifts[[#This Row],[Crew hours]]))</f>
        <v>0.857638888888889</v>
      </c>
      <c r="S112" s="47" t="str">
        <f>IF(NOT(ISNUMBER(tblShifts[[#This Row],[Efficiency]])),"",IF(tblShifts[[#This Row],[Efficiency]]&gt;=TargetEff,"On target",IF(tblShifts[[#This Row],[Efficiency]]&gt;=TargetEff*(1-0.05),"Near target","Below target")))</f>
        <v>On target</v>
      </c>
      <c r="T112" s="45">
        <f>IF(tblShifts[[#This Row],[Date]]="","",IF(OR(tblShifts[[#This Row],[Cost per unit]]="",tblShifts[[#This Row],[Std cost per unit]]=""),"",tblShifts[[#This Row],[Cost per unit]]-tblShifts[[#This Row],[Std cost per unit]]))</f>
        <v>0.453684247737557</v>
      </c>
      <c r="U112" s="43">
        <f>IF(tblShifts[[#This Row],[Date]]="","",IF(OR(tblShifts[[#This Row],[Labour cost]]="",tblShifts[[#This Row],[Std cost per unit]]=""),"",tblShifts[[#This Row],[Labour cost]]-tblShifts[[#This Row],[Std cost per unit]]*tblShifts[[#This Row],[Good units]]))</f>
        <v>117.957904411765</v>
      </c>
      <c r="V11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2" s="48">
        <f>IF(tblShifts[[#This Row],[Date]]="","",IF(AND(tblShifts[[#This Row],[Date]]&gt;=FFrom,tblShifts[[#This Row],[Date]]&lt;=FTo,OR(DashLine="",tblShifts[[#This Row],[Line]]=DashLine),OR(DashProduct="",tblShifts[[#This Row],[Product]]=DashProduct)),tblShifts[[#This Row],[Date]],""))</f>
        <v>46302</v>
      </c>
      <c r="X112" s="28" t="s">
        <v>149</v>
      </c>
    </row>
    <row r="113" spans="2:24">
      <c r="B113" s="42">
        <v>46302</v>
      </c>
      <c r="C113" s="28" t="s">
        <v>83</v>
      </c>
      <c r="D113" s="28" t="s">
        <v>84</v>
      </c>
      <c r="E113" s="28" t="s">
        <v>89</v>
      </c>
      <c r="F113" s="28" t="s">
        <v>122</v>
      </c>
      <c r="G113" s="32">
        <v>2</v>
      </c>
      <c r="H113" s="32">
        <v>8</v>
      </c>
      <c r="I113" s="36">
        <v>150</v>
      </c>
      <c r="J113" s="43">
        <f>IF(tblShifts[[#This Row],[Date]]="","",IFERROR(INDEX(tblRoles[Loaded rate],MATCH(tblShifts[[#This Row],[Role]],tblRoles[Role],0)),""))</f>
        <v>34.5242647058824</v>
      </c>
      <c r="K113" s="44">
        <f>IF(tblShifts[[#This Row],[Date]]="","",IFERROR(INDEX(tblProducts[Std cycle (s/unit)],MATCH(tblShifts[[#This Row],[Product]],tblProducts[Product],0)),""))</f>
        <v>140</v>
      </c>
      <c r="L113" s="44">
        <f>IF(tblShifts[[#This Row],[Date]]="","",IFERROR(INDEX(tblProducts[Std crew (people)],MATCH(tblShifts[[#This Row],[Product]],tblProducts[Product],0)),""))</f>
        <v>2</v>
      </c>
      <c r="M113" s="44">
        <f>IF(tblShifts[[#This Row],[Date]]="","",tblShifts[[#This Row],[Operators]]*tblShifts[[#This Row],[Hours]])</f>
        <v>16</v>
      </c>
      <c r="N113" s="43">
        <f>IF(tblShifts[[#This Row],[Date]]="","",IF(tblShifts[[#This Row],[Loaded rate]]="","",tblShifts[[#This Row],[Crew hours]]*tblShifts[[#This Row],[Loaded rate]]))</f>
        <v>552.388235294118</v>
      </c>
      <c r="O113" s="45">
        <f>IF(tblShifts[[#This Row],[Date]]="","",IF(OR(tblShifts[[#This Row],[Labour cost]]="",N(tblShifts[[#This Row],[Good units]])=0),"",tblShifts[[#This Row],[Labour cost]]/tblShifts[[#This Row],[Good units]]))</f>
        <v>3.68258823529412</v>
      </c>
      <c r="P113" s="45">
        <f>IF(tblShifts[[#This Row],[Date]]="","",IF(OR(tblShifts[[#This Row],[Loaded rate]]="",tblShifts[[#This Row],[Std cycle]]=""),"",tblShifts[[#This Row],[Std crew]]*tblShifts[[#This Row],[Loaded rate]]*tblShifts[[#This Row],[Std cycle]]/3600))</f>
        <v>2.68522058823529</v>
      </c>
      <c r="Q113" s="43">
        <f>IF(tblShifts[[#This Row],[Date]]="","",IF(tblShifts[[#This Row],[Std cycle]]="","",tblShifts[[#This Row],[Good units]]*tblShifts[[#This Row],[Std crew]]*tblShifts[[#This Row],[Std cycle]]/3600))</f>
        <v>11.6666666666667</v>
      </c>
      <c r="R113" s="46">
        <f>IF(tblShifts[[#This Row],[Date]]="","",IF(OR(tblShifts[[#This Row],[Earned hours]]="",N(tblShifts[[#This Row],[Crew hours]])=0),"",tblShifts[[#This Row],[Earned hours]]/tblShifts[[#This Row],[Crew hours]]))</f>
        <v>0.729166666666667</v>
      </c>
      <c r="S113" s="47" t="str">
        <f>IF(NOT(ISNUMBER(tblShifts[[#This Row],[Efficiency]])),"",IF(tblShifts[[#This Row],[Efficiency]]&gt;=TargetEff,"On target",IF(tblShifts[[#This Row],[Efficiency]]&gt;=TargetEff*(1-0.05),"Near target","Below target")))</f>
        <v>Below target</v>
      </c>
      <c r="T113" s="45">
        <f>IF(tblShifts[[#This Row],[Date]]="","",IF(OR(tblShifts[[#This Row],[Cost per unit]]="",tblShifts[[#This Row],[Std cost per unit]]=""),"",tblShifts[[#This Row],[Cost per unit]]-tblShifts[[#This Row],[Std cost per unit]]))</f>
        <v>0.997367647058823</v>
      </c>
      <c r="U113" s="43">
        <f>IF(tblShifts[[#This Row],[Date]]="","",IF(OR(tblShifts[[#This Row],[Labour cost]]="",tblShifts[[#This Row],[Std cost per unit]]=""),"",tblShifts[[#This Row],[Labour cost]]-tblShifts[[#This Row],[Std cost per unit]]*tblShifts[[#This Row],[Good units]]))</f>
        <v>149.605147058824</v>
      </c>
      <c r="V11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3" s="48">
        <f>IF(tblShifts[[#This Row],[Date]]="","",IF(AND(tblShifts[[#This Row],[Date]]&gt;=FFrom,tblShifts[[#This Row],[Date]]&lt;=FTo,OR(DashLine="",tblShifts[[#This Row],[Line]]=DashLine),OR(DashProduct="",tblShifts[[#This Row],[Product]]=DashProduct)),tblShifts[[#This Row],[Date]],""))</f>
        <v>46302</v>
      </c>
      <c r="X113" s="28" t="s">
        <v>149</v>
      </c>
    </row>
    <row r="114" spans="2:24">
      <c r="B114" s="42">
        <v>46302</v>
      </c>
      <c r="C114" s="28" t="s">
        <v>83</v>
      </c>
      <c r="D114" s="28" t="s">
        <v>85</v>
      </c>
      <c r="E114" s="28" t="s">
        <v>93</v>
      </c>
      <c r="F114" s="28" t="s">
        <v>123</v>
      </c>
      <c r="G114" s="32">
        <v>2</v>
      </c>
      <c r="H114" s="32">
        <v>10</v>
      </c>
      <c r="I114" s="36">
        <v>75</v>
      </c>
      <c r="J114" s="43">
        <f>IF(tblShifts[[#This Row],[Date]]="","",IFERROR(INDEX(tblRoles[Loaded rate],MATCH(tblShifts[[#This Row],[Role]],tblRoles[Role],0)),""))</f>
        <v>45.2216806722689</v>
      </c>
      <c r="K114" s="44">
        <f>IF(tblShifts[[#This Row],[Date]]="","",IFERROR(INDEX(tblProducts[Std cycle (s/unit)],MATCH(tblShifts[[#This Row],[Product]],tblProducts[Product],0)),""))</f>
        <v>420</v>
      </c>
      <c r="L114" s="44">
        <f>IF(tblShifts[[#This Row],[Date]]="","",IFERROR(INDEX(tblProducts[Std crew (people)],MATCH(tblShifts[[#This Row],[Product]],tblProducts[Product],0)),""))</f>
        <v>2</v>
      </c>
      <c r="M114" s="44">
        <f>IF(tblShifts[[#This Row],[Date]]="","",tblShifts[[#This Row],[Operators]]*tblShifts[[#This Row],[Hours]])</f>
        <v>20</v>
      </c>
      <c r="N114" s="43">
        <f>IF(tblShifts[[#This Row],[Date]]="","",IF(tblShifts[[#This Row],[Loaded rate]]="","",tblShifts[[#This Row],[Crew hours]]*tblShifts[[#This Row],[Loaded rate]]))</f>
        <v>904.433613445378</v>
      </c>
      <c r="O114" s="45">
        <f>IF(tblShifts[[#This Row],[Date]]="","",IF(OR(tblShifts[[#This Row],[Labour cost]]="",N(tblShifts[[#This Row],[Good units]])=0),"",tblShifts[[#This Row],[Labour cost]]/tblShifts[[#This Row],[Good units]]))</f>
        <v>12.0591148459384</v>
      </c>
      <c r="P114" s="45">
        <f>IF(tblShifts[[#This Row],[Date]]="","",IF(OR(tblShifts[[#This Row],[Loaded rate]]="",tblShifts[[#This Row],[Std cycle]]=""),"",tblShifts[[#This Row],[Std crew]]*tblShifts[[#This Row],[Loaded rate]]*tblShifts[[#This Row],[Std cycle]]/3600))</f>
        <v>10.5517254901961</v>
      </c>
      <c r="Q114" s="43">
        <f>IF(tblShifts[[#This Row],[Date]]="","",IF(tblShifts[[#This Row],[Std cycle]]="","",tblShifts[[#This Row],[Good units]]*tblShifts[[#This Row],[Std crew]]*tblShifts[[#This Row],[Std cycle]]/3600))</f>
        <v>17.5</v>
      </c>
      <c r="R114" s="46">
        <f>IF(tblShifts[[#This Row],[Date]]="","",IF(OR(tblShifts[[#This Row],[Earned hours]]="",N(tblShifts[[#This Row],[Crew hours]])=0),"",tblShifts[[#This Row],[Earned hours]]/tblShifts[[#This Row],[Crew hours]]))</f>
        <v>0.875</v>
      </c>
      <c r="S114" s="47" t="str">
        <f>IF(NOT(ISNUMBER(tblShifts[[#This Row],[Efficiency]])),"",IF(tblShifts[[#This Row],[Efficiency]]&gt;=TargetEff,"On target",IF(tblShifts[[#This Row],[Efficiency]]&gt;=TargetEff*(1-0.05),"Near target","Below target")))</f>
        <v>On target</v>
      </c>
      <c r="T114" s="45">
        <f>IF(tblShifts[[#This Row],[Date]]="","",IF(OR(tblShifts[[#This Row],[Cost per unit]]="",tblShifts[[#This Row],[Std cost per unit]]=""),"",tblShifts[[#This Row],[Cost per unit]]-tblShifts[[#This Row],[Std cost per unit]]))</f>
        <v>1.5073893557423</v>
      </c>
      <c r="U114" s="43">
        <f>IF(tblShifts[[#This Row],[Date]]="","",IF(OR(tblShifts[[#This Row],[Labour cost]]="",tblShifts[[#This Row],[Std cost per unit]]=""),"",tblShifts[[#This Row],[Labour cost]]-tblShifts[[#This Row],[Std cost per unit]]*tblShifts[[#This Row],[Good units]]))</f>
        <v>113.054201680672</v>
      </c>
      <c r="V11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4" s="48">
        <f>IF(tblShifts[[#This Row],[Date]]="","",IF(AND(tblShifts[[#This Row],[Date]]&gt;=FFrom,tblShifts[[#This Row],[Date]]&lt;=FTo,OR(DashLine="",tblShifts[[#This Row],[Line]]=DashLine),OR(DashProduct="",tblShifts[[#This Row],[Product]]=DashProduct)),tblShifts[[#This Row],[Date]],""))</f>
        <v>46302</v>
      </c>
      <c r="X114" s="28" t="s">
        <v>149</v>
      </c>
    </row>
    <row r="115" spans="2:24">
      <c r="B115" s="42">
        <v>46303</v>
      </c>
      <c r="C115" s="28" t="s">
        <v>81</v>
      </c>
      <c r="D115" s="28" t="s">
        <v>82</v>
      </c>
      <c r="E115" s="28" t="s">
        <v>87</v>
      </c>
      <c r="F115" s="28" t="s">
        <v>122</v>
      </c>
      <c r="G115" s="32">
        <v>3</v>
      </c>
      <c r="H115" s="32">
        <v>8</v>
      </c>
      <c r="I115" s="36">
        <v>263</v>
      </c>
      <c r="J115" s="43">
        <f>IF(tblShifts[[#This Row],[Date]]="","",IFERROR(INDEX(tblRoles[Loaded rate],MATCH(tblShifts[[#This Row],[Role]],tblRoles[Role],0)),""))</f>
        <v>34.5242647058824</v>
      </c>
      <c r="K115" s="44">
        <f>IF(tblShifts[[#This Row],[Date]]="","",IFERROR(INDEX(tblProducts[Std cycle (s/unit)],MATCH(tblShifts[[#This Row],[Product]],tblProducts[Product],0)),""))</f>
        <v>95</v>
      </c>
      <c r="L115" s="44">
        <f>IF(tblShifts[[#This Row],[Date]]="","",IFERROR(INDEX(tblProducts[Std crew (people)],MATCH(tblShifts[[#This Row],[Product]],tblProducts[Product],0)),""))</f>
        <v>3</v>
      </c>
      <c r="M115" s="44">
        <f>IF(tblShifts[[#This Row],[Date]]="","",tblShifts[[#This Row],[Operators]]*tblShifts[[#This Row],[Hours]])</f>
        <v>24</v>
      </c>
      <c r="N115" s="43">
        <f>IF(tblShifts[[#This Row],[Date]]="","",IF(tblShifts[[#This Row],[Loaded rate]]="","",tblShifts[[#This Row],[Crew hours]]*tblShifts[[#This Row],[Loaded rate]]))</f>
        <v>828.582352941176</v>
      </c>
      <c r="O115" s="45">
        <f>IF(tblShifts[[#This Row],[Date]]="","",IF(OR(tblShifts[[#This Row],[Labour cost]]="",N(tblShifts[[#This Row],[Good units]])=0),"",tblShifts[[#This Row],[Labour cost]]/tblShifts[[#This Row],[Good units]]))</f>
        <v>3.15050324312234</v>
      </c>
      <c r="P115" s="45">
        <f>IF(tblShifts[[#This Row],[Date]]="","",IF(OR(tblShifts[[#This Row],[Loaded rate]]="",tblShifts[[#This Row],[Std cycle]]=""),"",tblShifts[[#This Row],[Std crew]]*tblShifts[[#This Row],[Loaded rate]]*tblShifts[[#This Row],[Std cycle]]/3600))</f>
        <v>2.73317095588235</v>
      </c>
      <c r="Q115" s="43">
        <f>IF(tblShifts[[#This Row],[Date]]="","",IF(tblShifts[[#This Row],[Std cycle]]="","",tblShifts[[#This Row],[Good units]]*tblShifts[[#This Row],[Std crew]]*tblShifts[[#This Row],[Std cycle]]/3600))</f>
        <v>20.8208333333333</v>
      </c>
      <c r="R115" s="46">
        <f>IF(tblShifts[[#This Row],[Date]]="","",IF(OR(tblShifts[[#This Row],[Earned hours]]="",N(tblShifts[[#This Row],[Crew hours]])=0),"",tblShifts[[#This Row],[Earned hours]]/tblShifts[[#This Row],[Crew hours]]))</f>
        <v>0.867534722222222</v>
      </c>
      <c r="S115" s="47" t="str">
        <f>IF(NOT(ISNUMBER(tblShifts[[#This Row],[Efficiency]])),"",IF(tblShifts[[#This Row],[Efficiency]]&gt;=TargetEff,"On target",IF(tblShifts[[#This Row],[Efficiency]]&gt;=TargetEff*(1-0.05),"Near target","Below target")))</f>
        <v>On target</v>
      </c>
      <c r="T115" s="45">
        <f>IF(tblShifts[[#This Row],[Date]]="","",IF(OR(tblShifts[[#This Row],[Cost per unit]]="",tblShifts[[#This Row],[Std cost per unit]]=""),"",tblShifts[[#This Row],[Cost per unit]]-tblShifts[[#This Row],[Std cost per unit]]))</f>
        <v>0.417332287239991</v>
      </c>
      <c r="U115" s="43">
        <f>IF(tblShifts[[#This Row],[Date]]="","",IF(OR(tblShifts[[#This Row],[Labour cost]]="",tblShifts[[#This Row],[Std cost per unit]]=""),"",tblShifts[[#This Row],[Labour cost]]-tblShifts[[#This Row],[Std cost per unit]]*tblShifts[[#This Row],[Good units]]))</f>
        <v>109.758391544118</v>
      </c>
      <c r="V11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5" s="48">
        <f>IF(tblShifts[[#This Row],[Date]]="","",IF(AND(tblShifts[[#This Row],[Date]]&gt;=FFrom,tblShifts[[#This Row],[Date]]&lt;=FTo,OR(DashLine="",tblShifts[[#This Row],[Line]]=DashLine),OR(DashProduct="",tblShifts[[#This Row],[Product]]=DashProduct)),tblShifts[[#This Row],[Date]],""))</f>
        <v>46303</v>
      </c>
      <c r="X115" s="28" t="s">
        <v>149</v>
      </c>
    </row>
    <row r="116" spans="2:24">
      <c r="B116" s="42">
        <v>46303</v>
      </c>
      <c r="C116" s="28" t="s">
        <v>81</v>
      </c>
      <c r="D116" s="28" t="s">
        <v>84</v>
      </c>
      <c r="E116" s="28" t="s">
        <v>91</v>
      </c>
      <c r="F116" s="28" t="s">
        <v>122</v>
      </c>
      <c r="G116" s="32">
        <v>2</v>
      </c>
      <c r="H116" s="32">
        <v>8</v>
      </c>
      <c r="I116" s="36">
        <v>533</v>
      </c>
      <c r="J116" s="43">
        <f>IF(tblShifts[[#This Row],[Date]]="","",IFERROR(INDEX(tblRoles[Loaded rate],MATCH(tblShifts[[#This Row],[Role]],tblRoles[Role],0)),""))</f>
        <v>34.5242647058824</v>
      </c>
      <c r="K116" s="44">
        <f>IF(tblShifts[[#This Row],[Date]]="","",IFERROR(INDEX(tblProducts[Std cycle (s/unit)],MATCH(tblShifts[[#This Row],[Product]],tblProducts[Product],0)),""))</f>
        <v>48</v>
      </c>
      <c r="L116" s="44">
        <f>IF(tblShifts[[#This Row],[Date]]="","",IFERROR(INDEX(tblProducts[Std crew (people)],MATCH(tblShifts[[#This Row],[Product]],tblProducts[Product],0)),""))</f>
        <v>2</v>
      </c>
      <c r="M116" s="44">
        <f>IF(tblShifts[[#This Row],[Date]]="","",tblShifts[[#This Row],[Operators]]*tblShifts[[#This Row],[Hours]])</f>
        <v>16</v>
      </c>
      <c r="N116" s="43">
        <f>IF(tblShifts[[#This Row],[Date]]="","",IF(tblShifts[[#This Row],[Loaded rate]]="","",tblShifts[[#This Row],[Crew hours]]*tblShifts[[#This Row],[Loaded rate]]))</f>
        <v>552.388235294118</v>
      </c>
      <c r="O116" s="45">
        <f>IF(tblShifts[[#This Row],[Date]]="","",IF(OR(tblShifts[[#This Row],[Labour cost]]="",N(tblShifts[[#This Row],[Good units]])=0),"",tblShifts[[#This Row],[Labour cost]]/tblShifts[[#This Row],[Good units]]))</f>
        <v>1.03637567597395</v>
      </c>
      <c r="P116" s="45">
        <f>IF(tblShifts[[#This Row],[Date]]="","",IF(OR(tblShifts[[#This Row],[Loaded rate]]="",tblShifts[[#This Row],[Std cycle]]=""),"",tblShifts[[#This Row],[Std crew]]*tblShifts[[#This Row],[Loaded rate]]*tblShifts[[#This Row],[Std cycle]]/3600))</f>
        <v>0.920647058823529</v>
      </c>
      <c r="Q116" s="43">
        <f>IF(tblShifts[[#This Row],[Date]]="","",IF(tblShifts[[#This Row],[Std cycle]]="","",tblShifts[[#This Row],[Good units]]*tblShifts[[#This Row],[Std crew]]*tblShifts[[#This Row],[Std cycle]]/3600))</f>
        <v>14.2133333333333</v>
      </c>
      <c r="R116" s="46">
        <f>IF(tblShifts[[#This Row],[Date]]="","",IF(OR(tblShifts[[#This Row],[Earned hours]]="",N(tblShifts[[#This Row],[Crew hours]])=0),"",tblShifts[[#This Row],[Earned hours]]/tblShifts[[#This Row],[Crew hours]]))</f>
        <v>0.888333333333333</v>
      </c>
      <c r="S116" s="47" t="str">
        <f>IF(NOT(ISNUMBER(tblShifts[[#This Row],[Efficiency]])),"",IF(tblShifts[[#This Row],[Efficiency]]&gt;=TargetEff,"On target",IF(tblShifts[[#This Row],[Efficiency]]&gt;=TargetEff*(1-0.05),"Near target","Below target")))</f>
        <v>On target</v>
      </c>
      <c r="T116" s="45">
        <f>IF(tblShifts[[#This Row],[Date]]="","",IF(OR(tblShifts[[#This Row],[Cost per unit]]="",tblShifts[[#This Row],[Std cost per unit]]=""),"",tblShifts[[#This Row],[Cost per unit]]-tblShifts[[#This Row],[Std cost per unit]]))</f>
        <v>0.115728617150425</v>
      </c>
      <c r="U116" s="43">
        <f>IF(tblShifts[[#This Row],[Date]]="","",IF(OR(tblShifts[[#This Row],[Labour cost]]="",tblShifts[[#This Row],[Std cost per unit]]=""),"",tblShifts[[#This Row],[Labour cost]]-tblShifts[[#This Row],[Std cost per unit]]*tblShifts[[#This Row],[Good units]]))</f>
        <v>61.6833529411765</v>
      </c>
      <c r="V11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6" s="48">
        <f>IF(tblShifts[[#This Row],[Date]]="","",IF(AND(tblShifts[[#This Row],[Date]]&gt;=FFrom,tblShifts[[#This Row],[Date]]&lt;=FTo,OR(DashLine="",tblShifts[[#This Row],[Line]]=DashLine),OR(DashProduct="",tblShifts[[#This Row],[Product]]=DashProduct)),tblShifts[[#This Row],[Date]],""))</f>
        <v>46303</v>
      </c>
      <c r="X116" s="28" t="s">
        <v>149</v>
      </c>
    </row>
    <row r="117" spans="2:24">
      <c r="B117" s="42">
        <v>46303</v>
      </c>
      <c r="C117" s="28" t="s">
        <v>81</v>
      </c>
      <c r="D117" s="28" t="s">
        <v>85</v>
      </c>
      <c r="E117" s="28" t="s">
        <v>93</v>
      </c>
      <c r="F117" s="28" t="s">
        <v>123</v>
      </c>
      <c r="G117" s="32">
        <v>2</v>
      </c>
      <c r="H117" s="32">
        <v>8</v>
      </c>
      <c r="I117" s="36">
        <v>66</v>
      </c>
      <c r="J117" s="43">
        <f>IF(tblShifts[[#This Row],[Date]]="","",IFERROR(INDEX(tblRoles[Loaded rate],MATCH(tblShifts[[#This Row],[Role]],tblRoles[Role],0)),""))</f>
        <v>45.2216806722689</v>
      </c>
      <c r="K117" s="44">
        <f>IF(tblShifts[[#This Row],[Date]]="","",IFERROR(INDEX(tblProducts[Std cycle (s/unit)],MATCH(tblShifts[[#This Row],[Product]],tblProducts[Product],0)),""))</f>
        <v>420</v>
      </c>
      <c r="L117" s="44">
        <f>IF(tblShifts[[#This Row],[Date]]="","",IFERROR(INDEX(tblProducts[Std crew (people)],MATCH(tblShifts[[#This Row],[Product]],tblProducts[Product],0)),""))</f>
        <v>2</v>
      </c>
      <c r="M117" s="44">
        <f>IF(tblShifts[[#This Row],[Date]]="","",tblShifts[[#This Row],[Operators]]*tblShifts[[#This Row],[Hours]])</f>
        <v>16</v>
      </c>
      <c r="N117" s="43">
        <f>IF(tblShifts[[#This Row],[Date]]="","",IF(tblShifts[[#This Row],[Loaded rate]]="","",tblShifts[[#This Row],[Crew hours]]*tblShifts[[#This Row],[Loaded rate]]))</f>
        <v>723.546890756303</v>
      </c>
      <c r="O117" s="45">
        <f>IF(tblShifts[[#This Row],[Date]]="","",IF(OR(tblShifts[[#This Row],[Labour cost]]="",N(tblShifts[[#This Row],[Good units]])=0),"",tblShifts[[#This Row],[Labour cost]]/tblShifts[[#This Row],[Good units]]))</f>
        <v>10.9628316781258</v>
      </c>
      <c r="P117" s="45">
        <f>IF(tblShifts[[#This Row],[Date]]="","",IF(OR(tblShifts[[#This Row],[Loaded rate]]="",tblShifts[[#This Row],[Std cycle]]=""),"",tblShifts[[#This Row],[Std crew]]*tblShifts[[#This Row],[Loaded rate]]*tblShifts[[#This Row],[Std cycle]]/3600))</f>
        <v>10.5517254901961</v>
      </c>
      <c r="Q117" s="43">
        <f>IF(tblShifts[[#This Row],[Date]]="","",IF(tblShifts[[#This Row],[Std cycle]]="","",tblShifts[[#This Row],[Good units]]*tblShifts[[#This Row],[Std crew]]*tblShifts[[#This Row],[Std cycle]]/3600))</f>
        <v>15.4</v>
      </c>
      <c r="R117" s="46">
        <f>IF(tblShifts[[#This Row],[Date]]="","",IF(OR(tblShifts[[#This Row],[Earned hours]]="",N(tblShifts[[#This Row],[Crew hours]])=0),"",tblShifts[[#This Row],[Earned hours]]/tblShifts[[#This Row],[Crew hours]]))</f>
        <v>0.9625</v>
      </c>
      <c r="S117" s="47" t="str">
        <f>IF(NOT(ISNUMBER(tblShifts[[#This Row],[Efficiency]])),"",IF(tblShifts[[#This Row],[Efficiency]]&gt;=TargetEff,"On target",IF(tblShifts[[#This Row],[Efficiency]]&gt;=TargetEff*(1-0.05),"Near target","Below target")))</f>
        <v>On target</v>
      </c>
      <c r="T117" s="45">
        <f>IF(tblShifts[[#This Row],[Date]]="","",IF(OR(tblShifts[[#This Row],[Cost per unit]]="",tblShifts[[#This Row],[Std cost per unit]]=""),"",tblShifts[[#This Row],[Cost per unit]]-tblShifts[[#This Row],[Std cost per unit]]))</f>
        <v>0.411106187929718</v>
      </c>
      <c r="U117" s="43">
        <f>IF(tblShifts[[#This Row],[Date]]="","",IF(OR(tblShifts[[#This Row],[Labour cost]]="",tblShifts[[#This Row],[Std cost per unit]]=""),"",tblShifts[[#This Row],[Labour cost]]-tblShifts[[#This Row],[Std cost per unit]]*tblShifts[[#This Row],[Good units]]))</f>
        <v>27.1330084033614</v>
      </c>
      <c r="V117"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7" s="48">
        <f>IF(tblShifts[[#This Row],[Date]]="","",IF(AND(tblShifts[[#This Row],[Date]]&gt;=FFrom,tblShifts[[#This Row],[Date]]&lt;=FTo,OR(DashLine="",tblShifts[[#This Row],[Line]]=DashLine),OR(DashProduct="",tblShifts[[#This Row],[Product]]=DashProduct)),tblShifts[[#This Row],[Date]],""))</f>
        <v>46303</v>
      </c>
      <c r="X117" s="28" t="s">
        <v>149</v>
      </c>
    </row>
    <row r="118" spans="2:24">
      <c r="B118" s="42">
        <v>46303</v>
      </c>
      <c r="C118" s="28" t="s">
        <v>83</v>
      </c>
      <c r="D118" s="28" t="s">
        <v>82</v>
      </c>
      <c r="E118" s="28" t="s">
        <v>87</v>
      </c>
      <c r="F118" s="28" t="s">
        <v>122</v>
      </c>
      <c r="G118" s="32">
        <v>3</v>
      </c>
      <c r="H118" s="32">
        <v>8</v>
      </c>
      <c r="I118" s="36">
        <v>261</v>
      </c>
      <c r="J118" s="43">
        <f>IF(tblShifts[[#This Row],[Date]]="","",IFERROR(INDEX(tblRoles[Loaded rate],MATCH(tblShifts[[#This Row],[Role]],tblRoles[Role],0)),""))</f>
        <v>34.5242647058824</v>
      </c>
      <c r="K118" s="44">
        <f>IF(tblShifts[[#This Row],[Date]]="","",IFERROR(INDEX(tblProducts[Std cycle (s/unit)],MATCH(tblShifts[[#This Row],[Product]],tblProducts[Product],0)),""))</f>
        <v>95</v>
      </c>
      <c r="L118" s="44">
        <f>IF(tblShifts[[#This Row],[Date]]="","",IFERROR(INDEX(tblProducts[Std crew (people)],MATCH(tblShifts[[#This Row],[Product]],tblProducts[Product],0)),""))</f>
        <v>3</v>
      </c>
      <c r="M118" s="44">
        <f>IF(tblShifts[[#This Row],[Date]]="","",tblShifts[[#This Row],[Operators]]*tblShifts[[#This Row],[Hours]])</f>
        <v>24</v>
      </c>
      <c r="N118" s="43">
        <f>IF(tblShifts[[#This Row],[Date]]="","",IF(tblShifts[[#This Row],[Loaded rate]]="","",tblShifts[[#This Row],[Crew hours]]*tblShifts[[#This Row],[Loaded rate]]))</f>
        <v>828.582352941176</v>
      </c>
      <c r="O118" s="45">
        <f>IF(tblShifts[[#This Row],[Date]]="","",IF(OR(tblShifts[[#This Row],[Labour cost]]="",N(tblShifts[[#This Row],[Good units]])=0),"",tblShifts[[#This Row],[Labour cost]]/tblShifts[[#This Row],[Good units]]))</f>
        <v>3.17464503042596</v>
      </c>
      <c r="P118" s="45">
        <f>IF(tblShifts[[#This Row],[Date]]="","",IF(OR(tblShifts[[#This Row],[Loaded rate]]="",tblShifts[[#This Row],[Std cycle]]=""),"",tblShifts[[#This Row],[Std crew]]*tblShifts[[#This Row],[Loaded rate]]*tblShifts[[#This Row],[Std cycle]]/3600))</f>
        <v>2.73317095588235</v>
      </c>
      <c r="Q118" s="43">
        <f>IF(tblShifts[[#This Row],[Date]]="","",IF(tblShifts[[#This Row],[Std cycle]]="","",tblShifts[[#This Row],[Good units]]*tblShifts[[#This Row],[Std crew]]*tblShifts[[#This Row],[Std cycle]]/3600))</f>
        <v>20.6625</v>
      </c>
      <c r="R118" s="46">
        <f>IF(tblShifts[[#This Row],[Date]]="","",IF(OR(tblShifts[[#This Row],[Earned hours]]="",N(tblShifts[[#This Row],[Crew hours]])=0),"",tblShifts[[#This Row],[Earned hours]]/tblShifts[[#This Row],[Crew hours]]))</f>
        <v>0.8609375</v>
      </c>
      <c r="S118" s="47" t="str">
        <f>IF(NOT(ISNUMBER(tblShifts[[#This Row],[Efficiency]])),"",IF(tblShifts[[#This Row],[Efficiency]]&gt;=TargetEff,"On target",IF(tblShifts[[#This Row],[Efficiency]]&gt;=TargetEff*(1-0.05),"Near target","Below target")))</f>
        <v>On target</v>
      </c>
      <c r="T118" s="45">
        <f>IF(tblShifts[[#This Row],[Date]]="","",IF(OR(tblShifts[[#This Row],[Cost per unit]]="",tblShifts[[#This Row],[Std cost per unit]]=""),"",tblShifts[[#This Row],[Cost per unit]]-tblShifts[[#This Row],[Std cost per unit]]))</f>
        <v>0.44147407454361</v>
      </c>
      <c r="U118" s="43">
        <f>IF(tblShifts[[#This Row],[Date]]="","",IF(OR(tblShifts[[#This Row],[Labour cost]]="",tblShifts[[#This Row],[Std cost per unit]]=""),"",tblShifts[[#This Row],[Labour cost]]-tblShifts[[#This Row],[Std cost per unit]]*tblShifts[[#This Row],[Good units]]))</f>
        <v>115.224733455882</v>
      </c>
      <c r="V118"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8" s="48">
        <f>IF(tblShifts[[#This Row],[Date]]="","",IF(AND(tblShifts[[#This Row],[Date]]&gt;=FFrom,tblShifts[[#This Row],[Date]]&lt;=FTo,OR(DashLine="",tblShifts[[#This Row],[Line]]=DashLine),OR(DashProduct="",tblShifts[[#This Row],[Product]]=DashProduct)),tblShifts[[#This Row],[Date]],""))</f>
        <v>46303</v>
      </c>
      <c r="X118" s="28" t="s">
        <v>149</v>
      </c>
    </row>
    <row r="119" spans="2:24">
      <c r="B119" s="42">
        <v>46303</v>
      </c>
      <c r="C119" s="28" t="s">
        <v>83</v>
      </c>
      <c r="D119" s="28" t="s">
        <v>84</v>
      </c>
      <c r="E119" s="28" t="s">
        <v>91</v>
      </c>
      <c r="F119" s="28" t="s">
        <v>122</v>
      </c>
      <c r="G119" s="32">
        <v>2</v>
      </c>
      <c r="H119" s="32">
        <v>8</v>
      </c>
      <c r="I119" s="36">
        <v>465</v>
      </c>
      <c r="J119" s="43">
        <f>IF(tblShifts[[#This Row],[Date]]="","",IFERROR(INDEX(tblRoles[Loaded rate],MATCH(tblShifts[[#This Row],[Role]],tblRoles[Role],0)),""))</f>
        <v>34.5242647058824</v>
      </c>
      <c r="K119" s="44">
        <f>IF(tblShifts[[#This Row],[Date]]="","",IFERROR(INDEX(tblProducts[Std cycle (s/unit)],MATCH(tblShifts[[#This Row],[Product]],tblProducts[Product],0)),""))</f>
        <v>48</v>
      </c>
      <c r="L119" s="44">
        <f>IF(tblShifts[[#This Row],[Date]]="","",IFERROR(INDEX(tblProducts[Std crew (people)],MATCH(tblShifts[[#This Row],[Product]],tblProducts[Product],0)),""))</f>
        <v>2</v>
      </c>
      <c r="M119" s="44">
        <f>IF(tblShifts[[#This Row],[Date]]="","",tblShifts[[#This Row],[Operators]]*tblShifts[[#This Row],[Hours]])</f>
        <v>16</v>
      </c>
      <c r="N119" s="43">
        <f>IF(tblShifts[[#This Row],[Date]]="","",IF(tblShifts[[#This Row],[Loaded rate]]="","",tblShifts[[#This Row],[Crew hours]]*tblShifts[[#This Row],[Loaded rate]]))</f>
        <v>552.388235294118</v>
      </c>
      <c r="O119" s="45">
        <f>IF(tblShifts[[#This Row],[Date]]="","",IF(OR(tblShifts[[#This Row],[Labour cost]]="",N(tblShifts[[#This Row],[Good units]])=0),"",tblShifts[[#This Row],[Labour cost]]/tblShifts[[#This Row],[Good units]]))</f>
        <v>1.18793168880455</v>
      </c>
      <c r="P119" s="45">
        <f>IF(tblShifts[[#This Row],[Date]]="","",IF(OR(tblShifts[[#This Row],[Loaded rate]]="",tblShifts[[#This Row],[Std cycle]]=""),"",tblShifts[[#This Row],[Std crew]]*tblShifts[[#This Row],[Loaded rate]]*tblShifts[[#This Row],[Std cycle]]/3600))</f>
        <v>0.920647058823529</v>
      </c>
      <c r="Q119" s="43">
        <f>IF(tblShifts[[#This Row],[Date]]="","",IF(tblShifts[[#This Row],[Std cycle]]="","",tblShifts[[#This Row],[Good units]]*tblShifts[[#This Row],[Std crew]]*tblShifts[[#This Row],[Std cycle]]/3600))</f>
        <v>12.4</v>
      </c>
      <c r="R119" s="46">
        <f>IF(tblShifts[[#This Row],[Date]]="","",IF(OR(tblShifts[[#This Row],[Earned hours]]="",N(tblShifts[[#This Row],[Crew hours]])=0),"",tblShifts[[#This Row],[Earned hours]]/tblShifts[[#This Row],[Crew hours]]))</f>
        <v>0.775</v>
      </c>
      <c r="S119" s="47" t="str">
        <f>IF(NOT(ISNUMBER(tblShifts[[#This Row],[Efficiency]])),"",IF(tblShifts[[#This Row],[Efficiency]]&gt;=TargetEff,"On target",IF(tblShifts[[#This Row],[Efficiency]]&gt;=TargetEff*(1-0.05),"Near target","Below target")))</f>
        <v>Below target</v>
      </c>
      <c r="T119" s="45">
        <f>IF(tblShifts[[#This Row],[Date]]="","",IF(OR(tblShifts[[#This Row],[Cost per unit]]="",tblShifts[[#This Row],[Std cost per unit]]=""),"",tblShifts[[#This Row],[Cost per unit]]-tblShifts[[#This Row],[Std cost per unit]]))</f>
        <v>0.267284629981025</v>
      </c>
      <c r="U119" s="43">
        <f>IF(tblShifts[[#This Row],[Date]]="","",IF(OR(tblShifts[[#This Row],[Labour cost]]="",tblShifts[[#This Row],[Std cost per unit]]=""),"",tblShifts[[#This Row],[Labour cost]]-tblShifts[[#This Row],[Std cost per unit]]*tblShifts[[#This Row],[Good units]]))</f>
        <v>124.287352941177</v>
      </c>
      <c r="V119"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19" s="48">
        <f>IF(tblShifts[[#This Row],[Date]]="","",IF(AND(tblShifts[[#This Row],[Date]]&gt;=FFrom,tblShifts[[#This Row],[Date]]&lt;=FTo,OR(DashLine="",tblShifts[[#This Row],[Line]]=DashLine),OR(DashProduct="",tblShifts[[#This Row],[Product]]=DashProduct)),tblShifts[[#This Row],[Date]],""))</f>
        <v>46303</v>
      </c>
      <c r="X119" s="28" t="s">
        <v>149</v>
      </c>
    </row>
    <row r="120" spans="2:24">
      <c r="B120" s="42">
        <v>46303</v>
      </c>
      <c r="C120" s="28" t="s">
        <v>83</v>
      </c>
      <c r="D120" s="28" t="s">
        <v>85</v>
      </c>
      <c r="E120" s="28" t="s">
        <v>93</v>
      </c>
      <c r="F120" s="28" t="s">
        <v>123</v>
      </c>
      <c r="G120" s="32">
        <v>2</v>
      </c>
      <c r="H120" s="32">
        <v>8</v>
      </c>
      <c r="I120" s="36">
        <v>64</v>
      </c>
      <c r="J120" s="43">
        <f>IF(tblShifts[[#This Row],[Date]]="","",IFERROR(INDEX(tblRoles[Loaded rate],MATCH(tblShifts[[#This Row],[Role]],tblRoles[Role],0)),""))</f>
        <v>45.2216806722689</v>
      </c>
      <c r="K120" s="44">
        <f>IF(tblShifts[[#This Row],[Date]]="","",IFERROR(INDEX(tblProducts[Std cycle (s/unit)],MATCH(tblShifts[[#This Row],[Product]],tblProducts[Product],0)),""))</f>
        <v>420</v>
      </c>
      <c r="L120" s="44">
        <f>IF(tblShifts[[#This Row],[Date]]="","",IFERROR(INDEX(tblProducts[Std crew (people)],MATCH(tblShifts[[#This Row],[Product]],tblProducts[Product],0)),""))</f>
        <v>2</v>
      </c>
      <c r="M120" s="44">
        <f>IF(tblShifts[[#This Row],[Date]]="","",tblShifts[[#This Row],[Operators]]*tblShifts[[#This Row],[Hours]])</f>
        <v>16</v>
      </c>
      <c r="N120" s="43">
        <f>IF(tblShifts[[#This Row],[Date]]="","",IF(tblShifts[[#This Row],[Loaded rate]]="","",tblShifts[[#This Row],[Crew hours]]*tblShifts[[#This Row],[Loaded rate]]))</f>
        <v>723.546890756303</v>
      </c>
      <c r="O120" s="45">
        <f>IF(tblShifts[[#This Row],[Date]]="","",IF(OR(tblShifts[[#This Row],[Labour cost]]="",N(tblShifts[[#This Row],[Good units]])=0),"",tblShifts[[#This Row],[Labour cost]]/tblShifts[[#This Row],[Good units]]))</f>
        <v>11.3054201680672</v>
      </c>
      <c r="P120" s="45">
        <f>IF(tblShifts[[#This Row],[Date]]="","",IF(OR(tblShifts[[#This Row],[Loaded rate]]="",tblShifts[[#This Row],[Std cycle]]=""),"",tblShifts[[#This Row],[Std crew]]*tblShifts[[#This Row],[Loaded rate]]*tblShifts[[#This Row],[Std cycle]]/3600))</f>
        <v>10.5517254901961</v>
      </c>
      <c r="Q120" s="43">
        <f>IF(tblShifts[[#This Row],[Date]]="","",IF(tblShifts[[#This Row],[Std cycle]]="","",tblShifts[[#This Row],[Good units]]*tblShifts[[#This Row],[Std crew]]*tblShifts[[#This Row],[Std cycle]]/3600))</f>
        <v>14.9333333333333</v>
      </c>
      <c r="R120" s="46">
        <f>IF(tblShifts[[#This Row],[Date]]="","",IF(OR(tblShifts[[#This Row],[Earned hours]]="",N(tblShifts[[#This Row],[Crew hours]])=0),"",tblShifts[[#This Row],[Earned hours]]/tblShifts[[#This Row],[Crew hours]]))</f>
        <v>0.933333333333333</v>
      </c>
      <c r="S120" s="47" t="str">
        <f>IF(NOT(ISNUMBER(tblShifts[[#This Row],[Efficiency]])),"",IF(tblShifts[[#This Row],[Efficiency]]&gt;=TargetEff,"On target",IF(tblShifts[[#This Row],[Efficiency]]&gt;=TargetEff*(1-0.05),"Near target","Below target")))</f>
        <v>On target</v>
      </c>
      <c r="T120" s="45">
        <f>IF(tblShifts[[#This Row],[Date]]="","",IF(OR(tblShifts[[#This Row],[Cost per unit]]="",tblShifts[[#This Row],[Std cost per unit]]=""),"",tblShifts[[#This Row],[Cost per unit]]-tblShifts[[#This Row],[Std cost per unit]]))</f>
        <v>0.753694677871149</v>
      </c>
      <c r="U120" s="43">
        <f>IF(tblShifts[[#This Row],[Date]]="","",IF(OR(tblShifts[[#This Row],[Labour cost]]="",tblShifts[[#This Row],[Std cost per unit]]=""),"",tblShifts[[#This Row],[Labour cost]]-tblShifts[[#This Row],[Std cost per unit]]*tblShifts[[#This Row],[Good units]]))</f>
        <v>48.2364593837535</v>
      </c>
      <c r="V120"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0" s="48">
        <f>IF(tblShifts[[#This Row],[Date]]="","",IF(AND(tblShifts[[#This Row],[Date]]&gt;=FFrom,tblShifts[[#This Row],[Date]]&lt;=FTo,OR(DashLine="",tblShifts[[#This Row],[Line]]=DashLine),OR(DashProduct="",tblShifts[[#This Row],[Product]]=DashProduct)),tblShifts[[#This Row],[Date]],""))</f>
        <v>46303</v>
      </c>
      <c r="X120" s="28" t="s">
        <v>149</v>
      </c>
    </row>
    <row r="121" spans="2:24">
      <c r="B121" s="42">
        <v>46304</v>
      </c>
      <c r="C121" s="28" t="s">
        <v>81</v>
      </c>
      <c r="D121" s="28" t="s">
        <v>82</v>
      </c>
      <c r="E121" s="28" t="s">
        <v>87</v>
      </c>
      <c r="F121" s="28" t="s">
        <v>122</v>
      </c>
      <c r="G121" s="32">
        <v>3</v>
      </c>
      <c r="H121" s="32">
        <v>8</v>
      </c>
      <c r="I121" s="36">
        <v>266</v>
      </c>
      <c r="J121" s="43">
        <f>IF(tblShifts[[#This Row],[Date]]="","",IFERROR(INDEX(tblRoles[Loaded rate],MATCH(tblShifts[[#This Row],[Role]],tblRoles[Role],0)),""))</f>
        <v>34.5242647058824</v>
      </c>
      <c r="K121" s="44">
        <f>IF(tblShifts[[#This Row],[Date]]="","",IFERROR(INDEX(tblProducts[Std cycle (s/unit)],MATCH(tblShifts[[#This Row],[Product]],tblProducts[Product],0)),""))</f>
        <v>95</v>
      </c>
      <c r="L121" s="44">
        <f>IF(tblShifts[[#This Row],[Date]]="","",IFERROR(INDEX(tblProducts[Std crew (people)],MATCH(tblShifts[[#This Row],[Product]],tblProducts[Product],0)),""))</f>
        <v>3</v>
      </c>
      <c r="M121" s="44">
        <f>IF(tblShifts[[#This Row],[Date]]="","",tblShifts[[#This Row],[Operators]]*tblShifts[[#This Row],[Hours]])</f>
        <v>24</v>
      </c>
      <c r="N121" s="43">
        <f>IF(tblShifts[[#This Row],[Date]]="","",IF(tblShifts[[#This Row],[Loaded rate]]="","",tblShifts[[#This Row],[Crew hours]]*tblShifts[[#This Row],[Loaded rate]]))</f>
        <v>828.582352941176</v>
      </c>
      <c r="O121" s="45">
        <f>IF(tblShifts[[#This Row],[Date]]="","",IF(OR(tblShifts[[#This Row],[Labour cost]]="",N(tblShifts[[#This Row],[Good units]])=0),"",tblShifts[[#This Row],[Labour cost]]/tblShifts[[#This Row],[Good units]]))</f>
        <v>3.11497125165856</v>
      </c>
      <c r="P121" s="45">
        <f>IF(tblShifts[[#This Row],[Date]]="","",IF(OR(tblShifts[[#This Row],[Loaded rate]]="",tblShifts[[#This Row],[Std cycle]]=""),"",tblShifts[[#This Row],[Std crew]]*tblShifts[[#This Row],[Loaded rate]]*tblShifts[[#This Row],[Std cycle]]/3600))</f>
        <v>2.73317095588235</v>
      </c>
      <c r="Q121" s="43">
        <f>IF(tblShifts[[#This Row],[Date]]="","",IF(tblShifts[[#This Row],[Std cycle]]="","",tblShifts[[#This Row],[Good units]]*tblShifts[[#This Row],[Std crew]]*tblShifts[[#This Row],[Std cycle]]/3600))</f>
        <v>21.0583333333333</v>
      </c>
      <c r="R121" s="46">
        <f>IF(tblShifts[[#This Row],[Date]]="","",IF(OR(tblShifts[[#This Row],[Earned hours]]="",N(tblShifts[[#This Row],[Crew hours]])=0),"",tblShifts[[#This Row],[Earned hours]]/tblShifts[[#This Row],[Crew hours]]))</f>
        <v>0.877430555555556</v>
      </c>
      <c r="S121" s="47" t="str">
        <f>IF(NOT(ISNUMBER(tblShifts[[#This Row],[Efficiency]])),"",IF(tblShifts[[#This Row],[Efficiency]]&gt;=TargetEff,"On target",IF(tblShifts[[#This Row],[Efficiency]]&gt;=TargetEff*(1-0.05),"Near target","Below target")))</f>
        <v>On target</v>
      </c>
      <c r="T121" s="45">
        <f>IF(tblShifts[[#This Row],[Date]]="","",IF(OR(tblShifts[[#This Row],[Cost per unit]]="",tblShifts[[#This Row],[Std cost per unit]]=""),"",tblShifts[[#This Row],[Cost per unit]]-tblShifts[[#This Row],[Std cost per unit]]))</f>
        <v>0.381800295776205</v>
      </c>
      <c r="U121" s="43">
        <f>IF(tblShifts[[#This Row],[Date]]="","",IF(OR(tblShifts[[#This Row],[Labour cost]]="",tblShifts[[#This Row],[Std cost per unit]]=""),"",tblShifts[[#This Row],[Labour cost]]-tblShifts[[#This Row],[Std cost per unit]]*tblShifts[[#This Row],[Good units]]))</f>
        <v>101.558878676471</v>
      </c>
      <c r="V121"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1" s="48">
        <f>IF(tblShifts[[#This Row],[Date]]="","",IF(AND(tblShifts[[#This Row],[Date]]&gt;=FFrom,tblShifts[[#This Row],[Date]]&lt;=FTo,OR(DashLine="",tblShifts[[#This Row],[Line]]=DashLine),OR(DashProduct="",tblShifts[[#This Row],[Product]]=DashProduct)),tblShifts[[#This Row],[Date]],""))</f>
        <v>46304</v>
      </c>
      <c r="X121" s="28" t="s">
        <v>149</v>
      </c>
    </row>
    <row r="122" spans="2:24">
      <c r="B122" s="42">
        <v>46304</v>
      </c>
      <c r="C122" s="28" t="s">
        <v>81</v>
      </c>
      <c r="D122" s="28" t="s">
        <v>84</v>
      </c>
      <c r="E122" s="28" t="s">
        <v>91</v>
      </c>
      <c r="F122" s="28" t="s">
        <v>122</v>
      </c>
      <c r="G122" s="32">
        <v>2</v>
      </c>
      <c r="H122" s="32">
        <v>8</v>
      </c>
      <c r="I122" s="36">
        <v>543</v>
      </c>
      <c r="J122" s="43">
        <f>IF(tblShifts[[#This Row],[Date]]="","",IFERROR(INDEX(tblRoles[Loaded rate],MATCH(tblShifts[[#This Row],[Role]],tblRoles[Role],0)),""))</f>
        <v>34.5242647058824</v>
      </c>
      <c r="K122" s="44">
        <f>IF(tblShifts[[#This Row],[Date]]="","",IFERROR(INDEX(tblProducts[Std cycle (s/unit)],MATCH(tblShifts[[#This Row],[Product]],tblProducts[Product],0)),""))</f>
        <v>48</v>
      </c>
      <c r="L122" s="44">
        <f>IF(tblShifts[[#This Row],[Date]]="","",IFERROR(INDEX(tblProducts[Std crew (people)],MATCH(tblShifts[[#This Row],[Product]],tblProducts[Product],0)),""))</f>
        <v>2</v>
      </c>
      <c r="M122" s="44">
        <f>IF(tblShifts[[#This Row],[Date]]="","",tblShifts[[#This Row],[Operators]]*tblShifts[[#This Row],[Hours]])</f>
        <v>16</v>
      </c>
      <c r="N122" s="43">
        <f>IF(tblShifts[[#This Row],[Date]]="","",IF(tblShifts[[#This Row],[Loaded rate]]="","",tblShifts[[#This Row],[Crew hours]]*tblShifts[[#This Row],[Loaded rate]]))</f>
        <v>552.388235294118</v>
      </c>
      <c r="O122" s="45">
        <f>IF(tblShifts[[#This Row],[Date]]="","",IF(OR(tblShifts[[#This Row],[Labour cost]]="",N(tblShifts[[#This Row],[Good units]])=0),"",tblShifts[[#This Row],[Labour cost]]/tblShifts[[#This Row],[Good units]]))</f>
        <v>1.01728956776081</v>
      </c>
      <c r="P122" s="45">
        <f>IF(tblShifts[[#This Row],[Date]]="","",IF(OR(tblShifts[[#This Row],[Loaded rate]]="",tblShifts[[#This Row],[Std cycle]]=""),"",tblShifts[[#This Row],[Std crew]]*tblShifts[[#This Row],[Loaded rate]]*tblShifts[[#This Row],[Std cycle]]/3600))</f>
        <v>0.920647058823529</v>
      </c>
      <c r="Q122" s="43">
        <f>IF(tblShifts[[#This Row],[Date]]="","",IF(tblShifts[[#This Row],[Std cycle]]="","",tblShifts[[#This Row],[Good units]]*tblShifts[[#This Row],[Std crew]]*tblShifts[[#This Row],[Std cycle]]/3600))</f>
        <v>14.48</v>
      </c>
      <c r="R122" s="46">
        <f>IF(tblShifts[[#This Row],[Date]]="","",IF(OR(tblShifts[[#This Row],[Earned hours]]="",N(tblShifts[[#This Row],[Crew hours]])=0),"",tblShifts[[#This Row],[Earned hours]]/tblShifts[[#This Row],[Crew hours]]))</f>
        <v>0.905</v>
      </c>
      <c r="S122" s="47" t="str">
        <f>IF(NOT(ISNUMBER(tblShifts[[#This Row],[Efficiency]])),"",IF(tblShifts[[#This Row],[Efficiency]]&gt;=TargetEff,"On target",IF(tblShifts[[#This Row],[Efficiency]]&gt;=TargetEff*(1-0.05),"Near target","Below target")))</f>
        <v>On target</v>
      </c>
      <c r="T122" s="45">
        <f>IF(tblShifts[[#This Row],[Date]]="","",IF(OR(tblShifts[[#This Row],[Cost per unit]]="",tblShifts[[#This Row],[Std cost per unit]]=""),"",tblShifts[[#This Row],[Cost per unit]]-tblShifts[[#This Row],[Std cost per unit]]))</f>
        <v>0.0966425089372767</v>
      </c>
      <c r="U122" s="43">
        <f>IF(tblShifts[[#This Row],[Date]]="","",IF(OR(tblShifts[[#This Row],[Labour cost]]="",tblShifts[[#This Row],[Std cost per unit]]=""),"",tblShifts[[#This Row],[Labour cost]]-tblShifts[[#This Row],[Std cost per unit]]*tblShifts[[#This Row],[Good units]]))</f>
        <v>52.4768823529412</v>
      </c>
      <c r="V122"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2" s="48">
        <f>IF(tblShifts[[#This Row],[Date]]="","",IF(AND(tblShifts[[#This Row],[Date]]&gt;=FFrom,tblShifts[[#This Row],[Date]]&lt;=FTo,OR(DashLine="",tblShifts[[#This Row],[Line]]=DashLine),OR(DashProduct="",tblShifts[[#This Row],[Product]]=DashProduct)),tblShifts[[#This Row],[Date]],""))</f>
        <v>46304</v>
      </c>
      <c r="X122" s="28" t="s">
        <v>149</v>
      </c>
    </row>
    <row r="123" spans="2:24">
      <c r="B123" s="42">
        <v>46304</v>
      </c>
      <c r="C123" s="28" t="s">
        <v>81</v>
      </c>
      <c r="D123" s="28" t="s">
        <v>85</v>
      </c>
      <c r="E123" s="28" t="s">
        <v>93</v>
      </c>
      <c r="F123" s="28" t="s">
        <v>123</v>
      </c>
      <c r="G123" s="32">
        <v>2</v>
      </c>
      <c r="H123" s="32">
        <v>8</v>
      </c>
      <c r="I123" s="36">
        <v>59</v>
      </c>
      <c r="J123" s="43">
        <f>IF(tblShifts[[#This Row],[Date]]="","",IFERROR(INDEX(tblRoles[Loaded rate],MATCH(tblShifts[[#This Row],[Role]],tblRoles[Role],0)),""))</f>
        <v>45.2216806722689</v>
      </c>
      <c r="K123" s="44">
        <f>IF(tblShifts[[#This Row],[Date]]="","",IFERROR(INDEX(tblProducts[Std cycle (s/unit)],MATCH(tblShifts[[#This Row],[Product]],tblProducts[Product],0)),""))</f>
        <v>420</v>
      </c>
      <c r="L123" s="44">
        <f>IF(tblShifts[[#This Row],[Date]]="","",IFERROR(INDEX(tblProducts[Std crew (people)],MATCH(tblShifts[[#This Row],[Product]],tblProducts[Product],0)),""))</f>
        <v>2</v>
      </c>
      <c r="M123" s="44">
        <f>IF(tblShifts[[#This Row],[Date]]="","",tblShifts[[#This Row],[Operators]]*tblShifts[[#This Row],[Hours]])</f>
        <v>16</v>
      </c>
      <c r="N123" s="43">
        <f>IF(tblShifts[[#This Row],[Date]]="","",IF(tblShifts[[#This Row],[Loaded rate]]="","",tblShifts[[#This Row],[Crew hours]]*tblShifts[[#This Row],[Loaded rate]]))</f>
        <v>723.546890756303</v>
      </c>
      <c r="O123" s="45">
        <f>IF(tblShifts[[#This Row],[Date]]="","",IF(OR(tblShifts[[#This Row],[Labour cost]]="",N(tblShifts[[#This Row],[Good units]])=0),"",tblShifts[[#This Row],[Labour cost]]/tblShifts[[#This Row],[Good units]]))</f>
        <v>12.2635066229882</v>
      </c>
      <c r="P123" s="45">
        <f>IF(tblShifts[[#This Row],[Date]]="","",IF(OR(tblShifts[[#This Row],[Loaded rate]]="",tblShifts[[#This Row],[Std cycle]]=""),"",tblShifts[[#This Row],[Std crew]]*tblShifts[[#This Row],[Loaded rate]]*tblShifts[[#This Row],[Std cycle]]/3600))</f>
        <v>10.5517254901961</v>
      </c>
      <c r="Q123" s="43">
        <f>IF(tblShifts[[#This Row],[Date]]="","",IF(tblShifts[[#This Row],[Std cycle]]="","",tblShifts[[#This Row],[Good units]]*tblShifts[[#This Row],[Std crew]]*tblShifts[[#This Row],[Std cycle]]/3600))</f>
        <v>13.7666666666667</v>
      </c>
      <c r="R123" s="46">
        <f>IF(tblShifts[[#This Row],[Date]]="","",IF(OR(tblShifts[[#This Row],[Earned hours]]="",N(tblShifts[[#This Row],[Crew hours]])=0),"",tblShifts[[#This Row],[Earned hours]]/tblShifts[[#This Row],[Crew hours]]))</f>
        <v>0.860416666666667</v>
      </c>
      <c r="S123" s="47" t="str">
        <f>IF(NOT(ISNUMBER(tblShifts[[#This Row],[Efficiency]])),"",IF(tblShifts[[#This Row],[Efficiency]]&gt;=TargetEff,"On target",IF(tblShifts[[#This Row],[Efficiency]]&gt;=TargetEff*(1-0.05),"Near target","Below target")))</f>
        <v>On target</v>
      </c>
      <c r="T123" s="45">
        <f>IF(tblShifts[[#This Row],[Date]]="","",IF(OR(tblShifts[[#This Row],[Cost per unit]]="",tblShifts[[#This Row],[Std cost per unit]]=""),"",tblShifts[[#This Row],[Cost per unit]]-tblShifts[[#This Row],[Std cost per unit]]))</f>
        <v>1.7117811327921</v>
      </c>
      <c r="U123" s="43">
        <f>IF(tblShifts[[#This Row],[Date]]="","",IF(OR(tblShifts[[#This Row],[Labour cost]]="",tblShifts[[#This Row],[Std cost per unit]]=""),"",tblShifts[[#This Row],[Labour cost]]-tblShifts[[#This Row],[Std cost per unit]]*tblShifts[[#This Row],[Good units]]))</f>
        <v>100.995086834734</v>
      </c>
      <c r="V123"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3" s="48">
        <f>IF(tblShifts[[#This Row],[Date]]="","",IF(AND(tblShifts[[#This Row],[Date]]&gt;=FFrom,tblShifts[[#This Row],[Date]]&lt;=FTo,OR(DashLine="",tblShifts[[#This Row],[Line]]=DashLine),OR(DashProduct="",tblShifts[[#This Row],[Product]]=DashProduct)),tblShifts[[#This Row],[Date]],""))</f>
        <v>46304</v>
      </c>
      <c r="X123" s="28" t="s">
        <v>149</v>
      </c>
    </row>
    <row r="124" spans="2:24">
      <c r="B124" s="42">
        <v>46304</v>
      </c>
      <c r="C124" s="28" t="s">
        <v>83</v>
      </c>
      <c r="D124" s="28" t="s">
        <v>82</v>
      </c>
      <c r="E124" s="28" t="s">
        <v>87</v>
      </c>
      <c r="F124" s="28" t="s">
        <v>122</v>
      </c>
      <c r="G124" s="32">
        <v>3</v>
      </c>
      <c r="H124" s="32">
        <v>8</v>
      </c>
      <c r="I124" s="36">
        <v>255</v>
      </c>
      <c r="J124" s="43">
        <f>IF(tblShifts[[#This Row],[Date]]="","",IFERROR(INDEX(tblRoles[Loaded rate],MATCH(tblShifts[[#This Row],[Role]],tblRoles[Role],0)),""))</f>
        <v>34.5242647058824</v>
      </c>
      <c r="K124" s="44">
        <f>IF(tblShifts[[#This Row],[Date]]="","",IFERROR(INDEX(tblProducts[Std cycle (s/unit)],MATCH(tblShifts[[#This Row],[Product]],tblProducts[Product],0)),""))</f>
        <v>95</v>
      </c>
      <c r="L124" s="44">
        <f>IF(tblShifts[[#This Row],[Date]]="","",IFERROR(INDEX(tblProducts[Std crew (people)],MATCH(tblShifts[[#This Row],[Product]],tblProducts[Product],0)),""))</f>
        <v>3</v>
      </c>
      <c r="M124" s="44">
        <f>IF(tblShifts[[#This Row],[Date]]="","",tblShifts[[#This Row],[Operators]]*tblShifts[[#This Row],[Hours]])</f>
        <v>24</v>
      </c>
      <c r="N124" s="43">
        <f>IF(tblShifts[[#This Row],[Date]]="","",IF(tblShifts[[#This Row],[Loaded rate]]="","",tblShifts[[#This Row],[Crew hours]]*tblShifts[[#This Row],[Loaded rate]]))</f>
        <v>828.582352941176</v>
      </c>
      <c r="O124" s="45">
        <f>IF(tblShifts[[#This Row],[Date]]="","",IF(OR(tblShifts[[#This Row],[Labour cost]]="",N(tblShifts[[#This Row],[Good units]])=0),"",tblShifts[[#This Row],[Labour cost]]/tblShifts[[#This Row],[Good units]]))</f>
        <v>3.24934256055363</v>
      </c>
      <c r="P124" s="45">
        <f>IF(tblShifts[[#This Row],[Date]]="","",IF(OR(tblShifts[[#This Row],[Loaded rate]]="",tblShifts[[#This Row],[Std cycle]]=""),"",tblShifts[[#This Row],[Std crew]]*tblShifts[[#This Row],[Loaded rate]]*tblShifts[[#This Row],[Std cycle]]/3600))</f>
        <v>2.73317095588235</v>
      </c>
      <c r="Q124" s="43">
        <f>IF(tblShifts[[#This Row],[Date]]="","",IF(tblShifts[[#This Row],[Std cycle]]="","",tblShifts[[#This Row],[Good units]]*tblShifts[[#This Row],[Std crew]]*tblShifts[[#This Row],[Std cycle]]/3600))</f>
        <v>20.1875</v>
      </c>
      <c r="R124" s="46">
        <f>IF(tblShifts[[#This Row],[Date]]="","",IF(OR(tblShifts[[#This Row],[Earned hours]]="",N(tblShifts[[#This Row],[Crew hours]])=0),"",tblShifts[[#This Row],[Earned hours]]/tblShifts[[#This Row],[Crew hours]]))</f>
        <v>0.841145833333333</v>
      </c>
      <c r="S124" s="47" t="str">
        <f>IF(NOT(ISNUMBER(tblShifts[[#This Row],[Efficiency]])),"",IF(tblShifts[[#This Row],[Efficiency]]&gt;=TargetEff,"On target",IF(tblShifts[[#This Row],[Efficiency]]&gt;=TargetEff*(1-0.05),"Near target","Below target")))</f>
        <v>Near target</v>
      </c>
      <c r="T124" s="45">
        <f>IF(tblShifts[[#This Row],[Date]]="","",IF(OR(tblShifts[[#This Row],[Cost per unit]]="",tblShifts[[#This Row],[Std cost per unit]]=""),"",tblShifts[[#This Row],[Cost per unit]]-tblShifts[[#This Row],[Std cost per unit]]))</f>
        <v>0.51617160467128</v>
      </c>
      <c r="U124" s="43">
        <f>IF(tblShifts[[#This Row],[Date]]="","",IF(OR(tblShifts[[#This Row],[Labour cost]]="",tblShifts[[#This Row],[Std cost per unit]]=""),"",tblShifts[[#This Row],[Labour cost]]-tblShifts[[#This Row],[Std cost per unit]]*tblShifts[[#This Row],[Good units]]))</f>
        <v>131.623759191176</v>
      </c>
      <c r="V124"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4" s="48">
        <f>IF(tblShifts[[#This Row],[Date]]="","",IF(AND(tblShifts[[#This Row],[Date]]&gt;=FFrom,tblShifts[[#This Row],[Date]]&lt;=FTo,OR(DashLine="",tblShifts[[#This Row],[Line]]=DashLine),OR(DashProduct="",tblShifts[[#This Row],[Product]]=DashProduct)),tblShifts[[#This Row],[Date]],""))</f>
        <v>46304</v>
      </c>
      <c r="X124" s="28" t="s">
        <v>149</v>
      </c>
    </row>
    <row r="125" spans="2:24">
      <c r="B125" s="42">
        <v>46304</v>
      </c>
      <c r="C125" s="28" t="s">
        <v>83</v>
      </c>
      <c r="D125" s="28" t="s">
        <v>84</v>
      </c>
      <c r="E125" s="28" t="s">
        <v>91</v>
      </c>
      <c r="F125" s="28" t="s">
        <v>122</v>
      </c>
      <c r="G125" s="32">
        <v>2</v>
      </c>
      <c r="H125" s="32">
        <v>8</v>
      </c>
      <c r="I125" s="36">
        <v>489</v>
      </c>
      <c r="J125" s="43">
        <f>IF(tblShifts[[#This Row],[Date]]="","",IFERROR(INDEX(tblRoles[Loaded rate],MATCH(tblShifts[[#This Row],[Role]],tblRoles[Role],0)),""))</f>
        <v>34.5242647058824</v>
      </c>
      <c r="K125" s="44">
        <f>IF(tblShifts[[#This Row],[Date]]="","",IFERROR(INDEX(tblProducts[Std cycle (s/unit)],MATCH(tblShifts[[#This Row],[Product]],tblProducts[Product],0)),""))</f>
        <v>48</v>
      </c>
      <c r="L125" s="44">
        <f>IF(tblShifts[[#This Row],[Date]]="","",IFERROR(INDEX(tblProducts[Std crew (people)],MATCH(tblShifts[[#This Row],[Product]],tblProducts[Product],0)),""))</f>
        <v>2</v>
      </c>
      <c r="M125" s="44">
        <f>IF(tblShifts[[#This Row],[Date]]="","",tblShifts[[#This Row],[Operators]]*tblShifts[[#This Row],[Hours]])</f>
        <v>16</v>
      </c>
      <c r="N125" s="43">
        <f>IF(tblShifts[[#This Row],[Date]]="","",IF(tblShifts[[#This Row],[Loaded rate]]="","",tblShifts[[#This Row],[Crew hours]]*tblShifts[[#This Row],[Loaded rate]]))</f>
        <v>552.388235294118</v>
      </c>
      <c r="O125" s="45">
        <f>IF(tblShifts[[#This Row],[Date]]="","",IF(OR(tblShifts[[#This Row],[Labour cost]]="",N(tblShifts[[#This Row],[Good units]])=0),"",tblShifts[[#This Row],[Labour cost]]/tblShifts[[#This Row],[Good units]]))</f>
        <v>1.12962829303501</v>
      </c>
      <c r="P125" s="45">
        <f>IF(tblShifts[[#This Row],[Date]]="","",IF(OR(tblShifts[[#This Row],[Loaded rate]]="",tblShifts[[#This Row],[Std cycle]]=""),"",tblShifts[[#This Row],[Std crew]]*tblShifts[[#This Row],[Loaded rate]]*tblShifts[[#This Row],[Std cycle]]/3600))</f>
        <v>0.920647058823529</v>
      </c>
      <c r="Q125" s="43">
        <f>IF(tblShifts[[#This Row],[Date]]="","",IF(tblShifts[[#This Row],[Std cycle]]="","",tblShifts[[#This Row],[Good units]]*tblShifts[[#This Row],[Std crew]]*tblShifts[[#This Row],[Std cycle]]/3600))</f>
        <v>13.04</v>
      </c>
      <c r="R125" s="46">
        <f>IF(tblShifts[[#This Row],[Date]]="","",IF(OR(tblShifts[[#This Row],[Earned hours]]="",N(tblShifts[[#This Row],[Crew hours]])=0),"",tblShifts[[#This Row],[Earned hours]]/tblShifts[[#This Row],[Crew hours]]))</f>
        <v>0.815</v>
      </c>
      <c r="S125" s="47" t="str">
        <f>IF(NOT(ISNUMBER(tblShifts[[#This Row],[Efficiency]])),"",IF(tblShifts[[#This Row],[Efficiency]]&gt;=TargetEff,"On target",IF(tblShifts[[#This Row],[Efficiency]]&gt;=TargetEff*(1-0.05),"Near target","Below target")))</f>
        <v>Near target</v>
      </c>
      <c r="T125" s="45">
        <f>IF(tblShifts[[#This Row],[Date]]="","",IF(OR(tblShifts[[#This Row],[Cost per unit]]="",tblShifts[[#This Row],[Std cost per unit]]=""),"",tblShifts[[#This Row],[Cost per unit]]-tblShifts[[#This Row],[Std cost per unit]]))</f>
        <v>0.208981234211476</v>
      </c>
      <c r="U125" s="43">
        <f>IF(tblShifts[[#This Row],[Date]]="","",IF(OR(tblShifts[[#This Row],[Labour cost]]="",tblShifts[[#This Row],[Std cost per unit]]=""),"",tblShifts[[#This Row],[Labour cost]]-tblShifts[[#This Row],[Std cost per unit]]*tblShifts[[#This Row],[Good units]]))</f>
        <v>102.191823529412</v>
      </c>
      <c r="V125"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5" s="48">
        <f>IF(tblShifts[[#This Row],[Date]]="","",IF(AND(tblShifts[[#This Row],[Date]]&gt;=FFrom,tblShifts[[#This Row],[Date]]&lt;=FTo,OR(DashLine="",tblShifts[[#This Row],[Line]]=DashLine),OR(DashProduct="",tblShifts[[#This Row],[Product]]=DashProduct)),tblShifts[[#This Row],[Date]],""))</f>
        <v>46304</v>
      </c>
      <c r="X125" s="28" t="s">
        <v>149</v>
      </c>
    </row>
    <row r="126" spans="2:24">
      <c r="B126" s="42">
        <v>46304</v>
      </c>
      <c r="C126" s="28" t="s">
        <v>83</v>
      </c>
      <c r="D126" s="28" t="s">
        <v>85</v>
      </c>
      <c r="E126" s="28" t="s">
        <v>93</v>
      </c>
      <c r="F126" s="28" t="s">
        <v>123</v>
      </c>
      <c r="G126" s="32">
        <v>2</v>
      </c>
      <c r="H126" s="32">
        <v>8</v>
      </c>
      <c r="I126" s="36">
        <v>64</v>
      </c>
      <c r="J126" s="43">
        <f>IF(tblShifts[[#This Row],[Date]]="","",IFERROR(INDEX(tblRoles[Loaded rate],MATCH(tblShifts[[#This Row],[Role]],tblRoles[Role],0)),""))</f>
        <v>45.2216806722689</v>
      </c>
      <c r="K126" s="44">
        <f>IF(tblShifts[[#This Row],[Date]]="","",IFERROR(INDEX(tblProducts[Std cycle (s/unit)],MATCH(tblShifts[[#This Row],[Product]],tblProducts[Product],0)),""))</f>
        <v>420</v>
      </c>
      <c r="L126" s="44">
        <f>IF(tblShifts[[#This Row],[Date]]="","",IFERROR(INDEX(tblProducts[Std crew (people)],MATCH(tblShifts[[#This Row],[Product]],tblProducts[Product],0)),""))</f>
        <v>2</v>
      </c>
      <c r="M126" s="44">
        <f>IF(tblShifts[[#This Row],[Date]]="","",tblShifts[[#This Row],[Operators]]*tblShifts[[#This Row],[Hours]])</f>
        <v>16</v>
      </c>
      <c r="N126" s="43">
        <f>IF(tblShifts[[#This Row],[Date]]="","",IF(tblShifts[[#This Row],[Loaded rate]]="","",tblShifts[[#This Row],[Crew hours]]*tblShifts[[#This Row],[Loaded rate]]))</f>
        <v>723.546890756303</v>
      </c>
      <c r="O126" s="45">
        <f>IF(tblShifts[[#This Row],[Date]]="","",IF(OR(tblShifts[[#This Row],[Labour cost]]="",N(tblShifts[[#This Row],[Good units]])=0),"",tblShifts[[#This Row],[Labour cost]]/tblShifts[[#This Row],[Good units]]))</f>
        <v>11.3054201680672</v>
      </c>
      <c r="P126" s="45">
        <f>IF(tblShifts[[#This Row],[Date]]="","",IF(OR(tblShifts[[#This Row],[Loaded rate]]="",tblShifts[[#This Row],[Std cycle]]=""),"",tblShifts[[#This Row],[Std crew]]*tblShifts[[#This Row],[Loaded rate]]*tblShifts[[#This Row],[Std cycle]]/3600))</f>
        <v>10.5517254901961</v>
      </c>
      <c r="Q126" s="43">
        <f>IF(tblShifts[[#This Row],[Date]]="","",IF(tblShifts[[#This Row],[Std cycle]]="","",tblShifts[[#This Row],[Good units]]*tblShifts[[#This Row],[Std crew]]*tblShifts[[#This Row],[Std cycle]]/3600))</f>
        <v>14.9333333333333</v>
      </c>
      <c r="R126" s="46">
        <f>IF(tblShifts[[#This Row],[Date]]="","",IF(OR(tblShifts[[#This Row],[Earned hours]]="",N(tblShifts[[#This Row],[Crew hours]])=0),"",tblShifts[[#This Row],[Earned hours]]/tblShifts[[#This Row],[Crew hours]]))</f>
        <v>0.933333333333333</v>
      </c>
      <c r="S126" s="47" t="str">
        <f>IF(NOT(ISNUMBER(tblShifts[[#This Row],[Efficiency]])),"",IF(tblShifts[[#This Row],[Efficiency]]&gt;=TargetEff,"On target",IF(tblShifts[[#This Row],[Efficiency]]&gt;=TargetEff*(1-0.05),"Near target","Below target")))</f>
        <v>On target</v>
      </c>
      <c r="T126" s="45">
        <f>IF(tblShifts[[#This Row],[Date]]="","",IF(OR(tblShifts[[#This Row],[Cost per unit]]="",tblShifts[[#This Row],[Std cost per unit]]=""),"",tblShifts[[#This Row],[Cost per unit]]-tblShifts[[#This Row],[Std cost per unit]]))</f>
        <v>0.753694677871149</v>
      </c>
      <c r="U126" s="43">
        <f>IF(tblShifts[[#This Row],[Date]]="","",IF(OR(tblShifts[[#This Row],[Labour cost]]="",tblShifts[[#This Row],[Std cost per unit]]=""),"",tblShifts[[#This Row],[Labour cost]]-tblShifts[[#This Row],[Std cost per unit]]*tblShifts[[#This Row],[Good units]]))</f>
        <v>48.2364593837535</v>
      </c>
      <c r="V126" s="41" t="str">
        <f>IF(tblShifts[[#This Row],[Date]]="","",IF(tblShifts[[#This Row],[Line]]="","Missing line",IF(tblShifts[[#This Row],[Product]]="","Missing product",IF(tblShifts[[#This Row],[Role]]="","Missing role",IF(tblShifts[[#This Row],[Operators]]="","Missing operators",IF(tblShifts[[#This Row],[Hours]]="","Missing hours",IF(tblShifts[[#This Row],[Loaded rate]]="","Role not on Labour Rates",IF(tblShifts[[#This Row],[Std cycle]]="","Product not on Setup list",IF(tblShifts[[#This Row],[Hours]]&gt;24,"More than 24 hours",IF(tblShifts[[#This Row],[Good units]]=0,"No good units","OK"))))))))))</f>
        <v>OK</v>
      </c>
      <c r="W126" s="48">
        <f>IF(tblShifts[[#This Row],[Date]]="","",IF(AND(tblShifts[[#This Row],[Date]]&gt;=FFrom,tblShifts[[#This Row],[Date]]&lt;=FTo,OR(DashLine="",tblShifts[[#This Row],[Line]]=DashLine),OR(DashProduct="",tblShifts[[#This Row],[Product]]=DashProduct)),tblShifts[[#This Row],[Date]],""))</f>
        <v>46304</v>
      </c>
      <c r="X126" s="28" t="s">
        <v>149</v>
      </c>
    </row>
  </sheetData>
  <mergeCells count="3">
    <mergeCell ref="A1:X1"/>
    <mergeCell ref="B2:W2"/>
    <mergeCell ref="B4:X4"/>
  </mergeCells>
  <conditionalFormatting sqref="R7:R626">
    <cfRule type="expression" dxfId="3" priority="1" stopIfTrue="1">
      <formula>AND(ISNUMBER(R7),R7&gt;=(TargetEff))</formula>
    </cfRule>
    <cfRule type="expression" dxfId="4" priority="2" stopIfTrue="1">
      <formula>AND(ISNUMBER(R7),R7&gt;=(TargetEff)*(1-0.05))</formula>
    </cfRule>
    <cfRule type="expression" dxfId="5" priority="3">
      <formula>ISNUMBER(R7)</formula>
    </cfRule>
  </conditionalFormatting>
  <conditionalFormatting sqref="S7:S626">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V7:V626">
    <cfRule type="expression" dxfId="3" priority="24">
      <formula>$V7="OK"</formula>
    </cfRule>
    <cfRule type="expression" dxfId="1" priority="25">
      <formula>AND($V7&lt;&gt;"",$V7&lt;&gt;"OK")</formula>
    </cfRule>
  </conditionalFormatting>
  <dataValidations count="9">
    <dataValidation type="date" allowBlank="1" showInputMessage="1" showErrorMessage="1" errorTitle="Check this entry" error="Enter a date between 01 Jan 2000 and 31 Dec 2100." promptTitle="Date" prompt="Enter a date between 01 Jan 2000 and 31 Dec 2100." sqref="B7:B626">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7:C626">
      <formula1>ShiftList</formula1>
    </dataValidation>
    <dataValidation type="list" allowBlank="1" showInputMessage="1" showErrorMessage="1" errorTitle="Check this entry" error="Pick from the list (edit the list on Setup: LineList)." promptTitle="Line" prompt="Pick from the list (edit the list on Setup: LineList)." sqref="D7:D626">
      <formula1>LineList</formula1>
    </dataValidation>
    <dataValidation type="list" allowBlank="1" showInputMessage="1" showErrorMessage="1" errorTitle="Check this entry" error="Pick from the list (edit the list on Setup: Products)." promptTitle="Product" prompt="Pick from the list (edit the list on Setup: Products)." sqref="E7:E626">
      <formula1>Products</formula1>
    </dataValidation>
    <dataValidation type="list" allowBlank="1" showInputMessage="1" showErrorMessage="1" errorTitle="Check this entry" error="Pick from the list (edit the list on Setup: RoleList)." promptTitle="Role" prompt="Pick from the list (edit the list on Setup: RoleList)." sqref="F7:F626">
      <formula1>RoleList</formula1>
    </dataValidation>
    <dataValidation type="decimal" allowBlank="1" showInputMessage="1" showErrorMessage="1" errorTitle="Check this entry" error="Enter a number from 0 to 500." promptTitle="Operators" prompt="People in this crew on the shift (decimals for part-shift help). Enter a number from 0 to 500." sqref="G7:G626">
      <formula1>0</formula1>
      <formula2>500</formula2>
    </dataValidation>
    <dataValidation type="decimal" allowBlank="1" showInputMessage="1" showErrorMessage="1" errorTitle="Check this entry" error="Enter a number from 0 to 24." promptTitle="Hours" prompt="Paid hours each operator spent on the shift, breaks included. Enter a number from 0 to 24." sqref="H7:H626">
      <formula1>0</formula1>
      <formula2>24</formula2>
    </dataValidation>
    <dataValidation type="whole" allowBlank="1" showInputMessage="1" showErrorMessage="1" errorTitle="Check this entry" error="Enter a whole number of at least 0." promptTitle="Good units" prompt="Good units completed by the crew on the shift. Enter a whole number of at least 0." sqref="I7:I626">
      <formula1>0</formula1>
      <formula2>1000000000.0</formula2>
    </dataValidation>
    <dataValidation type="textLength" allowBlank="1" showInputMessage="1" showErrorMessage="1" errorTitle="Check this entry" error="Text up to 255 characters." promptTitle="Notes" prompt="Text up to 255 characters." sqref="X7:X626">
      <formula1>0</formula1>
      <formula2>255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Labor Cost&amp;R&amp;8&amp;A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6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3" t="s">
        <v>2</v>
      </c>
      <c r="L2" s="3"/>
    </row>
    <row r="3" spans="1:12" ht="6" customHeight="1"/>
    <row r="4" spans="1:12">
      <c r="B4" s="27" t="s">
        <v>65</v>
      </c>
      <c r="C4" s="28"/>
      <c r="E4" s="27" t="s">
        <v>66</v>
      </c>
      <c r="F4" s="28"/>
      <c r="H4" s="27" t="s">
        <v>151</v>
      </c>
      <c r="I4" s="42"/>
      <c r="K4" s="27" t="s">
        <v>152</v>
      </c>
      <c r="L4" s="42"/>
    </row>
    <row r="5" spans="1:12">
      <c r="B5" s="49" t="str">
        <f>"Showing "&amp;COUNTIFS(tblShifts[View date],"&gt;0")&amp;" crew shifts, "&amp;FIXED(SUMIFS(tblShifts[Crew hours],tblShifts[View date],"&gt;0"),0)&amp;" crew hours. Leave the filters blank to include everything; dates are inclusive."</f>
        <v>Showing 120 crew shifts, 2,368 crew hours. Leave the filters blank to include everything; dates are inclusive.</v>
      </c>
      <c r="C5" s="49"/>
      <c r="D5" s="49"/>
      <c r="E5" s="49"/>
      <c r="F5" s="49"/>
      <c r="G5" s="49"/>
      <c r="H5" s="49"/>
      <c r="I5" s="49"/>
      <c r="J5" s="49"/>
      <c r="K5" s="49"/>
      <c r="L5" s="49"/>
    </row>
    <row r="7" spans="1:12" ht="18" customHeight="1">
      <c r="B7" s="50" t="s">
        <v>153</v>
      </c>
      <c r="C7" s="50"/>
      <c r="D7" s="50" t="str">
        <f>"LABOUR COST ("&amp;Currency&amp;")"</f>
        <v>LABOUR COST (CAD)</v>
      </c>
      <c r="E7" s="50"/>
      <c r="F7" s="50"/>
      <c r="G7" s="50" t="str">
        <f>"LABOUR VARIANCE ("&amp;Currency&amp;")"</f>
        <v>LABOUR VARIANCE (CAD)</v>
      </c>
      <c r="H7" s="50"/>
      <c r="I7" s="50"/>
      <c r="J7" s="50" t="str">
        <f>"ANNUAL COST, ALL ROLES ("&amp;Currency&amp;")"</f>
        <v>ANNUAL COST, ALL ROLES (CAD)</v>
      </c>
      <c r="K7" s="50"/>
      <c r="L7" s="50"/>
    </row>
    <row r="8" spans="1:12" ht="21" customHeight="1">
      <c r="B8" s="51">
        <f>IF((SUMIFS(tblShifts[Crew hours],tblShifts[View date],"&gt;0"))=0,"",(SUMIFS(tblShifts[Earned hours],tblShifts[View date],"&gt;0"))/(SUMIFS(tblShifts[Crew hours],tblShifts[View date],"&gt;0")))</f>
        <v>0.879020622184685</v>
      </c>
      <c r="C8" s="51"/>
      <c r="D8" s="52">
        <f>SUMIFS(tblShifts[Labour cost],tblShifts[View date],"&gt;0")</f>
        <v>88984.9120168067</v>
      </c>
      <c r="E8" s="52"/>
      <c r="F8" s="52"/>
      <c r="G8" s="52">
        <f>SUMIFS(tblShifts[Labour variance],tblShifts[View date],"&gt;0")</f>
        <v>10554.7921142332</v>
      </c>
      <c r="H8" s="52"/>
      <c r="I8" s="52"/>
      <c r="J8" s="52">
        <f>SUM(tblRoles[Annual cost, all heads])</f>
        <v>2260915.712</v>
      </c>
      <c r="K8" s="52"/>
      <c r="L8" s="52"/>
    </row>
    <row r="9" spans="1:12" ht="21" customHeight="1">
      <c r="B9" s="51"/>
      <c r="C9" s="51"/>
      <c r="D9" s="52"/>
      <c r="E9" s="52"/>
      <c r="F9" s="52"/>
      <c r="G9" s="52"/>
      <c r="H9" s="52"/>
      <c r="I9" s="52"/>
      <c r="J9" s="52"/>
      <c r="K9" s="52"/>
      <c r="L9" s="52"/>
    </row>
    <row r="10" spans="1:12">
      <c r="B10" s="53">
        <f>TargetEff</f>
        <v>0.85</v>
      </c>
      <c r="C10" s="53"/>
      <c r="D10" s="54" t="s">
        <v>154</v>
      </c>
      <c r="E10" s="54"/>
      <c r="F10" s="54"/>
      <c r="G10" s="54" t="s">
        <v>155</v>
      </c>
      <c r="H10" s="54"/>
      <c r="I10" s="54"/>
      <c r="J10" s="54" t="s">
        <v>156</v>
      </c>
      <c r="K10" s="54"/>
      <c r="L10" s="54"/>
    </row>
    <row r="11" spans="1:12" ht="18" customHeight="1">
      <c r="B11" s="55" t="str">
        <f>IF(NOT(ISNUMBER(KpiEff)),"No data",IF(KpiEff&gt;=(TargetEff),"On target",IF(KpiEff&gt;=(TargetEff)*(1-0.05),"Near target","Below target")))</f>
        <v>On target</v>
      </c>
      <c r="C11" s="55"/>
      <c r="D11" s="55"/>
      <c r="E11" s="55"/>
      <c r="F11" s="55"/>
      <c r="G11" s="55"/>
      <c r="H11" s="55"/>
      <c r="I11" s="55"/>
      <c r="J11" s="55"/>
      <c r="K11" s="55"/>
      <c r="L11" s="55"/>
    </row>
    <row r="29" spans="2:10">
      <c r="B29" s="30" t="s">
        <v>157</v>
      </c>
      <c r="C29" s="30"/>
      <c r="D29" s="30"/>
      <c r="E29" s="30"/>
      <c r="F29" s="30"/>
      <c r="G29" s="30"/>
      <c r="H29" s="30"/>
      <c r="I29" s="30"/>
      <c r="J29" s="30"/>
    </row>
    <row r="30" spans="2:10" ht="32" customHeight="1">
      <c r="B30" s="56" t="s">
        <v>66</v>
      </c>
      <c r="C30" s="31" t="s">
        <v>131</v>
      </c>
      <c r="D30" s="31" t="s">
        <v>135</v>
      </c>
      <c r="E30" s="31" t="s">
        <v>136</v>
      </c>
      <c r="F30" s="31" t="s">
        <v>137</v>
      </c>
      <c r="G30" s="31" t="s">
        <v>142</v>
      </c>
      <c r="H30" s="31" t="s">
        <v>139</v>
      </c>
      <c r="I30" s="31" t="s">
        <v>158</v>
      </c>
      <c r="J30" s="31"/>
    </row>
    <row r="31" spans="2:10" ht="14" customHeight="1">
      <c r="B31" s="34"/>
      <c r="C31" s="34" t="s">
        <v>146</v>
      </c>
      <c r="D31" s="34" t="str">
        <f>Currency</f>
        <v>CAD</v>
      </c>
      <c r="E31" s="34" t="str">
        <f>Currency&amp;"/unit"</f>
        <v>CAD/unit</v>
      </c>
      <c r="F31" s="34" t="str">
        <f>Currency&amp;"/unit"</f>
        <v>CAD/unit</v>
      </c>
      <c r="G31" s="34" t="str">
        <f>Currency</f>
        <v>CAD</v>
      </c>
      <c r="H31" s="34" t="s">
        <v>121</v>
      </c>
      <c r="I31" s="34"/>
      <c r="J31" s="34"/>
    </row>
    <row r="32" spans="2:10">
      <c r="B32" s="57" t="str">
        <f>IFERROR(INDEX(tblProducts[Product],1)&amp;"","")</f>
        <v>PA-100</v>
      </c>
      <c r="C32" s="37">
        <f>IF($B$32="","",SUMIFS(tblShifts[Good units],tblShifts[Product],$B$32,tblShifts[View date],"&gt;0"))</f>
        <v>11695</v>
      </c>
      <c r="D32" s="37">
        <f>IF($B$32="","",SUMIFS(tblShifts[Labour cost],tblShifts[Product],$B$32,tblShifts[View date],"&gt;0"))</f>
        <v>35905.2352941176</v>
      </c>
      <c r="E32" s="43">
        <f>IF($B$32="","",IF(($C$32)=0,"",($D$32)/($C$32)))</f>
        <v>3.07013555315243</v>
      </c>
      <c r="F32" s="43">
        <f>IF($B$32="","",IF(($C$32)=0,"",($D$32-SUMIFS(tblShifts[Labour variance],tblShifts[Product],$B$32,tblShifts[View date],"&gt;0"))/($C$32)))</f>
        <v>2.73317095588235</v>
      </c>
      <c r="G32" s="37">
        <f>IF($B$32="","",SUMIFS(tblShifts[Labour variance],tblShifts[Product],$B$32,tblShifts[View date],"&gt;0"))</f>
        <v>3940.80096507353</v>
      </c>
      <c r="H32" s="46">
        <f>IF($B$32="","",IF((SUMIFS(tblShifts[Crew hours],tblShifts[Product],$B$32,tblShifts[View date],"&gt;0"))=0,"",(SUMIFS(tblShifts[Earned hours],tblShifts[Product],$B$32,tblShifts[View date],"&gt;0"))/(SUMIFS(tblShifts[Crew hours],tblShifts[Product],$B$32,tblShifts[View date],"&gt;0"))))</f>
        <v>0.890244391025641</v>
      </c>
      <c r="I32" s="47" t="str">
        <f>IF($B$32="","",IF($H$32="","",IF($H$32&gt;=TargetEff,"On target",IF($H$32&gt;=TargetEff*(1-0.05),"Near target","Below target"))))</f>
        <v>On target</v>
      </c>
      <c r="J32" s="47"/>
    </row>
    <row r="33" spans="2:10">
      <c r="B33" s="57" t="str">
        <f>IFERROR(INDEX(tblProducts[Product],2)&amp;"","")</f>
        <v>CB-200</v>
      </c>
      <c r="C33" s="37">
        <f>IF($B$33="","",SUMIFS(tblShifts[Good units],tblShifts[Product],$B$33,tblShifts[View date],"&gt;0"))</f>
        <v>4161</v>
      </c>
      <c r="D33" s="37">
        <f>IF($B$33="","",SUMIFS(tblShifts[Labour cost],tblShifts[Product],$B$33,tblShifts[View date],"&gt;0"))</f>
        <v>13395.4147058824</v>
      </c>
      <c r="E33" s="43">
        <f>IF($B$33="","",IF(($C$33)=0,"",($D$33)/($C$33)))</f>
        <v>3.21927774714789</v>
      </c>
      <c r="F33" s="43">
        <f>IF($B$33="","",IF(($C$33)=0,"",($D$33-SUMIFS(tblShifts[Labour variance],tblShifts[Product],$B$33,tblShifts[View date],"&gt;0"))/($C$33)))</f>
        <v>2.68522058823529</v>
      </c>
      <c r="G33" s="37">
        <f>IF($B$33="","",SUMIFS(tblShifts[Labour variance],tblShifts[Product],$B$33,tblShifts[View date],"&gt;0"))</f>
        <v>2222.21183823529</v>
      </c>
      <c r="H33" s="46">
        <f>IF($B$33="","",IF((SUMIFS(tblShifts[Crew hours],tblShifts[Product],$B$33,tblShifts[View date],"&gt;0"))=0,"",(SUMIFS(tblShifts[Earned hours],tblShifts[Product],$B$33,tblShifts[View date],"&gt;0"))/(SUMIFS(tblShifts[Crew hours],tblShifts[Product],$B$33,tblShifts[View date],"&gt;0"))))</f>
        <v>0.834106529209622</v>
      </c>
      <c r="I33" s="47" t="str">
        <f>IF($B$33="","",IF($H$33="","",IF($H$33&gt;=TargetEff,"On target",IF($H$33&gt;=TargetEff*(1-0.05),"Near target","Below target"))))</f>
        <v>Near target</v>
      </c>
      <c r="J33" s="47"/>
    </row>
    <row r="34" spans="2:10">
      <c r="B34" s="57" t="str">
        <f>IFERROR(INDEX(tblProducts[Product],3)&amp;"","")</f>
        <v>VK-150</v>
      </c>
      <c r="C34" s="37">
        <f>IF($B$34="","",SUMIFS(tblShifts[Good units],tblShifts[Product],$B$34,tblShifts[View date],"&gt;0"))</f>
        <v>8180</v>
      </c>
      <c r="D34" s="37">
        <f>IF($B$34="","",SUMIFS(tblShifts[Labour cost],tblShifts[Product],$B$34,tblShifts[View date],"&gt;0"))</f>
        <v>9114.40588235294</v>
      </c>
      <c r="E34" s="43">
        <f>IF($B$34="","",IF(($C$34)=0,"",($D$34)/($C$34)))</f>
        <v>1.11423054796491</v>
      </c>
      <c r="F34" s="43">
        <f>IF($B$34="","",IF(($C$34)=0,"",($D$34-SUMIFS(tblShifts[Labour variance],tblShifts[Product],$B$34,tblShifts[View date],"&gt;0"))/($C$34)))</f>
        <v>0.920647058823529</v>
      </c>
      <c r="G34" s="37">
        <f>IF($B$34="","",SUMIFS(tblShifts[Labour variance],tblShifts[Product],$B$34,tblShifts[View date],"&gt;0"))</f>
        <v>1583.51294117647</v>
      </c>
      <c r="H34" s="46">
        <f>IF($B$34="","",IF((SUMIFS(tblShifts[Crew hours],tblShifts[Product],$B$34,tblShifts[View date],"&gt;0"))=0,"",(SUMIFS(tblShifts[Earned hours],tblShifts[Product],$B$34,tblShifts[View date],"&gt;0"))/(SUMIFS(tblShifts[Crew hours],tblShifts[Product],$B$34,tblShifts[View date],"&gt;0"))))</f>
        <v>0.826262626262626</v>
      </c>
      <c r="I34" s="47" t="str">
        <f>IF($B$34="","",IF($H$34="","",IF($H$34&gt;=TargetEff,"On target",IF($H$34&gt;=TargetEff*(1-0.05),"Near target","Below target"))))</f>
        <v>Near target</v>
      </c>
      <c r="J34" s="47"/>
    </row>
    <row r="35" spans="2:10">
      <c r="B35" s="57" t="str">
        <f>IFERROR(INDEX(tblProducts[Product],4)&amp;"","")</f>
        <v>WF-300</v>
      </c>
      <c r="C35" s="37">
        <f>IF($B$35="","",SUMIFS(tblShifts[Good units],tblShifts[Product],$B$35,tblShifts[View date],"&gt;0"))</f>
        <v>2631</v>
      </c>
      <c r="D35" s="37">
        <f>IF($B$35="","",SUMIFS(tblShifts[Labour cost],tblShifts[Product],$B$35,tblShifts[View date],"&gt;0"))</f>
        <v>30569.8561344538</v>
      </c>
      <c r="E35" s="43">
        <f>IF($B$35="","",IF(($C$35)=0,"",($D$35)/($C$35)))</f>
        <v>11.6191015334298</v>
      </c>
      <c r="F35" s="43">
        <f>IF($B$35="","",IF(($C$35)=0,"",($D$35-SUMIFS(tblShifts[Labour variance],tblShifts[Product],$B$35,tblShifts[View date],"&gt;0"))/($C$35)))</f>
        <v>10.5517254901961</v>
      </c>
      <c r="G35" s="37">
        <f>IF($B$35="","",SUMIFS(tblShifts[Labour variance],tblShifts[Product],$B$35,tblShifts[View date],"&gt;0"))</f>
        <v>2808.2663697479</v>
      </c>
      <c r="H35" s="46">
        <f>IF($B$35="","",IF((SUMIFS(tblShifts[Crew hours],tblShifts[Product],$B$35,tblShifts[View date],"&gt;0"))=0,"",(SUMIFS(tblShifts[Earned hours],tblShifts[Product],$B$35,tblShifts[View date],"&gt;0"))/(SUMIFS(tblShifts[Crew hours],tblShifts[Product],$B$35,tblShifts[View date],"&gt;0"))))</f>
        <v>0.908136094674556</v>
      </c>
      <c r="I35" s="47" t="str">
        <f>IF($B$35="","",IF($H$35="","",IF($H$35&gt;=TargetEff,"On target",IF($H$35&gt;=TargetEff*(1-0.05),"Near target","Below target"))))</f>
        <v>On target</v>
      </c>
      <c r="J35" s="47"/>
    </row>
    <row r="37" spans="2:10">
      <c r="B37" s="30" t="s">
        <v>159</v>
      </c>
      <c r="C37" s="30"/>
      <c r="D37" s="30"/>
      <c r="E37" s="30"/>
      <c r="F37" s="30"/>
      <c r="G37" s="30"/>
      <c r="H37" s="30"/>
      <c r="I37" s="30"/>
    </row>
    <row r="38" spans="2:10" ht="32" customHeight="1">
      <c r="B38" s="56" t="s">
        <v>65</v>
      </c>
      <c r="C38" s="31" t="s">
        <v>134</v>
      </c>
      <c r="D38" s="31" t="s">
        <v>135</v>
      </c>
      <c r="E38" s="31" t="s">
        <v>142</v>
      </c>
      <c r="F38" s="31" t="s">
        <v>139</v>
      </c>
      <c r="G38" s="31" t="s">
        <v>160</v>
      </c>
      <c r="H38" s="31" t="s">
        <v>161</v>
      </c>
      <c r="I38" s="31" t="s">
        <v>162</v>
      </c>
    </row>
    <row r="39" spans="2:10" ht="14" customHeight="1">
      <c r="B39" s="34"/>
      <c r="C39" s="34" t="s">
        <v>148</v>
      </c>
      <c r="D39" s="34" t="str">
        <f>Currency</f>
        <v>CAD</v>
      </c>
      <c r="E39" s="34" t="str">
        <f>Currency</f>
        <v>CAD</v>
      </c>
      <c r="F39" s="34" t="s">
        <v>121</v>
      </c>
      <c r="G39" s="34" t="s">
        <v>163</v>
      </c>
      <c r="H39" s="34" t="s">
        <v>121</v>
      </c>
      <c r="I39" s="34" t="s">
        <v>163</v>
      </c>
    </row>
    <row r="40" spans="2:10">
      <c r="B40" s="57" t="str">
        <f>IFERROR(INDEX(tblLineList[Line],1)&amp;"","")</f>
        <v>Line A</v>
      </c>
      <c r="C40" s="44">
        <f>IF($B$40="","",SUMIFS(tblShifts[Crew hours],tblShifts[Line],$B$40,tblShifts[View date],"&gt;0"))</f>
        <v>1040</v>
      </c>
      <c r="D40" s="37">
        <f>IF($B$40="","",SUMIFS(tblShifts[Labour cost],tblShifts[Line],$B$40,tblShifts[View date],"&gt;0"))</f>
        <v>35905.2352941176</v>
      </c>
      <c r="E40" s="37">
        <f>IF($B$40="","",SUMIFS(tblShifts[Labour variance],tblShifts[Line],$B$40,tblShifts[View date],"&gt;0"))</f>
        <v>3940.80096507353</v>
      </c>
      <c r="F40" s="46">
        <f>IF($B$40="","",IF((SUMIFS(tblShifts[Crew hours],tblShifts[Line],$B$40,tblShifts[View date],"&gt;0"))=0,"",(SUMIFS(tblShifts[Earned hours],tblShifts[Line],$B$40,tblShifts[View date],"&gt;0"))/(SUMIFS(tblShifts[Crew hours],tblShifts[Line],$B$40,tblShifts[View date],"&gt;0"))))</f>
        <v>0.890244391025641</v>
      </c>
      <c r="G40" s="46">
        <f>IF($B$40="","",IF((SUMIFS(tblShifts[Crew hours],tblShifts[Line],$B$40,tblShifts[View date],"&gt;0",tblShifts[Shift],"Day"))=0,"",(SUMIFS(tblShifts[Earned hours],tblShifts[Line],$B$40,tblShifts[View date],"&gt;0",tblShifts[Shift],"Day"))/(SUMIFS(tblShifts[Crew hours],tblShifts[Line],$B$40,tblShifts[View date],"&gt;0",tblShifts[Shift],"Day"))))</f>
        <v>0.900830078125</v>
      </c>
      <c r="H40" s="58">
        <f>TargetEff</f>
        <v>0.85</v>
      </c>
      <c r="I40" s="46">
        <f>IF($B$40="","",IF((SUMIFS(tblShifts[Crew hours],tblShifts[Line],$B$40,tblShifts[View date],"&gt;0")-SUMIFS(tblShifts[Crew hours],tblShifts[Line],$B$40,tblShifts[View date],"&gt;0",tblShifts[Shift],"Day"))=0,"",(SUMIFS(tblShifts[Earned hours],tblShifts[Line],$B$40,tblShifts[View date],"&gt;0")-SUMIFS(tblShifts[Earned hours],tblShifts[Line],$B$40,tblShifts[View date],"&gt;0",tblShifts[Shift],"Day"))/(SUMIFS(tblShifts[Crew hours],tblShifts[Line],$B$40,tblShifts[View date],"&gt;0")-SUMIFS(tblShifts[Crew hours],tblShifts[Line],$B$40,tblShifts[View date],"&gt;0",tblShifts[Shift],"Day"))))</f>
        <v>0.879979482323232</v>
      </c>
    </row>
    <row r="41" spans="2:10">
      <c r="B41" s="57" t="str">
        <f>IFERROR(INDEX(tblLineList[Line],2)&amp;"","")</f>
        <v>Line B</v>
      </c>
      <c r="C41" s="44">
        <f>IF($B$41="","",SUMIFS(tblShifts[Crew hours],tblShifts[Line],$B$41,tblShifts[View date],"&gt;0"))</f>
        <v>652</v>
      </c>
      <c r="D41" s="37">
        <f>IF($B$41="","",SUMIFS(tblShifts[Labour cost],tblShifts[Line],$B$41,tblShifts[View date],"&gt;0"))</f>
        <v>22509.8205882353</v>
      </c>
      <c r="E41" s="37">
        <f>IF($B$41="","",SUMIFS(tblShifts[Labour variance],tblShifts[Line],$B$41,tblShifts[View date],"&gt;0"))</f>
        <v>3805.72477941176</v>
      </c>
      <c r="F41" s="46">
        <f>IF($B$41="","",IF((SUMIFS(tblShifts[Crew hours],tblShifts[Line],$B$41,tblShifts[View date],"&gt;0"))=0,"",(SUMIFS(tblShifts[Earned hours],tblShifts[Line],$B$41,tblShifts[View date],"&gt;0"))/(SUMIFS(tblShifts[Crew hours],tblShifts[Line],$B$41,tblShifts[View date],"&gt;0"))))</f>
        <v>0.830930470347648</v>
      </c>
      <c r="G41" s="46">
        <f>IF($B$41="","",IF((SUMIFS(tblShifts[Crew hours],tblShifts[Line],$B$41,tblShifts[View date],"&gt;0",tblShifts[Shift],"Day"))=0,"",(SUMIFS(tblShifts[Earned hours],tblShifts[Line],$B$41,tblShifts[View date],"&gt;0",tblShifts[Shift],"Day"))/(SUMIFS(tblShifts[Crew hours],tblShifts[Line],$B$41,tblShifts[View date],"&gt;0",tblShifts[Shift],"Day"))))</f>
        <v>0.9009670781893</v>
      </c>
      <c r="H41" s="58">
        <f>TargetEff</f>
        <v>0.85</v>
      </c>
      <c r="I41" s="46">
        <f>IF($B$41="","",IF((SUMIFS(tblShifts[Crew hours],tblShifts[Line],$B$41,tblShifts[View date],"&gt;0")-SUMIFS(tblShifts[Crew hours],tblShifts[Line],$B$41,tblShifts[View date],"&gt;0",tblShifts[Shift],"Day"))=0,"",(SUMIFS(tblShifts[Earned hours],tblShifts[Line],$B$41,tblShifts[View date],"&gt;0")-SUMIFS(tblShifts[Earned hours],tblShifts[Line],$B$41,tblShifts[View date],"&gt;0",tblShifts[Shift],"Day"))/(SUMIFS(tblShifts[Crew hours],tblShifts[Line],$B$41,tblShifts[View date],"&gt;0")-SUMIFS(tblShifts[Crew hours],tblShifts[Line],$B$41,tblShifts[View date],"&gt;0",tblShifts[Shift],"Day"))))</f>
        <v>0.761747967479675</v>
      </c>
    </row>
    <row r="42" spans="2:10">
      <c r="B42" s="57" t="str">
        <f>IFERROR(INDEX(tblLineList[Line],3)&amp;"","")</f>
        <v>Weld cell</v>
      </c>
      <c r="C42" s="44">
        <f>IF($B$42="","",SUMIFS(tblShifts[Crew hours],tblShifts[Line],$B$42,tblShifts[View date],"&gt;0"))</f>
        <v>676</v>
      </c>
      <c r="D42" s="37">
        <f>IF($B$42="","",SUMIFS(tblShifts[Labour cost],tblShifts[Line],$B$42,tblShifts[View date],"&gt;0"))</f>
        <v>30569.8561344538</v>
      </c>
      <c r="E42" s="37">
        <f>IF($B$42="","",SUMIFS(tblShifts[Labour variance],tblShifts[Line],$B$42,tblShifts[View date],"&gt;0"))</f>
        <v>2808.2663697479</v>
      </c>
      <c r="F42" s="46">
        <f>IF($B$42="","",IF((SUMIFS(tblShifts[Crew hours],tblShifts[Line],$B$42,tblShifts[View date],"&gt;0"))=0,"",(SUMIFS(tblShifts[Earned hours],tblShifts[Line],$B$42,tblShifts[View date],"&gt;0"))/(SUMIFS(tblShifts[Crew hours],tblShifts[Line],$B$42,tblShifts[View date],"&gt;0"))))</f>
        <v>0.908136094674556</v>
      </c>
      <c r="G42" s="46">
        <f>IF($B$42="","",IF((SUMIFS(tblShifts[Crew hours],tblShifts[Line],$B$42,tblShifts[View date],"&gt;0",tblShifts[Shift],"Day"))=0,"",(SUMIFS(tblShifts[Earned hours],tblShifts[Line],$B$42,tblShifts[View date],"&gt;0",tblShifts[Shift],"Day"))/(SUMIFS(tblShifts[Crew hours],tblShifts[Line],$B$42,tblShifts[View date],"&gt;0",tblShifts[Shift],"Day"))))</f>
        <v>0.907941176470588</v>
      </c>
      <c r="H42" s="58">
        <f>TargetEff</f>
        <v>0.85</v>
      </c>
      <c r="I42" s="46">
        <f>IF($B$42="","",IF((SUMIFS(tblShifts[Crew hours],tblShifts[Line],$B$42,tblShifts[View date],"&gt;0")-SUMIFS(tblShifts[Crew hours],tblShifts[Line],$B$42,tblShifts[View date],"&gt;0",tblShifts[Shift],"Day"))=0,"",(SUMIFS(tblShifts[Earned hours],tblShifts[Line],$B$42,tblShifts[View date],"&gt;0")-SUMIFS(tblShifts[Earned hours],tblShifts[Line],$B$42,tblShifts[View date],"&gt;0",tblShifts[Shift],"Day"))/(SUMIFS(tblShifts[Crew hours],tblShifts[Line],$B$42,tblShifts[View date],"&gt;0")-SUMIFS(tblShifts[Crew hours],tblShifts[Line],$B$42,tblShifts[View date],"&gt;0",tblShifts[Shift],"Day"))))</f>
        <v>0.908333333333333</v>
      </c>
    </row>
    <row r="44" spans="2:10">
      <c r="B44" s="30" t="s">
        <v>164</v>
      </c>
      <c r="C44" s="30"/>
      <c r="D44" s="30"/>
      <c r="E44" s="30"/>
      <c r="F44" s="30"/>
    </row>
    <row r="45" spans="2:10" ht="32" customHeight="1">
      <c r="B45" s="56" t="s">
        <v>165</v>
      </c>
      <c r="C45" s="31" t="s">
        <v>134</v>
      </c>
      <c r="D45" s="31" t="s">
        <v>135</v>
      </c>
      <c r="E45" s="31" t="s">
        <v>142</v>
      </c>
      <c r="F45" s="31" t="s">
        <v>139</v>
      </c>
    </row>
    <row r="46" spans="2:10" ht="14" customHeight="1">
      <c r="B46" s="34"/>
      <c r="C46" s="34" t="s">
        <v>148</v>
      </c>
      <c r="D46" s="34" t="str">
        <f>Currency</f>
        <v>CAD</v>
      </c>
      <c r="E46" s="34" t="str">
        <f>Currency</f>
        <v>CAD</v>
      </c>
      <c r="F46" s="34" t="s">
        <v>121</v>
      </c>
    </row>
    <row r="47" spans="2:10">
      <c r="B47" s="59">
        <f>IF(COUNT(tblShifts[View date])=0,"",MAX(tblShifts[View date])-WEEKDAY(MAX(tblShifts[View date]),2)+1)</f>
        <v>46300</v>
      </c>
      <c r="C47" s="44">
        <f>IF($B$47="","",SUMIFS(tblShifts[Crew hours],tblShifts[View date],"&gt;="&amp;$B$47,tblShifts[View date],"&lt;"&amp;$B$47+7))</f>
        <v>576</v>
      </c>
      <c r="D47" s="37">
        <f>IF($B$47="","",SUMIFS(tblShifts[Labour cost],tblShifts[View date],"&gt;="&amp;$B$47,tblShifts[View date],"&lt;"&amp;$B$47+7))</f>
        <v>21683.1423529412</v>
      </c>
      <c r="E47" s="37">
        <f>IF($B$47="","",SUMIFS(tblShifts[Labour variance],tblShifts[View date],"&gt;="&amp;$B$47,tblShifts[View date],"&lt;"&amp;$B$47+7))</f>
        <v>2727.08251409314</v>
      </c>
      <c r="F47" s="46">
        <f>IF($B$47="","",IF((SUMIFS(tblShifts[Crew hours],tblShifts[View date],"&gt;="&amp;$B$47,tblShifts[View date],"&lt;"&amp;$B$47+7))=0,"",(SUMIFS(tblShifts[Earned hours],tblShifts[View date],"&gt;="&amp;$B$47,tblShifts[View date],"&lt;"&amp;$B$47+7))/(SUMIFS(tblShifts[Crew hours],tblShifts[View date],"&gt;="&amp;$B$47,tblShifts[View date],"&lt;"&amp;$B$47+7))))</f>
        <v>0.872026909722222</v>
      </c>
    </row>
    <row r="48" spans="2:10">
      <c r="B48" s="59">
        <f>IF($B$47="","",IF($B$47-1&lt;MIN(tblShifts[View date]),"",$B$47-7))</f>
        <v>46293</v>
      </c>
      <c r="C48" s="44">
        <f>IF($B$48="","",SUMIFS(tblShifts[Crew hours],tblShifts[View date],"&gt;="&amp;$B$48,tblShifts[View date],"&lt;"&amp;$B$48+7))</f>
        <v>592</v>
      </c>
      <c r="D48" s="37">
        <f>IF($B$48="","",SUMIFS(tblShifts[Labour cost],tblShifts[View date],"&gt;="&amp;$B$48,tblShifts[View date],"&lt;"&amp;$B$48+7))</f>
        <v>22235.5305882353</v>
      </c>
      <c r="E48" s="37">
        <f>IF($B$48="","",SUMIFS(tblShifts[Labour variance],tblShifts[View date],"&gt;="&amp;$B$48,tblShifts[View date],"&lt;"&amp;$B$48+7))</f>
        <v>2581.32961151961</v>
      </c>
      <c r="F48" s="46">
        <f>IF($B$48="","",IF((SUMIFS(tblShifts[Crew hours],tblShifts[View date],"&gt;="&amp;$B$48,tblShifts[View date],"&lt;"&amp;$B$48+7))=0,"",(SUMIFS(tblShifts[Earned hours],tblShifts[View date],"&gt;="&amp;$B$48,tblShifts[View date],"&lt;"&amp;$B$48+7))/(SUMIFS(tblShifts[Crew hours],tblShifts[View date],"&gt;="&amp;$B$48,tblShifts[View date],"&lt;"&amp;$B$48+7))))</f>
        <v>0.881151463963964</v>
      </c>
    </row>
    <row r="49" spans="2:12">
      <c r="B49" s="59">
        <f>IF($B$48="","",IF($B$48-1&lt;MIN(tblShifts[View date]),"",$B$48-7))</f>
        <v>46286</v>
      </c>
      <c r="C49" s="44">
        <f>IF($B$49="","",SUMIFS(tblShifts[Crew hours],tblShifts[View date],"&gt;="&amp;$B$49,tblShifts[View date],"&lt;"&amp;$B$49+7))</f>
        <v>592</v>
      </c>
      <c r="D49" s="37">
        <f>IF($B$49="","",SUMIFS(tblShifts[Labour cost],tblShifts[View date],"&gt;="&amp;$B$49,tblShifts[View date],"&lt;"&amp;$B$49+7))</f>
        <v>22235.5305882353</v>
      </c>
      <c r="E49" s="37">
        <f>IF($B$49="","",SUMIFS(tblShifts[Labour variance],tblShifts[View date],"&gt;="&amp;$B$49,tblShifts[View date],"&lt;"&amp;$B$49+7))</f>
        <v>2363.93918014706</v>
      </c>
      <c r="F49" s="46">
        <f>IF($B$49="","",IF((SUMIFS(tblShifts[Crew hours],tblShifts[View date],"&gt;="&amp;$B$49,tblShifts[View date],"&lt;"&amp;$B$49+7))=0,"",(SUMIFS(tblShifts[Earned hours],tblShifts[View date],"&gt;="&amp;$B$49,tblShifts[View date],"&lt;"&amp;$B$49+7))/(SUMIFS(tblShifts[Crew hours],tblShifts[View date],"&gt;="&amp;$B$49,tblShifts[View date],"&lt;"&amp;$B$49+7))))</f>
        <v>0.891665728228228</v>
      </c>
    </row>
    <row r="50" spans="2:12">
      <c r="B50" s="59">
        <f>IF($B$49="","",IF($B$49-1&lt;MIN(tblShifts[View date]),"",$B$49-7))</f>
        <v>46279</v>
      </c>
      <c r="C50" s="44">
        <f>IF($B$50="","",SUMIFS(tblShifts[Crew hours],tblShifts[View date],"&gt;="&amp;$B$50,tblShifts[View date],"&lt;"&amp;$B$50+7))</f>
        <v>608</v>
      </c>
      <c r="D50" s="37">
        <f>IF($B$50="","",SUMIFS(tblShifts[Labour cost],tblShifts[View date],"&gt;="&amp;$B$50,tblShifts[View date],"&lt;"&amp;$B$50+7))</f>
        <v>22830.708487395</v>
      </c>
      <c r="E50" s="37">
        <f>IF($B$50="","",SUMIFS(tblShifts[Labour variance],tblShifts[View date],"&gt;="&amp;$B$50,tblShifts[View date],"&lt;"&amp;$B$50+7))</f>
        <v>2882.44080847339</v>
      </c>
      <c r="F50" s="46">
        <f>IF($B$50="","",IF((SUMIFS(tblShifts[Crew hours],tblShifts[View date],"&gt;="&amp;$B$50,tblShifts[View date],"&lt;"&amp;$B$50+7))=0,"",(SUMIFS(tblShifts[Earned hours],tblShifts[View date],"&gt;="&amp;$B$50,tblShifts[View date],"&lt;"&amp;$B$50+7))/(SUMIFS(tblShifts[Crew hours],tblShifts[View date],"&gt;="&amp;$B$50,tblShifts[View date],"&lt;"&amp;$B$50+7))))</f>
        <v>0.871259137426901</v>
      </c>
    </row>
    <row r="51" spans="2:12">
      <c r="B51" s="59">
        <f>IF($B$50="","",IF($B$50-1&lt;MIN(tblShifts[View date]),"",$B$50-7))</f>
        <v/>
      </c>
      <c r="C51" s="44">
        <f>IF($B$51="","",SUMIFS(tblShifts[Crew hours],tblShifts[View date],"&gt;="&amp;$B$51,tblShifts[View date],"&lt;"&amp;$B$51+7))</f>
        <v/>
      </c>
      <c r="D51" s="37">
        <f>IF($B$51="","",SUMIFS(tblShifts[Labour cost],tblShifts[View date],"&gt;="&amp;$B$51,tblShifts[View date],"&lt;"&amp;$B$51+7))</f>
        <v/>
      </c>
      <c r="E51" s="37">
        <f>IF($B$51="","",SUMIFS(tblShifts[Labour variance],tblShifts[View date],"&gt;="&amp;$B$51,tblShifts[View date],"&lt;"&amp;$B$51+7))</f>
        <v/>
      </c>
      <c r="F51" s="46">
        <f>IF($B$51="","",IF((SUMIFS(tblShifts[Crew hours],tblShifts[View date],"&gt;="&amp;$B$51,tblShifts[View date],"&lt;"&amp;$B$51+7))=0,"",(SUMIFS(tblShifts[Earned hours],tblShifts[View date],"&gt;="&amp;$B$51,tblShifts[View date],"&lt;"&amp;$B$51+7))/(SUMIFS(tblShifts[Crew hours],tblShifts[View date],"&gt;="&amp;$B$51,tblShifts[View date],"&lt;"&amp;$B$51+7))))</f>
        <v/>
      </c>
    </row>
    <row r="52" spans="2:12">
      <c r="B52" s="59">
        <f>IF($B$51="","",IF($B$51-1&lt;MIN(tblShifts[View date]),"",$B$51-7))</f>
        <v/>
      </c>
      <c r="C52" s="44">
        <f>IF($B$52="","",SUMIFS(tblShifts[Crew hours],tblShifts[View date],"&gt;="&amp;$B$52,tblShifts[View date],"&lt;"&amp;$B$52+7))</f>
        <v/>
      </c>
      <c r="D52" s="37">
        <f>IF($B$52="","",SUMIFS(tblShifts[Labour cost],tblShifts[View date],"&gt;="&amp;$B$52,tblShifts[View date],"&lt;"&amp;$B$52+7))</f>
        <v/>
      </c>
      <c r="E52" s="37">
        <f>IF($B$52="","",SUMIFS(tblShifts[Labour variance],tblShifts[View date],"&gt;="&amp;$B$52,tblShifts[View date],"&lt;"&amp;$B$52+7))</f>
        <v/>
      </c>
      <c r="F52" s="46">
        <f>IF($B$52="","",IF((SUMIFS(tblShifts[Crew hours],tblShifts[View date],"&gt;="&amp;$B$52,tblShifts[View date],"&lt;"&amp;$B$52+7))=0,"",(SUMIFS(tblShifts[Earned hours],tblShifts[View date],"&gt;="&amp;$B$52,tblShifts[View date],"&lt;"&amp;$B$52+7))/(SUMIFS(tblShifts[Crew hours],tblShifts[View date],"&gt;="&amp;$B$52,tblShifts[View date],"&lt;"&amp;$B$52+7))))</f>
        <v/>
      </c>
    </row>
    <row r="54" spans="2:12">
      <c r="B54" s="30" t="s">
        <v>166</v>
      </c>
      <c r="C54" s="30"/>
      <c r="D54" s="30"/>
      <c r="E54" s="30"/>
      <c r="F54" s="30"/>
      <c r="G54" s="30"/>
      <c r="H54" s="30"/>
      <c r="I54" s="30"/>
    </row>
    <row r="55" spans="2:12" ht="45.5" customHeight="1">
      <c r="B55" s="56" t="s">
        <v>95</v>
      </c>
      <c r="C55" s="31" t="s">
        <v>96</v>
      </c>
      <c r="D55" s="31" t="s">
        <v>97</v>
      </c>
      <c r="E55" s="31" t="s">
        <v>167</v>
      </c>
      <c r="F55" s="31" t="s">
        <v>100</v>
      </c>
      <c r="G55" s="31" t="s">
        <v>102</v>
      </c>
      <c r="H55" s="31" t="s">
        <v>168</v>
      </c>
      <c r="I55" s="31" t="s">
        <v>111</v>
      </c>
    </row>
    <row r="56" spans="2:12" ht="14" customHeight="1">
      <c r="B56" s="34"/>
      <c r="C56" s="34" t="str">
        <f>Currency&amp;"/h"</f>
        <v>CAD/h</v>
      </c>
      <c r="D56" s="34" t="str">
        <f>Currency&amp;"/h"</f>
        <v>CAD/h</v>
      </c>
      <c r="E56" s="34" t="str">
        <f>Currency&amp;"/h"</f>
        <v>CAD/h</v>
      </c>
      <c r="F56" s="34" t="str">
        <f>Currency&amp;"/h"</f>
        <v>CAD/h</v>
      </c>
      <c r="G56" s="34" t="str">
        <f>Currency&amp;"/h"</f>
        <v>CAD/h</v>
      </c>
      <c r="H56" s="34" t="str">
        <f>Currency&amp;"/h"</f>
        <v>CAD/h</v>
      </c>
      <c r="I56" s="34" t="str">
        <f>Currency&amp;"/h"</f>
        <v>CAD/h</v>
      </c>
    </row>
    <row r="57" spans="2:12">
      <c r="B57" s="57" t="str">
        <f>IFERROR(INDEX(tblRoles[Role],1)&amp;"","")</f>
        <v>Assembler</v>
      </c>
      <c r="C57" s="43">
        <f>IF($B$57="","",INDEX(tblRoles[Base wage],1))</f>
        <v>24.5</v>
      </c>
      <c r="D57" s="43">
        <f>IF($B$57="","",INDEX(tblRoles[Base wage],1)*INDEX(tblRoles[Premiums],1))</f>
        <v>1.225</v>
      </c>
      <c r="E57" s="43">
        <f>IF($B$57="","",INDEX(tblRoles[Base wage],1)*(1+INDEX(tblRoles[Premiums],1))*(INDEX(tblRoles[Payroll taxes],1)+INDEX(tblRoles[Benefits],1)))</f>
        <v>3.85875</v>
      </c>
      <c r="F57" s="43">
        <f>IF($B$57="","",INDEX(tblRoles[Fixed benefits],1)/INDEX(tblRoles[Paid hours],1))</f>
        <v>2.01923076923077</v>
      </c>
      <c r="G57" s="43">
        <f>IF($B$57="","",INDEX(tblRoles[Loaded rate],1)-INDEX(tblRoles[Cost per person],1)/INDEX(tblRoles[Paid hours],1))</f>
        <v>2.92128393665158</v>
      </c>
      <c r="H57" s="43">
        <f>IF($B$57="","",INDEX(tblRoles[Cost per productive hour],1)-INDEX(tblRoles[Loaded rate],1))</f>
        <v>3.00210997442455</v>
      </c>
      <c r="I57" s="39">
        <f>IF($B$57="","",INDEX(tblRoles[Cost per productive hour],1))</f>
        <v>37.5263746803069</v>
      </c>
    </row>
    <row r="58" spans="2:12">
      <c r="B58" s="57" t="str">
        <f>IFERROR(INDEX(tblRoles[Role],2)&amp;"","")</f>
        <v>Welder</v>
      </c>
      <c r="C58" s="43">
        <f>IF($B$58="","",INDEX(tblRoles[Base wage],2))</f>
        <v>32</v>
      </c>
      <c r="D58" s="43">
        <f>IF($B$58="","",INDEX(tblRoles[Base wage],2)*INDEX(tblRoles[Premiums],2))</f>
        <v>2.24</v>
      </c>
      <c r="E58" s="43">
        <f>IF($B$58="","",INDEX(tblRoles[Base wage],2)*(1+INDEX(tblRoles[Premiums],2))*(INDEX(tblRoles[Payroll taxes],2)+INDEX(tblRoles[Benefits],2)))</f>
        <v>5.136</v>
      </c>
      <c r="F58" s="43">
        <f>IF($B$58="","",INDEX(tblRoles[Fixed benefits],2)/INDEX(tblRoles[Paid hours],2))</f>
        <v>2.01923076923077</v>
      </c>
      <c r="G58" s="43">
        <f>IF($B$58="","",INDEX(tblRoles[Loaded rate],2)-INDEX(tblRoles[Cost per person],2)/INDEX(tblRoles[Paid hours],2))</f>
        <v>3.82644990303814</v>
      </c>
      <c r="H58" s="43">
        <f>IF($B$58="","",INDEX(tblRoles[Cost per productive hour],2)-INDEX(tblRoles[Loaded rate],2))</f>
        <v>5.02463118580765</v>
      </c>
      <c r="I58" s="39">
        <f>IF($B$58="","",INDEX(tblRoles[Cost per productive hour],2))</f>
        <v>50.2463118580766</v>
      </c>
    </row>
    <row r="59" spans="2:12">
      <c r="B59" s="57" t="str">
        <f>IFERROR(INDEX(tblRoles[Role],3)&amp;"","")</f>
        <v>Machine operator</v>
      </c>
      <c r="C59" s="43">
        <f>IF($B$59="","",INDEX(tblRoles[Base wage],3))</f>
        <v>27</v>
      </c>
      <c r="D59" s="43">
        <f>IF($B$59="","",INDEX(tblRoles[Base wage],3)*INDEX(tblRoles[Premiums],3))</f>
        <v>1.35</v>
      </c>
      <c r="E59" s="43">
        <f>IF($B$59="","",INDEX(tblRoles[Base wage],3)*(1+INDEX(tblRoles[Premiums],3))*(INDEX(tblRoles[Payroll taxes],3)+INDEX(tblRoles[Benefits],3)))</f>
        <v>4.2525</v>
      </c>
      <c r="F59" s="43">
        <f>IF($B$59="","",INDEX(tblRoles[Fixed benefits],3)/INDEX(tblRoles[Paid hours],3))</f>
        <v>2.01923076923077</v>
      </c>
      <c r="G59" s="43">
        <f>IF($B$59="","",INDEX(tblRoles[Loaded rate],3)-INDEX(tblRoles[Cost per person],3)/INDEX(tblRoles[Paid hours],3))</f>
        <v>3.20032805429864</v>
      </c>
      <c r="H59" s="43">
        <f>IF($B$59="","",INDEX(tblRoles[Cost per productive hour],3)-INDEX(tblRoles[Loaded rate],3))</f>
        <v>3.2888746803069</v>
      </c>
      <c r="I59" s="39">
        <f>IF($B$59="","",INDEX(tblRoles[Cost per productive hour],3))</f>
        <v>41.1109335038363</v>
      </c>
    </row>
    <row r="60" spans="2:12">
      <c r="B60" s="57" t="str">
        <f>IFERROR(INDEX(tblRoles[Role],4)&amp;"","")</f>
        <v>Material handler</v>
      </c>
      <c r="C60" s="43">
        <f>IF($B$60="","",INDEX(tblRoles[Base wage],4))</f>
        <v>23</v>
      </c>
      <c r="D60" s="43">
        <f>IF($B$60="","",INDEX(tblRoles[Base wage],4)*INDEX(tblRoles[Premiums],4))</f>
        <v>0.92</v>
      </c>
      <c r="E60" s="43">
        <f>IF($B$60="","",INDEX(tblRoles[Base wage],4)*(1+INDEX(tblRoles[Premiums],4))*(INDEX(tblRoles[Payroll taxes],4)+INDEX(tblRoles[Benefits],4)))</f>
        <v>3.588</v>
      </c>
      <c r="F60" s="43">
        <f>IF($B$60="","",INDEX(tblRoles[Fixed benefits],4)/INDEX(tblRoles[Paid hours],4))</f>
        <v>2.01923076923077</v>
      </c>
      <c r="G60" s="43">
        <f>IF($B$60="","",INDEX(tblRoles[Loaded rate],4)-INDEX(tblRoles[Cost per person],4)/INDEX(tblRoles[Paid hours],4))</f>
        <v>2.72940788623142</v>
      </c>
      <c r="H60" s="43">
        <f>IF($B$60="","",INDEX(tblRoles[Cost per productive hour],4)-INDEX(tblRoles[Loaded rate],4))</f>
        <v>4.39863254392666</v>
      </c>
      <c r="I60" s="39">
        <f>IF($B$60="","",INDEX(tblRoles[Cost per productive hour],4))</f>
        <v>36.6552711993889</v>
      </c>
    </row>
    <row r="61" spans="2:12">
      <c r="B61" s="57" t="str">
        <f>IFERROR(INDEX(tblRoles[Role],5)&amp;"","")</f>
        <v>Quality inspector</v>
      </c>
      <c r="C61" s="43">
        <f>IF($B$61="","",INDEX(tblRoles[Base wage],5))</f>
        <v>29</v>
      </c>
      <c r="D61" s="43">
        <f>IF($B$61="","",INDEX(tblRoles[Base wage],5)*INDEX(tblRoles[Premiums],5))</f>
        <v>0.87</v>
      </c>
      <c r="E61" s="43">
        <f>IF($B$61="","",INDEX(tblRoles[Base wage],5)*(1+INDEX(tblRoles[Premiums],5))*(INDEX(tblRoles[Payroll taxes],5)+INDEX(tblRoles[Benefits],5)))</f>
        <v>4.4805</v>
      </c>
      <c r="F61" s="43">
        <f>IF($B$61="","",INDEX(tblRoles[Fixed benefits],5)/INDEX(tblRoles[Paid hours],5))</f>
        <v>2.01923076923077</v>
      </c>
      <c r="G61" s="43">
        <f>IF($B$61="","",INDEX(tblRoles[Loaded rate],5)-INDEX(tblRoles[Cost per person],5)/INDEX(tblRoles[Paid hours],5))</f>
        <v>3.36190788623142</v>
      </c>
      <c r="H61" s="43">
        <f>IF($B$61="","",INDEX(tblRoles[Cost per productive hour],5)-INDEX(tblRoles[Loaded rate],5))</f>
        <v>3.45492510047497</v>
      </c>
      <c r="I61" s="39">
        <f>IF($B$61="","",INDEX(tblRoles[Cost per productive hour],5))</f>
        <v>43.1865637559372</v>
      </c>
    </row>
    <row r="62" spans="2:12">
      <c r="B62" s="57" t="str">
        <f>IFERROR(INDEX(tblRoles[Role],6)&amp;"","")</f>
        <v>Team lead</v>
      </c>
      <c r="C62" s="43">
        <f>IF($B$62="","",INDEX(tblRoles[Base wage],6))</f>
        <v>34</v>
      </c>
      <c r="D62" s="43">
        <f>IF($B$62="","",INDEX(tblRoles[Base wage],6)*INDEX(tblRoles[Premiums],6))</f>
        <v>1.36</v>
      </c>
      <c r="E62" s="43">
        <f>IF($B$62="","",INDEX(tblRoles[Base wage],6)*(1+INDEX(tblRoles[Premiums],6))*(INDEX(tblRoles[Payroll taxes],6)+INDEX(tblRoles[Benefits],6)))</f>
        <v>6.0112</v>
      </c>
      <c r="F62" s="43">
        <f>IF($B$62="","",INDEX(tblRoles[Fixed benefits],6)/INDEX(tblRoles[Paid hours],6))</f>
        <v>2.30769230769231</v>
      </c>
      <c r="G62" s="43">
        <f>IF($B$62="","",INDEX(tblRoles[Loaded rate],6)-INDEX(tblRoles[Cost per person],6)/INDEX(tblRoles[Paid hours],6))</f>
        <v>4.03754466709761</v>
      </c>
      <c r="H62" s="43">
        <f>IF($B$62="","",INDEX(tblRoles[Cost per productive hour],6)-INDEX(tblRoles[Loaded rate],6))</f>
        <v>8.42054770143352</v>
      </c>
      <c r="I62" s="39">
        <f>IF($B$62="","",INDEX(tblRoles[Cost per productive hour],6))</f>
        <v>56.1369846762234</v>
      </c>
    </row>
    <row r="63" spans="2:12" ht="8" customHeight="1"/>
    <row r="64" spans="2:12" ht="26.76" customHeight="1">
      <c r="B64" s="21" t="s">
        <v>169</v>
      </c>
      <c r="C64" s="21"/>
      <c r="D64" s="21"/>
      <c r="E64" s="21"/>
      <c r="F64" s="21"/>
      <c r="G64" s="21"/>
      <c r="H64" s="21"/>
      <c r="I64" s="21"/>
      <c r="J64" s="21"/>
      <c r="K64" s="21"/>
      <c r="L64" s="21"/>
    </row>
    <row r="65" spans="2:12">
      <c r="B65" s="60">
        <f>IF(OR(COUNTA(tblProducts[Product])&gt;4,COUNTA(tblLineList[Line])&gt;3,COUNTA(tblRoles[Role])&gt;6),"The lists are longer than the Dashboard blocks: some products, lines or roles are not shown.","")</f>
        <v/>
      </c>
      <c r="C65" s="60"/>
      <c r="D65" s="60"/>
      <c r="E65" s="60"/>
      <c r="F65" s="60"/>
      <c r="G65" s="60"/>
      <c r="H65" s="60"/>
      <c r="I65" s="60"/>
      <c r="J65" s="60"/>
      <c r="K65" s="60"/>
      <c r="L65" s="60"/>
    </row>
  </sheetData>
  <sheetProtection sheet="1" formatColumns="0" formatRows="0"/>
  <mergeCells count="32">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J29"/>
    <mergeCell ref="I30:J30"/>
    <mergeCell ref="I31:J31"/>
    <mergeCell ref="I32:J32"/>
    <mergeCell ref="I33:J33"/>
    <mergeCell ref="I34:J34"/>
    <mergeCell ref="I35:J35"/>
    <mergeCell ref="B37:I37"/>
    <mergeCell ref="B44:F44"/>
    <mergeCell ref="B54:I54"/>
    <mergeCell ref="B64:L64"/>
    <mergeCell ref="B65:L65"/>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F40:F42">
    <cfRule type="expression" dxfId="3" priority="44" stopIfTrue="1">
      <formula>AND(ISNUMBER(F40),F40&gt;=(TargetEff))</formula>
    </cfRule>
    <cfRule type="expression" dxfId="4" priority="45" stopIfTrue="1">
      <formula>AND(ISNUMBER(F40),F40&gt;=(TargetEff)*(1-0.05))</formula>
    </cfRule>
    <cfRule type="expression" dxfId="5" priority="46">
      <formula>ISNUMBER(F40)</formula>
    </cfRule>
  </conditionalFormatting>
  <conditionalFormatting sqref="F47:F52">
    <cfRule type="expression" dxfId="3" priority="47" stopIfTrue="1">
      <formula>AND(ISNUMBER(F47),F47&gt;=(TargetEff))</formula>
    </cfRule>
    <cfRule type="expression" dxfId="4" priority="48" stopIfTrue="1">
      <formula>AND(ISNUMBER(F47),F47&gt;=(TargetEff)*(1-0.05))</formula>
    </cfRule>
    <cfRule type="expression" dxfId="5" priority="49">
      <formula>ISNUMBER(F47)</formula>
    </cfRule>
  </conditionalFormatting>
  <conditionalFormatting sqref="H32:H35">
    <cfRule type="expression" dxfId="3" priority="21" stopIfTrue="1">
      <formula>AND(ISNUMBER(H32),H32&gt;=(TargetEff))</formula>
    </cfRule>
    <cfRule type="expression" dxfId="4" priority="22" stopIfTrue="1">
      <formula>AND(ISNUMBER(H32),H32&gt;=(TargetEff)*(1-0.05))</formula>
    </cfRule>
    <cfRule type="expression" dxfId="5" priority="23">
      <formula>ISNUMBER(H32)</formula>
    </cfRule>
  </conditionalFormatting>
  <conditionalFormatting sqref="I32:I35">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dataValidations count="4">
    <dataValidation type="list" allowBlank="1" showInputMessage="1" showErrorMessage="1" errorTitle="Check this entry" error="Pick from the list (edit the list on Setup: LineList)." promptTitle="Line" prompt="Leave blank for all lines. Pick from the list (edit the list on Setup: LineList)." sqref="C4">
      <formula1>LineList</formula1>
    </dataValidation>
    <dataValidation type="list" allowBlank="1" showInputMessage="1" showErrorMessage="1" errorTitle="Check this entry" error="Pick from the list (edit the list on Setup: Products)." promptTitle="Product" prompt="Leave blank for all products. Pick from the list (edit the list on Setup: Products)." sqref="F4">
      <formula1>Products</formula1>
    </dataValidation>
    <dataValidation type="date" allowBlank="1" showInputMessage="1" showErrorMessage="1" errorTitle="Check this entry" error="Enter a date between 01 Jan 2000 and 31 Dec 2100." promptTitle="From" prompt="First date to include. Leave blank to start at the first shift. Enter a date between 01 Jan 2000 and 31 Dec 2100." sqref="I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shift. Enter a date between 01 Jan 2000 and 31 Dec 2100." sqref="L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Labor Cost&amp;R&amp;8&amp;A</oddHeader>
    <oddFooter>&amp;L&amp;8mfgcalcs.com - free manufacturing templates&amp;R&amp;8Page &amp;P of &amp;N</oddFooter>
  </headerFooter>
  <rowBreaks count="2" manualBreakCount="2">
    <brk id="28" max="16383" man="1"/>
    <brk id="53"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170</v>
      </c>
      <c r="C4" s="8"/>
      <c r="D4" s="8"/>
    </row>
    <row r="5" spans="1:4" ht="5" customHeight="1"/>
    <row r="6" spans="1:4" ht="55.8" customHeight="1">
      <c r="B6" s="10" t="s">
        <v>171</v>
      </c>
      <c r="C6" s="10"/>
      <c r="D6" s="10"/>
    </row>
    <row r="8" spans="1:4" ht="21" customHeight="1">
      <c r="B8" s="8" t="s">
        <v>172</v>
      </c>
      <c r="C8" s="8"/>
      <c r="D8" s="8"/>
    </row>
    <row r="9" spans="1:4" ht="5" customHeight="1"/>
    <row r="10" spans="1:4" ht="20" customHeight="1">
      <c r="B10" s="56" t="s">
        <v>173</v>
      </c>
      <c r="C10" s="56" t="s">
        <v>174</v>
      </c>
      <c r="D10" s="31" t="s">
        <v>175</v>
      </c>
    </row>
    <row r="11" spans="1:4" ht="17.2" customHeight="1">
      <c r="B11" s="61" t="s">
        <v>105</v>
      </c>
      <c r="C11" s="62" t="s">
        <v>176</v>
      </c>
      <c r="D11" s="63" t="s">
        <v>177</v>
      </c>
    </row>
    <row r="12" spans="1:4" ht="17.2" customHeight="1">
      <c r="B12" s="61" t="s">
        <v>106</v>
      </c>
      <c r="C12" s="62" t="s">
        <v>178</v>
      </c>
      <c r="D12" s="63" t="s">
        <v>177</v>
      </c>
    </row>
    <row r="13" spans="1:4" ht="17.2" customHeight="1">
      <c r="B13" s="61" t="s">
        <v>107</v>
      </c>
      <c r="C13" s="62" t="s">
        <v>179</v>
      </c>
      <c r="D13" s="63" t="s">
        <v>177</v>
      </c>
    </row>
    <row r="14" spans="1:4" ht="17.2" customHeight="1">
      <c r="B14" s="61" t="s">
        <v>109</v>
      </c>
      <c r="C14" s="62" t="s">
        <v>180</v>
      </c>
      <c r="D14" s="63" t="s">
        <v>181</v>
      </c>
    </row>
    <row r="15" spans="1:4" ht="17.2" customHeight="1">
      <c r="B15" s="61" t="s">
        <v>111</v>
      </c>
      <c r="C15" s="62" t="s">
        <v>182</v>
      </c>
      <c r="D15" s="63" t="s">
        <v>181</v>
      </c>
    </row>
    <row r="16" spans="1:4" ht="17.2" customHeight="1">
      <c r="B16" s="61" t="s">
        <v>112</v>
      </c>
      <c r="C16" s="62" t="s">
        <v>183</v>
      </c>
      <c r="D16" s="63" t="s">
        <v>121</v>
      </c>
    </row>
    <row r="17" spans="2:4" ht="17.2" customHeight="1">
      <c r="B17" s="61" t="s">
        <v>184</v>
      </c>
      <c r="C17" s="62" t="s">
        <v>185</v>
      </c>
      <c r="D17" s="63" t="s">
        <v>186</v>
      </c>
    </row>
    <row r="18" spans="2:4" ht="17.2" customHeight="1">
      <c r="B18" s="61" t="s">
        <v>136</v>
      </c>
      <c r="C18" s="62" t="s">
        <v>187</v>
      </c>
      <c r="D18" s="63" t="s">
        <v>188</v>
      </c>
    </row>
    <row r="19" spans="2:4" ht="17.2" customHeight="1">
      <c r="B19" s="61" t="s">
        <v>137</v>
      </c>
      <c r="C19" s="62" t="s">
        <v>189</v>
      </c>
      <c r="D19" s="63" t="s">
        <v>188</v>
      </c>
    </row>
    <row r="20" spans="2:4" ht="30.4" customHeight="1">
      <c r="B20" s="61" t="s">
        <v>190</v>
      </c>
      <c r="C20" s="62" t="s">
        <v>191</v>
      </c>
      <c r="D20" s="63" t="s">
        <v>192</v>
      </c>
    </row>
    <row r="21" spans="2:4" ht="30.4" customHeight="1">
      <c r="B21" s="61" t="s">
        <v>142</v>
      </c>
      <c r="C21" s="62" t="s">
        <v>193</v>
      </c>
      <c r="D21" s="63" t="s">
        <v>186</v>
      </c>
    </row>
    <row r="22" spans="2:4" ht="30.4" customHeight="1">
      <c r="B22" s="61" t="s">
        <v>194</v>
      </c>
      <c r="C22" s="62" t="s">
        <v>195</v>
      </c>
      <c r="D22" s="63" t="s">
        <v>196</v>
      </c>
    </row>
    <row r="24" spans="2:4" ht="21" customHeight="1">
      <c r="B24" s="8" t="s">
        <v>197</v>
      </c>
      <c r="C24" s="8"/>
      <c r="D24" s="8"/>
    </row>
    <row r="25" spans="2:4" ht="5" customHeight="1"/>
    <row r="26" spans="2:4" ht="29.4" customHeight="1">
      <c r="B26" s="26" t="s">
        <v>57</v>
      </c>
      <c r="C26" s="10" t="s">
        <v>198</v>
      </c>
      <c r="D26" s="10"/>
    </row>
    <row r="27" spans="2:4" ht="29.4" customHeight="1">
      <c r="B27" s="26" t="s">
        <v>57</v>
      </c>
      <c r="C27" s="10" t="s">
        <v>199</v>
      </c>
      <c r="D27" s="10"/>
    </row>
    <row r="28" spans="2:4" ht="29.4" customHeight="1">
      <c r="B28" s="26" t="s">
        <v>57</v>
      </c>
      <c r="C28" s="10" t="s">
        <v>200</v>
      </c>
      <c r="D28" s="10"/>
    </row>
    <row r="29" spans="2:4" ht="29.4" customHeight="1">
      <c r="B29" s="26" t="s">
        <v>57</v>
      </c>
      <c r="C29" s="10" t="s">
        <v>201</v>
      </c>
      <c r="D29" s="10"/>
    </row>
    <row r="31" spans="2:4" ht="21" customHeight="1">
      <c r="B31" s="8" t="s">
        <v>202</v>
      </c>
      <c r="C31" s="8"/>
      <c r="D31" s="8"/>
    </row>
    <row r="32" spans="2:4" ht="5" customHeight="1"/>
    <row r="33" spans="2:4" ht="16.2" customHeight="1">
      <c r="B33" s="26" t="s">
        <v>57</v>
      </c>
      <c r="C33" s="10" t="s">
        <v>203</v>
      </c>
      <c r="D33" s="10"/>
    </row>
    <row r="34" spans="2:4" ht="29.4" customHeight="1">
      <c r="B34" s="26" t="s">
        <v>57</v>
      </c>
      <c r="C34" s="10" t="s">
        <v>204</v>
      </c>
      <c r="D34" s="10"/>
    </row>
    <row r="35" spans="2:4" ht="29.4" customHeight="1">
      <c r="B35" s="26" t="s">
        <v>57</v>
      </c>
      <c r="C35" s="10" t="s">
        <v>205</v>
      </c>
      <c r="D35" s="10"/>
    </row>
    <row r="36" spans="2:4" ht="16.2" customHeight="1">
      <c r="B36" s="26" t="s">
        <v>57</v>
      </c>
      <c r="C36" s="10" t="s">
        <v>206</v>
      </c>
      <c r="D36" s="10"/>
    </row>
    <row r="38" spans="2:4" ht="21" customHeight="1">
      <c r="B38" s="8" t="s">
        <v>207</v>
      </c>
      <c r="C38" s="8"/>
      <c r="D38" s="8"/>
    </row>
    <row r="39" spans="2:4" ht="5" customHeight="1"/>
    <row r="40" spans="2:4" ht="82.2" customHeight="1">
      <c r="B40" s="10" t="s">
        <v>208</v>
      </c>
      <c r="C40" s="10"/>
      <c r="D40" s="10"/>
    </row>
    <row r="41" spans="2:4">
      <c r="B41" s="24" t="s">
        <v>209</v>
      </c>
      <c r="C41" s="24"/>
      <c r="D41" s="24"/>
    </row>
    <row r="43" spans="2:4" ht="21" customHeight="1">
      <c r="B43" s="8" t="s">
        <v>44</v>
      </c>
      <c r="C43" s="8"/>
      <c r="D43" s="8"/>
    </row>
    <row r="44" spans="2:4" ht="5" customHeight="1"/>
    <row r="45" spans="2:4" ht="42.6" customHeight="1">
      <c r="B45" s="10" t="s">
        <v>210</v>
      </c>
      <c r="C45" s="10"/>
      <c r="D45" s="10"/>
    </row>
    <row r="47" spans="2:4" ht="21" customHeight="1">
      <c r="B47" s="8" t="s">
        <v>211</v>
      </c>
      <c r="C47" s="8"/>
      <c r="D47" s="8"/>
    </row>
    <row r="48" spans="2:4" ht="5" customHeight="1"/>
    <row r="49" spans="2:4" ht="29.4" customHeight="1">
      <c r="B49" s="26" t="s">
        <v>57</v>
      </c>
      <c r="C49" s="10" t="s">
        <v>212</v>
      </c>
      <c r="D49" s="10"/>
    </row>
    <row r="50" spans="2:4" ht="29.4" customHeight="1">
      <c r="B50" s="26" t="s">
        <v>57</v>
      </c>
      <c r="C50" s="10" t="s">
        <v>213</v>
      </c>
      <c r="D50" s="10"/>
    </row>
    <row r="51" spans="2:4" ht="29.4" customHeight="1">
      <c r="B51" s="26" t="s">
        <v>57</v>
      </c>
      <c r="C51" s="10" t="s">
        <v>214</v>
      </c>
      <c r="D51" s="10"/>
    </row>
    <row r="52" spans="2:4">
      <c r="B52" s="21" t="s">
        <v>215</v>
      </c>
      <c r="C52" s="21"/>
      <c r="D52" s="21"/>
    </row>
    <row r="54" spans="2:4" ht="21" customHeight="1">
      <c r="B54" s="8" t="s">
        <v>216</v>
      </c>
      <c r="C54" s="8"/>
      <c r="D54" s="8"/>
    </row>
    <row r="55" spans="2:4" ht="5" customHeight="1"/>
    <row r="56" spans="2:4">
      <c r="B56" s="56" t="s">
        <v>52</v>
      </c>
      <c r="C56" s="56" t="s">
        <v>217</v>
      </c>
      <c r="D56" s="31" t="s">
        <v>128</v>
      </c>
    </row>
    <row r="57" spans="2:4" ht="16.2" customHeight="1">
      <c r="B57" s="64" t="s">
        <v>218</v>
      </c>
      <c r="C57" s="65" t="s">
        <v>219</v>
      </c>
      <c r="D57" s="66" t="s">
        <v>220</v>
      </c>
    </row>
    <row r="59" spans="2:4">
      <c r="B59" s="21" t="s">
        <v>63</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Labor Cost&amp;R&amp;8&amp;A</oddHeader>
    <oddFooter>&amp;L&amp;8mfgcalcs.com - free manufacturing templates&amp;R&amp;8Page &amp;P of &amp;N</oddFooter>
  </headerFooter>
  <rowBreaks count="1" manualBreakCount="1">
    <brk id="30"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X61"/>
  <sheetViews>
    <sheetView showGridLines="0" workbookViewId="0"/>
  </sheetViews>
  <sheetFormatPr defaultRowHeight="15"/>
  <cols>
    <col min="1" max="1" width="2.7109375" customWidth="1"/>
    <col min="2" max="19" width="12.7109375" customWidth="1"/>
    <col min="20" max="20" width="11.28515625" customWidth="1"/>
    <col min="21" max="21" width="15.7109375" customWidth="1"/>
    <col min="22" max="22" width="16.7109375" customWidth="1"/>
    <col min="23" max="23" width="11.28515625" customWidth="1"/>
    <col min="24" max="24" width="20.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30</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67" t="s">
        <v>221</v>
      </c>
      <c r="C4" s="67"/>
      <c r="D4" s="22" t="str">
        <f>IF(COUNTIF($K$11:$K$36,"PASS")=26,"PASS","FAIL")</f>
        <v>PASS</v>
      </c>
      <c r="E4" s="22"/>
      <c r="F4" s="23" t="str">
        <f>COUNTIF($K$11:$K$36,"PASS")&amp;" of 26 checks pass"</f>
        <v>26 of 26 checks pass</v>
      </c>
      <c r="G4" s="23"/>
      <c r="H4" s="23"/>
      <c r="I4" s="23"/>
      <c r="J4" s="23"/>
    </row>
    <row r="6" spans="1:24" ht="29.4" customHeight="1">
      <c r="B6" s="10" t="s">
        <v>222</v>
      </c>
      <c r="C6" s="10"/>
      <c r="D6" s="10"/>
      <c r="E6" s="10"/>
      <c r="F6" s="10"/>
      <c r="G6" s="10"/>
      <c r="H6" s="10"/>
      <c r="I6" s="10"/>
      <c r="J6" s="10"/>
      <c r="K6" s="10"/>
      <c r="L6" s="10"/>
    </row>
    <row r="8" spans="1:24" ht="21" customHeight="1">
      <c r="B8" s="8" t="s">
        <v>223</v>
      </c>
      <c r="C8" s="8"/>
      <c r="D8" s="8"/>
      <c r="E8" s="8"/>
      <c r="F8" s="8"/>
      <c r="G8" s="8"/>
      <c r="H8" s="8"/>
      <c r="I8" s="8"/>
      <c r="J8" s="8"/>
      <c r="K8" s="8"/>
      <c r="L8" s="8"/>
    </row>
    <row r="9" spans="1:24" ht="5" customHeight="1"/>
    <row r="10" spans="1:24" ht="30" customHeight="1">
      <c r="B10" s="31" t="s">
        <v>224</v>
      </c>
      <c r="C10" s="56" t="s">
        <v>114</v>
      </c>
      <c r="D10" s="56"/>
      <c r="E10" s="56"/>
      <c r="F10" s="56"/>
      <c r="G10" s="31" t="s">
        <v>225</v>
      </c>
      <c r="H10" s="31" t="s">
        <v>226</v>
      </c>
      <c r="I10" s="31" t="s">
        <v>227</v>
      </c>
      <c r="J10" s="31" t="s">
        <v>228</v>
      </c>
      <c r="K10" s="31" t="s">
        <v>229</v>
      </c>
    </row>
    <row r="11" spans="1:24" ht="16.2" customHeight="1">
      <c r="B11" s="68">
        <v>1</v>
      </c>
      <c r="C11" s="65" t="s">
        <v>230</v>
      </c>
      <c r="D11" s="65"/>
      <c r="E11" s="65"/>
      <c r="F11" s="65"/>
      <c r="G11" s="69">
        <v>54080</v>
      </c>
      <c r="H11" s="43">
        <f>$L$51</f>
        <v>54080</v>
      </c>
      <c r="I11" s="70">
        <f>IF(AND(ISNUMBER($G$11),ISNUMBER($H$11)),ABS($H$11-$G$11),"")</f>
        <v>0</v>
      </c>
      <c r="J11" s="71">
        <v>1E-09</v>
      </c>
      <c r="K11" s="47" t="str">
        <f>IF(AND(ISNUMBER($G$11),ISNUMBER($H$11)),IF(ABS($H$11-$G$11)&lt;=$J$11,"PASS","FAIL"),"FAIL")</f>
        <v>PASS</v>
      </c>
    </row>
    <row r="12" spans="1:24" ht="16.2" customHeight="1">
      <c r="B12" s="68">
        <v>2</v>
      </c>
      <c r="C12" s="65" t="s">
        <v>231</v>
      </c>
      <c r="D12" s="65"/>
      <c r="E12" s="65"/>
      <c r="F12" s="65"/>
      <c r="G12" s="69">
        <v>13112</v>
      </c>
      <c r="H12" s="43">
        <f>$M$51</f>
        <v>13112</v>
      </c>
      <c r="I12" s="70">
        <f>IF(AND(ISNUMBER($G$12),ISNUMBER($H$12)),ABS($H$12-$G$12),"")</f>
        <v>0</v>
      </c>
      <c r="J12" s="71">
        <v>1E-09</v>
      </c>
      <c r="K12" s="47" t="str">
        <f>IF(AND(ISNUMBER($G$12),ISNUMBER($H$12)),IF(ABS($H$12-$G$12)&lt;=$J$12,"PASS","FAIL"),"FAIL")</f>
        <v>PASS</v>
      </c>
    </row>
    <row r="13" spans="1:24" ht="16.2" customHeight="1">
      <c r="B13" s="68">
        <v>3</v>
      </c>
      <c r="C13" s="65" t="s">
        <v>232</v>
      </c>
      <c r="D13" s="65"/>
      <c r="E13" s="65"/>
      <c r="F13" s="65"/>
      <c r="G13" s="72">
        <v>35.74042553191489</v>
      </c>
      <c r="H13" s="45">
        <f>$P$51</f>
        <v>35.7404255319149</v>
      </c>
      <c r="I13" s="70">
        <f>IF(AND(ISNUMBER($G$13),ISNUMBER($H$13)),ABS($H$13-$G$13),"")</f>
        <v>0</v>
      </c>
      <c r="J13" s="71">
        <v>1E-09</v>
      </c>
      <c r="K13" s="47" t="str">
        <f>IF(AND(ISNUMBER($G$13),ISNUMBER($H$13)),IF(ABS($H$13-$G$13)&lt;=$J$13,"PASS","FAIL"),"FAIL")</f>
        <v>PASS</v>
      </c>
    </row>
    <row r="14" spans="1:24" ht="16.2" customHeight="1">
      <c r="B14" s="68">
        <v>4</v>
      </c>
      <c r="C14" s="65" t="s">
        <v>233</v>
      </c>
      <c r="D14" s="65"/>
      <c r="E14" s="65"/>
      <c r="F14" s="65"/>
      <c r="G14" s="72">
        <v>39.71158392434988</v>
      </c>
      <c r="H14" s="45">
        <f>$R$51</f>
        <v>39.7115839243499</v>
      </c>
      <c r="I14" s="70">
        <f>IF(AND(ISNUMBER($G$14),ISNUMBER($H$14)),ABS($H$14-$G$14),"")</f>
        <v>0</v>
      </c>
      <c r="J14" s="71">
        <v>1E-09</v>
      </c>
      <c r="K14" s="47" t="str">
        <f>IF(AND(ISNUMBER($G$14),ISNUMBER($H$14)),IF(ABS($H$14-$G$14)&lt;=$J$14,"PASS","FAIL"),"FAIL")</f>
        <v>PASS</v>
      </c>
    </row>
    <row r="15" spans="1:24" ht="16.2" customHeight="1">
      <c r="B15" s="68">
        <v>5</v>
      </c>
      <c r="C15" s="65" t="s">
        <v>234</v>
      </c>
      <c r="D15" s="65"/>
      <c r="E15" s="65"/>
      <c r="F15" s="65"/>
      <c r="G15" s="73">
        <v>0.4296170212765957</v>
      </c>
      <c r="H15" s="74">
        <f>$S$51</f>
        <v>0.429617021276596</v>
      </c>
      <c r="I15" s="70">
        <f>IF(AND(ISNUMBER($G$15),ISNUMBER($H$15)),ABS($H$15-$G$15),"")</f>
        <v>0</v>
      </c>
      <c r="J15" s="71">
        <v>1E-09</v>
      </c>
      <c r="K15" s="47" t="str">
        <f>IF(AND(ISNUMBER($G$15),ISNUMBER($H$15)),IF(ABS($H$15-$G$15)&lt;=$J$15,"PASS","FAIL"),"FAIL")</f>
        <v>PASS</v>
      </c>
    </row>
    <row r="16" spans="1:24" ht="16.2" customHeight="1">
      <c r="B16" s="68">
        <v>6</v>
      </c>
      <c r="C16" s="65" t="s">
        <v>235</v>
      </c>
      <c r="D16" s="65"/>
      <c r="E16" s="65"/>
      <c r="F16" s="65"/>
      <c r="G16" s="69">
        <v>671920</v>
      </c>
      <c r="H16" s="43">
        <f>$T$51</f>
        <v>671920</v>
      </c>
      <c r="I16" s="70">
        <f>IF(AND(ISNUMBER($G$16),ISNUMBER($H$16)),ABS($H$16-$G$16),"")</f>
        <v>0</v>
      </c>
      <c r="J16" s="71">
        <v>1E-06</v>
      </c>
      <c r="K16" s="47" t="str">
        <f>IF(AND(ISNUMBER($G$16),ISNUMBER($H$16)),IF(ABS($H$16-$G$16)&lt;=$J$16,"PASS","FAIL"),"FAIL")</f>
        <v>PASS</v>
      </c>
    </row>
    <row r="17" spans="2:11" ht="16.2" customHeight="1">
      <c r="B17" s="68">
        <v>7</v>
      </c>
      <c r="C17" s="65" t="s">
        <v>236</v>
      </c>
      <c r="D17" s="65"/>
      <c r="E17" s="65"/>
      <c r="F17" s="65"/>
      <c r="G17" s="72">
        <v>42.48</v>
      </c>
      <c r="H17" s="45">
        <f>$P$52</f>
        <v>42.48</v>
      </c>
      <c r="I17" s="70">
        <f>IF(AND(ISNUMBER($G$17),ISNUMBER($H$17)),ABS($H$17-$G$17),"")</f>
        <v>0</v>
      </c>
      <c r="J17" s="71">
        <v>1E-09</v>
      </c>
      <c r="K17" s="47" t="str">
        <f>IF(AND(ISNUMBER($G$17),ISNUMBER($H$17)),IF(ABS($H$17-$G$17)&lt;=$J$17,"PASS","FAIL"),"FAIL")</f>
        <v>PASS</v>
      </c>
    </row>
    <row r="18" spans="2:11" ht="16.2" customHeight="1">
      <c r="B18" s="68">
        <v>8</v>
      </c>
      <c r="C18" s="65" t="s">
        <v>237</v>
      </c>
      <c r="D18" s="65"/>
      <c r="E18" s="65"/>
      <c r="F18" s="65"/>
      <c r="G18" s="64" t="s">
        <v>238</v>
      </c>
      <c r="H18" s="75" t="str">
        <f>$U$53</f>
        <v>Absence not below paid hours</v>
      </c>
      <c r="I18" s="75"/>
      <c r="J18" s="66" t="s">
        <v>239</v>
      </c>
      <c r="K18" s="47" t="str">
        <f>IF($H$18&amp;""=$G$18&amp;"","PASS","FAIL")</f>
        <v>PASS</v>
      </c>
    </row>
    <row r="19" spans="2:11" ht="16.2" customHeight="1">
      <c r="B19" s="68">
        <v>9</v>
      </c>
      <c r="C19" s="65" t="s">
        <v>240</v>
      </c>
      <c r="D19" s="65"/>
      <c r="E19" s="65"/>
      <c r="F19" s="65"/>
      <c r="G19" s="64" t="s">
        <v>149</v>
      </c>
      <c r="H19" s="75">
        <f>$P$53</f>
        <v/>
      </c>
      <c r="I19" s="75"/>
      <c r="J19" s="66" t="s">
        <v>239</v>
      </c>
      <c r="K19" s="47" t="str">
        <f>IF($H$19&amp;""=$G$19&amp;"","PASS","FAIL")</f>
        <v>PASS</v>
      </c>
    </row>
    <row r="20" spans="2:11" ht="29.4" customHeight="1">
      <c r="B20" s="68">
        <v>10</v>
      </c>
      <c r="C20" s="65" t="s">
        <v>241</v>
      </c>
      <c r="D20" s="65"/>
      <c r="E20" s="65"/>
      <c r="F20" s="65"/>
      <c r="G20" s="69">
        <v>912</v>
      </c>
      <c r="H20" s="43">
        <f>$N$58</f>
        <v>912</v>
      </c>
      <c r="I20" s="70">
        <f>IF(AND(ISNUMBER($G$20),ISNUMBER($H$20)),ABS($H$20-$G$20),"")</f>
        <v>0</v>
      </c>
      <c r="J20" s="71">
        <v>1E-09</v>
      </c>
      <c r="K20" s="47" t="str">
        <f>IF(AND(ISNUMBER($G$20),ISNUMBER($H$20)),IF(ABS($H$20-$G$20)&lt;=$J$20,"PASS","FAIL"),"FAIL")</f>
        <v>PASS</v>
      </c>
    </row>
    <row r="21" spans="2:11" ht="16.2" customHeight="1">
      <c r="B21" s="68">
        <v>11</v>
      </c>
      <c r="C21" s="65" t="s">
        <v>242</v>
      </c>
      <c r="D21" s="65"/>
      <c r="E21" s="65"/>
      <c r="F21" s="65"/>
      <c r="G21" s="72">
        <v>1.753846153846154</v>
      </c>
      <c r="H21" s="45">
        <f>$O$58</f>
        <v>1.75384615384615</v>
      </c>
      <c r="I21" s="70">
        <f>IF(AND(ISNUMBER($G$21),ISNUMBER($H$21)),ABS($H$21-$G$21),"")</f>
        <v>0</v>
      </c>
      <c r="J21" s="71">
        <v>1E-09</v>
      </c>
      <c r="K21" s="47" t="str">
        <f>IF(AND(ISNUMBER($G$21),ISNUMBER($H$21)),IF(ABS($H$21-$G$21)&lt;=$J$21,"PASS","FAIL"),"FAIL")</f>
        <v>PASS</v>
      </c>
    </row>
    <row r="22" spans="2:11" ht="16.2" customHeight="1">
      <c r="B22" s="68">
        <v>12</v>
      </c>
      <c r="C22" s="65" t="s">
        <v>243</v>
      </c>
      <c r="D22" s="65"/>
      <c r="E22" s="65"/>
      <c r="F22" s="65"/>
      <c r="G22" s="72">
        <v>1.646666666666667</v>
      </c>
      <c r="H22" s="45">
        <f>$P$58</f>
        <v>1.64666666666667</v>
      </c>
      <c r="I22" s="70">
        <f>IF(AND(ISNUMBER($G$22),ISNUMBER($H$22)),ABS($H$22-$G$22),"")</f>
        <v>0</v>
      </c>
      <c r="J22" s="71">
        <v>1E-09</v>
      </c>
      <c r="K22" s="47" t="str">
        <f>IF(AND(ISNUMBER($G$22),ISNUMBER($H$22)),IF(ABS($H$22-$G$22)&lt;=$J$22,"PASS","FAIL"),"FAIL")</f>
        <v>PASS</v>
      </c>
    </row>
    <row r="23" spans="2:11" ht="16.2" customHeight="1">
      <c r="B23" s="68">
        <v>13</v>
      </c>
      <c r="C23" s="65" t="s">
        <v>244</v>
      </c>
      <c r="D23" s="65"/>
      <c r="E23" s="65"/>
      <c r="F23" s="65"/>
      <c r="G23" s="73">
        <v>0.938888888888889</v>
      </c>
      <c r="H23" s="74">
        <f>$R$58</f>
        <v>0.938888888888889</v>
      </c>
      <c r="I23" s="70">
        <f>IF(AND(ISNUMBER($G$23),ISNUMBER($H$23)),ABS($H$23-$G$23),"")</f>
        <v>0</v>
      </c>
      <c r="J23" s="71">
        <v>1E-09</v>
      </c>
      <c r="K23" s="47" t="str">
        <f>IF(AND(ISNUMBER($G$23),ISNUMBER($H$23)),IF(ABS($H$23-$G$23)&lt;=$J$23,"PASS","FAIL"),"FAIL")</f>
        <v>PASS</v>
      </c>
    </row>
    <row r="24" spans="2:11" ht="16.2" customHeight="1">
      <c r="B24" s="68">
        <v>14</v>
      </c>
      <c r="C24" s="65" t="s">
        <v>245</v>
      </c>
      <c r="D24" s="65"/>
      <c r="E24" s="65"/>
      <c r="F24" s="65"/>
      <c r="G24" s="72">
        <v>0.1071794871794871</v>
      </c>
      <c r="H24" s="45">
        <f>$T$58</f>
        <v>0.107179487179487</v>
      </c>
      <c r="I24" s="70">
        <f>IF(AND(ISNUMBER($G$24),ISNUMBER($H$24)),ABS($H$24-$G$24),"")</f>
        <v>0</v>
      </c>
      <c r="J24" s="71">
        <v>1E-09</v>
      </c>
      <c r="K24" s="47" t="str">
        <f>IF(AND(ISNUMBER($G$24),ISNUMBER($H$24)),IF(ABS($H$24-$G$24)&lt;=$J$24,"PASS","FAIL"),"FAIL")</f>
        <v>PASS</v>
      </c>
    </row>
    <row r="25" spans="2:11" ht="16.2" customHeight="1">
      <c r="B25" s="68">
        <v>15</v>
      </c>
      <c r="C25" s="65" t="s">
        <v>246</v>
      </c>
      <c r="D25" s="65"/>
      <c r="E25" s="65"/>
      <c r="F25" s="65"/>
      <c r="G25" s="69">
        <v>55.73333333333335</v>
      </c>
      <c r="H25" s="43">
        <f>$U$58</f>
        <v>55.7333333333334</v>
      </c>
      <c r="I25" s="70">
        <f>IF(AND(ISNUMBER($G$25),ISNUMBER($H$25)),ABS($H$25-$G$25),"")</f>
        <v>0</v>
      </c>
      <c r="J25" s="71">
        <v>1E-09</v>
      </c>
      <c r="K25" s="47" t="str">
        <f>IF(AND(ISNUMBER($G$25),ISNUMBER($H$25)),IF(ABS($H$25-$G$25)&lt;=$J$25,"PASS","FAIL"),"FAIL")</f>
        <v>PASS</v>
      </c>
    </row>
    <row r="26" spans="2:11" ht="16.2" customHeight="1">
      <c r="B26" s="68">
        <v>16</v>
      </c>
      <c r="C26" s="65" t="s">
        <v>247</v>
      </c>
      <c r="D26" s="65"/>
      <c r="E26" s="65"/>
      <c r="F26" s="65"/>
      <c r="G26" s="64" t="s">
        <v>248</v>
      </c>
      <c r="H26" s="75" t="str">
        <f>$S$58</f>
        <v>On target</v>
      </c>
      <c r="I26" s="75"/>
      <c r="J26" s="66" t="s">
        <v>239</v>
      </c>
      <c r="K26" s="47" t="str">
        <f>IF($H$26&amp;""=$G$26&amp;"","PASS","FAIL")</f>
        <v>PASS</v>
      </c>
    </row>
    <row r="27" spans="2:11" ht="16.2" customHeight="1">
      <c r="B27" s="68">
        <v>17</v>
      </c>
      <c r="C27" s="65" t="s">
        <v>249</v>
      </c>
      <c r="D27" s="65"/>
      <c r="E27" s="65"/>
      <c r="F27" s="65"/>
      <c r="G27" s="73">
        <v>0.65</v>
      </c>
      <c r="H27" s="74">
        <f>$R$59</f>
        <v>0.65</v>
      </c>
      <c r="I27" s="70">
        <f>IF(AND(ISNUMBER($G$27),ISNUMBER($H$27)),ABS($H$27-$G$27),"")</f>
        <v>0</v>
      </c>
      <c r="J27" s="71">
        <v>1E-09</v>
      </c>
      <c r="K27" s="47" t="str">
        <f>IF(AND(ISNUMBER($G$27),ISNUMBER($H$27)),IF(ABS($H$27-$G$27)&lt;=$J$27,"PASS","FAIL"),"FAIL")</f>
        <v>PASS</v>
      </c>
    </row>
    <row r="28" spans="2:11" ht="16.2" customHeight="1">
      <c r="B28" s="68">
        <v>18</v>
      </c>
      <c r="C28" s="65" t="s">
        <v>250</v>
      </c>
      <c r="D28" s="65"/>
      <c r="E28" s="65"/>
      <c r="F28" s="65"/>
      <c r="G28" s="64" t="s">
        <v>251</v>
      </c>
      <c r="H28" s="75" t="str">
        <f>$S$59</f>
        <v>Below target</v>
      </c>
      <c r="I28" s="75"/>
      <c r="J28" s="66" t="s">
        <v>239</v>
      </c>
      <c r="K28" s="47" t="str">
        <f>IF($H$28&amp;""=$G$28&amp;"","PASS","FAIL")</f>
        <v>PASS</v>
      </c>
    </row>
    <row r="29" spans="2:11" ht="16.2" customHeight="1">
      <c r="B29" s="68">
        <v>19</v>
      </c>
      <c r="C29" s="65" t="s">
        <v>252</v>
      </c>
      <c r="D29" s="65"/>
      <c r="E29" s="65"/>
      <c r="F29" s="65"/>
      <c r="G29" s="69">
        <v>18.66666666666667</v>
      </c>
      <c r="H29" s="43">
        <f>$Q$60</f>
        <v>18.6666666666667</v>
      </c>
      <c r="I29" s="70">
        <f>IF(AND(ISNUMBER($G$29),ISNUMBER($H$29)),ABS($H$29-$G$29),"")</f>
        <v>0</v>
      </c>
      <c r="J29" s="71">
        <v>1E-09</v>
      </c>
      <c r="K29" s="47" t="str">
        <f>IF(AND(ISNUMBER($G$29),ISNUMBER($H$29)),IF(ABS($H$29-$G$29)&lt;=$J$29,"PASS","FAIL"),"FAIL")</f>
        <v>PASS</v>
      </c>
    </row>
    <row r="30" spans="2:11" ht="16.2" customHeight="1">
      <c r="B30" s="68">
        <v>20</v>
      </c>
      <c r="C30" s="65" t="s">
        <v>253</v>
      </c>
      <c r="D30" s="65"/>
      <c r="E30" s="65"/>
      <c r="F30" s="65"/>
      <c r="G30" s="69">
        <v>42</v>
      </c>
      <c r="H30" s="43">
        <f>$U$60</f>
        <v>42</v>
      </c>
      <c r="I30" s="70">
        <f>IF(AND(ISNUMBER($G$30),ISNUMBER($H$30)),ABS($H$30-$G$30),"")</f>
        <v>0</v>
      </c>
      <c r="J30" s="71">
        <v>1E-09</v>
      </c>
      <c r="K30" s="47" t="str">
        <f>IF(AND(ISNUMBER($G$30),ISNUMBER($H$30)),IF(ABS($H$30-$G$30)&lt;=$J$30,"PASS","FAIL"),"FAIL")</f>
        <v>PASS</v>
      </c>
    </row>
    <row r="31" spans="2:11" ht="16.2" customHeight="1">
      <c r="B31" s="68">
        <v>21</v>
      </c>
      <c r="C31" s="65" t="s">
        <v>254</v>
      </c>
      <c r="D31" s="65"/>
      <c r="E31" s="65"/>
      <c r="F31" s="65"/>
      <c r="G31" s="64" t="s">
        <v>255</v>
      </c>
      <c r="H31" s="75" t="str">
        <f>$V$61</f>
        <v>Role not on Labour Rates</v>
      </c>
      <c r="I31" s="75"/>
      <c r="J31" s="66" t="s">
        <v>239</v>
      </c>
      <c r="K31" s="47" t="str">
        <f>IF($H$31&amp;""=$G$31&amp;"","PASS","FAIL")</f>
        <v>PASS</v>
      </c>
    </row>
    <row r="32" spans="2:11" ht="16.2" customHeight="1">
      <c r="B32" s="68">
        <v>22</v>
      </c>
      <c r="C32" s="65" t="s">
        <v>256</v>
      </c>
      <c r="D32" s="65"/>
      <c r="E32" s="65"/>
      <c r="F32" s="65"/>
      <c r="G32" s="64" t="s">
        <v>149</v>
      </c>
      <c r="H32" s="75">
        <f>$N$61</f>
        <v/>
      </c>
      <c r="I32" s="75"/>
      <c r="J32" s="66" t="s">
        <v>239</v>
      </c>
      <c r="K32" s="47" t="str">
        <f>IF($H$32&amp;""=$G$32&amp;"","PASS","FAIL")</f>
        <v>PASS</v>
      </c>
    </row>
    <row r="33" spans="2:12" ht="16.2" customHeight="1">
      <c r="B33" s="68">
        <v>23</v>
      </c>
      <c r="C33" s="65" t="s">
        <v>257</v>
      </c>
      <c r="D33" s="65"/>
      <c r="E33" s="65"/>
      <c r="F33" s="65"/>
      <c r="G33" s="73">
        <v>0.8007246376811594</v>
      </c>
      <c r="H33" s="74">
        <f>IF((SUMIFS(tblVerifyShifts[Crew hours],tblVerifyShifts[View date],"&gt;0"))=0,"",(SUMIFS(tblVerifyShifts[Earned hours],tblVerifyShifts[View date],"&gt;0"))/(SUMIFS(tblVerifyShifts[Crew hours],tblVerifyShifts[View date],"&gt;0")))</f>
        <v>0.800724637681159</v>
      </c>
      <c r="I33" s="70">
        <f>IF(AND(ISNUMBER($G$33),ISNUMBER($H$33)),ABS($H$33-$G$33),"")</f>
        <v>0</v>
      </c>
      <c r="J33" s="71">
        <v>1E-09</v>
      </c>
      <c r="K33" s="47" t="str">
        <f>IF(AND(ISNUMBER($G$33),ISNUMBER($H$33)),IF(ABS($H$33-$G$33)&lt;=$J$33,"PASS","FAIL"),"FAIL")</f>
        <v>PASS</v>
      </c>
    </row>
    <row r="34" spans="2:12" ht="16.2" customHeight="1">
      <c r="B34" s="68">
        <v>24</v>
      </c>
      <c r="C34" s="65" t="s">
        <v>258</v>
      </c>
      <c r="D34" s="65"/>
      <c r="E34" s="65"/>
      <c r="F34" s="65"/>
      <c r="G34" s="69">
        <v>2758</v>
      </c>
      <c r="H34" s="43">
        <f>SUMIFS(tblVerifyShifts[Labour cost],tblVerifyShifts[View date],"&gt;0")</f>
        <v>2758</v>
      </c>
      <c r="I34" s="70">
        <f>IF(AND(ISNUMBER($G$34),ISNUMBER($H$34)),ABS($H$34-$G$34),"")</f>
        <v>0</v>
      </c>
      <c r="J34" s="71">
        <v>1E-09</v>
      </c>
      <c r="K34" s="47" t="str">
        <f>IF(AND(ISNUMBER($G$34),ISNUMBER($H$34)),IF(ABS($H$34-$G$34)&lt;=$J$34,"PASS","FAIL"),"FAIL")</f>
        <v>PASS</v>
      </c>
    </row>
    <row r="35" spans="2:12" ht="16.2" customHeight="1">
      <c r="B35" s="68">
        <v>25</v>
      </c>
      <c r="C35" s="65" t="s">
        <v>259</v>
      </c>
      <c r="D35" s="65"/>
      <c r="E35" s="65"/>
      <c r="F35" s="65"/>
      <c r="G35" s="69">
        <v>523.3333333333334</v>
      </c>
      <c r="H35" s="43">
        <f>SUMIFS(tblVerifyShifts[Labour variance],tblVerifyShifts[View date],"&gt;0")</f>
        <v>523.333333333333</v>
      </c>
      <c r="I35" s="70">
        <f>IF(AND(ISNUMBER($G$35),ISNUMBER($H$35)),ABS($H$35-$G$35),"")</f>
        <v>0</v>
      </c>
      <c r="J35" s="71">
        <v>1E-09</v>
      </c>
      <c r="K35" s="47" t="str">
        <f>IF(AND(ISNUMBER($G$35),ISNUMBER($H$35)),IF(ABS($H$35-$G$35)&lt;=$J$35,"PASS","FAIL"),"FAIL")</f>
        <v>PASS</v>
      </c>
    </row>
    <row r="36" spans="2:12" ht="16.2" customHeight="1">
      <c r="B36" s="68">
        <v>26</v>
      </c>
      <c r="C36" s="65" t="s">
        <v>260</v>
      </c>
      <c r="D36" s="65"/>
      <c r="E36" s="65"/>
      <c r="F36" s="65"/>
      <c r="G36" s="69">
        <v>841840</v>
      </c>
      <c r="H36" s="43">
        <f>SUM(tblVerifyRoles[Annual cost, all heads])</f>
        <v>841840</v>
      </c>
      <c r="I36" s="70">
        <f>IF(AND(ISNUMBER($G$36),ISNUMBER($H$36)),ABS($H$36-$G$36),"")</f>
        <v>0</v>
      </c>
      <c r="J36" s="71">
        <v>1E-06</v>
      </c>
      <c r="K36" s="47" t="str">
        <f>IF(AND(ISNUMBER($G$36),ISNUMBER($H$36)),IF(ABS($H$36-$G$36)&lt;=$J$36,"PASS","FAIL"),"FAIL")</f>
        <v>PASS</v>
      </c>
    </row>
    <row r="38" spans="2:12" ht="21" customHeight="1">
      <c r="B38" s="8" t="s">
        <v>261</v>
      </c>
      <c r="C38" s="8"/>
      <c r="D38" s="8"/>
      <c r="E38" s="8"/>
      <c r="F38" s="8"/>
      <c r="G38" s="8"/>
      <c r="H38" s="8"/>
      <c r="I38" s="8"/>
      <c r="J38" s="8"/>
      <c r="K38" s="8"/>
      <c r="L38" s="8"/>
    </row>
    <row r="39" spans="2:12" ht="5" customHeight="1"/>
    <row r="40" spans="2:12">
      <c r="B40" s="21" t="s">
        <v>262</v>
      </c>
      <c r="C40" s="21"/>
      <c r="D40" s="21"/>
      <c r="E40" s="21"/>
      <c r="F40" s="21"/>
      <c r="G40" s="21"/>
      <c r="H40" s="21"/>
      <c r="I40" s="21"/>
      <c r="J40" s="21"/>
      <c r="K40" s="21"/>
      <c r="L40" s="21"/>
    </row>
    <row r="41" spans="2:12">
      <c r="B41" s="30" t="s">
        <v>263</v>
      </c>
      <c r="C41" s="30"/>
      <c r="D41" s="30"/>
      <c r="E41" s="30"/>
      <c r="F41" s="30"/>
    </row>
    <row r="42" spans="2:12">
      <c r="B42" s="27" t="s">
        <v>264</v>
      </c>
      <c r="C42" s="27"/>
      <c r="D42" s="27"/>
      <c r="E42" s="76">
        <v>0</v>
      </c>
      <c r="F42" s="7"/>
    </row>
    <row r="43" spans="2:12">
      <c r="B43" s="27" t="s">
        <v>265</v>
      </c>
      <c r="C43" s="27"/>
      <c r="D43" s="27"/>
      <c r="E43" s="76">
        <v>2958465</v>
      </c>
      <c r="F43" s="7"/>
    </row>
    <row r="44" spans="2:12">
      <c r="B44" s="27" t="s">
        <v>266</v>
      </c>
      <c r="C44" s="27"/>
      <c r="D44" s="27"/>
      <c r="E44" s="64" t="s">
        <v>149</v>
      </c>
      <c r="F44" s="64"/>
    </row>
    <row r="45" spans="2:12">
      <c r="B45" s="27" t="s">
        <v>267</v>
      </c>
      <c r="C45" s="27"/>
      <c r="D45" s="27"/>
      <c r="E45" s="64" t="s">
        <v>149</v>
      </c>
      <c r="F45" s="64"/>
    </row>
    <row r="46" spans="2:12">
      <c r="B46" s="27" t="s">
        <v>268</v>
      </c>
      <c r="C46" s="27"/>
      <c r="D46" s="27"/>
      <c r="E46" s="58">
        <v>0.85</v>
      </c>
      <c r="F46" s="7"/>
    </row>
    <row r="48" spans="2:12">
      <c r="B48" s="30" t="s">
        <v>269</v>
      </c>
      <c r="C48" s="30"/>
      <c r="D48" s="30"/>
      <c r="E48" s="30"/>
      <c r="F48" s="30"/>
      <c r="G48" s="30"/>
      <c r="H48" s="30"/>
      <c r="I48" s="30"/>
      <c r="J48" s="30"/>
      <c r="K48" s="30"/>
      <c r="L48" s="30"/>
    </row>
    <row r="49" spans="2:24" ht="14" customHeight="1">
      <c r="B49" s="34"/>
      <c r="C49" s="34" t="str">
        <f>Currency&amp;"/h"</f>
        <v>CAD/h</v>
      </c>
      <c r="D49" s="34" t="s">
        <v>116</v>
      </c>
      <c r="E49" s="34" t="s">
        <v>117</v>
      </c>
      <c r="F49" s="34" t="s">
        <v>117</v>
      </c>
      <c r="G49" s="34" t="str">
        <f>Currency&amp;"/yr"</f>
        <v>CAD/yr</v>
      </c>
      <c r="H49" s="34" t="s">
        <v>118</v>
      </c>
      <c r="I49" s="34" t="s">
        <v>118</v>
      </c>
      <c r="J49" s="34" t="s">
        <v>119</v>
      </c>
      <c r="K49" s="34" t="s">
        <v>120</v>
      </c>
      <c r="L49" s="34" t="str">
        <f>Currency&amp;"/yr"</f>
        <v>CAD/yr</v>
      </c>
      <c r="M49" s="34" t="str">
        <f>Currency&amp;"/yr"</f>
        <v>CAD/yr</v>
      </c>
      <c r="N49" s="34" t="str">
        <f>Currency&amp;"/yr"</f>
        <v>CAD/yr</v>
      </c>
      <c r="O49" s="34" t="s">
        <v>118</v>
      </c>
      <c r="P49" s="34" t="str">
        <f>Currency&amp;"/h worked"</f>
        <v>CAD/h worked</v>
      </c>
      <c r="Q49" s="34" t="s">
        <v>118</v>
      </c>
      <c r="R49" s="34" t="str">
        <f>Currency&amp;"/h"</f>
        <v>CAD/h</v>
      </c>
      <c r="S49" s="34" t="s">
        <v>121</v>
      </c>
      <c r="T49" s="34" t="str">
        <f>Currency&amp;"/yr"</f>
        <v>CAD/yr</v>
      </c>
      <c r="U49" s="34"/>
    </row>
    <row r="50" spans="2:24" ht="45.5" customHeight="1">
      <c r="B50" s="31" t="s">
        <v>95</v>
      </c>
      <c r="C50" s="31" t="s">
        <v>96</v>
      </c>
      <c r="D50" s="31" t="s">
        <v>97</v>
      </c>
      <c r="E50" s="31" t="s">
        <v>98</v>
      </c>
      <c r="F50" s="31" t="s">
        <v>99</v>
      </c>
      <c r="G50" s="31" t="s">
        <v>100</v>
      </c>
      <c r="H50" s="31" t="s">
        <v>101</v>
      </c>
      <c r="I50" s="31" t="s">
        <v>102</v>
      </c>
      <c r="J50" s="31" t="s">
        <v>103</v>
      </c>
      <c r="K50" s="31" t="s">
        <v>104</v>
      </c>
      <c r="L50" s="31" t="s">
        <v>105</v>
      </c>
      <c r="M50" s="31" t="s">
        <v>106</v>
      </c>
      <c r="N50" s="31" t="s">
        <v>107</v>
      </c>
      <c r="O50" s="31" t="s">
        <v>108</v>
      </c>
      <c r="P50" s="31" t="s">
        <v>109</v>
      </c>
      <c r="Q50" s="31" t="s">
        <v>110</v>
      </c>
      <c r="R50" s="31" t="s">
        <v>111</v>
      </c>
      <c r="S50" s="31" t="s">
        <v>112</v>
      </c>
      <c r="T50" s="31" t="s">
        <v>113</v>
      </c>
      <c r="U50" s="31" t="s">
        <v>114</v>
      </c>
    </row>
    <row r="51" spans="2:24">
      <c r="B51" s="64" t="s">
        <v>270</v>
      </c>
      <c r="C51" s="69">
        <v>25</v>
      </c>
      <c r="D51" s="58">
        <v>0.04</v>
      </c>
      <c r="E51" s="58">
        <v>0.1</v>
      </c>
      <c r="F51" s="58">
        <v>0.05</v>
      </c>
      <c r="G51" s="76">
        <v>5000</v>
      </c>
      <c r="H51" s="76">
        <v>2080</v>
      </c>
      <c r="I51" s="76">
        <v>200</v>
      </c>
      <c r="J51" s="58">
        <v>0.1</v>
      </c>
      <c r="K51" s="77">
        <v>10</v>
      </c>
      <c r="L51" s="37">
        <f>IF(tblVerifyRoles[[#This Row],[Role]]="","",tblVerifyRoles[[#This Row],[Base wage]]*(1+tblVerifyRoles[[#This Row],[Premiums]])*tblVerifyRoles[[#This Row],[Paid hours]])</f>
        <v>54080</v>
      </c>
      <c r="M51" s="37">
        <f>IF(tblVerifyRoles[[#This Row],[Role]]="","",tblVerifyRoles[[#This Row],[Annual pay]]*(tblVerifyRoles[[#This Row],[Payroll taxes]]+tblVerifyRoles[[#This Row],[Benefits]])+tblVerifyRoles[[#This Row],[Fixed benefits]])</f>
        <v>13112</v>
      </c>
      <c r="N51" s="38">
        <f>IF(tblVerifyRoles[[#This Row],[Role]]="","",tblVerifyRoles[[#This Row],[Annual pay]]+tblVerifyRoles[[#This Row],[On-costs]])</f>
        <v>67192</v>
      </c>
      <c r="O51" s="37">
        <f>IF(tblVerifyRoles[[#This Row],[Role]]="","",tblVerifyRoles[[#This Row],[Paid hours]]-tblVerifyRoles[[#This Row],[Paid absence]])</f>
        <v>1880</v>
      </c>
      <c r="P51" s="39">
        <f>IF(tblVerifyRoles[[#This Row],[Role]]="","",IF((tblVerifyRoles[[#This Row],[Hours worked]])=0,"",(tblVerifyRoles[[#This Row],[Cost per person]])/(tblVerifyRoles[[#This Row],[Hours worked]])))</f>
        <v>35.7404255319149</v>
      </c>
      <c r="Q51" s="37">
        <f>IF(tblVerifyRoles[[#This Row],[Role]]="","",tblVerifyRoles[[#This Row],[Hours worked]]*(1-tblVerifyRoles[[#This Row],[Non-productive]]))</f>
        <v>1692</v>
      </c>
      <c r="R51" s="39">
        <f>IF(tblVerifyRoles[[#This Row],[Role]]="","",IF((tblVerifyRoles[[#This Row],[Productive hours]])=0,"",(tblVerifyRoles[[#This Row],[Cost per person]])/(tblVerifyRoles[[#This Row],[Productive hours]])))</f>
        <v>39.7115839243499</v>
      </c>
      <c r="S51" s="40">
        <f>IF(tblVerifyRoles[[#This Row],[Role]]="","",IF(OR(N(tblVerifyRoles[[#This Row],[Base wage]])=0,N(tblVerifyRoles[[#This Row],[Loaded rate]])=0),"",tblVerifyRoles[[#This Row],[Loaded rate]]/tblVerifyRoles[[#This Row],[Base wage]]-1))</f>
        <v>0.429617021276596</v>
      </c>
      <c r="T51" s="37">
        <f>IF(tblVerifyRoles[[#This Row],[Role]]="","",tblVerifyRoles[[#This Row],[Cost per person]]*tblVerifyRoles[[#This Row],[Headcount]])</f>
        <v>671920</v>
      </c>
      <c r="U51" s="41" t="str">
        <f>IF(tblVerifyRoles[[#This Row],[Role]]="","",IF(tblVerifyRoles[[#This Row],[Base wage]]="","Missing base wage",IF(tblVerifyRoles[[#This Row],[Paid hours]]="","Missing paid hours",IF(tblVerifyRoles[[#This Row],[Paid absence]]&gt;=tblVerifyRoles[[#This Row],[Paid hours]],"Absence not below paid hours",IF(COUNTIF(tblVerifyRoles[Role],tblVerifyRoles[[#This Row],[Role]])&gt;1,"Duplicate role","OK")))))</f>
        <v>OK</v>
      </c>
    </row>
    <row r="52" spans="2:24">
      <c r="B52" s="64" t="s">
        <v>271</v>
      </c>
      <c r="C52" s="69">
        <v>36</v>
      </c>
      <c r="D52" s="58">
        <v>0</v>
      </c>
      <c r="E52" s="58">
        <v>0.08</v>
      </c>
      <c r="F52" s="58">
        <v>0.1</v>
      </c>
      <c r="G52" s="76">
        <v>0</v>
      </c>
      <c r="H52" s="76">
        <v>2000</v>
      </c>
      <c r="I52" s="76">
        <v>0</v>
      </c>
      <c r="J52" s="58">
        <v>0</v>
      </c>
      <c r="K52" s="77">
        <v>2</v>
      </c>
      <c r="L52" s="37">
        <f>IF(tblVerifyRoles[[#This Row],[Role]]="","",tblVerifyRoles[[#This Row],[Base wage]]*(1+tblVerifyRoles[[#This Row],[Premiums]])*tblVerifyRoles[[#This Row],[Paid hours]])</f>
        <v>72000</v>
      </c>
      <c r="M52" s="37">
        <f>IF(tblVerifyRoles[[#This Row],[Role]]="","",tblVerifyRoles[[#This Row],[Annual pay]]*(tblVerifyRoles[[#This Row],[Payroll taxes]]+tblVerifyRoles[[#This Row],[Benefits]])+tblVerifyRoles[[#This Row],[Fixed benefits]])</f>
        <v>12960</v>
      </c>
      <c r="N52" s="38">
        <f>IF(tblVerifyRoles[[#This Row],[Role]]="","",tblVerifyRoles[[#This Row],[Annual pay]]+tblVerifyRoles[[#This Row],[On-costs]])</f>
        <v>84960</v>
      </c>
      <c r="O52" s="37">
        <f>IF(tblVerifyRoles[[#This Row],[Role]]="","",tblVerifyRoles[[#This Row],[Paid hours]]-tblVerifyRoles[[#This Row],[Paid absence]])</f>
        <v>2000</v>
      </c>
      <c r="P52" s="39">
        <f>IF(tblVerifyRoles[[#This Row],[Role]]="","",IF((tblVerifyRoles[[#This Row],[Hours worked]])=0,"",(tblVerifyRoles[[#This Row],[Cost per person]])/(tblVerifyRoles[[#This Row],[Hours worked]])))</f>
        <v>42.48</v>
      </c>
      <c r="Q52" s="37">
        <f>IF(tblVerifyRoles[[#This Row],[Role]]="","",tblVerifyRoles[[#This Row],[Hours worked]]*(1-tblVerifyRoles[[#This Row],[Non-productive]]))</f>
        <v>2000</v>
      </c>
      <c r="R52" s="39">
        <f>IF(tblVerifyRoles[[#This Row],[Role]]="","",IF((tblVerifyRoles[[#This Row],[Productive hours]])=0,"",(tblVerifyRoles[[#This Row],[Cost per person]])/(tblVerifyRoles[[#This Row],[Productive hours]])))</f>
        <v>42.48</v>
      </c>
      <c r="S52" s="40">
        <f>IF(tblVerifyRoles[[#This Row],[Role]]="","",IF(OR(N(tblVerifyRoles[[#This Row],[Base wage]])=0,N(tblVerifyRoles[[#This Row],[Loaded rate]])=0),"",tblVerifyRoles[[#This Row],[Loaded rate]]/tblVerifyRoles[[#This Row],[Base wage]]-1))</f>
        <v>0.18</v>
      </c>
      <c r="T52" s="37">
        <f>IF(tblVerifyRoles[[#This Row],[Role]]="","",tblVerifyRoles[[#This Row],[Cost per person]]*tblVerifyRoles[[#This Row],[Headcount]])</f>
        <v>169920</v>
      </c>
      <c r="U52" s="41" t="str">
        <f>IF(tblVerifyRoles[[#This Row],[Role]]="","",IF(tblVerifyRoles[[#This Row],[Base wage]]="","Missing base wage",IF(tblVerifyRoles[[#This Row],[Paid hours]]="","Missing paid hours",IF(tblVerifyRoles[[#This Row],[Paid absence]]&gt;=tblVerifyRoles[[#This Row],[Paid hours]],"Absence not below paid hours",IF(COUNTIF(tblVerifyRoles[Role],tblVerifyRoles[[#This Row],[Role]])&gt;1,"Duplicate role","OK")))))</f>
        <v>OK</v>
      </c>
    </row>
    <row r="53" spans="2:24">
      <c r="B53" s="64" t="s">
        <v>272</v>
      </c>
      <c r="C53" s="69">
        <v>20</v>
      </c>
      <c r="D53" s="58">
        <v>0</v>
      </c>
      <c r="E53" s="58">
        <v>0</v>
      </c>
      <c r="F53" s="58">
        <v>0</v>
      </c>
      <c r="G53" s="76">
        <v>0</v>
      </c>
      <c r="H53" s="76">
        <v>1000</v>
      </c>
      <c r="I53" s="76">
        <v>1000</v>
      </c>
      <c r="J53" s="58">
        <v>0</v>
      </c>
      <c r="K53" s="77">
        <v>0</v>
      </c>
      <c r="L53" s="37">
        <f>IF(tblVerifyRoles[[#This Row],[Role]]="","",tblVerifyRoles[[#This Row],[Base wage]]*(1+tblVerifyRoles[[#This Row],[Premiums]])*tblVerifyRoles[[#This Row],[Paid hours]])</f>
        <v>20000</v>
      </c>
      <c r="M53" s="37">
        <f>IF(tblVerifyRoles[[#This Row],[Role]]="","",tblVerifyRoles[[#This Row],[Annual pay]]*(tblVerifyRoles[[#This Row],[Payroll taxes]]+tblVerifyRoles[[#This Row],[Benefits]])+tblVerifyRoles[[#This Row],[Fixed benefits]])</f>
        <v>0</v>
      </c>
      <c r="N53" s="38">
        <f>IF(tblVerifyRoles[[#This Row],[Role]]="","",tblVerifyRoles[[#This Row],[Annual pay]]+tblVerifyRoles[[#This Row],[On-costs]])</f>
        <v>20000</v>
      </c>
      <c r="O53" s="37">
        <f>IF(tblVerifyRoles[[#This Row],[Role]]="","",tblVerifyRoles[[#This Row],[Paid hours]]-tblVerifyRoles[[#This Row],[Paid absence]])</f>
        <v>0</v>
      </c>
      <c r="P53" s="39">
        <f>IF(tblVerifyRoles[[#This Row],[Role]]="","",IF((tblVerifyRoles[[#This Row],[Hours worked]])=0,"",(tblVerifyRoles[[#This Row],[Cost per person]])/(tblVerifyRoles[[#This Row],[Hours worked]])))</f>
        <v/>
      </c>
      <c r="Q53" s="37">
        <f>IF(tblVerifyRoles[[#This Row],[Role]]="","",tblVerifyRoles[[#This Row],[Hours worked]]*(1-tblVerifyRoles[[#This Row],[Non-productive]]))</f>
        <v>0</v>
      </c>
      <c r="R53" s="39">
        <f>IF(tblVerifyRoles[[#This Row],[Role]]="","",IF((tblVerifyRoles[[#This Row],[Productive hours]])=0,"",(tblVerifyRoles[[#This Row],[Cost per person]])/(tblVerifyRoles[[#This Row],[Productive hours]])))</f>
        <v/>
      </c>
      <c r="S53" s="40">
        <f>IF(tblVerifyRoles[[#This Row],[Role]]="","",IF(OR(N(tblVerifyRoles[[#This Row],[Base wage]])=0,N(tblVerifyRoles[[#This Row],[Loaded rate]])=0),"",tblVerifyRoles[[#This Row],[Loaded rate]]/tblVerifyRoles[[#This Row],[Base wage]]-1))</f>
        <v/>
      </c>
      <c r="T53" s="37">
        <f>IF(tblVerifyRoles[[#This Row],[Role]]="","",tblVerifyRoles[[#This Row],[Cost per person]]*tblVerifyRoles[[#This Row],[Headcount]])</f>
        <v>0</v>
      </c>
      <c r="U53" s="41" t="str">
        <f>IF(tblVerifyRoles[[#This Row],[Role]]="","",IF(tblVerifyRoles[[#This Row],[Base wage]]="","Missing base wage",IF(tblVerifyRoles[[#This Row],[Paid hours]]="","Missing paid hours",IF(tblVerifyRoles[[#This Row],[Paid absence]]&gt;=tblVerifyRoles[[#This Row],[Paid hours]],"Absence not below paid hours",IF(COUNTIF(tblVerifyRoles[Role],tblVerifyRoles[[#This Row],[Role]])&gt;1,"Duplicate role","OK")))))</f>
        <v>Absence not below paid hours</v>
      </c>
    </row>
    <row r="55" spans="2:24">
      <c r="B55" s="30" t="s">
        <v>273</v>
      </c>
      <c r="C55" s="30"/>
      <c r="D55" s="30"/>
      <c r="E55" s="30"/>
      <c r="F55" s="30"/>
      <c r="G55" s="30"/>
      <c r="H55" s="30"/>
      <c r="I55" s="30"/>
      <c r="J55" s="30"/>
      <c r="K55" s="30"/>
      <c r="L55" s="30"/>
    </row>
    <row r="56" spans="2:24" ht="14" customHeight="1">
      <c r="B56" s="34"/>
      <c r="C56" s="34"/>
      <c r="D56" s="34"/>
      <c r="E56" s="34"/>
      <c r="F56" s="34"/>
      <c r="G56" s="34" t="s">
        <v>120</v>
      </c>
      <c r="H56" s="34" t="s">
        <v>145</v>
      </c>
      <c r="I56" s="34" t="s">
        <v>146</v>
      </c>
      <c r="J56" s="34" t="str">
        <f>Currency&amp;"/h"</f>
        <v>CAD/h</v>
      </c>
      <c r="K56" s="34" t="s">
        <v>147</v>
      </c>
      <c r="L56" s="34" t="s">
        <v>120</v>
      </c>
      <c r="M56" s="34" t="s">
        <v>148</v>
      </c>
      <c r="N56" s="34" t="str">
        <f>Currency</f>
        <v>CAD</v>
      </c>
      <c r="O56" s="34" t="str">
        <f>Currency&amp;"/unit"</f>
        <v>CAD/unit</v>
      </c>
      <c r="P56" s="34" t="str">
        <f>Currency&amp;"/unit"</f>
        <v>CAD/unit</v>
      </c>
      <c r="Q56" s="34" t="s">
        <v>148</v>
      </c>
      <c r="R56" s="34" t="s">
        <v>121</v>
      </c>
      <c r="S56" s="34"/>
      <c r="T56" s="34" t="str">
        <f>Currency&amp;"/unit"</f>
        <v>CAD/unit</v>
      </c>
      <c r="U56" s="34" t="str">
        <f>Currency</f>
        <v>CAD</v>
      </c>
      <c r="V56" s="34"/>
      <c r="W56" s="34"/>
      <c r="X56" s="34"/>
    </row>
    <row r="57" spans="2:24" ht="32" customHeight="1">
      <c r="B57" s="31" t="s">
        <v>128</v>
      </c>
      <c r="C57" s="31" t="s">
        <v>64</v>
      </c>
      <c r="D57" s="31" t="s">
        <v>65</v>
      </c>
      <c r="E57" s="31" t="s">
        <v>66</v>
      </c>
      <c r="F57" s="31" t="s">
        <v>95</v>
      </c>
      <c r="G57" s="31" t="s">
        <v>129</v>
      </c>
      <c r="H57" s="31" t="s">
        <v>130</v>
      </c>
      <c r="I57" s="31" t="s">
        <v>131</v>
      </c>
      <c r="J57" s="31" t="s">
        <v>109</v>
      </c>
      <c r="K57" s="31" t="s">
        <v>132</v>
      </c>
      <c r="L57" s="31" t="s">
        <v>133</v>
      </c>
      <c r="M57" s="31" t="s">
        <v>134</v>
      </c>
      <c r="N57" s="31" t="s">
        <v>135</v>
      </c>
      <c r="O57" s="31" t="s">
        <v>136</v>
      </c>
      <c r="P57" s="31" t="s">
        <v>137</v>
      </c>
      <c r="Q57" s="31" t="s">
        <v>138</v>
      </c>
      <c r="R57" s="31" t="s">
        <v>139</v>
      </c>
      <c r="S57" s="31" t="s">
        <v>140</v>
      </c>
      <c r="T57" s="31" t="s">
        <v>141</v>
      </c>
      <c r="U57" s="31" t="s">
        <v>142</v>
      </c>
      <c r="V57" s="31" t="s">
        <v>114</v>
      </c>
      <c r="W57" s="31" t="s">
        <v>143</v>
      </c>
      <c r="X57" s="31" t="s">
        <v>70</v>
      </c>
    </row>
    <row r="58" spans="2:24">
      <c r="B58" s="78">
        <v>46027</v>
      </c>
      <c r="C58" s="64" t="s">
        <v>81</v>
      </c>
      <c r="D58" s="64" t="s">
        <v>274</v>
      </c>
      <c r="E58" s="64" t="s">
        <v>275</v>
      </c>
      <c r="F58" s="64" t="s">
        <v>270</v>
      </c>
      <c r="G58" s="77">
        <v>3</v>
      </c>
      <c r="H58" s="77">
        <v>8</v>
      </c>
      <c r="I58" s="76">
        <v>520</v>
      </c>
      <c r="J58" s="69">
        <v>38</v>
      </c>
      <c r="K58" s="77">
        <v>52</v>
      </c>
      <c r="L58" s="77">
        <v>3</v>
      </c>
      <c r="M58" s="44">
        <f>IF(tblVerifyShifts[[#This Row],[Date]]="","",tblVerifyShifts[[#This Row],[Operators]]*tblVerifyShifts[[#This Row],[Hours]])</f>
        <v>24</v>
      </c>
      <c r="N58" s="43">
        <f>IF(tblVerifyShifts[[#This Row],[Date]]="","",IF(tblVerifyShifts[[#This Row],[Loaded rate]]="","",tblVerifyShifts[[#This Row],[Crew hours]]*tblVerifyShifts[[#This Row],[Loaded rate]]))</f>
        <v>912</v>
      </c>
      <c r="O58" s="45">
        <f>IF(tblVerifyShifts[[#This Row],[Date]]="","",IF(OR(tblVerifyShifts[[#This Row],[Labour cost]]="",N(tblVerifyShifts[[#This Row],[Good units]])=0),"",tblVerifyShifts[[#This Row],[Labour cost]]/tblVerifyShifts[[#This Row],[Good units]]))</f>
        <v>1.75384615384615</v>
      </c>
      <c r="P58" s="45">
        <f>IF(tblVerifyShifts[[#This Row],[Date]]="","",IF(OR(tblVerifyShifts[[#This Row],[Loaded rate]]="",tblVerifyShifts[[#This Row],[Std cycle]]=""),"",tblVerifyShifts[[#This Row],[Std crew]]*tblVerifyShifts[[#This Row],[Loaded rate]]*tblVerifyShifts[[#This Row],[Std cycle]]/3600))</f>
        <v>1.64666666666667</v>
      </c>
      <c r="Q58" s="43">
        <f>IF(tblVerifyShifts[[#This Row],[Date]]="","",IF(tblVerifyShifts[[#This Row],[Std cycle]]="","",tblVerifyShifts[[#This Row],[Good units]]*tblVerifyShifts[[#This Row],[Std crew]]*tblVerifyShifts[[#This Row],[Std cycle]]/3600))</f>
        <v>22.5333333333333</v>
      </c>
      <c r="R58" s="46">
        <f>IF(tblVerifyShifts[[#This Row],[Date]]="","",IF(OR(tblVerifyShifts[[#This Row],[Earned hours]]="",N(tblVerifyShifts[[#This Row],[Crew hours]])=0),"",tblVerifyShifts[[#This Row],[Earned hours]]/tblVerifyShifts[[#This Row],[Crew hours]]))</f>
        <v>0.938888888888889</v>
      </c>
      <c r="S58" s="47" t="str">
        <f>IF(NOT(ISNUMBER(tblVerifyShifts[[#This Row],[Efficiency]])),"",IF(tblVerifyShifts[[#This Row],[Efficiency]]&gt;=$E$46,"On target",IF(tblVerifyShifts[[#This Row],[Efficiency]]&gt;=$E$46*(1-0.05),"Near target","Below target")))</f>
        <v>On target</v>
      </c>
      <c r="T58" s="45">
        <f>IF(tblVerifyShifts[[#This Row],[Date]]="","",IF(OR(tblVerifyShifts[[#This Row],[Cost per unit]]="",tblVerifyShifts[[#This Row],[Std cost per unit]]=""),"",tblVerifyShifts[[#This Row],[Cost per unit]]-tblVerifyShifts[[#This Row],[Std cost per unit]]))</f>
        <v>0.107179487179487</v>
      </c>
      <c r="U58" s="43">
        <f>IF(tblVerifyShifts[[#This Row],[Date]]="","",IF(OR(tblVerifyShifts[[#This Row],[Labour cost]]="",tblVerifyShifts[[#This Row],[Std cost per unit]]=""),"",tblVerifyShifts[[#This Row],[Labour cost]]-tblVerifyShifts[[#This Row],[Std cost per unit]]*tblVerifyShifts[[#This Row],[Good units]]))</f>
        <v>55.7333333333334</v>
      </c>
      <c r="V58" s="41" t="str">
        <f>IF(tblVerifyShifts[[#This Row],[Date]]="","",IF(tblVerifyShifts[[#This Row],[Line]]="","Missing line",IF(tblVerifyShifts[[#This Row],[Product]]="","Missing product",IF(tblVerifyShifts[[#This Row],[Role]]="","Missing role",IF(tblVerifyShifts[[#This Row],[Operators]]="","Missing operators",IF(tblVerifyShifts[[#This Row],[Hours]]="","Missing hours",IF(tblVerifyShifts[[#This Row],[Loaded rate]]="","Role not on Labour Rates",IF(tblVerifyShifts[[#This Row],[Std cycle]]="","Product not on Setup list",IF(tblVerifyShifts[[#This Row],[Hours]]&gt;24,"More than 24 hours",IF(tblVerifyShifts[[#This Row],[Good units]]=0,"No good units","OK"))))))))))</f>
        <v>OK</v>
      </c>
      <c r="W58" s="48">
        <f>IF(tblVerifyShifts[[#This Row],[Date]]="","",IF(AND(tblVerifyShifts[[#This Row],[Date]]&gt;=$E$42,tblVerifyShifts[[#This Row],[Date]]&lt;=$E$43,OR($E$44="",tblVerifyShifts[[#This Row],[Line]]=$E$44),OR($E$45="",tblVerifyShifts[[#This Row],[Product]]=$E$45)),tblVerifyShifts[[#This Row],[Date]],""))</f>
        <v>46027</v>
      </c>
      <c r="X58" s="64"/>
    </row>
    <row r="59" spans="2:24">
      <c r="B59" s="78">
        <v>46027</v>
      </c>
      <c r="C59" s="64" t="s">
        <v>83</v>
      </c>
      <c r="D59" s="64" t="s">
        <v>274</v>
      </c>
      <c r="E59" s="64" t="s">
        <v>275</v>
      </c>
      <c r="F59" s="64" t="s">
        <v>270</v>
      </c>
      <c r="G59" s="77">
        <v>4</v>
      </c>
      <c r="H59" s="77">
        <v>8</v>
      </c>
      <c r="I59" s="76">
        <v>480</v>
      </c>
      <c r="J59" s="69">
        <v>38</v>
      </c>
      <c r="K59" s="77">
        <v>52</v>
      </c>
      <c r="L59" s="77">
        <v>3</v>
      </c>
      <c r="M59" s="44">
        <f>IF(tblVerifyShifts[[#This Row],[Date]]="","",tblVerifyShifts[[#This Row],[Operators]]*tblVerifyShifts[[#This Row],[Hours]])</f>
        <v>32</v>
      </c>
      <c r="N59" s="43">
        <f>IF(tblVerifyShifts[[#This Row],[Date]]="","",IF(tblVerifyShifts[[#This Row],[Loaded rate]]="","",tblVerifyShifts[[#This Row],[Crew hours]]*tblVerifyShifts[[#This Row],[Loaded rate]]))</f>
        <v>1216</v>
      </c>
      <c r="O59" s="45">
        <f>IF(tblVerifyShifts[[#This Row],[Date]]="","",IF(OR(tblVerifyShifts[[#This Row],[Labour cost]]="",N(tblVerifyShifts[[#This Row],[Good units]])=0),"",tblVerifyShifts[[#This Row],[Labour cost]]/tblVerifyShifts[[#This Row],[Good units]]))</f>
        <v>2.53333333333333</v>
      </c>
      <c r="P59" s="45">
        <f>IF(tblVerifyShifts[[#This Row],[Date]]="","",IF(OR(tblVerifyShifts[[#This Row],[Loaded rate]]="",tblVerifyShifts[[#This Row],[Std cycle]]=""),"",tblVerifyShifts[[#This Row],[Std crew]]*tblVerifyShifts[[#This Row],[Loaded rate]]*tblVerifyShifts[[#This Row],[Std cycle]]/3600))</f>
        <v>1.64666666666667</v>
      </c>
      <c r="Q59" s="43">
        <f>IF(tblVerifyShifts[[#This Row],[Date]]="","",IF(tblVerifyShifts[[#This Row],[Std cycle]]="","",tblVerifyShifts[[#This Row],[Good units]]*tblVerifyShifts[[#This Row],[Std crew]]*tblVerifyShifts[[#This Row],[Std cycle]]/3600))</f>
        <v>20.8</v>
      </c>
      <c r="R59" s="46">
        <f>IF(tblVerifyShifts[[#This Row],[Date]]="","",IF(OR(tblVerifyShifts[[#This Row],[Earned hours]]="",N(tblVerifyShifts[[#This Row],[Crew hours]])=0),"",tblVerifyShifts[[#This Row],[Earned hours]]/tblVerifyShifts[[#This Row],[Crew hours]]))</f>
        <v>0.65</v>
      </c>
      <c r="S59" s="47" t="str">
        <f>IF(NOT(ISNUMBER(tblVerifyShifts[[#This Row],[Efficiency]])),"",IF(tblVerifyShifts[[#This Row],[Efficiency]]&gt;=$E$46,"On target",IF(tblVerifyShifts[[#This Row],[Efficiency]]&gt;=$E$46*(1-0.05),"Near target","Below target")))</f>
        <v>Below target</v>
      </c>
      <c r="T59" s="45">
        <f>IF(tblVerifyShifts[[#This Row],[Date]]="","",IF(OR(tblVerifyShifts[[#This Row],[Cost per unit]]="",tblVerifyShifts[[#This Row],[Std cost per unit]]=""),"",tblVerifyShifts[[#This Row],[Cost per unit]]-tblVerifyShifts[[#This Row],[Std cost per unit]]))</f>
        <v>0.886666666666667</v>
      </c>
      <c r="U59" s="43">
        <f>IF(tblVerifyShifts[[#This Row],[Date]]="","",IF(OR(tblVerifyShifts[[#This Row],[Labour cost]]="",tblVerifyShifts[[#This Row],[Std cost per unit]]=""),"",tblVerifyShifts[[#This Row],[Labour cost]]-tblVerifyShifts[[#This Row],[Std cost per unit]]*tblVerifyShifts[[#This Row],[Good units]]))</f>
        <v>425.6</v>
      </c>
      <c r="V59" s="41" t="str">
        <f>IF(tblVerifyShifts[[#This Row],[Date]]="","",IF(tblVerifyShifts[[#This Row],[Line]]="","Missing line",IF(tblVerifyShifts[[#This Row],[Product]]="","Missing product",IF(tblVerifyShifts[[#This Row],[Role]]="","Missing role",IF(tblVerifyShifts[[#This Row],[Operators]]="","Missing operators",IF(tblVerifyShifts[[#This Row],[Hours]]="","Missing hours",IF(tblVerifyShifts[[#This Row],[Loaded rate]]="","Role not on Labour Rates",IF(tblVerifyShifts[[#This Row],[Std cycle]]="","Product not on Setup list",IF(tblVerifyShifts[[#This Row],[Hours]]&gt;24,"More than 24 hours",IF(tblVerifyShifts[[#This Row],[Good units]]=0,"No good units","OK"))))))))))</f>
        <v>OK</v>
      </c>
      <c r="W59" s="48">
        <f>IF(tblVerifyShifts[[#This Row],[Date]]="","",IF(AND(tblVerifyShifts[[#This Row],[Date]]&gt;=$E$42,tblVerifyShifts[[#This Row],[Date]]&lt;=$E$43,OR($E$44="",tblVerifyShifts[[#This Row],[Line]]=$E$44),OR($E$45="",tblVerifyShifts[[#This Row],[Product]]=$E$45)),tblVerifyShifts[[#This Row],[Date]],""))</f>
        <v>46027</v>
      </c>
      <c r="X59" s="64"/>
    </row>
    <row r="60" spans="2:24">
      <c r="B60" s="78">
        <v>46028</v>
      </c>
      <c r="C60" s="64" t="s">
        <v>81</v>
      </c>
      <c r="D60" s="64" t="s">
        <v>276</v>
      </c>
      <c r="E60" s="64" t="s">
        <v>277</v>
      </c>
      <c r="F60" s="64" t="s">
        <v>270</v>
      </c>
      <c r="G60" s="77">
        <v>2</v>
      </c>
      <c r="H60" s="77">
        <v>10</v>
      </c>
      <c r="I60" s="76">
        <v>160</v>
      </c>
      <c r="J60" s="69">
        <v>31.5</v>
      </c>
      <c r="K60" s="77">
        <v>210</v>
      </c>
      <c r="L60" s="77">
        <v>2</v>
      </c>
      <c r="M60" s="44">
        <f>IF(tblVerifyShifts[[#This Row],[Date]]="","",tblVerifyShifts[[#This Row],[Operators]]*tblVerifyShifts[[#This Row],[Hours]])</f>
        <v>20</v>
      </c>
      <c r="N60" s="43">
        <f>IF(tblVerifyShifts[[#This Row],[Date]]="","",IF(tblVerifyShifts[[#This Row],[Loaded rate]]="","",tblVerifyShifts[[#This Row],[Crew hours]]*tblVerifyShifts[[#This Row],[Loaded rate]]))</f>
        <v>630</v>
      </c>
      <c r="O60" s="45">
        <f>IF(tblVerifyShifts[[#This Row],[Date]]="","",IF(OR(tblVerifyShifts[[#This Row],[Labour cost]]="",N(tblVerifyShifts[[#This Row],[Good units]])=0),"",tblVerifyShifts[[#This Row],[Labour cost]]/tblVerifyShifts[[#This Row],[Good units]]))</f>
        <v>3.9375</v>
      </c>
      <c r="P60" s="45">
        <f>IF(tblVerifyShifts[[#This Row],[Date]]="","",IF(OR(tblVerifyShifts[[#This Row],[Loaded rate]]="",tblVerifyShifts[[#This Row],[Std cycle]]=""),"",tblVerifyShifts[[#This Row],[Std crew]]*tblVerifyShifts[[#This Row],[Loaded rate]]*tblVerifyShifts[[#This Row],[Std cycle]]/3600))</f>
        <v>3.675</v>
      </c>
      <c r="Q60" s="43">
        <f>IF(tblVerifyShifts[[#This Row],[Date]]="","",IF(tblVerifyShifts[[#This Row],[Std cycle]]="","",tblVerifyShifts[[#This Row],[Good units]]*tblVerifyShifts[[#This Row],[Std crew]]*tblVerifyShifts[[#This Row],[Std cycle]]/3600))</f>
        <v>18.6666666666667</v>
      </c>
      <c r="R60" s="46">
        <f>IF(tblVerifyShifts[[#This Row],[Date]]="","",IF(OR(tblVerifyShifts[[#This Row],[Earned hours]]="",N(tblVerifyShifts[[#This Row],[Crew hours]])=0),"",tblVerifyShifts[[#This Row],[Earned hours]]/tblVerifyShifts[[#This Row],[Crew hours]]))</f>
        <v>0.933333333333333</v>
      </c>
      <c r="S60" s="47" t="str">
        <f>IF(NOT(ISNUMBER(tblVerifyShifts[[#This Row],[Efficiency]])),"",IF(tblVerifyShifts[[#This Row],[Efficiency]]&gt;=$E$46,"On target",IF(tblVerifyShifts[[#This Row],[Efficiency]]&gt;=$E$46*(1-0.05),"Near target","Below target")))</f>
        <v>On target</v>
      </c>
      <c r="T60" s="45">
        <f>IF(tblVerifyShifts[[#This Row],[Date]]="","",IF(OR(tblVerifyShifts[[#This Row],[Cost per unit]]="",tblVerifyShifts[[#This Row],[Std cost per unit]]=""),"",tblVerifyShifts[[#This Row],[Cost per unit]]-tblVerifyShifts[[#This Row],[Std cost per unit]]))</f>
        <v>0.2625</v>
      </c>
      <c r="U60" s="43">
        <f>IF(tblVerifyShifts[[#This Row],[Date]]="","",IF(OR(tblVerifyShifts[[#This Row],[Labour cost]]="",tblVerifyShifts[[#This Row],[Std cost per unit]]=""),"",tblVerifyShifts[[#This Row],[Labour cost]]-tblVerifyShifts[[#This Row],[Std cost per unit]]*tblVerifyShifts[[#This Row],[Good units]]))</f>
        <v>42</v>
      </c>
      <c r="V60" s="41" t="str">
        <f>IF(tblVerifyShifts[[#This Row],[Date]]="","",IF(tblVerifyShifts[[#This Row],[Line]]="","Missing line",IF(tblVerifyShifts[[#This Row],[Product]]="","Missing product",IF(tblVerifyShifts[[#This Row],[Role]]="","Missing role",IF(tblVerifyShifts[[#This Row],[Operators]]="","Missing operators",IF(tblVerifyShifts[[#This Row],[Hours]]="","Missing hours",IF(tblVerifyShifts[[#This Row],[Loaded rate]]="","Role not on Labour Rates",IF(tblVerifyShifts[[#This Row],[Std cycle]]="","Product not on Setup list",IF(tblVerifyShifts[[#This Row],[Hours]]&gt;24,"More than 24 hours",IF(tblVerifyShifts[[#This Row],[Good units]]=0,"No good units","OK"))))))))))</f>
        <v>OK</v>
      </c>
      <c r="W60" s="48">
        <f>IF(tblVerifyShifts[[#This Row],[Date]]="","",IF(AND(tblVerifyShifts[[#This Row],[Date]]&gt;=$E$42,tblVerifyShifts[[#This Row],[Date]]&lt;=$E$43,OR($E$44="",tblVerifyShifts[[#This Row],[Line]]=$E$44),OR($E$45="",tblVerifyShifts[[#This Row],[Product]]=$E$45)),tblVerifyShifts[[#This Row],[Date]],""))</f>
        <v>46028</v>
      </c>
      <c r="X60" s="64"/>
    </row>
    <row r="61" spans="2:24">
      <c r="B61" s="78">
        <v>46028</v>
      </c>
      <c r="C61" s="64" t="s">
        <v>81</v>
      </c>
      <c r="D61" s="64" t="s">
        <v>276</v>
      </c>
      <c r="E61" s="64" t="s">
        <v>277</v>
      </c>
      <c r="F61" s="64" t="s">
        <v>278</v>
      </c>
      <c r="G61" s="77">
        <v>2</v>
      </c>
      <c r="H61" s="77">
        <v>8</v>
      </c>
      <c r="I61" s="76">
        <v>100</v>
      </c>
      <c r="J61" s="69" t="s">
        <v>149</v>
      </c>
      <c r="K61" s="77">
        <v>210</v>
      </c>
      <c r="L61" s="77">
        <v>2</v>
      </c>
      <c r="M61" s="44">
        <f>IF(tblVerifyShifts[[#This Row],[Date]]="","",tblVerifyShifts[[#This Row],[Operators]]*tblVerifyShifts[[#This Row],[Hours]])</f>
        <v>16</v>
      </c>
      <c r="N61" s="43">
        <f>IF(tblVerifyShifts[[#This Row],[Date]]="","",IF(tblVerifyShifts[[#This Row],[Loaded rate]]="","",tblVerifyShifts[[#This Row],[Crew hours]]*tblVerifyShifts[[#This Row],[Loaded rate]]))</f>
        <v/>
      </c>
      <c r="O61" s="45">
        <f>IF(tblVerifyShifts[[#This Row],[Date]]="","",IF(OR(tblVerifyShifts[[#This Row],[Labour cost]]="",N(tblVerifyShifts[[#This Row],[Good units]])=0),"",tblVerifyShifts[[#This Row],[Labour cost]]/tblVerifyShifts[[#This Row],[Good units]]))</f>
        <v/>
      </c>
      <c r="P61" s="45">
        <f>IF(tblVerifyShifts[[#This Row],[Date]]="","",IF(OR(tblVerifyShifts[[#This Row],[Loaded rate]]="",tblVerifyShifts[[#This Row],[Std cycle]]=""),"",tblVerifyShifts[[#This Row],[Std crew]]*tblVerifyShifts[[#This Row],[Loaded rate]]*tblVerifyShifts[[#This Row],[Std cycle]]/3600))</f>
        <v/>
      </c>
      <c r="Q61" s="43">
        <f>IF(tblVerifyShifts[[#This Row],[Date]]="","",IF(tblVerifyShifts[[#This Row],[Std cycle]]="","",tblVerifyShifts[[#This Row],[Good units]]*tblVerifyShifts[[#This Row],[Std crew]]*tblVerifyShifts[[#This Row],[Std cycle]]/3600))</f>
        <v>11.6666666666667</v>
      </c>
      <c r="R61" s="46">
        <f>IF(tblVerifyShifts[[#This Row],[Date]]="","",IF(OR(tblVerifyShifts[[#This Row],[Earned hours]]="",N(tblVerifyShifts[[#This Row],[Crew hours]])=0),"",tblVerifyShifts[[#This Row],[Earned hours]]/tblVerifyShifts[[#This Row],[Crew hours]]))</f>
        <v>0.729166666666667</v>
      </c>
      <c r="S61" s="47" t="str">
        <f>IF(NOT(ISNUMBER(tblVerifyShifts[[#This Row],[Efficiency]])),"",IF(tblVerifyShifts[[#This Row],[Efficiency]]&gt;=$E$46,"On target",IF(tblVerifyShifts[[#This Row],[Efficiency]]&gt;=$E$46*(1-0.05),"Near target","Below target")))</f>
        <v>Below target</v>
      </c>
      <c r="T61" s="45">
        <f>IF(tblVerifyShifts[[#This Row],[Date]]="","",IF(OR(tblVerifyShifts[[#This Row],[Cost per unit]]="",tblVerifyShifts[[#This Row],[Std cost per unit]]=""),"",tblVerifyShifts[[#This Row],[Cost per unit]]-tblVerifyShifts[[#This Row],[Std cost per unit]]))</f>
        <v/>
      </c>
      <c r="U61" s="43">
        <f>IF(tblVerifyShifts[[#This Row],[Date]]="","",IF(OR(tblVerifyShifts[[#This Row],[Labour cost]]="",tblVerifyShifts[[#This Row],[Std cost per unit]]=""),"",tblVerifyShifts[[#This Row],[Labour cost]]-tblVerifyShifts[[#This Row],[Std cost per unit]]*tblVerifyShifts[[#This Row],[Good units]]))</f>
        <v/>
      </c>
      <c r="V61" s="41" t="str">
        <f>IF(tblVerifyShifts[[#This Row],[Date]]="","",IF(tblVerifyShifts[[#This Row],[Line]]="","Missing line",IF(tblVerifyShifts[[#This Row],[Product]]="","Missing product",IF(tblVerifyShifts[[#This Row],[Role]]="","Missing role",IF(tblVerifyShifts[[#This Row],[Operators]]="","Missing operators",IF(tblVerifyShifts[[#This Row],[Hours]]="","Missing hours",IF(tblVerifyShifts[[#This Row],[Loaded rate]]="","Role not on Labour Rates",IF(tblVerifyShifts[[#This Row],[Std cycle]]="","Product not on Setup list",IF(tblVerifyShifts[[#This Row],[Hours]]&gt;24,"More than 24 hours",IF(tblVerifyShifts[[#This Row],[Good units]]=0,"No good units","OK"))))))))))</f>
        <v>Role not on Labour Rates</v>
      </c>
      <c r="W61" s="48">
        <f>IF(tblVerifyShifts[[#This Row],[Date]]="","",IF(AND(tblVerifyShifts[[#This Row],[Date]]&gt;=$E$42,tblVerifyShifts[[#This Row],[Date]]&lt;=$E$43,OR($E$44="",tblVerifyShifts[[#This Row],[Line]]=$E$44),OR($E$45="",tblVerifyShifts[[#This Row],[Product]]=$E$45)),tblVerifyShifts[[#This Row],[Date]],""))</f>
        <v>46028</v>
      </c>
      <c r="X61" s="64"/>
    </row>
  </sheetData>
  <sheetProtection sheet="1" formatColumns="0" formatRows="0"/>
  <mergeCells count="46">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B38:L38"/>
    <mergeCell ref="B40:L40"/>
    <mergeCell ref="B41:F41"/>
    <mergeCell ref="B42:D42"/>
    <mergeCell ref="B43:D43"/>
    <mergeCell ref="B44:D44"/>
    <mergeCell ref="E44:F44"/>
    <mergeCell ref="B45:D45"/>
    <mergeCell ref="E45:F45"/>
    <mergeCell ref="B46:D46"/>
    <mergeCell ref="B48:L48"/>
    <mergeCell ref="B55:L5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51:U53">
    <cfRule type="expression" dxfId="3" priority="41">
      <formula>$U51="OK"</formula>
    </cfRule>
    <cfRule type="expression" dxfId="1" priority="42">
      <formula>AND($U51&lt;&gt;"",$U51&lt;&gt;"OK")</formula>
    </cfRule>
  </conditionalFormatting>
  <conditionalFormatting sqref="V58:V61">
    <cfRule type="expression" dxfId="3" priority="43">
      <formula>$V58="OK"</formula>
    </cfRule>
    <cfRule type="expression" dxfId="1" priority="44">
      <formula>AND($V58&lt;&gt;"",$V58&lt;&gt;"OK")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Labor Cost&amp;R&amp;8&amp;A</oddHeader>
    <oddFooter>&amp;L&amp;8mfgcalcs.com - free manufacturing templates&amp;R&amp;8Page &amp;P of &amp;N</oddFooter>
  </headerFooter>
  <rowBreaks count="1" manualBreakCount="1">
    <brk id="54"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23</vt:i4>
      </vt:variant>
    </vt:vector>
  </HeadingPairs>
  <TitlesOfParts>
    <vt:vector size="30" baseType="lpstr">
      <vt:lpstr>Start Here</vt:lpstr>
      <vt:lpstr>Setup</vt:lpstr>
      <vt:lpstr>Labour Rates</vt:lpstr>
      <vt:lpstr>Shift Log</vt:lpstr>
      <vt:lpstr>Dashboard</vt:lpstr>
      <vt:lpstr>Method</vt:lpstr>
      <vt:lpstr>Verify</vt:lpstr>
      <vt:lpstr>CoName</vt:lpstr>
      <vt:lpstr>Currency</vt:lpstr>
      <vt:lpstr>DashFrom</vt:lpstr>
      <vt:lpstr>DashLine</vt:lpstr>
      <vt:lpstr>DashProduct</vt:lpstr>
      <vt:lpstr>DashTo</vt:lpstr>
      <vt:lpstr>KpiCost</vt:lpstr>
      <vt:lpstr>KpiEff</vt:lpstr>
      <vt:lpstr>KpiPayroll</vt:lpstr>
      <vt:lpstr>KpiVar</vt:lpstr>
      <vt:lpstr>Dashboard!Print_Area</vt:lpstr>
      <vt:lpstr>'Labour Rates'!Print_Area</vt:lpstr>
      <vt:lpstr>Method!Print_Area</vt:lpstr>
      <vt:lpstr>Setup!Print_Area</vt:lpstr>
      <vt:lpstr>'Shift Log'!Print_Area</vt:lpstr>
      <vt:lpstr>'Start Here'!Print_Area</vt:lpstr>
      <vt:lpstr>Verify!Print_Area</vt:lpstr>
      <vt:lpstr>'Labour Rates'!Print_Titles</vt:lpstr>
      <vt:lpstr>Method!Print_Titles</vt:lpstr>
      <vt:lpstr>'Shift Log'!Print_Titles</vt:lpstr>
      <vt:lpstr>SelfCheck</vt:lpstr>
      <vt:lpstr>SelfCheckSummary</vt:lpstr>
      <vt:lpstr>TargetEff</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Labor Cost - free Excel template from MFG Calcs</dc:title>
  <dc:subject>Build the real hourly cost of every role from wage, premiums, taxes, benefits and paid absence, and track labour cost per good unit shift by shift against the routing standard.</dc:subject>
  <dc:creator>MFG Calcs</dc:creator>
  <cp:keywords>labor cost, labour cost, burdened labor rate, loaded labour rate, labour cost per unit, labour efficiency, labour variance, payroll burden</cp:keywords>
  <dc:description>https://www.mfgcalcs.com/templates/labor-cost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labor-cost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https://www.mfgcalcs.com/templates/labor-cost</vt:lpwstr>
  </property>
  <property fmtid="{D5CDD505-2E9C-101B-9397-08002B2CF9AE}" pid="7" name="Template sheet roles">
    <vt:lpwstr>Start Here=start;Setup=setup;Labour Rates=work;Shift Log=work;Dashboard=dashboard;Method=method;Verify=verify</vt:lpwstr>
  </property>
</Properties>
</file>