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Labor Log" sheetId="3" r:id="rId3"/>
    <sheet name="Paid Hours" sheetId="4" r:id="rId4"/>
    <sheet name="Dashboard" sheetId="5" r:id="rId5"/>
    <sheet name="Method" sheetId="6" r:id="rId6"/>
    <sheet name="Verify" sheetId="7" r:id="rId7"/>
  </sheets>
  <definedNames>
    <definedName name="Cells">tblCells[Cell]</definedName>
    <definedName name="Currency">Setup!$C$7</definedName>
    <definedName name="DashCell">Dashboard!$C$4</definedName>
    <definedName name="DashFrom">Dashboard!$G$4</definedName>
    <definedName name="DashTo">Dashboard!$K$4</definedName>
    <definedName name="FFrom">IF(DashFrom="",0,DashFrom)</definedName>
    <definedName name="FTo">IF(DashTo="",2958465,DashTo)</definedName>
    <definedName name="HighEff">Setup!$C$12</definedName>
    <definedName name="KpiActual">Dashboard!$D$30</definedName>
    <definedName name="KpiEarned">Dashboard!$B$30</definedName>
    <definedName name="KpiEff">Dashboard!$B$8</definedName>
    <definedName name="KpiIndirect">Dashboard!$G$30</definedName>
    <definedName name="KpiLost">Dashboard!$J$8</definedName>
    <definedName name="KpiLowCell">Dashboard!$J$30</definedName>
    <definedName name="KpiProd">Dashboard!$G$8</definedName>
    <definedName name="KpiUtil">Dashboard!$D$8</definedName>
    <definedName name="LaborRate">Setup!$C$8</definedName>
    <definedName name="Operations">tblOperations[Operation]</definedName>
    <definedName name="PlantName">Setup!$C$6</definedName>
    <definedName name="_xlnm.Print_Area" localSheetId="4">Dashboard!$A$1:$L$82</definedName>
    <definedName name="_xlnm.Print_Area" localSheetId="2">'Labor Log'!$A$1:$O$173</definedName>
    <definedName name="_xlnm.Print_Area" localSheetId="5">Method!$A$1:$D$59</definedName>
    <definedName name="_xlnm.Print_Area" localSheetId="3">'Paid Hours'!$A$1:$N$157</definedName>
    <definedName name="_xlnm.Print_Area" localSheetId="1">Setup!$A$1:$E$44</definedName>
    <definedName name="_xlnm.Print_Area" localSheetId="0">'Start Here'!$A$1:$F$57</definedName>
    <definedName name="_xlnm.Print_Area" localSheetId="6">Verify!$A$1:$O$58</definedName>
    <definedName name="_xlnm.Print_Titles" localSheetId="2">'Labor Log'!$1:$5</definedName>
    <definedName name="_xlnm.Print_Titles" localSheetId="5">Method!$1:$2</definedName>
    <definedName name="_xlnm.Print_Titles" localSheetId="3">'Paid Hours'!$1:$5</definedName>
    <definedName name="SelfCheck">Verify!$D$4</definedName>
    <definedName name="SelfCheckSummary">Verify!$F$4</definedName>
    <definedName name="ShiftList">tblShiftList[Shift]</definedName>
    <definedName name="TargetEff">Setup!$C$9</definedName>
    <definedName name="TargetProd">Setup!$C$11</definedName>
    <definedName name="TargetUtil">Setup!$C$10</definedName>
  </definedNames>
  <calcPr calcId="124519" fullCalcOnLoad="1"/>
</workbook>
</file>

<file path=xl/sharedStrings.xml><?xml version="1.0" encoding="utf-8"?>
<sst xmlns="http://schemas.openxmlformats.org/spreadsheetml/2006/main" count="1464" uniqueCount="283">
  <si>
    <t>Labor Efficiency Tracker</t>
  </si>
  <si>
    <t>Read this first: what the workbook does and how to use it.</t>
  </si>
  <si>
    <t>mfgcalcs.com</t>
  </si>
  <si>
    <t>Log output and hours by cell and shift, and see labor efficiency, utilization, productivity and the hours lost against standard update as you type.</t>
  </si>
  <si>
    <t>For: Production supervisors, industrial and manufacturing engineers, operations managers and plant controllers.</t>
  </si>
  <si>
    <t>Version 1.0.0  ·  updated 15 October 2026</t>
  </si>
  <si>
    <t>Quick start</t>
  </si>
  <si>
    <t>1.</t>
  </si>
  <si>
    <t>On Setup, type your plant name, currency, labor rate and targets, then replace the example cells, shifts and operations (each with its standard minutes per unit).</t>
  </si>
  <si>
    <t>2.</t>
  </si>
  <si>
    <t>On Labor Log, add one row per operation a cell ran in a shift: good units and person-hours.</t>
  </si>
  <si>
    <t>3.</t>
  </si>
  <si>
    <t>On Paid Hours (optional), type the paid person-hours per cell and shift for utilization.</t>
  </si>
  <si>
    <t>4.</t>
  </si>
  <si>
    <t>Read the Check columns: anything other than OK names the problem in words.</t>
  </si>
  <si>
    <t>5.</t>
  </si>
  <si>
    <t>Open the Dashboard and use the cell and date filters to review one cell or one week.</t>
  </si>
  <si>
    <t>What is in this workbook</t>
  </si>
  <si>
    <t>Start Here</t>
  </si>
  <si>
    <t>Setup</t>
  </si>
  <si>
    <t>Your plant, currency, targets and the dropdown lists.</t>
  </si>
  <si>
    <t>Labor Log</t>
  </si>
  <si>
    <t>One row per operation a cell ran in a shift: good units and the person-hours worked on them.</t>
  </si>
  <si>
    <t>Paid Hours</t>
  </si>
  <si>
    <t>Optional: paid person-hours per cell and shift. Direct and earned hours come from the Labor Log.</t>
  </si>
  <si>
    <t>Dashboard</t>
  </si>
  <si>
    <t>Labor efficiency, utilization and productivity against your targets, for the cell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</si>
  <si>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</si>
  <si>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</si>
  <si>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</si>
  <si>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</si>
  <si>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</si>
  <si>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</si>
  <si>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</si>
  <si>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</si>
  <si>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</si>
  <si>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</si>
  <si>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</si>
  <si>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</si>
  <si>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</si>
  <si>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</si>
  <si>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</si>
  <si>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</si>
  <si>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</si>
  <si>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</si>
  <si>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</si>
  <si>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</si>
  <si>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Labor Efficiency Calculator on mfgcalcs.com</t>
  </si>
  <si>
    <t>Latest version</t>
  </si>
  <si>
    <t>mfgcalcs.com/templates/labor-efficiency-tracker</t>
  </si>
  <si>
    <t>More free templates</t>
  </si>
  <si>
    <t>mfgcalcs.com/templates</t>
  </si>
  <si>
    <t>Version</t>
  </si>
  <si>
    <t>1.0.0 (updated 15 October 2026)</t>
  </si>
  <si>
    <t>About the example data</t>
  </si>
  <si>
    <t>Every number already in this workbook is example data for Ensambles del Bajío, a fictional business invented for this template, so the dashboard and charts show something meaningful on day one. It covers four wire-harness cells on two shifts over four weeks (31 August to 25 September 2026, with 16 September a public holiday),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</si>
  <si>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</si>
  <si>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</si>
  <si>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</si>
  <si>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</si>
  <si>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</si>
  <si>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</si>
  <si>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</si>
  <si>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</si>
  <si>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Cell</t>
  </si>
  <si>
    <t>Area</t>
  </si>
  <si>
    <t>Description</t>
  </si>
  <si>
    <t>Shift</t>
  </si>
  <si>
    <t>Hours</t>
  </si>
  <si>
    <t>Notes</t>
  </si>
  <si>
    <t>Operation</t>
  </si>
  <si>
    <t>Std (min/unit)</t>
  </si>
  <si>
    <t>Plant, rate and targets</t>
  </si>
  <si>
    <t>Plant or department</t>
  </si>
  <si>
    <t>Ensambles del Bajío (example)</t>
  </si>
  <si>
    <t>Currency label</t>
  </si>
  <si>
    <t>MXN</t>
  </si>
  <si>
    <t>Loaded labor rate</t>
  </si>
  <si>
    <t>Labor efficiency target</t>
  </si>
  <si>
    <t>Utilization target</t>
  </si>
  <si>
    <t>Productivity target (implied)</t>
  </si>
  <si>
    <t>Flag rows above this efficiency</t>
  </si>
  <si>
    <t>Targets are yours to set. 'Near target' means within 5% of the target (85.5% to 90% against a 90% efficiency target). The productivity target is the efficiency target x the utilization target.</t>
  </si>
  <si>
    <t>Lists that feed the dropdowns</t>
  </si>
  <si>
    <t>Edit, add or remove rows; every dropdown reads these lists. Keep names unique and rename with care: log rows that use an old name stop matching, and their Check column says so.</t>
  </si>
  <si>
    <t>Cells (work centers or crews)</t>
  </si>
  <si>
    <t>Cut and crimp</t>
  </si>
  <si>
    <t>Preparation</t>
  </si>
  <si>
    <t>Automatic cut, strip and crimp machines; machine-paced</t>
  </si>
  <si>
    <t>Board line A</t>
  </si>
  <si>
    <t>Assembly</t>
  </si>
  <si>
    <t>Harness boards for the HX family</t>
  </si>
  <si>
    <t>Board line B</t>
  </si>
  <si>
    <t>Harness boards for door and battery harnesses</t>
  </si>
  <si>
    <t>Test and pack</t>
  </si>
  <si>
    <t>Final</t>
  </si>
  <si>
    <t>Electrical test, visual check and packing</t>
  </si>
  <si>
    <t>Shifts</t>
  </si>
  <si>
    <t>1st</t>
  </si>
  <si>
    <t>06:00 to 14:30</t>
  </si>
  <si>
    <t>7.5 paid hours per person; 30 min meal not paid</t>
  </si>
  <si>
    <t>2nd</t>
  </si>
  <si>
    <t>14:30 to 23:00</t>
  </si>
  <si>
    <t>Operations and their labor standards (routing)</t>
  </si>
  <si>
    <t>HX-210 cut and crimp</t>
  </si>
  <si>
    <t>Engine harness, 46 circuits</t>
  </si>
  <si>
    <t>HX-340 cut and crimp</t>
  </si>
  <si>
    <t>Body harness, 64 circuits</t>
  </si>
  <si>
    <t>DL-118 cut and crimp</t>
  </si>
  <si>
    <t>Door harness, 28 circuits</t>
  </si>
  <si>
    <t>TB-055 cut and crimp</t>
  </si>
  <si>
    <t>Battery cable, 2 leads</t>
  </si>
  <si>
    <t>HX-210 board build</t>
  </si>
  <si>
    <t>Route, tape and clip on the board</t>
  </si>
  <si>
    <t>HX-340 board build</t>
  </si>
  <si>
    <t>DL-118 board build</t>
  </si>
  <si>
    <t>TB-055 assembly</t>
  </si>
  <si>
    <t>Boot, label and coil</t>
  </si>
  <si>
    <t>HX-210 test and pack</t>
  </si>
  <si>
    <t>Continuity test, 8 per carton</t>
  </si>
  <si>
    <t>HX-340 test and pack</t>
  </si>
  <si>
    <t>Continuity test, 6 per carton</t>
  </si>
  <si>
    <t>DL-118 test and pack</t>
  </si>
  <si>
    <t>Continuity test, 20 per carton</t>
  </si>
  <si>
    <t>TB-055 test and pack</t>
  </si>
  <si>
    <t>Visual check, 50 per carton</t>
  </si>
  <si>
    <t>Date</t>
  </si>
  <si>
    <t>Good units</t>
  </si>
  <si>
    <t>Actual hours (person-h)</t>
  </si>
  <si>
    <t>Earned hours (person-h)</t>
  </si>
  <si>
    <t>Efficiency</t>
  </si>
  <si>
    <t>Efficiency status</t>
  </si>
  <si>
    <t>Gap to standard (person-h)</t>
  </si>
  <si>
    <t>View date</t>
  </si>
  <si>
    <t>Check</t>
  </si>
  <si>
    <t>Example data for Ensambles del Bajío (fictional). Replace it with your own: select the example rows, right-click, Delete &gt; Table Rows. Yellow = you type; blue = calculated; Check names any problem.</t>
  </si>
  <si>
    <t/>
  </si>
  <si>
    <t>Paid hours (person-h)</t>
  </si>
  <si>
    <t>Direct hours (person-h)</t>
  </si>
  <si>
    <t>Indirect hours (person-h)</t>
  </si>
  <si>
    <t>Utilization</t>
  </si>
  <si>
    <t>Productivity</t>
  </si>
  <si>
    <t>Utilization status</t>
  </si>
  <si>
    <t>Example data for Ensambles del Bajío (fictional). Optional: leave this sheet empty and efficiency still works; utilization and productivity need it. One row per cell per shift.</t>
  </si>
  <si>
    <t>Monday team meeting (indirect)</t>
  </si>
  <si>
    <t>Monday team meeting (indirect); One absent</t>
  </si>
  <si>
    <t>One absent</t>
  </si>
  <si>
    <t>Waited for harness clips (shortage); One absent</t>
  </si>
  <si>
    <t>Waited for harness clips (shortage)</t>
  </si>
  <si>
    <t>From</t>
  </si>
  <si>
    <t>To</t>
  </si>
  <si>
    <t>LABOR EFFICIENCY</t>
  </si>
  <si>
    <t>UTILIZATION</t>
  </si>
  <si>
    <t>PRODUCTIVITY</t>
  </si>
  <si>
    <t>(Actual - earned hours) x labor rate</t>
  </si>
  <si>
    <t>EARNED STANDARD HOURS</t>
  </si>
  <si>
    <t>ACTUAL (DIRECT) HOURS</t>
  </si>
  <si>
    <t>INDIRECT HOURS</t>
  </si>
  <si>
    <t>LOWEST-EFFICIENCY CELL</t>
  </si>
  <si>
    <t>Good units x standard minutes / 60</t>
  </si>
  <si>
    <t>Person-hours on the Labor Log</t>
  </si>
  <si>
    <t>Paid - direct, on Paid Hours</t>
  </si>
  <si>
    <t>See By cell below</t>
  </si>
  <si>
    <t>Weekly summary (last 4 weeks in view, oldest first)</t>
  </si>
  <si>
    <t>Week starting (Mon)</t>
  </si>
  <si>
    <t>Earned (h)</t>
  </si>
  <si>
    <t>Actual (h)</t>
  </si>
  <si>
    <t>Paid (h)</t>
  </si>
  <si>
    <t>Efficiency target</t>
  </si>
  <si>
    <t>Efficiency by shift and week (the chart's data)</t>
  </si>
  <si>
    <t>Shift / week starting</t>
  </si>
  <si>
    <t>By cell</t>
  </si>
  <si>
    <t>Gap to standard (h)</t>
  </si>
  <si>
    <t>Where paid hours went, by cell (chart data, Paid Hours rows only)</t>
  </si>
  <si>
    <t>Indirect (h)</t>
  </si>
  <si>
    <t>Indirect share of paid</t>
  </si>
  <si>
    <t>By shift</t>
  </si>
  <si>
    <t>By operation (a standard far from 100% in every week may need a new time study)</t>
  </si>
  <si>
    <t>The Dashboard shows the 4 cells, 2 shifts and 12 operations of the Setup lists. If you add more, extend the By cell, By shift and By operation blocks (see Method) or they will not appear here. Where a cell beats standard (efficiency above 100%), its earned hours exceed its direct hours and the bar is longer than paid hours.</t>
  </si>
  <si>
    <t>What this workbook calculates</t>
  </si>
  <si>
    <t>Labor efficiency compares the standard hours your output earned with the hours actually worked to make it. Each Labor Log row turns good units into earned hours with the operation's standard minutes per unit; efficiency is earned / actual hours. Paid Hours adds the attended time of each cell and shift, so utilization (direct / paid hours) and productivity (earned / paid hours) show how much paid time went to measured work at all. Efficiency x utilization = productivity whenever every Labor Log row has its Paid Hours row. Every Dashboard figure is a ratio of sums, never an average of percentages.</t>
  </si>
  <si>
    <t>Calculations</t>
  </si>
  <si>
    <t>Quantity</t>
  </si>
  <si>
    <t>How it is calculated</t>
  </si>
  <si>
    <t>Units</t>
  </si>
  <si>
    <t>Standard minutes per unit</t>
  </si>
  <si>
    <t>Looked up from the Operations list on Setup by operation (INDEX/MATCH): person-minutes of labor per good unit.</t>
  </si>
  <si>
    <t>min/unit</t>
  </si>
  <si>
    <t>Actual hours</t>
  </si>
  <si>
    <t>Typed per Labor Log row: person-hours worked on the operation (people x hours), indirect time left out.</t>
  </si>
  <si>
    <t>person-h</t>
  </si>
  <si>
    <t>Earned hours</t>
  </si>
  <si>
    <t>Good units x standard minutes per unit / 60.</t>
  </si>
  <si>
    <t>Labor efficiency</t>
  </si>
  <si>
    <t>Earned hours / actual hours. Over several rows: sum of earned / sum of actual.</t>
  </si>
  <si>
    <t>%</t>
  </si>
  <si>
    <t>Gap to standard</t>
  </si>
  <si>
    <t>Actual hours - earned hours. Positive = hours lost against standard; negative = ahead of standard.</t>
  </si>
  <si>
    <t>Paid hours</t>
  </si>
  <si>
    <t>Typed per Paid Hours row: person-hours paid for the cell in the shift.</t>
  </si>
  <si>
    <t>Direct and earned hours (Paid Hours)</t>
  </si>
  <si>
    <t>SUMIFS of the Labor Log actual and earned hours with the same date, shift and cell.</t>
  </si>
  <si>
    <t>Indirect hours</t>
  </si>
  <si>
    <t>Paid hours - direct hours.</t>
  </si>
  <si>
    <t>Direct hours / paid hours.</t>
  </si>
  <si>
    <t>Earned hours / paid hours = efficiency x utilization. Its target is the efficiency target x the utilization target.</t>
  </si>
  <si>
    <t>Value of hours lost</t>
  </si>
  <si>
    <t>(Actual - earned hours) x the loaded labor rate on Setup. An estimate in your currency; negative when ahead of standard.</t>
  </si>
  <si>
    <t>currency</t>
  </si>
  <si>
    <t>On target at or above the target; Near target within 5% below it; Below target otherwise.</t>
  </si>
  <si>
    <t>-</t>
  </si>
  <si>
    <t>Dashboard roll-ups</t>
  </si>
  <si>
    <t>SUMIFS over the log columns for rows whose View date is filled in (inside the cell and date filters), e.g. efficiency = SUMIFS(earned) / SUMIFS(actual).</t>
  </si>
  <si>
    <t>Assumptions</t>
  </si>
  <si>
    <t>Standards are person-minutes of labor per good unit at each operation; scrapped units earn nothing.</t>
  </si>
  <si>
    <t>Actual hours on the Labor Log are hours on measured work only; meetings, training, waiting and cleaning stay off it and show up as indirect time.</t>
  </si>
  <si>
    <t>Paid Hours rows cover the same people as the Labor Log rows of that cell and shift.</t>
  </si>
  <si>
    <t>Limitations</t>
  </si>
  <si>
    <t>Efficiency is only as good as the standards: a loose standard flatters a cell and a tight one punishes it. The By operation table shows standards that are always far from 100%.</t>
  </si>
  <si>
    <t>Indirect time is not split by reason; log reasons in your own system if you need a Pareto of it.</t>
  </si>
  <si>
    <t>Efficiency is a measure of the method and the standard for the mix made, not of individual effort; use it to find process problems, not to rank people.</t>
  </si>
  <si>
    <t>The Dashboard has fixed blocks for 4 cells, 2 shifts and 12 operations; longer lists need the blocks extended (a warning appears on the Dashboard).</t>
  </si>
  <si>
    <t>Agreement with the live calculator</t>
  </si>
  <si>
    <t>For one Labor Log row, or for any total, this workbook and the live Labor Efficiency calculator use the same formula: labor efficiency = earned standard hours / actual worked hours, and the gap to target is the target minus the efficiency, in percentage points. The calculator takes the hours as totals; this workbook builds earned hours from good units and standards, adds utilization and productivity from paid hours, and keeps the logs and the Dashboard. The template's reference implementation is checked against the calculator's engine for the calculator's own example (340 earned hours, 400 worked hours, 90% target: efficiency 85%) and for the shipped example data on every build.</t>
  </si>
  <si>
    <t>Open the Labor Efficiency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</si>
  <si>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</si>
  <si>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</si>
  <si>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Niebel's Methods, Standards, and Work Design (Freivalds and Niebel): standard time, earned hours and labor efficiency, by definition.</t>
  </si>
  <si>
    <t>Maynard's Industrial Engineering Handbook: labor performance, utilization and productivity measures.</t>
  </si>
  <si>
    <t>MFG Calcs Labor Efficiency calculator (labor-efficiency): the same efficiency formula for one period.</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</si>
  <si>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</si>
  <si>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</si>
  <si>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</si>
  <si>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</si>
  <si>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</si>
  <si>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</si>
  <si>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</si>
  <si>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</si>
  <si>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</si>
  <si>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</si>
  <si>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</si>
  <si>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</si>
  <si>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</si>
  <si>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</si>
  <si>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</si>
  <si>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Labor row 1 (calculator example): earned hours</t>
  </si>
  <si>
    <t>Labor row 1 (calculator example): efficiency</t>
  </si>
  <si>
    <t>Labor row 1: status against a 90% target</t>
  </si>
  <si>
    <t>Below target</t>
  </si>
  <si>
    <t>exact</t>
  </si>
  <si>
    <t>Labor row 2: efficiency</t>
  </si>
  <si>
    <t>Labor row 2: gap to standard</t>
  </si>
  <si>
    <t>Labor row 3: efficiency above standard</t>
  </si>
  <si>
    <t>Labor row 4: Check flags efficiency above 130%</t>
  </si>
  <si>
    <t>Above high-efficiency flag</t>
  </si>
  <si>
    <t>Paid row 1: direct hours summed from the Labor Log</t>
  </si>
  <si>
    <t>Paid row 1: indirect hours</t>
  </si>
  <si>
    <t>Paid row 1: utilization</t>
  </si>
  <si>
    <t>Paid row 1: productivity</t>
  </si>
  <si>
    <t>Paid row 2: utilization</t>
  </si>
  <si>
    <t>Paid row 4: Check reports no Labor Log rows</t>
  </si>
  <si>
    <t>No Labor Log rows</t>
  </si>
  <si>
    <t>All rows: labor efficiency (Dashboard formula)</t>
  </si>
  <si>
    <t>All rows: utilization (Dashboard formula)</t>
  </si>
  <si>
    <t>All rows: productivity (Dashboard formula)</t>
  </si>
  <si>
    <t>All rows: efficiency x utilization = productivity</t>
  </si>
  <si>
    <t>Fixed test inputs</t>
  </si>
  <si>
    <t>White cells are fixed test inputs; blue cells are the workbook's formulas evaluated on them.</t>
  </si>
  <si>
    <t>Parameters</t>
  </si>
  <si>
    <t>Filter: from (0 = no limit)</t>
  </si>
  <si>
    <t>Filter: to (2958465 = no limit)</t>
  </si>
  <si>
    <t>Filter: cell (blank = all)</t>
  </si>
  <si>
    <t>Productivity target</t>
  </si>
  <si>
    <t>High-efficiency flag</t>
  </si>
  <si>
    <t>Test table: Cells</t>
  </si>
  <si>
    <t>Cell 1</t>
  </si>
  <si>
    <t>Test</t>
  </si>
  <si>
    <t>Cell 2</t>
  </si>
  <si>
    <t>Test table: Labor</t>
  </si>
  <si>
    <t>Op A</t>
  </si>
  <si>
    <t>Op B</t>
  </si>
  <si>
    <t>Op C</t>
  </si>
  <si>
    <t>Test table: Paid</t>
  </si>
</sst>
</file>

<file path=xl/styles.xml><?xml version="1.0" encoding="utf-8"?>
<styleSheet xmlns="http://schemas.openxmlformats.org/spreadsheetml/2006/main">
  <numFmts count="9">
    <numFmt numFmtId="164" formatCode="#,##0.00"/>
    <numFmt numFmtId="165" formatCode="0.0%"/>
    <numFmt numFmtId="166" formatCode="d mmm yyyy"/>
    <numFmt numFmtId="167" formatCode="#,##0"/>
    <numFmt numFmtId="168" formatCode="+#,##0.0;-#,##0.0;0.0"/>
    <numFmt numFmtId="169" formatCode="&quot;Target &quot;0.0%"/>
    <numFmt numFmtId="170" formatCode="#,##0.0"/>
    <numFmt numFmtId="171" formatCode="d mmm"/>
    <numFmt numFmtId="172"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166"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170"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166" fontId="9" fillId="0" borderId="9" xfId="0" applyNumberFormat="1" applyFont="1" applyBorder="1" applyAlignment="1">
      <alignment vertical="center"/>
    </xf>
    <xf numFmtId="170" fontId="10" fillId="4" borderId="3" xfId="0" applyNumberFormat="1" applyFont="1" applyFill="1" applyBorder="1" applyAlignment="1">
      <alignment vertical="center"/>
    </xf>
    <xf numFmtId="165" fontId="10" fillId="0" borderId="9" xfId="0" applyNumberFormat="1" applyFont="1" applyBorder="1" applyAlignment="1">
      <alignment vertical="center"/>
    </xf>
    <xf numFmtId="171" fontId="18" fillId="2" borderId="5" xfId="0" applyNumberFormat="1" applyFont="1" applyFill="1" applyBorder="1" applyAlignment="1">
      <alignment horizontal="center" vertical="center" wrapText="1"/>
    </xf>
    <xf numFmtId="0" fontId="9" fillId="0" borderId="9" xfId="0" applyFont="1" applyBorder="1" applyAlignment="1">
      <alignment vertical="center"/>
    </xf>
    <xf numFmtId="165" fontId="10" fillId="4" borderId="3" xfId="0" applyNumberFormat="1" applyFont="1" applyFill="1" applyBorder="1" applyAlignment="1">
      <alignment horizontal="center" vertical="center"/>
    </xf>
    <xf numFmtId="167"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7"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Labor efficiency by week and shift</a:t>
            </a:r>
          </a:p>
        </c:rich>
      </c:tx>
      <c:layout/>
    </c:title>
    <c:plotArea>
      <c:layout/>
      <c:barChart>
        <c:barDir val="col"/>
        <c:grouping val="clustered"/>
        <c:ser>
          <c:idx val="0"/>
          <c:order val="0"/>
          <c:tx>
            <c:strRef>
              <c:f>Dashboard!$B$44</c:f>
              <c:strCache>
                <c:ptCount val="1"/>
                <c:pt idx="0">
                  <c:v>1st</c:v>
                </c:pt>
              </c:strCache>
            </c:strRef>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Dashboard!$B$37:$B$40</c:f>
              <c:numCache>
                <c:formatCode>General</c:formatCode>
                <c:ptCount val="4"/>
                <c:pt idx="0">
                  <c:v>46265</c:v>
                </c:pt>
                <c:pt idx="1">
                  <c:v>46272</c:v>
                </c:pt>
                <c:pt idx="2">
                  <c:v>46279</c:v>
                </c:pt>
                <c:pt idx="3">
                  <c:v>46286</c:v>
                </c:pt>
              </c:numCache>
            </c:numRef>
          </c:cat>
          <c:val>
            <c:numRef>
              <c:f>Dashboard!$C$44:$F$44</c:f>
              <c:numCache>
                <c:formatCode>General</c:formatCode>
                <c:ptCount val="4"/>
                <c:pt idx="0">
                  <c:v>0.930612111292962</c:v>
                </c:pt>
                <c:pt idx="1">
                  <c:v>0.925784185233727</c:v>
                </c:pt>
                <c:pt idx="2">
                  <c:v>0.926256714729997</c:v>
                </c:pt>
                <c:pt idx="3">
                  <c:v>0.923957002979992</c:v>
                </c:pt>
              </c:numCache>
            </c:numRef>
          </c:val>
        </c:ser>
        <c:ser>
          <c:idx val="1"/>
          <c:order val="1"/>
          <c:tx>
            <c:strRef>
              <c:f>Dashboard!$B$45</c:f>
              <c:strCache>
                <c:ptCount val="1"/>
                <c:pt idx="0">
                  <c:v>2nd</c:v>
                </c:pt>
              </c:strCache>
            </c:strRef>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Dashboard!$B$37:$B$40</c:f>
              <c:numCache>
                <c:formatCode>General</c:formatCode>
                <c:ptCount val="4"/>
                <c:pt idx="0">
                  <c:v>46265</c:v>
                </c:pt>
                <c:pt idx="1">
                  <c:v>46272</c:v>
                </c:pt>
                <c:pt idx="2">
                  <c:v>46279</c:v>
                </c:pt>
                <c:pt idx="3">
                  <c:v>46286</c:v>
                </c:pt>
              </c:numCache>
            </c:numRef>
          </c:cat>
          <c:val>
            <c:numRef>
              <c:f>Dashboard!$C$45:$F$45</c:f>
              <c:numCache>
                <c:formatCode>General</c:formatCode>
                <c:ptCount val="4"/>
                <c:pt idx="0">
                  <c:v>0.841406044678055</c:v>
                </c:pt>
                <c:pt idx="1">
                  <c:v>0.852698829449732</c:v>
                </c:pt>
                <c:pt idx="2">
                  <c:v>0.871575456053068</c:v>
                </c:pt>
                <c:pt idx="3">
                  <c:v>0.894458984998404</c:v>
                </c:pt>
              </c:numCache>
            </c:numRef>
          </c:val>
        </c:ser>
        <c:gapWidth val="60"/>
        <c:overlap val="-10"/>
        <c:axId val="50010001"/>
        <c:axId val="50010002"/>
      </c:barChart>
      <c:lineChart>
        <c:grouping val="standard"/>
        <c:ser>
          <c:idx val="2"/>
          <c:order val="2"/>
          <c:tx>
            <c:v>Target</c:v>
          </c:tx>
          <c:spPr>
            <a:ln w="19050">
              <a:solidFill>
                <a:srgbClr val="4A5361"/>
              </a:solidFill>
              <a:prstDash val="dash"/>
            </a:ln>
          </c:spPr>
          <c:marker>
            <c:symbol val="none"/>
          </c:marker>
          <c:cat>
            <c:numRef>
              <c:f>Dashboard!$B$37:$B$40</c:f>
              <c:numCache>
                <c:formatCode>General</c:formatCode>
                <c:ptCount val="4"/>
                <c:pt idx="0">
                  <c:v>46265</c:v>
                </c:pt>
                <c:pt idx="1">
                  <c:v>46272</c:v>
                </c:pt>
                <c:pt idx="2">
                  <c:v>46279</c:v>
                </c:pt>
                <c:pt idx="3">
                  <c:v>46286</c:v>
                </c:pt>
              </c:numCache>
            </c:numRef>
          </c:cat>
          <c:val>
            <c:numRef>
              <c:f>Dashboard!$I$37:$I$40</c:f>
              <c:numCache>
                <c:formatCode>General</c:formatCode>
                <c:ptCount val="4"/>
                <c:pt idx="0">
                  <c:v>0.9</c:v>
                </c:pt>
                <c:pt idx="1">
                  <c:v>0.9</c:v>
                </c:pt>
                <c:pt idx="2">
                  <c:v>0.9</c:v>
                </c:pt>
                <c:pt idx="3">
                  <c:v>0.9</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paid hours went, by cell (person-hours)</a:t>
            </a:r>
          </a:p>
        </c:rich>
      </c:tx>
      <c:layout/>
    </c:title>
    <c:plotArea>
      <c:layout/>
      <c:barChart>
        <c:barDir val="bar"/>
        <c:grouping val="stacked"/>
        <c:ser>
          <c:idx val="0"/>
          <c:order val="0"/>
          <c:tx>
            <c:v>Earned standard hours</c:v>
          </c:tx>
          <c:spPr>
            <a:solidFill>
              <a:srgbClr val="3B64D8"/>
            </a:solidFill>
            <a:ln w="9525">
              <a:solidFill>
                <a:srgbClr val="FFFFFF"/>
              </a:solidFill>
            </a:ln>
          </c:spPr>
          <c:cat>
            <c:strRef>
              <c:f>Dashboard!$B$49:$B$52</c:f>
              <c:strCache>
                <c:ptCount val="4"/>
                <c:pt idx="0">
                  <c:v>Cut and crimp</c:v>
                </c:pt>
                <c:pt idx="1">
                  <c:v>Board line A</c:v>
                </c:pt>
                <c:pt idx="2">
                  <c:v>Board line B</c:v>
                </c:pt>
                <c:pt idx="3">
                  <c:v>Test and pack</c:v>
                </c:pt>
              </c:strCache>
            </c:strRef>
          </c:cat>
          <c:val>
            <c:numRef>
              <c:f>Dashboard!$D$56:$D$59</c:f>
              <c:numCache>
                <c:formatCode>General</c:formatCode>
                <c:ptCount val="4"/>
                <c:pt idx="0">
                  <c:v>943.256666666667</c:v>
                </c:pt>
                <c:pt idx="1">
                  <c:v>1795.65833333333</c:v>
                </c:pt>
                <c:pt idx="2">
                  <c:v>1438.19166666667</c:v>
                </c:pt>
                <c:pt idx="3">
                  <c:v>1025.50666666667</c:v>
                </c:pt>
              </c:numCache>
            </c:numRef>
          </c:val>
        </c:ser>
        <c:ser>
          <c:idx val="1"/>
          <c:order val="1"/>
          <c:tx>
            <c:v>Gap to standard</c:v>
          </c:tx>
          <c:spPr>
            <a:solidFill>
              <a:srgbClr val="E8702A"/>
            </a:solidFill>
            <a:ln w="9525">
              <a:solidFill>
                <a:srgbClr val="FFFFFF"/>
              </a:solidFill>
            </a:ln>
          </c:spPr>
          <c:cat>
            <c:strRef>
              <c:f>Dashboard!$B$49:$B$52</c:f>
              <c:strCache>
                <c:ptCount val="4"/>
                <c:pt idx="0">
                  <c:v>Cut and crimp</c:v>
                </c:pt>
                <c:pt idx="1">
                  <c:v>Board line A</c:v>
                </c:pt>
                <c:pt idx="2">
                  <c:v>Board line B</c:v>
                </c:pt>
                <c:pt idx="3">
                  <c:v>Test and pack</c:v>
                </c:pt>
              </c:strCache>
            </c:strRef>
          </c:cat>
          <c:val>
            <c:numRef>
              <c:f>Dashboard!$E$56:$E$59</c:f>
              <c:numCache>
                <c:formatCode>General</c:formatCode>
                <c:ptCount val="4"/>
                <c:pt idx="0">
                  <c:v>35.9933333333333</c:v>
                </c:pt>
                <c:pt idx="1">
                  <c:v>174.091666666667</c:v>
                </c:pt>
                <c:pt idx="2">
                  <c:v>303.308333333333</c:v>
                </c:pt>
                <c:pt idx="3">
                  <c:v>92.2433333333333</c:v>
                </c:pt>
              </c:numCache>
            </c:numRef>
          </c:val>
        </c:ser>
        <c:ser>
          <c:idx val="2"/>
          <c:order val="2"/>
          <c:tx>
            <c:v>Indirect</c:v>
          </c:tx>
          <c:spPr>
            <a:solidFill>
              <a:srgbClr val="1BA37A"/>
            </a:solidFill>
            <a:ln w="9525">
              <a:solidFill>
                <a:srgbClr val="FFFFFF"/>
              </a:solidFill>
            </a:ln>
          </c:spPr>
          <c:cat>
            <c:strRef>
              <c:f>Dashboard!$B$49:$B$52</c:f>
              <c:strCache>
                <c:ptCount val="4"/>
                <c:pt idx="0">
                  <c:v>Cut and crimp</c:v>
                </c:pt>
                <c:pt idx="1">
                  <c:v>Board line A</c:v>
                </c:pt>
                <c:pt idx="2">
                  <c:v>Board line B</c:v>
                </c:pt>
                <c:pt idx="3">
                  <c:v>Test and pack</c:v>
                </c:pt>
              </c:strCache>
            </c:strRef>
          </c:cat>
          <c:val>
            <c:numRef>
              <c:f>Dashboard!$F$56:$F$59</c:f>
              <c:numCache>
                <c:formatCode>General</c:formatCode>
                <c:ptCount val="4"/>
                <c:pt idx="0">
                  <c:v>85.75</c:v>
                </c:pt>
                <c:pt idx="1">
                  <c:v>227.75</c:v>
                </c:pt>
                <c:pt idx="2">
                  <c:v>193.5</c:v>
                </c:pt>
                <c:pt idx="3">
                  <c:v>262.25</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lustered column chart of labor efficiency for each shift in each of the last four weeks in view, with the efficienc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Stacked bar chart splitting each cell's paid person-hours into earned standard hours, the gap to standard and indirect ti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ells" displayName="tblCells" ref="B20:D24" totalsRowShown="0">
  <autoFilter ref="B20:D24"/>
  <tableColumns count="3">
    <tableColumn id="1" name="Cell"/>
    <tableColumn id="2" name="Area"/>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ShiftList" displayName="tblShiftList" ref="B27:D29" totalsRowShown="0">
  <autoFilter ref="B27:D29"/>
  <tableColumns count="3">
    <tableColumn id="1" name="Shift"/>
    <tableColumn id="2" name="Hour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Operations" displayName="tblOperations" ref="B32:E44" totalsRowShown="0">
  <autoFilter ref="B32:E44"/>
  <tableColumns count="4">
    <tableColumn id="1" name="Operation"/>
    <tableColumn id="2" name="Cell"/>
    <tableColumn id="3" name="Notes"/>
    <tableColumn id="4" name="Std (min/unit)"/>
  </tableColumns>
  <tableStyleInfo name="TableStyleLight1" showFirstColumn="0" showLastColumn="0" showRowStripes="0" showColumnStripes="0"/>
</table>
</file>

<file path=xl/tables/table4.xml><?xml version="1.0" encoding="utf-8"?>
<table xmlns="http://schemas.openxmlformats.org/spreadsheetml/2006/main" id="4" name="tblLabor" displayName="tblLabor" ref="B5:O173" totalsRowShown="0">
  <autoFilter ref="B5:O173"/>
  <tableColumns count="14">
    <tableColumn id="1" name="Date"/>
    <tableColumn id="2" name="Shift"/>
    <tableColumn id="3" name="Operation"/>
    <tableColumn id="4" name="Good units"/>
    <tableColumn id="5" name="Actual hours (person-h)"/>
    <tableColumn id="6" name="Cell">
      <calculatedColumnFormula>IF(tblLabor[[#This Row],[Date]]="","",IFERROR(INDEX(tblOperations[Cell],MATCH(tblLabor[[#This Row],[Operation]],tblOperations[Operation],0)),""))</calculatedColumnFormula>
    </tableColumn>
    <tableColumn id="7" name="Std (min/unit)">
      <calculatedColumnFormula>IF(tblLabor[[#This Row],[Date]]="","",IFERROR(INDEX(tblOperations[Std (min/unit)],MATCH(tblLabor[[#This Row],[Operation]],tblOperations[Operation],0)),""))</calculatedColumnFormula>
    </tableColumn>
    <tableColumn id="8" name="Earned hours (person-h)">
      <calculatedColumnFormula>IF(tblLabor[[#This Row],[Date]]="","",IF(tblLabor[[#This Row],[Std (min/unit)]]="","",tblLabor[[#This Row],[Good units]]*tblLabor[[#This Row],[Std (min/unit)]]/60))</calculatedColumnFormula>
    </tableColumn>
    <tableColumn id="9" name="Efficiency">
      <calculatedColumnFormula>IF(tblLabor[[#This Row],[Date]]="","",IF(AND(tblLabor[[#This Row],[Actual hours (person-h)]]&gt;0,ISNUMBER(tblLabor[[#This Row],[Earned hours (person-h)]])),tblLabor[[#This Row],[Earned hours (person-h)]]/tblLabor[[#This Row],[Actual hours (person-h)]],""))</calculatedColumnFormula>
    </tableColumn>
    <tableColumn id="10" name="Efficiency status">
      <calculatedColumnFormula>IF(NOT(ISNUMBER(tblLabor[[#This Row],[Efficiency]])),"",IF(tblLabor[[#This Row],[Efficiency]]&gt;=TargetEff,"On target",IF(tblLabor[[#This Row],[Efficiency]]&gt;=TargetEff*(1-0.05),"Near target","Below target")))</calculatedColumnFormula>
    </tableColumn>
    <tableColumn id="11" name="Gap to standard (person-h)">
      <calculatedColumnFormula>IF(tblLabor[[#This Row],[Date]]="","",IF(ISNUMBER(tblLabor[[#This Row],[Earned hours (person-h)]]),tblLabor[[#This Row],[Actual hours (person-h)]]-tblLabor[[#This Row],[Earned hours (person-h)]],""))</calculatedColumnFormula>
    </tableColumn>
    <tableColumn id="12" name="View date">
      <calculatedColumnFormula>IF(tblLabor[[#This Row],[Date]]="","",IF(AND(tblLabor[[#This Row],[Date]]&gt;=FFrom,tblLabor[[#This Row],[Date]]&lt;=FTo,OR(DashCell="",tblLabor[[#This Row],[Cell]]=DashCell)),tblLabor[[#This Row],[Date]],""))</calculatedColumnFormula>
    </tableColumn>
    <tableColumn id="13" name="Check">
      <calculatedColumnFormula>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calculatedColumnFormula>
    </tableColumn>
    <tableColumn id="14" name="Notes"/>
  </tableColumns>
  <tableStyleInfo name="TableStyleLight1" showFirstColumn="0" showLastColumn="0" showRowStripes="0" showColumnStripes="0"/>
</table>
</file>

<file path=xl/tables/table5.xml><?xml version="1.0" encoding="utf-8"?>
<table xmlns="http://schemas.openxmlformats.org/spreadsheetml/2006/main" id="5" name="tblPaid" displayName="tblPaid" ref="B5:N157" totalsRowShown="0">
  <autoFilter ref="B5:N157"/>
  <tableColumns count="13">
    <tableColumn id="1" name="Date"/>
    <tableColumn id="2" name="Shift"/>
    <tableColumn id="3" name="Cell"/>
    <tableColumn id="4" name="Paid hours (person-h)"/>
    <tableColumn id="5" name="Direct hours (person-h)">
      <calculatedColumnFormula>IF(tblPaid[[#This Row],[Date]]="","",SUMIFS(tblLabor[Actual hours (person-h)],tblLabor[Date],tblPaid[[#This Row],[Date]],tblLabor[Shift],tblPaid[[#This Row],[Shift]],tblLabor[Cell],tblPaid[[#This Row],[Cell]]))</calculatedColumnFormula>
    </tableColumn>
    <tableColumn id="6" name="Earned hours (person-h)">
      <calculatedColumnFormula>IF(tblPaid[[#This Row],[Date]]="","",SUMIFS(tblLabor[Earned hours (person-h)],tblLabor[Date],tblPaid[[#This Row],[Date]],tblLabor[Shift],tblPaid[[#This Row],[Shift]],tblLabor[Cell],tblPaid[[#This Row],[Cell]]))</calculatedColumnFormula>
    </tableColumn>
    <tableColumn id="7" name="Indirect hours (person-h)">
      <calculatedColumnFormula>IF(tblPaid[[#This Row],[Date]]="","",tblPaid[[#This Row],[Paid hours (person-h)]]-tblPaid[[#This Row],[Direct hours (person-h)]])</calculatedColumnFormula>
    </tableColumn>
    <tableColumn id="8" name="Utilization">
      <calculatedColumnFormula>IF(tblPaid[[#This Row],[Date]]="","",IF(tblPaid[[#This Row],[Paid hours (person-h)]]&gt;0,tblPaid[[#This Row],[Direct hours (person-h)]]/tblPaid[[#This Row],[Paid hours (person-h)]],""))</calculatedColumnFormula>
    </tableColumn>
    <tableColumn id="9" name="Productivity">
      <calculatedColumnFormula>IF(tblPaid[[#This Row],[Date]]="","",IF(tblPaid[[#This Row],[Paid hours (person-h)]]&gt;0,tblPaid[[#This Row],[Earned hours (person-h)]]/tblPaid[[#This Row],[Paid hours (person-h)]],""))</calculatedColumnFormula>
    </tableColumn>
    <tableColumn id="10" name="Utilization status">
      <calculatedColumnFormula>IF(NOT(ISNUMBER(tblPaid[[#This Row],[Utilization]])),"",IF(tblPaid[[#This Row],[Utilization]]&gt;=TargetUtil,"On target",IF(tblPaid[[#This Row],[Utilization]]&gt;=TargetUtil*(1-0.05),"Near target","Below target")))</calculatedColumnFormula>
    </tableColumn>
    <tableColumn id="11" name="View date">
      <calculatedColumnFormula>IF(tblPaid[[#This Row],[Date]]="","",IF(AND(tblPaid[[#This Row],[Date]]&gt;=FFrom,tblPaid[[#This Row],[Date]]&lt;=FTo,OR(DashCell="",tblPaid[[#This Row],[Cell]]=DashCell)),tblPaid[[#This Row],[Date]],""))</calculatedColumnFormula>
    </tableColumn>
    <tableColumn id="12" name="Check">
      <calculatedColumnFormula>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calculatedColumnFormula>
    </tableColumn>
    <tableColumn id="13" name="Notes"/>
  </tableColumns>
  <tableStyleInfo name="TableStyleLight1" showFirstColumn="0" showLastColumn="0" showRowStripes="0" showColumnStripes="0"/>
</table>
</file>

<file path=xl/tables/table6.xml><?xml version="1.0" encoding="utf-8"?>
<table xmlns="http://schemas.openxmlformats.org/spreadsheetml/2006/main" id="6" name="tblVerifyCells" displayName="tblVerifyCells" ref="B42:D44" totalsRowShown="0">
  <tableColumns count="3">
    <tableColumn id="1" name="Cell"/>
    <tableColumn id="2" name="Area"/>
    <tableColumn id="3" name="Description"/>
  </tableColumns>
  <tableStyleInfo name="TableStyleLight1" showFirstColumn="0" showLastColumn="0" showRowStripes="0" showColumnStripes="0"/>
</table>
</file>

<file path=xl/tables/table7.xml><?xml version="1.0" encoding="utf-8"?>
<table xmlns="http://schemas.openxmlformats.org/spreadsheetml/2006/main" id="7" name="tblVerifyLabor" displayName="tblVerifyLabor" ref="B47:O51" totalsRowShown="0">
  <tableColumns count="14">
    <tableColumn id="1" name="Date"/>
    <tableColumn id="2" name="Shift"/>
    <tableColumn id="3" name="Operation"/>
    <tableColumn id="4" name="Good units"/>
    <tableColumn id="5" name="Actual hours (person-h)"/>
    <tableColumn id="6" name="Cell"/>
    <tableColumn id="7" name="Std (min/unit)"/>
    <tableColumn id="8" name="Earned hours (person-h)">
      <calculatedColumnFormula>IF(tblVerifyLabor[[#This Row],[Date]]="","",IF(tblVerifyLabor[[#This Row],[Std (min/unit)]]="","",tblVerifyLabor[[#This Row],[Good units]]*tblVerifyLabor[[#This Row],[Std (min/unit)]]/60))</calculatedColumnFormula>
    </tableColumn>
    <tableColumn id="9" name="Efficiency">
      <calculatedColumnFormula>IF(tblVerifyLabor[[#This Row],[Date]]="","",IF(AND(tblVerifyLabor[[#This Row],[Actual hours (person-h)]]&gt;0,ISNUMBER(tblVerifyLabor[[#This Row],[Earned hours (person-h)]])),tblVerifyLabor[[#This Row],[Earned hours (person-h)]]/tblVerifyLabor[[#This Row],[Actual hours (person-h)]],""))</calculatedColumnFormula>
    </tableColumn>
    <tableColumn id="10" name="Efficiency status">
      <calculatedColumnFormula>IF(NOT(ISNUMBER(tblVerifyLabor[[#This Row],[Efficiency]])),"",IF(tblVerifyLabor[[#This Row],[Efficiency]]&gt;=$E$36,"On target",IF(tblVerifyLabor[[#This Row],[Efficiency]]&gt;=$E$36*(1-0.05),"Near target","Below target")))</calculatedColumnFormula>
    </tableColumn>
    <tableColumn id="11" name="Gap to standard (person-h)">
      <calculatedColumnFormula>IF(tblVerifyLabor[[#This Row],[Date]]="","",IF(ISNUMBER(tblVerifyLabor[[#This Row],[Earned hours (person-h)]]),tblVerifyLabor[[#This Row],[Actual hours (person-h)]]-tblVerifyLabor[[#This Row],[Earned hours (person-h)]],""))</calculatedColumnFormula>
    </tableColumn>
    <tableColumn id="12" name="View date">
      <calculatedColumnFormula>IF(tblVerifyLabor[[#This Row],[Date]]="","",IF(AND(tblVerifyLabor[[#This Row],[Date]]&gt;=$E$33,tblVerifyLabor[[#This Row],[Date]]&lt;=$E$34,OR($E$35="",tblVerifyLabor[[#This Row],[Cell]]=$E$35)),tblVerifyLabor[[#This Row],[Date]],""))</calculatedColumnFormula>
    </tableColumn>
    <tableColumn id="13" name="Check">
      <calculatedColumnFormula>IF(tblVerifyLabor[[#This Row],[Date]]="","",IF(tblVerifyLabor[[#This Row],[Shift]]="","Missing shift",IF(tblVerifyLabor[[#This Row],[Operation]]="","Missing operation",IF(tblVerifyLabor[[#This Row],[Good units]]="","Missing good units",IF(tblVerifyLabor[[#This Row],[Actual hours (person-h)]]="","Missing actual hours",IF(tblVerifyLabor[[#This Row],[Cell]]="","Operation not on Setup list",IF(AND(tblVerifyLabor[[#This Row],[Actual hours (person-h)]]=0,tblVerifyLabor[[#This Row],[Good units]]&gt;0),"Units with no hours",IF(AND(ISNUMBER(tblVerifyLabor[[#This Row],[Efficiency]]),tblVerifyLabor[[#This Row],[Efficiency]]&gt;$E$39),"Above high-efficiency flag",IF(COUNTIFS(tblVerifyLabor[Date],tblVerifyLabor[[#This Row],[Date]],tblVerifyLabor[Shift],tblVerifyLabor[[#This Row],[Shift]],tblVerifyLabor[Operation],tblVerifyLabor[[#This Row],[Operation]])&gt;1,"Duplicate row",IF(AND(COUNT(tblVerifyPaid[Paid hours (person-h)])&gt;0,COUNTIFS(tblVerifyPaid[Date],tblVerifyLabor[[#This Row],[Date]],tblVerifyPaid[Shift],tblVerifyLabor[[#This Row],[Shift]],tblVerifyPaid[Cell],tblVerifyLabor[[#This Row],[Cell]])=0),"No matching Paid Hours row","OK"))))))))))</calculatedColumnFormula>
    </tableColumn>
    <tableColumn id="14" name="Notes"/>
  </tableColumns>
  <tableStyleInfo name="TableStyleLight1" showFirstColumn="0" showLastColumn="0" showRowStripes="0" showColumnStripes="0"/>
</table>
</file>

<file path=xl/tables/table8.xml><?xml version="1.0" encoding="utf-8"?>
<table xmlns="http://schemas.openxmlformats.org/spreadsheetml/2006/main" id="8" name="tblVerifyPaid" displayName="tblVerifyPaid" ref="B54:N58" totalsRowShown="0">
  <tableColumns count="13">
    <tableColumn id="1" name="Date"/>
    <tableColumn id="2" name="Shift"/>
    <tableColumn id="3" name="Cell"/>
    <tableColumn id="4" name="Paid hours (person-h)"/>
    <tableColumn id="5" name="Direct hours (person-h)">
      <calculatedColumnFormula>IF(tblVerifyPaid[[#This Row],[Date]]="","",SUMIFS(tblVerifyLabor[Actual hours (person-h)],tblVerifyLabor[Date],tblVerifyPaid[[#This Row],[Date]],tblVerifyLabor[Shift],tblVerifyPaid[[#This Row],[Shift]],tblVerifyLabor[Cell],tblVerifyPaid[[#This Row],[Cell]]))</calculatedColumnFormula>
    </tableColumn>
    <tableColumn id="6" name="Earned hours (person-h)">
      <calculatedColumnFormula>IF(tblVerifyPaid[[#This Row],[Date]]="","",SUMIFS(tblVerifyLabor[Earned hours (person-h)],tblVerifyLabor[Date],tblVerifyPaid[[#This Row],[Date]],tblVerifyLabor[Shift],tblVerifyPaid[[#This Row],[Shift]],tblVerifyLabor[Cell],tblVerifyPaid[[#This Row],[Cell]]))</calculatedColumnFormula>
    </tableColumn>
    <tableColumn id="7" name="Indirect hours (person-h)">
      <calculatedColumnFormula>IF(tblVerifyPaid[[#This Row],[Date]]="","",tblVerifyPaid[[#This Row],[Paid hours (person-h)]]-tblVerifyPaid[[#This Row],[Direct hours (person-h)]])</calculatedColumnFormula>
    </tableColumn>
    <tableColumn id="8" name="Utilization">
      <calculatedColumnFormula>IF(tblVerifyPaid[[#This Row],[Date]]="","",IF(tblVerifyPaid[[#This Row],[Paid hours (person-h)]]&gt;0,tblVerifyPaid[[#This Row],[Direct hours (person-h)]]/tblVerifyPaid[[#This Row],[Paid hours (person-h)]],""))</calculatedColumnFormula>
    </tableColumn>
    <tableColumn id="9" name="Productivity">
      <calculatedColumnFormula>IF(tblVerifyPaid[[#This Row],[Date]]="","",IF(tblVerifyPaid[[#This Row],[Paid hours (person-h)]]&gt;0,tblVerifyPaid[[#This Row],[Earned hours (person-h)]]/tblVerifyPaid[[#This Row],[Paid hours (person-h)]],""))</calculatedColumnFormula>
    </tableColumn>
    <tableColumn id="10" name="Utilization status">
      <calculatedColumnFormula>IF(NOT(ISNUMBER(tblVerifyPaid[[#This Row],[Utilization]])),"",IF(tblVerifyPaid[[#This Row],[Utilization]]&gt;=$E$37,"On target",IF(tblVerifyPaid[[#This Row],[Utilization]]&gt;=$E$37*(1-0.05),"Near target","Below target")))</calculatedColumnFormula>
    </tableColumn>
    <tableColumn id="11" name="View date">
      <calculatedColumnFormula>IF(tblVerifyPaid[[#This Row],[Date]]="","",IF(AND(tblVerifyPaid[[#This Row],[Date]]&gt;=$E$33,tblVerifyPaid[[#This Row],[Date]]&lt;=$E$34,OR($E$35="",tblVerifyPaid[[#This Row],[Cell]]=$E$35)),tblVerifyPaid[[#This Row],[Date]],""))</calculatedColumnFormula>
    </tableColumn>
    <tableColumn id="12" name="Check">
      <calculatedColumnFormula>IF(tblVerifyPaid[[#This Row],[Date]]="","",IF(tblVerifyPaid[[#This Row],[Shift]]="","Missing shift",IF(tblVerifyPaid[[#This Row],[Cell]]="","Missing cell",IF(tblVerifyPaid[[#This Row],[Paid hours (person-h)]]="","Missing paid hours",IF(COUNTIF(tblVerifyCells[Cell],tblVerifyPaid[[#This Row],[Cell]])=0,"Cell not on Setup list",IF(tblVerifyPaid[[#This Row],[Direct hours (person-h)]]&gt;tblVerifyPaid[[#This Row],[Paid hours (person-h)]],"Labor Log hours exceed paid hours",IF(COUNTIFS(tblVerifyPaid[Date],tblVerifyPaid[[#This Row],[Date]],tblVerifyPaid[Shift],tblVerifyPaid[[#This Row],[Shift]],tblVerifyPaid[Cell],tblVerifyPaid[[#This Row],[Cell]])&gt;1,"Duplicate row",IF(tblVerifyPaid[[#This Row],[Direct hours (person-h)]]=0,"No Labor Log rows","OK"))))))))</calculatedColumnFormula>
    </tableColumn>
    <tableColumn id="1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hyperlink" Target="https://www.mfgcalcs.com/calculators/workforce-labor-standards-skills-planning/labor-efficiency?utm_source=mfgcalcs-template&amp;utm_medium=xlsx&amp;utm_campaign=labor-efficiency-tracker" TargetMode="External"/><Relationship Id="rId3" Type="http://schemas.openxmlformats.org/officeDocument/2006/relationships/hyperlink" Target="https://www.mfgcalcs.com/templates/labor-efficiency-tracker?utm_source=mfgcalcs-template&amp;utm_medium=xlsx&amp;utm_campaign=labor-efficiency-tracker" TargetMode="External"/><Relationship Id="rId4" Type="http://schemas.openxmlformats.org/officeDocument/2006/relationships/hyperlink" Target="https://www.mfgcalcs.com/templates?utm_source=mfgcalcs-template&amp;utm_medium=xlsx&amp;utm_campaign=labor-efficiency-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hyperlink" Target="https://www.mfgcalcs.com/calculators/workforce-labor-standards-skills-planning/labor-efficiency?utm_source=mfgcalcs-template&amp;utm_medium=xlsx&amp;utm_campaign=labor-efficiency-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labor-efficiency-tracker" TargetMode="Externa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17 of 17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Labor Log'!A1" tooltip="Go to Labor Log" display="Labor Log"/>
    <hyperlink ref="C23" location="'Paid Hours'!A1" tooltip="Go to Paid Hours" display="Paid Hour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Labor Efficiency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4"/>
  <sheetViews>
    <sheetView showGridLines="0" workbookViewId="0"/>
  </sheetViews>
  <sheetFormatPr defaultRowHeight="15"/>
  <cols>
    <col min="1" max="1" width="2.7109375" customWidth="1"/>
    <col min="2" max="2" width="26.7109375" customWidth="1"/>
    <col min="3" max="3" width="18.7109375" customWidth="1"/>
    <col min="4" max="4" width="42.7109375" customWidth="1"/>
    <col min="5" max="5" width="16.7109375" customWidth="1"/>
  </cols>
  <sheetData>
    <row r="1" spans="1:5" ht="30" customHeight="1">
      <c r="A1" s="1" t="s">
        <v>0</v>
      </c>
      <c r="B1" s="1"/>
      <c r="C1" s="1"/>
      <c r="D1" s="1"/>
      <c r="E1" s="1"/>
    </row>
    <row r="2" spans="1:5" ht="21" customHeight="1">
      <c r="B2" s="2" t="s">
        <v>20</v>
      </c>
      <c r="C2" s="2"/>
      <c r="D2" s="2"/>
      <c r="E2" s="3" t="s">
        <v>2</v>
      </c>
    </row>
    <row r="3" spans="1:5" ht="6" customHeight="1"/>
    <row r="4" spans="1:5" ht="21" customHeight="1">
      <c r="B4" s="8" t="s">
        <v>72</v>
      </c>
      <c r="C4" s="8"/>
      <c r="D4" s="8"/>
      <c r="E4" s="8"/>
    </row>
    <row r="5" spans="1:5" ht="5" customHeight="1"/>
    <row r="6" spans="1:5">
      <c r="B6" s="27" t="s">
        <v>73</v>
      </c>
      <c r="C6" s="28" t="s">
        <v>74</v>
      </c>
      <c r="D6" s="28"/>
    </row>
    <row r="7" spans="1:5">
      <c r="B7" s="27" t="s">
        <v>75</v>
      </c>
      <c r="C7" s="28" t="s">
        <v>76</v>
      </c>
      <c r="D7" s="28"/>
    </row>
    <row r="8" spans="1:5">
      <c r="B8" s="27" t="s">
        <v>77</v>
      </c>
      <c r="C8" s="29">
        <v>95</v>
      </c>
      <c r="D8" s="7" t="str">
        <f>Currency&amp;" per person-hour"</f>
        <v>MXN per person-hour</v>
      </c>
    </row>
    <row r="9" spans="1:5">
      <c r="B9" s="27" t="s">
        <v>78</v>
      </c>
      <c r="C9" s="30">
        <v>0.9</v>
      </c>
      <c r="D9" s="7"/>
    </row>
    <row r="10" spans="1:5">
      <c r="B10" s="27" t="s">
        <v>79</v>
      </c>
      <c r="C10" s="30">
        <v>0.85</v>
      </c>
      <c r="D10" s="7"/>
    </row>
    <row r="11" spans="1:5">
      <c r="B11" s="27" t="s">
        <v>80</v>
      </c>
      <c r="C11" s="31">
        <f>TargetEff*TargetUtil</f>
        <v>0.765</v>
      </c>
      <c r="D11" s="7"/>
    </row>
    <row r="12" spans="1:5">
      <c r="B12" s="27" t="s">
        <v>81</v>
      </c>
      <c r="C12" s="30">
        <v>1.3</v>
      </c>
      <c r="D12" s="7"/>
    </row>
    <row r="14" spans="1:5" ht="35.4" customHeight="1">
      <c r="B14" s="25" t="s">
        <v>82</v>
      </c>
      <c r="C14" s="25"/>
      <c r="D14" s="25"/>
      <c r="E14" s="25"/>
    </row>
    <row r="16" spans="1:5" ht="21" customHeight="1">
      <c r="B16" s="8" t="s">
        <v>83</v>
      </c>
      <c r="C16" s="8"/>
      <c r="D16" s="8"/>
      <c r="E16" s="8"/>
    </row>
    <row r="17" spans="2:5" ht="5" customHeight="1"/>
    <row r="18" spans="2:5" ht="26.76" customHeight="1">
      <c r="B18" s="21" t="s">
        <v>84</v>
      </c>
      <c r="C18" s="21"/>
      <c r="D18" s="21"/>
      <c r="E18" s="21"/>
    </row>
    <row r="19" spans="2:5">
      <c r="B19" s="32" t="s">
        <v>85</v>
      </c>
      <c r="C19" s="32"/>
      <c r="D19" s="32"/>
    </row>
    <row r="20" spans="2:5" ht="20" customHeight="1">
      <c r="B20" s="33" t="s">
        <v>64</v>
      </c>
      <c r="C20" s="33" t="s">
        <v>65</v>
      </c>
      <c r="D20" s="33" t="s">
        <v>66</v>
      </c>
    </row>
    <row r="21" spans="2:5">
      <c r="B21" s="28" t="s">
        <v>86</v>
      </c>
      <c r="C21" s="28" t="s">
        <v>87</v>
      </c>
      <c r="D21" s="28" t="s">
        <v>88</v>
      </c>
    </row>
    <row r="22" spans="2:5">
      <c r="B22" s="28" t="s">
        <v>89</v>
      </c>
      <c r="C22" s="28" t="s">
        <v>90</v>
      </c>
      <c r="D22" s="28" t="s">
        <v>91</v>
      </c>
    </row>
    <row r="23" spans="2:5">
      <c r="B23" s="28" t="s">
        <v>92</v>
      </c>
      <c r="C23" s="28" t="s">
        <v>90</v>
      </c>
      <c r="D23" s="28" t="s">
        <v>93</v>
      </c>
    </row>
    <row r="24" spans="2:5">
      <c r="B24" s="28" t="s">
        <v>94</v>
      </c>
      <c r="C24" s="28" t="s">
        <v>95</v>
      </c>
      <c r="D24" s="28" t="s">
        <v>96</v>
      </c>
    </row>
    <row r="26" spans="2:5">
      <c r="B26" s="32" t="s">
        <v>97</v>
      </c>
      <c r="C26" s="32"/>
      <c r="D26" s="32"/>
    </row>
    <row r="27" spans="2:5" ht="20" customHeight="1">
      <c r="B27" s="33" t="s">
        <v>67</v>
      </c>
      <c r="C27" s="33" t="s">
        <v>68</v>
      </c>
      <c r="D27" s="33" t="s">
        <v>69</v>
      </c>
    </row>
    <row r="28" spans="2:5">
      <c r="B28" s="28" t="s">
        <v>98</v>
      </c>
      <c r="C28" s="28" t="s">
        <v>99</v>
      </c>
      <c r="D28" s="28" t="s">
        <v>100</v>
      </c>
    </row>
    <row r="29" spans="2:5">
      <c r="B29" s="28" t="s">
        <v>101</v>
      </c>
      <c r="C29" s="28" t="s">
        <v>102</v>
      </c>
      <c r="D29" s="28" t="s">
        <v>100</v>
      </c>
    </row>
    <row r="31" spans="2:5">
      <c r="B31" s="32" t="s">
        <v>103</v>
      </c>
      <c r="C31" s="32"/>
      <c r="D31" s="32"/>
      <c r="E31" s="32"/>
    </row>
    <row r="32" spans="2:5" ht="32" customHeight="1">
      <c r="B32" s="33" t="s">
        <v>70</v>
      </c>
      <c r="C32" s="33" t="s">
        <v>64</v>
      </c>
      <c r="D32" s="33" t="s">
        <v>69</v>
      </c>
      <c r="E32" s="33" t="s">
        <v>71</v>
      </c>
    </row>
    <row r="33" spans="2:5">
      <c r="B33" s="28" t="s">
        <v>104</v>
      </c>
      <c r="C33" s="28" t="s">
        <v>86</v>
      </c>
      <c r="D33" s="28" t="s">
        <v>105</v>
      </c>
      <c r="E33" s="29">
        <v>3.8</v>
      </c>
    </row>
    <row r="34" spans="2:5">
      <c r="B34" s="28" t="s">
        <v>106</v>
      </c>
      <c r="C34" s="28" t="s">
        <v>86</v>
      </c>
      <c r="D34" s="28" t="s">
        <v>107</v>
      </c>
      <c r="E34" s="29">
        <v>5.2</v>
      </c>
    </row>
    <row r="35" spans="2:5">
      <c r="B35" s="28" t="s">
        <v>108</v>
      </c>
      <c r="C35" s="28" t="s">
        <v>86</v>
      </c>
      <c r="D35" s="28" t="s">
        <v>109</v>
      </c>
      <c r="E35" s="29">
        <v>2.4</v>
      </c>
    </row>
    <row r="36" spans="2:5">
      <c r="B36" s="28" t="s">
        <v>110</v>
      </c>
      <c r="C36" s="28" t="s">
        <v>86</v>
      </c>
      <c r="D36" s="28" t="s">
        <v>111</v>
      </c>
      <c r="E36" s="29">
        <v>0.9</v>
      </c>
    </row>
    <row r="37" spans="2:5">
      <c r="B37" s="28" t="s">
        <v>112</v>
      </c>
      <c r="C37" s="28" t="s">
        <v>89</v>
      </c>
      <c r="D37" s="28" t="s">
        <v>113</v>
      </c>
      <c r="E37" s="29">
        <v>16.5</v>
      </c>
    </row>
    <row r="38" spans="2:5">
      <c r="B38" s="28" t="s">
        <v>114</v>
      </c>
      <c r="C38" s="28" t="s">
        <v>89</v>
      </c>
      <c r="D38" s="28" t="s">
        <v>113</v>
      </c>
      <c r="E38" s="29">
        <v>22</v>
      </c>
    </row>
    <row r="39" spans="2:5">
      <c r="B39" s="28" t="s">
        <v>115</v>
      </c>
      <c r="C39" s="28" t="s">
        <v>92</v>
      </c>
      <c r="D39" s="28" t="s">
        <v>113</v>
      </c>
      <c r="E39" s="29">
        <v>9.800000000000001</v>
      </c>
    </row>
    <row r="40" spans="2:5">
      <c r="B40" s="28" t="s">
        <v>116</v>
      </c>
      <c r="C40" s="28" t="s">
        <v>92</v>
      </c>
      <c r="D40" s="28" t="s">
        <v>117</v>
      </c>
      <c r="E40" s="29">
        <v>3.1</v>
      </c>
    </row>
    <row r="41" spans="2:5">
      <c r="B41" s="28" t="s">
        <v>118</v>
      </c>
      <c r="C41" s="28" t="s">
        <v>94</v>
      </c>
      <c r="D41" s="28" t="s">
        <v>119</v>
      </c>
      <c r="E41" s="29">
        <v>2.6</v>
      </c>
    </row>
    <row r="42" spans="2:5">
      <c r="B42" s="28" t="s">
        <v>120</v>
      </c>
      <c r="C42" s="28" t="s">
        <v>94</v>
      </c>
      <c r="D42" s="28" t="s">
        <v>121</v>
      </c>
      <c r="E42" s="29">
        <v>3.4</v>
      </c>
    </row>
    <row r="43" spans="2:5">
      <c r="B43" s="28" t="s">
        <v>122</v>
      </c>
      <c r="C43" s="28" t="s">
        <v>94</v>
      </c>
      <c r="D43" s="28" t="s">
        <v>123</v>
      </c>
      <c r="E43" s="29">
        <v>1.7</v>
      </c>
    </row>
    <row r="44" spans="2:5">
      <c r="B44" s="28" t="s">
        <v>124</v>
      </c>
      <c r="C44" s="28" t="s">
        <v>94</v>
      </c>
      <c r="D44" s="28" t="s">
        <v>125</v>
      </c>
      <c r="E44" s="29">
        <v>0.8</v>
      </c>
    </row>
  </sheetData>
  <mergeCells count="11">
    <mergeCell ref="A1:E1"/>
    <mergeCell ref="B2:D2"/>
    <mergeCell ref="B4:E4"/>
    <mergeCell ref="C6:D6"/>
    <mergeCell ref="C7:D7"/>
    <mergeCell ref="B14:E14"/>
    <mergeCell ref="B16:E16"/>
    <mergeCell ref="B18:E18"/>
    <mergeCell ref="B19:D19"/>
    <mergeCell ref="B26:D26"/>
    <mergeCell ref="B31:E31"/>
  </mergeCells>
  <dataValidations count="16">
    <dataValidation type="textLength" allowBlank="1" showInputMessage="1" showErrorMessage="1" errorTitle="Check this entry" error="Text up to 80 characters." promptTitle="Plant or department"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MXN, INR, GBP, EUR. No exchange rate is applied. Text up to 12 characters." sqref="C7">
      <formula1>0</formula1>
      <formula2>12</formula2>
    </dataValidation>
    <dataValidation type="decimal" allowBlank="1" showInputMessage="1" showErrorMessage="1" errorTitle="Check this entry" error="Enter a number from 0 to 1,000,000." promptTitle="Loaded labor rate" prompt="Wages plus benefits and payroll taxes per paid hour (an example figure here). Used only for the value of hours lost against standard. Enter a number from 0 to 1,000,000." sqref="C8">
      <formula1>0</formula1>
      <formula2>1000000.0</formula2>
    </dataValidation>
    <dataValidation type="decimal" allowBlank="1" showInputMessage="1" showErrorMessage="1" errorTitle="Check this entry" error="Enter a percentage from 0% to 200% (type 85% or 0.85)." promptTitle="Labor efficiency target" prompt="Your own target for earned / actual hours. Nothing here assumes an industry benchmark. Enter a percentage from 0% to 200% (type 85% or 0.85)." sqref="C9">
      <formula1>0</formula1>
      <formula2>2</formula2>
    </dataValidation>
    <dataValidation type="decimal" allowBlank="1" showInputMessage="1" showErrorMessage="1" errorTitle="Check this entry" error="Enter a percentage from 0% to 100% (type 85% or 0.85)." promptTitle="Utilization target" prompt="Your own target for direct / paid hours. Enter a percentage from 0% to 100% (type 85% or 0.85)." sqref="C10">
      <formula1>0</formula1>
      <formula2>1</formula2>
    </dataValidation>
    <dataValidation type="decimal" allowBlank="1" showInputMessage="1" showErrorMessage="1" errorTitle="Check this entry" error="Enter a percentage from 100% to 500% (type 85% or 0.85)." promptTitle="Flag rows above this efficiency" prompt="Rows above it are flagged on the Labor Log: usually a wrong count, wrong hours or a loose standard. Enter a percentage from 100% to 500% (type 85% or 0.85)." sqref="C12">
      <formula1>1</formula1>
      <formula2>5</formula2>
    </dataValidation>
    <dataValidation type="textLength" allowBlank="1" showInputMessage="1" showErrorMessage="1" errorTitle="Check this entry" error="Text up to 40 characters." promptTitle="Cell" prompt="Text up to 40 characters." sqref="B21:B124">
      <formula1>0</formula1>
      <formula2>40</formula2>
    </dataValidation>
    <dataValidation type="textLength" allowBlank="1" showInputMessage="1" showErrorMessage="1" errorTitle="Check this entry" error="Text up to 40 characters." promptTitle="Area" prompt="Text up to 40 characters." sqref="C21:C124">
      <formula1>0</formula1>
      <formula2>40</formula2>
    </dataValidation>
    <dataValidation type="textLength" allowBlank="1" showInputMessage="1" showErrorMessage="1" errorTitle="Check this entry" error="Text up to 120 characters." promptTitle="Description" prompt="Text up to 120 characters." sqref="D21:D124">
      <formula1>0</formula1>
      <formula2>120</formula2>
    </dataValidation>
    <dataValidation type="textLength" allowBlank="1" showInputMessage="1" showErrorMessage="1" errorTitle="Check this entry" error="Text up to 20 characters." promptTitle="Shift" prompt="Text up to 20 characters." sqref="B28:B129">
      <formula1>0</formula1>
      <formula2>20</formula2>
    </dataValidation>
    <dataValidation type="textLength" allowBlank="1" showInputMessage="1" showErrorMessage="1" errorTitle="Check this entry" error="Text up to 40 characters." promptTitle="Hours" prompt="Text up to 40 characters." sqref="C28:C129">
      <formula1>0</formula1>
      <formula2>40</formula2>
    </dataValidation>
    <dataValidation type="textLength" allowBlank="1" showInputMessage="1" showErrorMessage="1" errorTitle="Check this entry" error="Text up to 120 characters." promptTitle="Notes" prompt="Text up to 120 characters." sqref="D28:D129">
      <formula1>0</formula1>
      <formula2>120</formula2>
    </dataValidation>
    <dataValidation type="textLength" allowBlank="1" showInputMessage="1" showErrorMessage="1" errorTitle="Check this entry" error="Text up to 60 characters." promptTitle="Operation" prompt="Text up to 60 characters." sqref="B33:B144">
      <formula1>0</formula1>
      <formula2>60</formula2>
    </dataValidation>
    <dataValidation type="list" allowBlank="1" showInputMessage="1" showErrorMessage="1" errorTitle="Check this entry" error="Pick from the list (edit the list on Setup: Cells)." promptTitle="Cell" prompt="Pick from the list (edit the list on Setup: Cells)." sqref="C33:C144">
      <formula1>Cells</formula1>
    </dataValidation>
    <dataValidation type="textLength" allowBlank="1" showInputMessage="1" showErrorMessage="1" errorTitle="Check this entry" error="Text up to 120 characters." promptTitle="Notes" prompt="Text up to 120 characters." sqref="D33:D144">
      <formula1>0</formula1>
      <formula2>120</formula2>
    </dataValidation>
    <dataValidation type="decimal" allowBlank="1" showInputMessage="1" showErrorMessage="1" errorTitle="Check this entry" error="Enter a number from 0.001 to 100,000." promptTitle="Std (min/unit)" prompt="Standard person-minutes of labor per good unit at this operation, from your time study or routing. Enter a number from 0.001 to 100,000." sqref="E33:E144">
      <formula1>0.001</formula1>
      <formula2>100000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Labor Efficiency Tracker&amp;R&amp;8&amp;A</oddHeader>
    <oddFooter>&amp;L&amp;8mfgcalcs.com - free manufacturing templates&amp;R&amp;8Page &amp;P of &amp;N</oddFooter>
  </headerFooter>
  <rowBreaks count="1" manualBreakCount="1">
    <brk id="30"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O173"/>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2.7109375" customWidth="1"/>
    <col min="2" max="2" width="12.28515625" customWidth="1"/>
    <col min="3" max="3" width="7.7109375" customWidth="1"/>
    <col min="4" max="4" width="21.7109375" customWidth="1"/>
    <col min="5" max="5" width="9.28515625" customWidth="1"/>
    <col min="6" max="6" width="10.7109375" customWidth="1"/>
    <col min="7" max="7" width="13.7109375" customWidth="1"/>
    <col min="8" max="8" width="9.28515625" customWidth="1"/>
    <col min="9" max="10" width="10.7109375" customWidth="1"/>
    <col min="11" max="11" width="12.28515625" customWidth="1"/>
    <col min="12" max="12" width="11.28515625" customWidth="1"/>
    <col min="13" max="13" width="12.28515625" customWidth="1"/>
    <col min="14" max="14" width="25.7109375" customWidth="1"/>
    <col min="15" max="15" width="24.7109375" customWidth="1"/>
  </cols>
  <sheetData>
    <row r="1" spans="1:15" ht="30" customHeight="1" x14ac:dyDescent="0.25">
      <c r="A1" s="1" t="s">
        <v>0</v>
      </c>
      <c r="B1" s="1"/>
      <c r="C1" s="1"/>
      <c r="D1" s="1"/>
      <c r="E1" s="1"/>
      <c r="F1" s="1"/>
      <c r="G1" s="1"/>
      <c r="H1" s="1"/>
      <c r="I1" s="1"/>
      <c r="J1" s="1"/>
      <c r="K1" s="1"/>
      <c r="L1" s="1"/>
      <c r="M1" s="1"/>
      <c r="N1" s="1"/>
      <c r="O1" s="1"/>
    </row>
    <row r="2" spans="1:15" ht="21" customHeight="1" x14ac:dyDescent="0.25">
      <c r="B2" s="2" t="s">
        <v>22</v>
      </c>
      <c r="C2" s="2"/>
      <c r="D2" s="2"/>
      <c r="E2" s="2"/>
      <c r="F2" s="2"/>
      <c r="G2" s="2"/>
      <c r="H2" s="2"/>
      <c r="I2" s="2"/>
      <c r="J2" s="2"/>
      <c r="K2" s="2"/>
      <c r="L2" s="2"/>
      <c r="M2" s="2"/>
      <c r="N2" s="2"/>
      <c r="O2" s="3" t="s">
        <v>2</v>
      </c>
    </row>
    <row r="3" spans="1:15" ht="6" customHeight="1" x14ac:dyDescent="0.25"/>
    <row r="4" spans="1:15" ht="29.76" customHeight="1" x14ac:dyDescent="0.25">
      <c r="B4" s="34" t="s">
        <v>135</v>
      </c>
      <c r="C4" s="34"/>
      <c r="D4" s="34"/>
      <c r="E4" s="34"/>
      <c r="F4" s="34"/>
      <c r="G4" s="34"/>
      <c r="H4" s="34"/>
      <c r="I4" s="34"/>
      <c r="J4" s="34"/>
      <c r="K4" s="34"/>
      <c r="L4" s="34"/>
      <c r="M4" s="34"/>
      <c r="N4" s="34"/>
      <c r="O4" s="34"/>
    </row>
    <row r="5" spans="1:15" ht="45.5" customHeight="1" x14ac:dyDescent="0.25">
      <c r="B5" s="33" t="s">
        <v>126</v>
      </c>
      <c r="C5" s="33" t="s">
        <v>67</v>
      </c>
      <c r="D5" s="33" t="s">
        <v>70</v>
      </c>
      <c r="E5" s="33" t="s">
        <v>127</v>
      </c>
      <c r="F5" s="33" t="s">
        <v>128</v>
      </c>
      <c r="G5" s="33" t="s">
        <v>64</v>
      </c>
      <c r="H5" s="33" t="s">
        <v>71</v>
      </c>
      <c r="I5" s="33" t="s">
        <v>129</v>
      </c>
      <c r="J5" s="33" t="s">
        <v>130</v>
      </c>
      <c r="K5" s="33" t="s">
        <v>131</v>
      </c>
      <c r="L5" s="33" t="s">
        <v>132</v>
      </c>
      <c r="M5" s="33" t="s">
        <v>133</v>
      </c>
      <c r="N5" s="33" t="s">
        <v>134</v>
      </c>
      <c r="O5" s="33" t="s">
        <v>69</v>
      </c>
    </row>
    <row r="6" spans="1:15" x14ac:dyDescent="0.25">
      <c r="B6" s="35">
        <v>46265</v>
      </c>
      <c r="C6" s="28" t="s">
        <v>98</v>
      </c>
      <c r="D6" s="28" t="s">
        <v>110</v>
      </c>
      <c r="E6" s="36">
        <v>1715</v>
      </c>
      <c r="F6" s="29">
        <v>26.5</v>
      </c>
      <c r="G6" s="37" t="str">
        <f>IF(tblLabor[[#This Row],[Date]]="","",IFERROR(INDEX(tblOperations[Cell],MATCH(tblLabor[[#This Row],[Operation]],tblOperations[Operation],0)),""))</f>
        <v>Cut and crimp</v>
      </c>
      <c r="H6" s="38">
        <f>IF(tblLabor[[#This Row],[Date]]="","",IFERROR(INDEX(tblOperations[Std (min/unit)],MATCH(tblLabor[[#This Row],[Operation]],tblOperations[Operation],0)),""))</f>
        <v>0.9</v>
      </c>
      <c r="I6" s="38">
        <f>IF(tblLabor[[#This Row],[Date]]="","",IF(tblLabor[[#This Row],[Std (min/unit)]]="","",tblLabor[[#This Row],[Good units]]*tblLabor[[#This Row],[Std (min/unit)]]/60))</f>
        <v>25.725</v>
      </c>
      <c r="J6" s="31">
        <f>IF(tblLabor[[#This Row],[Date]]="","",IF(AND(tblLabor[[#This Row],[Actual hours (person-h)]]&gt;0,ISNUMBER(tblLabor[[#This Row],[Earned hours (person-h)]])),tblLabor[[#This Row],[Earned hours (person-h)]]/tblLabor[[#This Row],[Actual hours (person-h)]],""))</f>
        <v>0.970754716981132</v>
      </c>
      <c r="K6" s="39" t="str">
        <f>IF(NOT(ISNUMBER(tblLabor[[#This Row],[Efficiency]])),"",IF(tblLabor[[#This Row],[Efficiency]]&gt;=TargetEff,"On target",IF(tblLabor[[#This Row],[Efficiency]]&gt;=TargetEff*(1-0.05),"Near target","Below target")))</f>
        <v>On target</v>
      </c>
      <c r="L6" s="40">
        <f>IF(tblLabor[[#This Row],[Date]]="","",IF(ISNUMBER(tblLabor[[#This Row],[Earned hours (person-h)]]),tblLabor[[#This Row],[Actual hours (person-h)]]-tblLabor[[#This Row],[Earned hours (person-h)]],""))</f>
        <v>0.774999999999999</v>
      </c>
      <c r="M6" s="41">
        <f>IF(tblLabor[[#This Row],[Date]]="","",IF(AND(tblLabor[[#This Row],[Date]]&gt;=FFrom,tblLabor[[#This Row],[Date]]&lt;=FTo,OR(DashCell="",tblLabor[[#This Row],[Cell]]=DashCell)),tblLabor[[#This Row],[Date]],""))</f>
        <v>46265</v>
      </c>
      <c r="N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 s="28" t="s">
        <v>136</v>
      </c>
    </row>
    <row r="7" spans="1:15" x14ac:dyDescent="0.25">
      <c r="B7" s="35">
        <v>46265</v>
      </c>
      <c r="C7" s="28" t="s">
        <v>98</v>
      </c>
      <c r="D7" s="28" t="s">
        <v>112</v>
      </c>
      <c r="E7" s="36">
        <v>177</v>
      </c>
      <c r="F7" s="29">
        <v>52.75</v>
      </c>
      <c r="G7" s="37" t="str">
        <f>IF(tblLabor[[#This Row],[Date]]="","",IFERROR(INDEX(tblOperations[Cell],MATCH(tblLabor[[#This Row],[Operation]],tblOperations[Operation],0)),""))</f>
        <v>Board line A</v>
      </c>
      <c r="H7" s="38">
        <f>IF(tblLabor[[#This Row],[Date]]="","",IFERROR(INDEX(tblOperations[Std (min/unit)],MATCH(tblLabor[[#This Row],[Operation]],tblOperations[Operation],0)),""))</f>
        <v>16.5</v>
      </c>
      <c r="I7" s="38">
        <f>IF(tblLabor[[#This Row],[Date]]="","",IF(tblLabor[[#This Row],[Std (min/unit)]]="","",tblLabor[[#This Row],[Good units]]*tblLabor[[#This Row],[Std (min/unit)]]/60))</f>
        <v>48.675</v>
      </c>
      <c r="J7" s="31">
        <f>IF(tblLabor[[#This Row],[Date]]="","",IF(AND(tblLabor[[#This Row],[Actual hours (person-h)]]&gt;0,ISNUMBER(tblLabor[[#This Row],[Earned hours (person-h)]])),tblLabor[[#This Row],[Earned hours (person-h)]]/tblLabor[[#This Row],[Actual hours (person-h)]],""))</f>
        <v>0.922748815165877</v>
      </c>
      <c r="K7" s="39" t="str">
        <f>IF(NOT(ISNUMBER(tblLabor[[#This Row],[Efficiency]])),"",IF(tblLabor[[#This Row],[Efficiency]]&gt;=TargetEff,"On target",IF(tblLabor[[#This Row],[Efficiency]]&gt;=TargetEff*(1-0.05),"Near target","Below target")))</f>
        <v>On target</v>
      </c>
      <c r="L7" s="40">
        <f>IF(tblLabor[[#This Row],[Date]]="","",IF(ISNUMBER(tblLabor[[#This Row],[Earned hours (person-h)]]),tblLabor[[#This Row],[Actual hours (person-h)]]-tblLabor[[#This Row],[Earned hours (person-h)]],""))</f>
        <v>4.075</v>
      </c>
      <c r="M7" s="41">
        <f>IF(tblLabor[[#This Row],[Date]]="","",IF(AND(tblLabor[[#This Row],[Date]]&gt;=FFrom,tblLabor[[#This Row],[Date]]&lt;=FTo,OR(DashCell="",tblLabor[[#This Row],[Cell]]=DashCell)),tblLabor[[#This Row],[Date]],""))</f>
        <v>46265</v>
      </c>
      <c r="N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 s="28" t="s">
        <v>136</v>
      </c>
    </row>
    <row r="8" spans="1:15" x14ac:dyDescent="0.25">
      <c r="B8" s="35">
        <v>46265</v>
      </c>
      <c r="C8" s="28" t="s">
        <v>98</v>
      </c>
      <c r="D8" s="28" t="s">
        <v>115</v>
      </c>
      <c r="E8" s="36">
        <v>246</v>
      </c>
      <c r="F8" s="29">
        <v>44</v>
      </c>
      <c r="G8" s="37" t="str">
        <f>IF(tblLabor[[#This Row],[Date]]="","",IFERROR(INDEX(tblOperations[Cell],MATCH(tblLabor[[#This Row],[Operation]],tblOperations[Operation],0)),""))</f>
        <v>Board line B</v>
      </c>
      <c r="H8" s="38">
        <f>IF(tblLabor[[#This Row],[Date]]="","",IFERROR(INDEX(tblOperations[Std (min/unit)],MATCH(tblLabor[[#This Row],[Operation]],tblOperations[Operation],0)),""))</f>
        <v>9.8</v>
      </c>
      <c r="I8" s="38">
        <f>IF(tblLabor[[#This Row],[Date]]="","",IF(tblLabor[[#This Row],[Std (min/unit)]]="","",tblLabor[[#This Row],[Good units]]*tblLabor[[#This Row],[Std (min/unit)]]/60))</f>
        <v>40.18</v>
      </c>
      <c r="J8" s="31">
        <f>IF(tblLabor[[#This Row],[Date]]="","",IF(AND(tblLabor[[#This Row],[Actual hours (person-h)]]&gt;0,ISNUMBER(tblLabor[[#This Row],[Earned hours (person-h)]])),tblLabor[[#This Row],[Earned hours (person-h)]]/tblLabor[[#This Row],[Actual hours (person-h)]],""))</f>
        <v>0.913181818181818</v>
      </c>
      <c r="K8" s="39" t="str">
        <f>IF(NOT(ISNUMBER(tblLabor[[#This Row],[Efficiency]])),"",IF(tblLabor[[#This Row],[Efficiency]]&gt;=TargetEff,"On target",IF(tblLabor[[#This Row],[Efficiency]]&gt;=TargetEff*(1-0.05),"Near target","Below target")))</f>
        <v>On target</v>
      </c>
      <c r="L8" s="40">
        <f>IF(tblLabor[[#This Row],[Date]]="","",IF(ISNUMBER(tblLabor[[#This Row],[Earned hours (person-h)]]),tblLabor[[#This Row],[Actual hours (person-h)]]-tblLabor[[#This Row],[Earned hours (person-h)]],""))</f>
        <v>3.82</v>
      </c>
      <c r="M8" s="41">
        <f>IF(tblLabor[[#This Row],[Date]]="","",IF(AND(tblLabor[[#This Row],[Date]]&gt;=FFrom,tblLabor[[#This Row],[Date]]&lt;=FTo,OR(DashCell="",tblLabor[[#This Row],[Cell]]=DashCell)),tblLabor[[#This Row],[Date]],""))</f>
        <v>46265</v>
      </c>
      <c r="N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 s="28" t="s">
        <v>136</v>
      </c>
    </row>
    <row r="9" spans="1:15" x14ac:dyDescent="0.25">
      <c r="B9" s="35">
        <v>46265</v>
      </c>
      <c r="C9" s="28" t="s">
        <v>98</v>
      </c>
      <c r="D9" s="28" t="s">
        <v>124</v>
      </c>
      <c r="E9" s="36">
        <v>1883</v>
      </c>
      <c r="F9" s="29">
        <v>28</v>
      </c>
      <c r="G9" s="37" t="str">
        <f>IF(tblLabor[[#This Row],[Date]]="","",IFERROR(INDEX(tblOperations[Cell],MATCH(tblLabor[[#This Row],[Operation]],tblOperations[Operation],0)),""))</f>
        <v>Test and pack</v>
      </c>
      <c r="H9" s="38">
        <f>IF(tblLabor[[#This Row],[Date]]="","",IFERROR(INDEX(tblOperations[Std (min/unit)],MATCH(tblLabor[[#This Row],[Operation]],tblOperations[Operation],0)),""))</f>
        <v>0.8</v>
      </c>
      <c r="I9" s="38">
        <f>IF(tblLabor[[#This Row],[Date]]="","",IF(tblLabor[[#This Row],[Std (min/unit)]]="","",tblLabor[[#This Row],[Good units]]*tblLabor[[#This Row],[Std (min/unit)]]/60))</f>
        <v>25.1066666666667</v>
      </c>
      <c r="J9" s="31">
        <f>IF(tblLabor[[#This Row],[Date]]="","",IF(AND(tblLabor[[#This Row],[Actual hours (person-h)]]&gt;0,ISNUMBER(tblLabor[[#This Row],[Earned hours (person-h)]])),tblLabor[[#This Row],[Earned hours (person-h)]]/tblLabor[[#This Row],[Actual hours (person-h)]],""))</f>
        <v>0.896666666666667</v>
      </c>
      <c r="K9" s="39" t="str">
        <f>IF(NOT(ISNUMBER(tblLabor[[#This Row],[Efficiency]])),"",IF(tblLabor[[#This Row],[Efficiency]]&gt;=TargetEff,"On target",IF(tblLabor[[#This Row],[Efficiency]]&gt;=TargetEff*(1-0.05),"Near target","Below target")))</f>
        <v>Near target</v>
      </c>
      <c r="L9" s="40">
        <f>IF(tblLabor[[#This Row],[Date]]="","",IF(ISNUMBER(tblLabor[[#This Row],[Earned hours (person-h)]]),tblLabor[[#This Row],[Actual hours (person-h)]]-tblLabor[[#This Row],[Earned hours (person-h)]],""))</f>
        <v>2.89333333333333</v>
      </c>
      <c r="M9" s="41">
        <f>IF(tblLabor[[#This Row],[Date]]="","",IF(AND(tblLabor[[#This Row],[Date]]&gt;=FFrom,tblLabor[[#This Row],[Date]]&lt;=FTo,OR(DashCell="",tblLabor[[#This Row],[Cell]]=DashCell)),tblLabor[[#This Row],[Date]],""))</f>
        <v>46265</v>
      </c>
      <c r="N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 s="28" t="s">
        <v>136</v>
      </c>
    </row>
    <row r="10" spans="1:15" x14ac:dyDescent="0.25">
      <c r="B10" s="35">
        <v>46265</v>
      </c>
      <c r="C10" s="28" t="s">
        <v>101</v>
      </c>
      <c r="D10" s="28" t="s">
        <v>106</v>
      </c>
      <c r="E10" s="36">
        <v>286</v>
      </c>
      <c r="F10" s="29">
        <v>25.5</v>
      </c>
      <c r="G10" s="37" t="str">
        <f>IF(tblLabor[[#This Row],[Date]]="","",IFERROR(INDEX(tblOperations[Cell],MATCH(tblLabor[[#This Row],[Operation]],tblOperations[Operation],0)),""))</f>
        <v>Cut and crimp</v>
      </c>
      <c r="H10" s="38">
        <f>IF(tblLabor[[#This Row],[Date]]="","",IFERROR(INDEX(tblOperations[Std (min/unit)],MATCH(tblLabor[[#This Row],[Operation]],tblOperations[Operation],0)),""))</f>
        <v>5.2</v>
      </c>
      <c r="I10" s="38">
        <f>IF(tblLabor[[#This Row],[Date]]="","",IF(tblLabor[[#This Row],[Std (min/unit)]]="","",tblLabor[[#This Row],[Good units]]*tblLabor[[#This Row],[Std (min/unit)]]/60))</f>
        <v>24.7866666666667</v>
      </c>
      <c r="J10" s="31">
        <f>IF(tblLabor[[#This Row],[Date]]="","",IF(AND(tblLabor[[#This Row],[Actual hours (person-h)]]&gt;0,ISNUMBER(tblLabor[[#This Row],[Earned hours (person-h)]])),tblLabor[[#This Row],[Earned hours (person-h)]]/tblLabor[[#This Row],[Actual hours (person-h)]],""))</f>
        <v>0.97202614379085</v>
      </c>
      <c r="K10" s="39" t="str">
        <f>IF(NOT(ISNUMBER(tblLabor[[#This Row],[Efficiency]])),"",IF(tblLabor[[#This Row],[Efficiency]]&gt;=TargetEff,"On target",IF(tblLabor[[#This Row],[Efficiency]]&gt;=TargetEff*(1-0.05),"Near target","Below target")))</f>
        <v>On target</v>
      </c>
      <c r="L10" s="40">
        <f>IF(tblLabor[[#This Row],[Date]]="","",IF(ISNUMBER(tblLabor[[#This Row],[Earned hours (person-h)]]),tblLabor[[#This Row],[Actual hours (person-h)]]-tblLabor[[#This Row],[Earned hours (person-h)]],""))</f>
        <v>0.713333333333331</v>
      </c>
      <c r="M10" s="41">
        <f>IF(tblLabor[[#This Row],[Date]]="","",IF(AND(tblLabor[[#This Row],[Date]]&gt;=FFrom,tblLabor[[#This Row],[Date]]&lt;=FTo,OR(DashCell="",tblLabor[[#This Row],[Cell]]=DashCell)),tblLabor[[#This Row],[Date]],""))</f>
        <v>46265</v>
      </c>
      <c r="N1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 s="28" t="s">
        <v>136</v>
      </c>
    </row>
    <row r="11" spans="1:15" x14ac:dyDescent="0.25">
      <c r="B11" s="35">
        <v>46265</v>
      </c>
      <c r="C11" s="28" t="s">
        <v>101</v>
      </c>
      <c r="D11" s="28" t="s">
        <v>112</v>
      </c>
      <c r="E11" s="36">
        <v>167</v>
      </c>
      <c r="F11" s="29">
        <v>52</v>
      </c>
      <c r="G11" s="37" t="str">
        <f>IF(tblLabor[[#This Row],[Date]]="","",IFERROR(INDEX(tblOperations[Cell],MATCH(tblLabor[[#This Row],[Operation]],tblOperations[Operation],0)),""))</f>
        <v>Board line A</v>
      </c>
      <c r="H11" s="38">
        <f>IF(tblLabor[[#This Row],[Date]]="","",IFERROR(INDEX(tblOperations[Std (min/unit)],MATCH(tblLabor[[#This Row],[Operation]],tblOperations[Operation],0)),""))</f>
        <v>16.5</v>
      </c>
      <c r="I11" s="38">
        <f>IF(tblLabor[[#This Row],[Date]]="","",IF(tblLabor[[#This Row],[Std (min/unit)]]="","",tblLabor[[#This Row],[Good units]]*tblLabor[[#This Row],[Std (min/unit)]]/60))</f>
        <v>45.925</v>
      </c>
      <c r="J11" s="31">
        <f>IF(tblLabor[[#This Row],[Date]]="","",IF(AND(tblLabor[[#This Row],[Actual hours (person-h)]]&gt;0,ISNUMBER(tblLabor[[#This Row],[Earned hours (person-h)]])),tblLabor[[#This Row],[Earned hours (person-h)]]/tblLabor[[#This Row],[Actual hours (person-h)]],""))</f>
        <v>0.883173076923077</v>
      </c>
      <c r="K11" s="39" t="str">
        <f>IF(NOT(ISNUMBER(tblLabor[[#This Row],[Efficiency]])),"",IF(tblLabor[[#This Row],[Efficiency]]&gt;=TargetEff,"On target",IF(tblLabor[[#This Row],[Efficiency]]&gt;=TargetEff*(1-0.05),"Near target","Below target")))</f>
        <v>Near target</v>
      </c>
      <c r="L11" s="40">
        <f>IF(tblLabor[[#This Row],[Date]]="","",IF(ISNUMBER(tblLabor[[#This Row],[Earned hours (person-h)]]),tblLabor[[#This Row],[Actual hours (person-h)]]-tblLabor[[#This Row],[Earned hours (person-h)]],""))</f>
        <v>6.075</v>
      </c>
      <c r="M11" s="41">
        <f>IF(tblLabor[[#This Row],[Date]]="","",IF(AND(tblLabor[[#This Row],[Date]]&gt;=FFrom,tblLabor[[#This Row],[Date]]&lt;=FTo,OR(DashCell="",tblLabor[[#This Row],[Cell]]=DashCell)),tblLabor[[#This Row],[Date]],""))</f>
        <v>46265</v>
      </c>
      <c r="N1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 s="28" t="s">
        <v>136</v>
      </c>
    </row>
    <row r="12" spans="1:15" x14ac:dyDescent="0.25">
      <c r="B12" s="35">
        <v>46265</v>
      </c>
      <c r="C12" s="28" t="s">
        <v>101</v>
      </c>
      <c r="D12" s="28" t="s">
        <v>115</v>
      </c>
      <c r="E12" s="36">
        <v>185</v>
      </c>
      <c r="F12" s="29">
        <v>45.25</v>
      </c>
      <c r="G12" s="37" t="str">
        <f>IF(tblLabor[[#This Row],[Date]]="","",IFERROR(INDEX(tblOperations[Cell],MATCH(tblLabor[[#This Row],[Operation]],tblOperations[Operation],0)),""))</f>
        <v>Board line B</v>
      </c>
      <c r="H12" s="38">
        <f>IF(tblLabor[[#This Row],[Date]]="","",IFERROR(INDEX(tblOperations[Std (min/unit)],MATCH(tblLabor[[#This Row],[Operation]],tblOperations[Operation],0)),""))</f>
        <v>9.8</v>
      </c>
      <c r="I12" s="38">
        <f>IF(tblLabor[[#This Row],[Date]]="","",IF(tblLabor[[#This Row],[Std (min/unit)]]="","",tblLabor[[#This Row],[Good units]]*tblLabor[[#This Row],[Std (min/unit)]]/60))</f>
        <v>30.2166666666667</v>
      </c>
      <c r="J12" s="31">
        <f>IF(tblLabor[[#This Row],[Date]]="","",IF(AND(tblLabor[[#This Row],[Actual hours (person-h)]]&gt;0,ISNUMBER(tblLabor[[#This Row],[Earned hours (person-h)]])),tblLabor[[#This Row],[Earned hours (person-h)]]/tblLabor[[#This Row],[Actual hours (person-h)]],""))</f>
        <v>0.667771639042357</v>
      </c>
      <c r="K12" s="39" t="str">
        <f>IF(NOT(ISNUMBER(tblLabor[[#This Row],[Efficiency]])),"",IF(tblLabor[[#This Row],[Efficiency]]&gt;=TargetEff,"On target",IF(tblLabor[[#This Row],[Efficiency]]&gt;=TargetEff*(1-0.05),"Near target","Below target")))</f>
        <v>Below target</v>
      </c>
      <c r="L12" s="40">
        <f>IF(tblLabor[[#This Row],[Date]]="","",IF(ISNUMBER(tblLabor[[#This Row],[Earned hours (person-h)]]),tblLabor[[#This Row],[Actual hours (person-h)]]-tblLabor[[#This Row],[Earned hours (person-h)]],""))</f>
        <v>15.0333333333333</v>
      </c>
      <c r="M12" s="41">
        <f>IF(tblLabor[[#This Row],[Date]]="","",IF(AND(tblLabor[[#This Row],[Date]]&gt;=FFrom,tblLabor[[#This Row],[Date]]&lt;=FTo,OR(DashCell="",tblLabor[[#This Row],[Cell]]=DashCell)),tblLabor[[#This Row],[Date]],""))</f>
        <v>46265</v>
      </c>
      <c r="N1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 s="28" t="s">
        <v>136</v>
      </c>
    </row>
    <row r="13" spans="1:15" x14ac:dyDescent="0.25">
      <c r="B13" s="35">
        <v>46265</v>
      </c>
      <c r="C13" s="28" t="s">
        <v>101</v>
      </c>
      <c r="D13" s="28" t="s">
        <v>120</v>
      </c>
      <c r="E13" s="36">
        <v>359</v>
      </c>
      <c r="F13" s="29">
        <v>22.5</v>
      </c>
      <c r="G13" s="37" t="str">
        <f>IF(tblLabor[[#This Row],[Date]]="","",IFERROR(INDEX(tblOperations[Cell],MATCH(tblLabor[[#This Row],[Operation]],tblOperations[Operation],0)),""))</f>
        <v>Test and pack</v>
      </c>
      <c r="H13" s="38">
        <f>IF(tblLabor[[#This Row],[Date]]="","",IFERROR(INDEX(tblOperations[Std (min/unit)],MATCH(tblLabor[[#This Row],[Operation]],tblOperations[Operation],0)),""))</f>
        <v>3.4</v>
      </c>
      <c r="I13" s="38">
        <f>IF(tblLabor[[#This Row],[Date]]="","",IF(tblLabor[[#This Row],[Std (min/unit)]]="","",tblLabor[[#This Row],[Good units]]*tblLabor[[#This Row],[Std (min/unit)]]/60))</f>
        <v>20.3433333333333</v>
      </c>
      <c r="J13" s="31">
        <f>IF(tblLabor[[#This Row],[Date]]="","",IF(AND(tblLabor[[#This Row],[Actual hours (person-h)]]&gt;0,ISNUMBER(tblLabor[[#This Row],[Earned hours (person-h)]])),tblLabor[[#This Row],[Earned hours (person-h)]]/tblLabor[[#This Row],[Actual hours (person-h)]],""))</f>
        <v>0.904148148148148</v>
      </c>
      <c r="K13" s="39" t="str">
        <f>IF(NOT(ISNUMBER(tblLabor[[#This Row],[Efficiency]])),"",IF(tblLabor[[#This Row],[Efficiency]]&gt;=TargetEff,"On target",IF(tblLabor[[#This Row],[Efficiency]]&gt;=TargetEff*(1-0.05),"Near target","Below target")))</f>
        <v>On target</v>
      </c>
      <c r="L13" s="40">
        <f>IF(tblLabor[[#This Row],[Date]]="","",IF(ISNUMBER(tblLabor[[#This Row],[Earned hours (person-h)]]),tblLabor[[#This Row],[Actual hours (person-h)]]-tblLabor[[#This Row],[Earned hours (person-h)]],""))</f>
        <v>2.15666666666667</v>
      </c>
      <c r="M13" s="41">
        <f>IF(tblLabor[[#This Row],[Date]]="","",IF(AND(tblLabor[[#This Row],[Date]]&gt;=FFrom,tblLabor[[#This Row],[Date]]&lt;=FTo,OR(DashCell="",tblLabor[[#This Row],[Cell]]=DashCell)),tblLabor[[#This Row],[Date]],""))</f>
        <v>46265</v>
      </c>
      <c r="N1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 s="28" t="s">
        <v>136</v>
      </c>
    </row>
    <row r="14" spans="1:15" x14ac:dyDescent="0.25">
      <c r="B14" s="35">
        <v>46266</v>
      </c>
      <c r="C14" s="28" t="s">
        <v>98</v>
      </c>
      <c r="D14" s="28" t="s">
        <v>104</v>
      </c>
      <c r="E14" s="36">
        <v>180</v>
      </c>
      <c r="F14" s="29">
        <v>11.5</v>
      </c>
      <c r="G14" s="37" t="str">
        <f>IF(tblLabor[[#This Row],[Date]]="","",IFERROR(INDEX(tblOperations[Cell],MATCH(tblLabor[[#This Row],[Operation]],tblOperations[Operation],0)),""))</f>
        <v>Cut and crimp</v>
      </c>
      <c r="H14" s="38">
        <f>IF(tblLabor[[#This Row],[Date]]="","",IFERROR(INDEX(tblOperations[Std (min/unit)],MATCH(tblLabor[[#This Row],[Operation]],tblOperations[Operation],0)),""))</f>
        <v>3.8</v>
      </c>
      <c r="I14" s="38">
        <f>IF(tblLabor[[#This Row],[Date]]="","",IF(tblLabor[[#This Row],[Std (min/unit)]]="","",tblLabor[[#This Row],[Good units]]*tblLabor[[#This Row],[Std (min/unit)]]/60))</f>
        <v>11.4</v>
      </c>
      <c r="J14" s="31">
        <f>IF(tblLabor[[#This Row],[Date]]="","",IF(AND(tblLabor[[#This Row],[Actual hours (person-h)]]&gt;0,ISNUMBER(tblLabor[[#This Row],[Earned hours (person-h)]])),tblLabor[[#This Row],[Earned hours (person-h)]]/tblLabor[[#This Row],[Actual hours (person-h)]],""))</f>
        <v>0.991304347826087</v>
      </c>
      <c r="K14" s="39" t="str">
        <f>IF(NOT(ISNUMBER(tblLabor[[#This Row],[Efficiency]])),"",IF(tblLabor[[#This Row],[Efficiency]]&gt;=TargetEff,"On target",IF(tblLabor[[#This Row],[Efficiency]]&gt;=TargetEff*(1-0.05),"Near target","Below target")))</f>
        <v>On target</v>
      </c>
      <c r="L14" s="40">
        <f>IF(tblLabor[[#This Row],[Date]]="","",IF(ISNUMBER(tblLabor[[#This Row],[Earned hours (person-h)]]),tblLabor[[#This Row],[Actual hours (person-h)]]-tblLabor[[#This Row],[Earned hours (person-h)]],""))</f>
        <v>0.0999999999999996</v>
      </c>
      <c r="M14" s="41">
        <f>IF(tblLabor[[#This Row],[Date]]="","",IF(AND(tblLabor[[#This Row],[Date]]&gt;=FFrom,tblLabor[[#This Row],[Date]]&lt;=FTo,OR(DashCell="",tblLabor[[#This Row],[Cell]]=DashCell)),tblLabor[[#This Row],[Date]],""))</f>
        <v>46266</v>
      </c>
      <c r="N1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 s="28" t="s">
        <v>136</v>
      </c>
    </row>
    <row r="15" spans="1:15" x14ac:dyDescent="0.25">
      <c r="B15" s="35">
        <v>46266</v>
      </c>
      <c r="C15" s="28" t="s">
        <v>98</v>
      </c>
      <c r="D15" s="28" t="s">
        <v>106</v>
      </c>
      <c r="E15" s="36">
        <v>99</v>
      </c>
      <c r="F15" s="29">
        <v>9.25</v>
      </c>
      <c r="G15" s="37" t="str">
        <f>IF(tblLabor[[#This Row],[Date]]="","",IFERROR(INDEX(tblOperations[Cell],MATCH(tblLabor[[#This Row],[Operation]],tblOperations[Operation],0)),""))</f>
        <v>Cut and crimp</v>
      </c>
      <c r="H15" s="38">
        <f>IF(tblLabor[[#This Row],[Date]]="","",IFERROR(INDEX(tblOperations[Std (min/unit)],MATCH(tblLabor[[#This Row],[Operation]],tblOperations[Operation],0)),""))</f>
        <v>5.2</v>
      </c>
      <c r="I15" s="38">
        <f>IF(tblLabor[[#This Row],[Date]]="","",IF(tblLabor[[#This Row],[Std (min/unit)]]="","",tblLabor[[#This Row],[Good units]]*tblLabor[[#This Row],[Std (min/unit)]]/60))</f>
        <v>8.58</v>
      </c>
      <c r="J15" s="31">
        <f>IF(tblLabor[[#This Row],[Date]]="","",IF(AND(tblLabor[[#This Row],[Actual hours (person-h)]]&gt;0,ISNUMBER(tblLabor[[#This Row],[Earned hours (person-h)]])),tblLabor[[#This Row],[Earned hours (person-h)]]/tblLabor[[#This Row],[Actual hours (person-h)]],""))</f>
        <v>0.927567567567568</v>
      </c>
      <c r="K15" s="39" t="str">
        <f>IF(NOT(ISNUMBER(tblLabor[[#This Row],[Efficiency]])),"",IF(tblLabor[[#This Row],[Efficiency]]&gt;=TargetEff,"On target",IF(tblLabor[[#This Row],[Efficiency]]&gt;=TargetEff*(1-0.05),"Near target","Below target")))</f>
        <v>On target</v>
      </c>
      <c r="L15" s="40">
        <f>IF(tblLabor[[#This Row],[Date]]="","",IF(ISNUMBER(tblLabor[[#This Row],[Earned hours (person-h)]]),tblLabor[[#This Row],[Actual hours (person-h)]]-tblLabor[[#This Row],[Earned hours (person-h)]],""))</f>
        <v>0.669999999999998</v>
      </c>
      <c r="M15" s="41">
        <f>IF(tblLabor[[#This Row],[Date]]="","",IF(AND(tblLabor[[#This Row],[Date]]&gt;=FFrom,tblLabor[[#This Row],[Date]]&lt;=FTo,OR(DashCell="",tblLabor[[#This Row],[Cell]]=DashCell)),tblLabor[[#This Row],[Date]],""))</f>
        <v>46266</v>
      </c>
      <c r="N1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 s="28" t="s">
        <v>136</v>
      </c>
    </row>
    <row r="16" spans="1:15" x14ac:dyDescent="0.25">
      <c r="B16" s="35">
        <v>46266</v>
      </c>
      <c r="C16" s="28" t="s">
        <v>98</v>
      </c>
      <c r="D16" s="28" t="s">
        <v>112</v>
      </c>
      <c r="E16" s="36">
        <v>188</v>
      </c>
      <c r="F16" s="29">
        <v>55</v>
      </c>
      <c r="G16" s="37" t="str">
        <f>IF(tblLabor[[#This Row],[Date]]="","",IFERROR(INDEX(tblOperations[Cell],MATCH(tblLabor[[#This Row],[Operation]],tblOperations[Operation],0)),""))</f>
        <v>Board line A</v>
      </c>
      <c r="H16" s="38">
        <f>IF(tblLabor[[#This Row],[Date]]="","",IFERROR(INDEX(tblOperations[Std (min/unit)],MATCH(tblLabor[[#This Row],[Operation]],tblOperations[Operation],0)),""))</f>
        <v>16.5</v>
      </c>
      <c r="I16" s="38">
        <f>IF(tblLabor[[#This Row],[Date]]="","",IF(tblLabor[[#This Row],[Std (min/unit)]]="","",tblLabor[[#This Row],[Good units]]*tblLabor[[#This Row],[Std (min/unit)]]/60))</f>
        <v>51.7</v>
      </c>
      <c r="J16" s="31">
        <f>IF(tblLabor[[#This Row],[Date]]="","",IF(AND(tblLabor[[#This Row],[Actual hours (person-h)]]&gt;0,ISNUMBER(tblLabor[[#This Row],[Earned hours (person-h)]])),tblLabor[[#This Row],[Earned hours (person-h)]]/tblLabor[[#This Row],[Actual hours (person-h)]],""))</f>
        <v>0.94</v>
      </c>
      <c r="K16" s="39" t="str">
        <f>IF(NOT(ISNUMBER(tblLabor[[#This Row],[Efficiency]])),"",IF(tblLabor[[#This Row],[Efficiency]]&gt;=TargetEff,"On target",IF(tblLabor[[#This Row],[Efficiency]]&gt;=TargetEff*(1-0.05),"Near target","Below target")))</f>
        <v>On target</v>
      </c>
      <c r="L16" s="40">
        <f>IF(tblLabor[[#This Row],[Date]]="","",IF(ISNUMBER(tblLabor[[#This Row],[Earned hours (person-h)]]),tblLabor[[#This Row],[Actual hours (person-h)]]-tblLabor[[#This Row],[Earned hours (person-h)]],""))</f>
        <v>3.3</v>
      </c>
      <c r="M16" s="41">
        <f>IF(tblLabor[[#This Row],[Date]]="","",IF(AND(tblLabor[[#This Row],[Date]]&gt;=FFrom,tblLabor[[#This Row],[Date]]&lt;=FTo,OR(DashCell="",tblLabor[[#This Row],[Cell]]=DashCell)),tblLabor[[#This Row],[Date]],""))</f>
        <v>46266</v>
      </c>
      <c r="N1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 s="28" t="s">
        <v>136</v>
      </c>
    </row>
    <row r="17" spans="2:15" x14ac:dyDescent="0.25">
      <c r="B17" s="35">
        <v>46266</v>
      </c>
      <c r="C17" s="28" t="s">
        <v>98</v>
      </c>
      <c r="D17" s="28" t="s">
        <v>115</v>
      </c>
      <c r="E17" s="36">
        <v>270</v>
      </c>
      <c r="F17" s="29">
        <v>47.5</v>
      </c>
      <c r="G17" s="37" t="str">
        <f>IF(tblLabor[[#This Row],[Date]]="","",IFERROR(INDEX(tblOperations[Cell],MATCH(tblLabor[[#This Row],[Operation]],tblOperations[Operation],0)),""))</f>
        <v>Board line B</v>
      </c>
      <c r="H17" s="38">
        <f>IF(tblLabor[[#This Row],[Date]]="","",IFERROR(INDEX(tblOperations[Std (min/unit)],MATCH(tblLabor[[#This Row],[Operation]],tblOperations[Operation],0)),""))</f>
        <v>9.8</v>
      </c>
      <c r="I17" s="38">
        <f>IF(tblLabor[[#This Row],[Date]]="","",IF(tblLabor[[#This Row],[Std (min/unit)]]="","",tblLabor[[#This Row],[Good units]]*tblLabor[[#This Row],[Std (min/unit)]]/60))</f>
        <v>44.1</v>
      </c>
      <c r="J17" s="31">
        <f>IF(tblLabor[[#This Row],[Date]]="","",IF(AND(tblLabor[[#This Row],[Actual hours (person-h)]]&gt;0,ISNUMBER(tblLabor[[#This Row],[Earned hours (person-h)]])),tblLabor[[#This Row],[Earned hours (person-h)]]/tblLabor[[#This Row],[Actual hours (person-h)]],""))</f>
        <v>0.928421052631579</v>
      </c>
      <c r="K17" s="39" t="str">
        <f>IF(NOT(ISNUMBER(tblLabor[[#This Row],[Efficiency]])),"",IF(tblLabor[[#This Row],[Efficiency]]&gt;=TargetEff,"On target",IF(tblLabor[[#This Row],[Efficiency]]&gt;=TargetEff*(1-0.05),"Near target","Below target")))</f>
        <v>On target</v>
      </c>
      <c r="L17" s="40">
        <f>IF(tblLabor[[#This Row],[Date]]="","",IF(ISNUMBER(tblLabor[[#This Row],[Earned hours (person-h)]]),tblLabor[[#This Row],[Actual hours (person-h)]]-tblLabor[[#This Row],[Earned hours (person-h)]],""))</f>
        <v>3.4</v>
      </c>
      <c r="M17" s="41">
        <f>IF(tblLabor[[#This Row],[Date]]="","",IF(AND(tblLabor[[#This Row],[Date]]&gt;=FFrom,tblLabor[[#This Row],[Date]]&lt;=FTo,OR(DashCell="",tblLabor[[#This Row],[Cell]]=DashCell)),tblLabor[[#This Row],[Date]],""))</f>
        <v>46266</v>
      </c>
      <c r="N1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7" s="28" t="s">
        <v>136</v>
      </c>
    </row>
    <row r="18" spans="2:15" x14ac:dyDescent="0.25">
      <c r="B18" s="35">
        <v>46266</v>
      </c>
      <c r="C18" s="28" t="s">
        <v>98</v>
      </c>
      <c r="D18" s="28" t="s">
        <v>118</v>
      </c>
      <c r="E18" s="36">
        <v>535</v>
      </c>
      <c r="F18" s="29">
        <v>24.25</v>
      </c>
      <c r="G18" s="37" t="str">
        <f>IF(tblLabor[[#This Row],[Date]]="","",IFERROR(INDEX(tblOperations[Cell],MATCH(tblLabor[[#This Row],[Operation]],tblOperations[Operation],0)),""))</f>
        <v>Test and pack</v>
      </c>
      <c r="H18" s="38">
        <f>IF(tblLabor[[#This Row],[Date]]="","",IFERROR(INDEX(tblOperations[Std (min/unit)],MATCH(tblLabor[[#This Row],[Operation]],tblOperations[Operation],0)),""))</f>
        <v>2.6</v>
      </c>
      <c r="I18" s="38">
        <f>IF(tblLabor[[#This Row],[Date]]="","",IF(tblLabor[[#This Row],[Std (min/unit)]]="","",tblLabor[[#This Row],[Good units]]*tblLabor[[#This Row],[Std (min/unit)]]/60))</f>
        <v>23.1833333333333</v>
      </c>
      <c r="J18" s="31">
        <f>IF(tblLabor[[#This Row],[Date]]="","",IF(AND(tblLabor[[#This Row],[Actual hours (person-h)]]&gt;0,ISNUMBER(tblLabor[[#This Row],[Earned hours (person-h)]])),tblLabor[[#This Row],[Earned hours (person-h)]]/tblLabor[[#This Row],[Actual hours (person-h)]],""))</f>
        <v>0.956013745704467</v>
      </c>
      <c r="K18" s="39" t="str">
        <f>IF(NOT(ISNUMBER(tblLabor[[#This Row],[Efficiency]])),"",IF(tblLabor[[#This Row],[Efficiency]]&gt;=TargetEff,"On target",IF(tblLabor[[#This Row],[Efficiency]]&gt;=TargetEff*(1-0.05),"Near target","Below target")))</f>
        <v>On target</v>
      </c>
      <c r="L18" s="40">
        <f>IF(tblLabor[[#This Row],[Date]]="","",IF(ISNUMBER(tblLabor[[#This Row],[Earned hours (person-h)]]),tblLabor[[#This Row],[Actual hours (person-h)]]-tblLabor[[#This Row],[Earned hours (person-h)]],""))</f>
        <v>1.06666666666667</v>
      </c>
      <c r="M18" s="41">
        <f>IF(tblLabor[[#This Row],[Date]]="","",IF(AND(tblLabor[[#This Row],[Date]]&gt;=FFrom,tblLabor[[#This Row],[Date]]&lt;=FTo,OR(DashCell="",tblLabor[[#This Row],[Cell]]=DashCell)),tblLabor[[#This Row],[Date]],""))</f>
        <v>46266</v>
      </c>
      <c r="N1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8" s="28" t="s">
        <v>136</v>
      </c>
    </row>
    <row r="19" spans="2:15" x14ac:dyDescent="0.25">
      <c r="B19" s="35">
        <v>46266</v>
      </c>
      <c r="C19" s="28" t="s">
        <v>101</v>
      </c>
      <c r="D19" s="28" t="s">
        <v>108</v>
      </c>
      <c r="E19" s="36">
        <v>302</v>
      </c>
      <c r="F19" s="29">
        <v>12.75</v>
      </c>
      <c r="G19" s="37" t="str">
        <f>IF(tblLabor[[#This Row],[Date]]="","",IFERROR(INDEX(tblOperations[Cell],MATCH(tblLabor[[#This Row],[Operation]],tblOperations[Operation],0)),""))</f>
        <v>Cut and crimp</v>
      </c>
      <c r="H19" s="38">
        <f>IF(tblLabor[[#This Row],[Date]]="","",IFERROR(INDEX(tblOperations[Std (min/unit)],MATCH(tblLabor[[#This Row],[Operation]],tblOperations[Operation],0)),""))</f>
        <v>2.4</v>
      </c>
      <c r="I19" s="38">
        <f>IF(tblLabor[[#This Row],[Date]]="","",IF(tblLabor[[#This Row],[Std (min/unit)]]="","",tblLabor[[#This Row],[Good units]]*tblLabor[[#This Row],[Std (min/unit)]]/60))</f>
        <v>12.08</v>
      </c>
      <c r="J19" s="31">
        <f>IF(tblLabor[[#This Row],[Date]]="","",IF(AND(tblLabor[[#This Row],[Actual hours (person-h)]]&gt;0,ISNUMBER(tblLabor[[#This Row],[Earned hours (person-h)]])),tblLabor[[#This Row],[Earned hours (person-h)]]/tblLabor[[#This Row],[Actual hours (person-h)]],""))</f>
        <v>0.947450980392157</v>
      </c>
      <c r="K19" s="39" t="str">
        <f>IF(NOT(ISNUMBER(tblLabor[[#This Row],[Efficiency]])),"",IF(tblLabor[[#This Row],[Efficiency]]&gt;=TargetEff,"On target",IF(tblLabor[[#This Row],[Efficiency]]&gt;=TargetEff*(1-0.05),"Near target","Below target")))</f>
        <v>On target</v>
      </c>
      <c r="L19" s="40">
        <f>IF(tblLabor[[#This Row],[Date]]="","",IF(ISNUMBER(tblLabor[[#This Row],[Earned hours (person-h)]]),tblLabor[[#This Row],[Actual hours (person-h)]]-tblLabor[[#This Row],[Earned hours (person-h)]],""))</f>
        <v>0.67</v>
      </c>
      <c r="M19" s="41">
        <f>IF(tblLabor[[#This Row],[Date]]="","",IF(AND(tblLabor[[#This Row],[Date]]&gt;=FFrom,tblLabor[[#This Row],[Date]]&lt;=FTo,OR(DashCell="",tblLabor[[#This Row],[Cell]]=DashCell)),tblLabor[[#This Row],[Date]],""))</f>
        <v>46266</v>
      </c>
      <c r="N1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9" s="28" t="s">
        <v>136</v>
      </c>
    </row>
    <row r="20" spans="2:15" x14ac:dyDescent="0.25">
      <c r="B20" s="35">
        <v>46266</v>
      </c>
      <c r="C20" s="28" t="s">
        <v>101</v>
      </c>
      <c r="D20" s="28" t="s">
        <v>110</v>
      </c>
      <c r="E20" s="36">
        <v>527</v>
      </c>
      <c r="F20" s="29">
        <v>8.5</v>
      </c>
      <c r="G20" s="37" t="str">
        <f>IF(tblLabor[[#This Row],[Date]]="","",IFERROR(INDEX(tblOperations[Cell],MATCH(tblLabor[[#This Row],[Operation]],tblOperations[Operation],0)),""))</f>
        <v>Cut and crimp</v>
      </c>
      <c r="H20" s="38">
        <f>IF(tblLabor[[#This Row],[Date]]="","",IFERROR(INDEX(tblOperations[Std (min/unit)],MATCH(tblLabor[[#This Row],[Operation]],tblOperations[Operation],0)),""))</f>
        <v>0.9</v>
      </c>
      <c r="I20" s="38">
        <f>IF(tblLabor[[#This Row],[Date]]="","",IF(tblLabor[[#This Row],[Std (min/unit)]]="","",tblLabor[[#This Row],[Good units]]*tblLabor[[#This Row],[Std (min/unit)]]/60))</f>
        <v>7.905</v>
      </c>
      <c r="J20" s="31">
        <f>IF(tblLabor[[#This Row],[Date]]="","",IF(AND(tblLabor[[#This Row],[Actual hours (person-h)]]&gt;0,ISNUMBER(tblLabor[[#This Row],[Earned hours (person-h)]])),tblLabor[[#This Row],[Earned hours (person-h)]]/tblLabor[[#This Row],[Actual hours (person-h)]],""))</f>
        <v>0.93</v>
      </c>
      <c r="K20" s="39" t="str">
        <f>IF(NOT(ISNUMBER(tblLabor[[#This Row],[Efficiency]])),"",IF(tblLabor[[#This Row],[Efficiency]]&gt;=TargetEff,"On target",IF(tblLabor[[#This Row],[Efficiency]]&gt;=TargetEff*(1-0.05),"Near target","Below target")))</f>
        <v>On target</v>
      </c>
      <c r="L20" s="40">
        <f>IF(tblLabor[[#This Row],[Date]]="","",IF(ISNUMBER(tblLabor[[#This Row],[Earned hours (person-h)]]),tblLabor[[#This Row],[Actual hours (person-h)]]-tblLabor[[#This Row],[Earned hours (person-h)]],""))</f>
        <v>0.595</v>
      </c>
      <c r="M20" s="41">
        <f>IF(tblLabor[[#This Row],[Date]]="","",IF(AND(tblLabor[[#This Row],[Date]]&gt;=FFrom,tblLabor[[#This Row],[Date]]&lt;=FTo,OR(DashCell="",tblLabor[[#This Row],[Cell]]=DashCell)),tblLabor[[#This Row],[Date]],""))</f>
        <v>46266</v>
      </c>
      <c r="N2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0" s="28" t="s">
        <v>136</v>
      </c>
    </row>
    <row r="21" spans="2:15" x14ac:dyDescent="0.25">
      <c r="B21" s="35">
        <v>46266</v>
      </c>
      <c r="C21" s="28" t="s">
        <v>101</v>
      </c>
      <c r="D21" s="28" t="s">
        <v>112</v>
      </c>
      <c r="E21" s="36">
        <v>191</v>
      </c>
      <c r="F21" s="29">
        <v>56</v>
      </c>
      <c r="G21" s="37" t="str">
        <f>IF(tblLabor[[#This Row],[Date]]="","",IFERROR(INDEX(tblOperations[Cell],MATCH(tblLabor[[#This Row],[Operation]],tblOperations[Operation],0)),""))</f>
        <v>Board line A</v>
      </c>
      <c r="H21" s="38">
        <f>IF(tblLabor[[#This Row],[Date]]="","",IFERROR(INDEX(tblOperations[Std (min/unit)],MATCH(tblLabor[[#This Row],[Operation]],tblOperations[Operation],0)),""))</f>
        <v>16.5</v>
      </c>
      <c r="I21" s="38">
        <f>IF(tblLabor[[#This Row],[Date]]="","",IF(tblLabor[[#This Row],[Std (min/unit)]]="","",tblLabor[[#This Row],[Good units]]*tblLabor[[#This Row],[Std (min/unit)]]/60))</f>
        <v>52.525</v>
      </c>
      <c r="J21" s="31">
        <f>IF(tblLabor[[#This Row],[Date]]="","",IF(AND(tblLabor[[#This Row],[Actual hours (person-h)]]&gt;0,ISNUMBER(tblLabor[[#This Row],[Earned hours (person-h)]])),tblLabor[[#This Row],[Earned hours (person-h)]]/tblLabor[[#This Row],[Actual hours (person-h)]],""))</f>
        <v>0.937946428571429</v>
      </c>
      <c r="K21" s="39" t="str">
        <f>IF(NOT(ISNUMBER(tblLabor[[#This Row],[Efficiency]])),"",IF(tblLabor[[#This Row],[Efficiency]]&gt;=TargetEff,"On target",IF(tblLabor[[#This Row],[Efficiency]]&gt;=TargetEff*(1-0.05),"Near target","Below target")))</f>
        <v>On target</v>
      </c>
      <c r="L21" s="40">
        <f>IF(tblLabor[[#This Row],[Date]]="","",IF(ISNUMBER(tblLabor[[#This Row],[Earned hours (person-h)]]),tblLabor[[#This Row],[Actual hours (person-h)]]-tblLabor[[#This Row],[Earned hours (person-h)]],""))</f>
        <v>3.475</v>
      </c>
      <c r="M21" s="41">
        <f>IF(tblLabor[[#This Row],[Date]]="","",IF(AND(tblLabor[[#This Row],[Date]]&gt;=FFrom,tblLabor[[#This Row],[Date]]&lt;=FTo,OR(DashCell="",tblLabor[[#This Row],[Cell]]=DashCell)),tblLabor[[#This Row],[Date]],""))</f>
        <v>46266</v>
      </c>
      <c r="N2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1" s="28" t="s">
        <v>136</v>
      </c>
    </row>
    <row r="22" spans="2:15" x14ac:dyDescent="0.25">
      <c r="B22" s="35">
        <v>46266</v>
      </c>
      <c r="C22" s="28" t="s">
        <v>101</v>
      </c>
      <c r="D22" s="28" t="s">
        <v>115</v>
      </c>
      <c r="E22" s="36">
        <v>191</v>
      </c>
      <c r="F22" s="29">
        <v>47.75</v>
      </c>
      <c r="G22" s="37" t="str">
        <f>IF(tblLabor[[#This Row],[Date]]="","",IFERROR(INDEX(tblOperations[Cell],MATCH(tblLabor[[#This Row],[Operation]],tblOperations[Operation],0)),""))</f>
        <v>Board line B</v>
      </c>
      <c r="H22" s="38">
        <f>IF(tblLabor[[#This Row],[Date]]="","",IFERROR(INDEX(tblOperations[Std (min/unit)],MATCH(tblLabor[[#This Row],[Operation]],tblOperations[Operation],0)),""))</f>
        <v>9.8</v>
      </c>
      <c r="I22" s="38">
        <f>IF(tblLabor[[#This Row],[Date]]="","",IF(tblLabor[[#This Row],[Std (min/unit)]]="","",tblLabor[[#This Row],[Good units]]*tblLabor[[#This Row],[Std (min/unit)]]/60))</f>
        <v>31.1966666666667</v>
      </c>
      <c r="J22" s="31">
        <f>IF(tblLabor[[#This Row],[Date]]="","",IF(AND(tblLabor[[#This Row],[Actual hours (person-h)]]&gt;0,ISNUMBER(tblLabor[[#This Row],[Earned hours (person-h)]])),tblLabor[[#This Row],[Earned hours (person-h)]]/tblLabor[[#This Row],[Actual hours (person-h)]],""))</f>
        <v>0.653333333333333</v>
      </c>
      <c r="K22" s="39" t="str">
        <f>IF(NOT(ISNUMBER(tblLabor[[#This Row],[Efficiency]])),"",IF(tblLabor[[#This Row],[Efficiency]]&gt;=TargetEff,"On target",IF(tblLabor[[#This Row],[Efficiency]]&gt;=TargetEff*(1-0.05),"Near target","Below target")))</f>
        <v>Below target</v>
      </c>
      <c r="L22" s="40">
        <f>IF(tblLabor[[#This Row],[Date]]="","",IF(ISNUMBER(tblLabor[[#This Row],[Earned hours (person-h)]]),tblLabor[[#This Row],[Actual hours (person-h)]]-tblLabor[[#This Row],[Earned hours (person-h)]],""))</f>
        <v>16.5533333333333</v>
      </c>
      <c r="M22" s="41">
        <f>IF(tblLabor[[#This Row],[Date]]="","",IF(AND(tblLabor[[#This Row],[Date]]&gt;=FFrom,tblLabor[[#This Row],[Date]]&lt;=FTo,OR(DashCell="",tblLabor[[#This Row],[Cell]]=DashCell)),tblLabor[[#This Row],[Date]],""))</f>
        <v>46266</v>
      </c>
      <c r="N2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2" s="28" t="s">
        <v>136</v>
      </c>
    </row>
    <row r="23" spans="2:15" x14ac:dyDescent="0.25">
      <c r="B23" s="35">
        <v>46266</v>
      </c>
      <c r="C23" s="28" t="s">
        <v>101</v>
      </c>
      <c r="D23" s="28" t="s">
        <v>122</v>
      </c>
      <c r="E23" s="36">
        <v>938</v>
      </c>
      <c r="F23" s="29">
        <v>30</v>
      </c>
      <c r="G23" s="37" t="str">
        <f>IF(tblLabor[[#This Row],[Date]]="","",IFERROR(INDEX(tblOperations[Cell],MATCH(tblLabor[[#This Row],[Operation]],tblOperations[Operation],0)),""))</f>
        <v>Test and pack</v>
      </c>
      <c r="H23" s="38">
        <f>IF(tblLabor[[#This Row],[Date]]="","",IFERROR(INDEX(tblOperations[Std (min/unit)],MATCH(tblLabor[[#This Row],[Operation]],tblOperations[Operation],0)),""))</f>
        <v>1.7</v>
      </c>
      <c r="I23" s="38">
        <f>IF(tblLabor[[#This Row],[Date]]="","",IF(tblLabor[[#This Row],[Std (min/unit)]]="","",tblLabor[[#This Row],[Good units]]*tblLabor[[#This Row],[Std (min/unit)]]/60))</f>
        <v>26.5766666666667</v>
      </c>
      <c r="J23" s="31">
        <f>IF(tblLabor[[#This Row],[Date]]="","",IF(AND(tblLabor[[#This Row],[Actual hours (person-h)]]&gt;0,ISNUMBER(tblLabor[[#This Row],[Earned hours (person-h)]])),tblLabor[[#This Row],[Earned hours (person-h)]]/tblLabor[[#This Row],[Actual hours (person-h)]],""))</f>
        <v>0.885888888888889</v>
      </c>
      <c r="K23" s="39" t="str">
        <f>IF(NOT(ISNUMBER(tblLabor[[#This Row],[Efficiency]])),"",IF(tblLabor[[#This Row],[Efficiency]]&gt;=TargetEff,"On target",IF(tblLabor[[#This Row],[Efficiency]]&gt;=TargetEff*(1-0.05),"Near target","Below target")))</f>
        <v>Near target</v>
      </c>
      <c r="L23" s="40">
        <f>IF(tblLabor[[#This Row],[Date]]="","",IF(ISNUMBER(tblLabor[[#This Row],[Earned hours (person-h)]]),tblLabor[[#This Row],[Actual hours (person-h)]]-tblLabor[[#This Row],[Earned hours (person-h)]],""))</f>
        <v>3.42333333333334</v>
      </c>
      <c r="M23" s="41">
        <f>IF(tblLabor[[#This Row],[Date]]="","",IF(AND(tblLabor[[#This Row],[Date]]&gt;=FFrom,tblLabor[[#This Row],[Date]]&lt;=FTo,OR(DashCell="",tblLabor[[#This Row],[Cell]]=DashCell)),tblLabor[[#This Row],[Date]],""))</f>
        <v>46266</v>
      </c>
      <c r="N2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3" s="28" t="s">
        <v>136</v>
      </c>
    </row>
    <row r="24" spans="2:15" x14ac:dyDescent="0.25">
      <c r="B24" s="35">
        <v>46267</v>
      </c>
      <c r="C24" s="28" t="s">
        <v>98</v>
      </c>
      <c r="D24" s="28" t="s">
        <v>106</v>
      </c>
      <c r="E24" s="36">
        <v>297</v>
      </c>
      <c r="F24" s="29">
        <v>27.5</v>
      </c>
      <c r="G24" s="37" t="str">
        <f>IF(tblLabor[[#This Row],[Date]]="","",IFERROR(INDEX(tblOperations[Cell],MATCH(tblLabor[[#This Row],[Operation]],tblOperations[Operation],0)),""))</f>
        <v>Cut and crimp</v>
      </c>
      <c r="H24" s="38">
        <f>IF(tblLabor[[#This Row],[Date]]="","",IFERROR(INDEX(tblOperations[Std (min/unit)],MATCH(tblLabor[[#This Row],[Operation]],tblOperations[Operation],0)),""))</f>
        <v>5.2</v>
      </c>
      <c r="I24" s="38">
        <f>IF(tblLabor[[#This Row],[Date]]="","",IF(tblLabor[[#This Row],[Std (min/unit)]]="","",tblLabor[[#This Row],[Good units]]*tblLabor[[#This Row],[Std (min/unit)]]/60))</f>
        <v>25.74</v>
      </c>
      <c r="J24" s="31">
        <f>IF(tblLabor[[#This Row],[Date]]="","",IF(AND(tblLabor[[#This Row],[Actual hours (person-h)]]&gt;0,ISNUMBER(tblLabor[[#This Row],[Earned hours (person-h)]])),tblLabor[[#This Row],[Earned hours (person-h)]]/tblLabor[[#This Row],[Actual hours (person-h)]],""))</f>
        <v>0.936</v>
      </c>
      <c r="K24" s="39" t="str">
        <f>IF(NOT(ISNUMBER(tblLabor[[#This Row],[Efficiency]])),"",IF(tblLabor[[#This Row],[Efficiency]]&gt;=TargetEff,"On target",IF(tblLabor[[#This Row],[Efficiency]]&gt;=TargetEff*(1-0.05),"Near target","Below target")))</f>
        <v>On target</v>
      </c>
      <c r="L24" s="40">
        <f>IF(tblLabor[[#This Row],[Date]]="","",IF(ISNUMBER(tblLabor[[#This Row],[Earned hours (person-h)]]),tblLabor[[#This Row],[Actual hours (person-h)]]-tblLabor[[#This Row],[Earned hours (person-h)]],""))</f>
        <v>1.76</v>
      </c>
      <c r="M24" s="41">
        <f>IF(tblLabor[[#This Row],[Date]]="","",IF(AND(tblLabor[[#This Row],[Date]]&gt;=FFrom,tblLabor[[#This Row],[Date]]&lt;=FTo,OR(DashCell="",tblLabor[[#This Row],[Cell]]=DashCell)),tblLabor[[#This Row],[Date]],""))</f>
        <v>46267</v>
      </c>
      <c r="N2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4" s="28" t="s">
        <v>136</v>
      </c>
    </row>
    <row r="25" spans="2:15" x14ac:dyDescent="0.25">
      <c r="B25" s="35">
        <v>46267</v>
      </c>
      <c r="C25" s="28" t="s">
        <v>98</v>
      </c>
      <c r="D25" s="28" t="s">
        <v>112</v>
      </c>
      <c r="E25" s="36">
        <v>162</v>
      </c>
      <c r="F25" s="29">
        <v>49</v>
      </c>
      <c r="G25" s="37" t="str">
        <f>IF(tblLabor[[#This Row],[Date]]="","",IFERROR(INDEX(tblOperations[Cell],MATCH(tblLabor[[#This Row],[Operation]],tblOperations[Operation],0)),""))</f>
        <v>Board line A</v>
      </c>
      <c r="H25" s="38">
        <f>IF(tblLabor[[#This Row],[Date]]="","",IFERROR(INDEX(tblOperations[Std (min/unit)],MATCH(tblLabor[[#This Row],[Operation]],tblOperations[Operation],0)),""))</f>
        <v>16.5</v>
      </c>
      <c r="I25" s="38">
        <f>IF(tblLabor[[#This Row],[Date]]="","",IF(tblLabor[[#This Row],[Std (min/unit)]]="","",tblLabor[[#This Row],[Good units]]*tblLabor[[#This Row],[Std (min/unit)]]/60))</f>
        <v>44.55</v>
      </c>
      <c r="J25" s="31">
        <f>IF(tblLabor[[#This Row],[Date]]="","",IF(AND(tblLabor[[#This Row],[Actual hours (person-h)]]&gt;0,ISNUMBER(tblLabor[[#This Row],[Earned hours (person-h)]])),tblLabor[[#This Row],[Earned hours (person-h)]]/tblLabor[[#This Row],[Actual hours (person-h)]],""))</f>
        <v>0.909183673469388</v>
      </c>
      <c r="K25" s="39" t="str">
        <f>IF(NOT(ISNUMBER(tblLabor[[#This Row],[Efficiency]])),"",IF(tblLabor[[#This Row],[Efficiency]]&gt;=TargetEff,"On target",IF(tblLabor[[#This Row],[Efficiency]]&gt;=TargetEff*(1-0.05),"Near target","Below target")))</f>
        <v>On target</v>
      </c>
      <c r="L25" s="40">
        <f>IF(tblLabor[[#This Row],[Date]]="","",IF(ISNUMBER(tblLabor[[#This Row],[Earned hours (person-h)]]),tblLabor[[#This Row],[Actual hours (person-h)]]-tblLabor[[#This Row],[Earned hours (person-h)]],""))</f>
        <v>4.45</v>
      </c>
      <c r="M25" s="41">
        <f>IF(tblLabor[[#This Row],[Date]]="","",IF(AND(tblLabor[[#This Row],[Date]]&gt;=FFrom,tblLabor[[#This Row],[Date]]&lt;=FTo,OR(DashCell="",tblLabor[[#This Row],[Cell]]=DashCell)),tblLabor[[#This Row],[Date]],""))</f>
        <v>46267</v>
      </c>
      <c r="N2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5" s="28" t="s">
        <v>136</v>
      </c>
    </row>
    <row r="26" spans="2:15" x14ac:dyDescent="0.25">
      <c r="B26" s="35">
        <v>46267</v>
      </c>
      <c r="C26" s="28" t="s">
        <v>98</v>
      </c>
      <c r="D26" s="28" t="s">
        <v>116</v>
      </c>
      <c r="E26" s="36">
        <v>752</v>
      </c>
      <c r="F26" s="29">
        <v>41.25</v>
      </c>
      <c r="G26" s="37" t="str">
        <f>IF(tblLabor[[#This Row],[Date]]="","",IFERROR(INDEX(tblOperations[Cell],MATCH(tblLabor[[#This Row],[Operation]],tblOperations[Operation],0)),""))</f>
        <v>Board line B</v>
      </c>
      <c r="H26" s="38">
        <f>IF(tblLabor[[#This Row],[Date]]="","",IFERROR(INDEX(tblOperations[Std (min/unit)],MATCH(tblLabor[[#This Row],[Operation]],tblOperations[Operation],0)),""))</f>
        <v>3.1</v>
      </c>
      <c r="I26" s="38">
        <f>IF(tblLabor[[#This Row],[Date]]="","",IF(tblLabor[[#This Row],[Std (min/unit)]]="","",tblLabor[[#This Row],[Good units]]*tblLabor[[#This Row],[Std (min/unit)]]/60))</f>
        <v>38.8533333333333</v>
      </c>
      <c r="J26" s="31">
        <f>IF(tblLabor[[#This Row],[Date]]="","",IF(AND(tblLabor[[#This Row],[Actual hours (person-h)]]&gt;0,ISNUMBER(tblLabor[[#This Row],[Earned hours (person-h)]])),tblLabor[[#This Row],[Earned hours (person-h)]]/tblLabor[[#This Row],[Actual hours (person-h)]],""))</f>
        <v>0.94189898989899</v>
      </c>
      <c r="K26" s="39" t="str">
        <f>IF(NOT(ISNUMBER(tblLabor[[#This Row],[Efficiency]])),"",IF(tblLabor[[#This Row],[Efficiency]]&gt;=TargetEff,"On target",IF(tblLabor[[#This Row],[Efficiency]]&gt;=TargetEff*(1-0.05),"Near target","Below target")))</f>
        <v>On target</v>
      </c>
      <c r="L26" s="40">
        <f>IF(tblLabor[[#This Row],[Date]]="","",IF(ISNUMBER(tblLabor[[#This Row],[Earned hours (person-h)]]),tblLabor[[#This Row],[Actual hours (person-h)]]-tblLabor[[#This Row],[Earned hours (person-h)]],""))</f>
        <v>2.39666666666666</v>
      </c>
      <c r="M26" s="41">
        <f>IF(tblLabor[[#This Row],[Date]]="","",IF(AND(tblLabor[[#This Row],[Date]]&gt;=FFrom,tblLabor[[#This Row],[Date]]&lt;=FTo,OR(DashCell="",tblLabor[[#This Row],[Cell]]=DashCell)),tblLabor[[#This Row],[Date]],""))</f>
        <v>46267</v>
      </c>
      <c r="N2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6" s="28" t="s">
        <v>136</v>
      </c>
    </row>
    <row r="27" spans="2:15" x14ac:dyDescent="0.25">
      <c r="B27" s="35">
        <v>46267</v>
      </c>
      <c r="C27" s="28" t="s">
        <v>98</v>
      </c>
      <c r="D27" s="28" t="s">
        <v>120</v>
      </c>
      <c r="E27" s="36">
        <v>519</v>
      </c>
      <c r="F27" s="29">
        <v>31.5</v>
      </c>
      <c r="G27" s="37" t="str">
        <f>IF(tblLabor[[#This Row],[Date]]="","",IFERROR(INDEX(tblOperations[Cell],MATCH(tblLabor[[#This Row],[Operation]],tblOperations[Operation],0)),""))</f>
        <v>Test and pack</v>
      </c>
      <c r="H27" s="38">
        <f>IF(tblLabor[[#This Row],[Date]]="","",IFERROR(INDEX(tblOperations[Std (min/unit)],MATCH(tblLabor[[#This Row],[Operation]],tblOperations[Operation],0)),""))</f>
        <v>3.4</v>
      </c>
      <c r="I27" s="38">
        <f>IF(tblLabor[[#This Row],[Date]]="","",IF(tblLabor[[#This Row],[Std (min/unit)]]="","",tblLabor[[#This Row],[Good units]]*tblLabor[[#This Row],[Std (min/unit)]]/60))</f>
        <v>29.41</v>
      </c>
      <c r="J27" s="31">
        <f>IF(tblLabor[[#This Row],[Date]]="","",IF(AND(tblLabor[[#This Row],[Actual hours (person-h)]]&gt;0,ISNUMBER(tblLabor[[#This Row],[Earned hours (person-h)]])),tblLabor[[#This Row],[Earned hours (person-h)]]/tblLabor[[#This Row],[Actual hours (person-h)]],""))</f>
        <v>0.933650793650794</v>
      </c>
      <c r="K27" s="39" t="str">
        <f>IF(NOT(ISNUMBER(tblLabor[[#This Row],[Efficiency]])),"",IF(tblLabor[[#This Row],[Efficiency]]&gt;=TargetEff,"On target",IF(tblLabor[[#This Row],[Efficiency]]&gt;=TargetEff*(1-0.05),"Near target","Below target")))</f>
        <v>On target</v>
      </c>
      <c r="L27" s="40">
        <f>IF(tblLabor[[#This Row],[Date]]="","",IF(ISNUMBER(tblLabor[[#This Row],[Earned hours (person-h)]]),tblLabor[[#This Row],[Actual hours (person-h)]]-tblLabor[[#This Row],[Earned hours (person-h)]],""))</f>
        <v>2.09</v>
      </c>
      <c r="M27" s="41">
        <f>IF(tblLabor[[#This Row],[Date]]="","",IF(AND(tblLabor[[#This Row],[Date]]&gt;=FFrom,tblLabor[[#This Row],[Date]]&lt;=FTo,OR(DashCell="",tblLabor[[#This Row],[Cell]]=DashCell)),tblLabor[[#This Row],[Date]],""))</f>
        <v>46267</v>
      </c>
      <c r="N2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7" s="28" t="s">
        <v>136</v>
      </c>
    </row>
    <row r="28" spans="2:15" x14ac:dyDescent="0.25">
      <c r="B28" s="35">
        <v>46267</v>
      </c>
      <c r="C28" s="28" t="s">
        <v>101</v>
      </c>
      <c r="D28" s="28" t="s">
        <v>110</v>
      </c>
      <c r="E28" s="36">
        <v>1307</v>
      </c>
      <c r="F28" s="29">
        <v>20.5</v>
      </c>
      <c r="G28" s="37" t="str">
        <f>IF(tblLabor[[#This Row],[Date]]="","",IFERROR(INDEX(tblOperations[Cell],MATCH(tblLabor[[#This Row],[Operation]],tblOperations[Operation],0)),""))</f>
        <v>Cut and crimp</v>
      </c>
      <c r="H28" s="38">
        <f>IF(tblLabor[[#This Row],[Date]]="","",IFERROR(INDEX(tblOperations[Std (min/unit)],MATCH(tblLabor[[#This Row],[Operation]],tblOperations[Operation],0)),""))</f>
        <v>0.9</v>
      </c>
      <c r="I28" s="38">
        <f>IF(tblLabor[[#This Row],[Date]]="","",IF(tblLabor[[#This Row],[Std (min/unit)]]="","",tblLabor[[#This Row],[Good units]]*tblLabor[[#This Row],[Std (min/unit)]]/60))</f>
        <v>19.605</v>
      </c>
      <c r="J28" s="31">
        <f>IF(tblLabor[[#This Row],[Date]]="","",IF(AND(tblLabor[[#This Row],[Actual hours (person-h)]]&gt;0,ISNUMBER(tblLabor[[#This Row],[Earned hours (person-h)]])),tblLabor[[#This Row],[Earned hours (person-h)]]/tblLabor[[#This Row],[Actual hours (person-h)]],""))</f>
        <v>0.956341463414634</v>
      </c>
      <c r="K28" s="39" t="str">
        <f>IF(NOT(ISNUMBER(tblLabor[[#This Row],[Efficiency]])),"",IF(tblLabor[[#This Row],[Efficiency]]&gt;=TargetEff,"On target",IF(tblLabor[[#This Row],[Efficiency]]&gt;=TargetEff*(1-0.05),"Near target","Below target")))</f>
        <v>On target</v>
      </c>
      <c r="L28" s="40">
        <f>IF(tblLabor[[#This Row],[Date]]="","",IF(ISNUMBER(tblLabor[[#This Row],[Earned hours (person-h)]]),tblLabor[[#This Row],[Actual hours (person-h)]]-tblLabor[[#This Row],[Earned hours (person-h)]],""))</f>
        <v>0.895</v>
      </c>
      <c r="M28" s="41">
        <f>IF(tblLabor[[#This Row],[Date]]="","",IF(AND(tblLabor[[#This Row],[Date]]&gt;=FFrom,tblLabor[[#This Row],[Date]]&lt;=FTo,OR(DashCell="",tblLabor[[#This Row],[Cell]]=DashCell)),tblLabor[[#This Row],[Date]],""))</f>
        <v>46267</v>
      </c>
      <c r="N2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8" s="28" t="s">
        <v>136</v>
      </c>
    </row>
    <row r="29" spans="2:15" x14ac:dyDescent="0.25">
      <c r="B29" s="35">
        <v>46267</v>
      </c>
      <c r="C29" s="28" t="s">
        <v>101</v>
      </c>
      <c r="D29" s="28" t="s">
        <v>112</v>
      </c>
      <c r="E29" s="36">
        <v>181</v>
      </c>
      <c r="F29" s="29">
        <v>55.75</v>
      </c>
      <c r="G29" s="37" t="str">
        <f>IF(tblLabor[[#This Row],[Date]]="","",IFERROR(INDEX(tblOperations[Cell],MATCH(tblLabor[[#This Row],[Operation]],tblOperations[Operation],0)),""))</f>
        <v>Board line A</v>
      </c>
      <c r="H29" s="38">
        <f>IF(tblLabor[[#This Row],[Date]]="","",IFERROR(INDEX(tblOperations[Std (min/unit)],MATCH(tblLabor[[#This Row],[Operation]],tblOperations[Operation],0)),""))</f>
        <v>16.5</v>
      </c>
      <c r="I29" s="38">
        <f>IF(tblLabor[[#This Row],[Date]]="","",IF(tblLabor[[#This Row],[Std (min/unit)]]="","",tblLabor[[#This Row],[Good units]]*tblLabor[[#This Row],[Std (min/unit)]]/60))</f>
        <v>49.775</v>
      </c>
      <c r="J29" s="31">
        <f>IF(tblLabor[[#This Row],[Date]]="","",IF(AND(tblLabor[[#This Row],[Actual hours (person-h)]]&gt;0,ISNUMBER(tblLabor[[#This Row],[Earned hours (person-h)]])),tblLabor[[#This Row],[Earned hours (person-h)]]/tblLabor[[#This Row],[Actual hours (person-h)]],""))</f>
        <v>0.892825112107623</v>
      </c>
      <c r="K29" s="39" t="str">
        <f>IF(NOT(ISNUMBER(tblLabor[[#This Row],[Efficiency]])),"",IF(tblLabor[[#This Row],[Efficiency]]&gt;=TargetEff,"On target",IF(tblLabor[[#This Row],[Efficiency]]&gt;=TargetEff*(1-0.05),"Near target","Below target")))</f>
        <v>Near target</v>
      </c>
      <c r="L29" s="40">
        <f>IF(tblLabor[[#This Row],[Date]]="","",IF(ISNUMBER(tblLabor[[#This Row],[Earned hours (person-h)]]),tblLabor[[#This Row],[Actual hours (person-h)]]-tblLabor[[#This Row],[Earned hours (person-h)]],""))</f>
        <v>5.975</v>
      </c>
      <c r="M29" s="41">
        <f>IF(tblLabor[[#This Row],[Date]]="","",IF(AND(tblLabor[[#This Row],[Date]]&gt;=FFrom,tblLabor[[#This Row],[Date]]&lt;=FTo,OR(DashCell="",tblLabor[[#This Row],[Cell]]=DashCell)),tblLabor[[#This Row],[Date]],""))</f>
        <v>46267</v>
      </c>
      <c r="N2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29" s="28" t="s">
        <v>136</v>
      </c>
    </row>
    <row r="30" spans="2:15" x14ac:dyDescent="0.25">
      <c r="B30" s="35">
        <v>46267</v>
      </c>
      <c r="C30" s="28" t="s">
        <v>101</v>
      </c>
      <c r="D30" s="28" t="s">
        <v>116</v>
      </c>
      <c r="E30" s="36">
        <v>613</v>
      </c>
      <c r="F30" s="29">
        <v>48.5</v>
      </c>
      <c r="G30" s="37" t="str">
        <f>IF(tblLabor[[#This Row],[Date]]="","",IFERROR(INDEX(tblOperations[Cell],MATCH(tblLabor[[#This Row],[Operation]],tblOperations[Operation],0)),""))</f>
        <v>Board line B</v>
      </c>
      <c r="H30" s="38">
        <f>IF(tblLabor[[#This Row],[Date]]="","",IFERROR(INDEX(tblOperations[Std (min/unit)],MATCH(tblLabor[[#This Row],[Operation]],tblOperations[Operation],0)),""))</f>
        <v>3.1</v>
      </c>
      <c r="I30" s="38">
        <f>IF(tblLabor[[#This Row],[Date]]="","",IF(tblLabor[[#This Row],[Std (min/unit)]]="","",tblLabor[[#This Row],[Good units]]*tblLabor[[#This Row],[Std (min/unit)]]/60))</f>
        <v>31.6716666666667</v>
      </c>
      <c r="J30" s="31">
        <f>IF(tblLabor[[#This Row],[Date]]="","",IF(AND(tblLabor[[#This Row],[Actual hours (person-h)]]&gt;0,ISNUMBER(tblLabor[[#This Row],[Earned hours (person-h)]])),tblLabor[[#This Row],[Earned hours (person-h)]]/tblLabor[[#This Row],[Actual hours (person-h)]],""))</f>
        <v>0.653024054982818</v>
      </c>
      <c r="K30" s="39" t="str">
        <f>IF(NOT(ISNUMBER(tblLabor[[#This Row],[Efficiency]])),"",IF(tblLabor[[#This Row],[Efficiency]]&gt;=TargetEff,"On target",IF(tblLabor[[#This Row],[Efficiency]]&gt;=TargetEff*(1-0.05),"Near target","Below target")))</f>
        <v>Below target</v>
      </c>
      <c r="L30" s="40">
        <f>IF(tblLabor[[#This Row],[Date]]="","",IF(ISNUMBER(tblLabor[[#This Row],[Earned hours (person-h)]]),tblLabor[[#This Row],[Actual hours (person-h)]]-tblLabor[[#This Row],[Earned hours (person-h)]],""))</f>
        <v>16.8283333333333</v>
      </c>
      <c r="M30" s="41">
        <f>IF(tblLabor[[#This Row],[Date]]="","",IF(AND(tblLabor[[#This Row],[Date]]&gt;=FFrom,tblLabor[[#This Row],[Date]]&lt;=FTo,OR(DashCell="",tblLabor[[#This Row],[Cell]]=DashCell)),tblLabor[[#This Row],[Date]],""))</f>
        <v>46267</v>
      </c>
      <c r="N3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0" s="28" t="s">
        <v>136</v>
      </c>
    </row>
    <row r="31" spans="2:15" x14ac:dyDescent="0.25">
      <c r="B31" s="35">
        <v>46267</v>
      </c>
      <c r="C31" s="28" t="s">
        <v>101</v>
      </c>
      <c r="D31" s="28" t="s">
        <v>124</v>
      </c>
      <c r="E31" s="36">
        <v>2169</v>
      </c>
      <c r="F31" s="29">
        <v>31</v>
      </c>
      <c r="G31" s="37" t="str">
        <f>IF(tblLabor[[#This Row],[Date]]="","",IFERROR(INDEX(tblOperations[Cell],MATCH(tblLabor[[#This Row],[Operation]],tblOperations[Operation],0)),""))</f>
        <v>Test and pack</v>
      </c>
      <c r="H31" s="38">
        <f>IF(tblLabor[[#This Row],[Date]]="","",IFERROR(INDEX(tblOperations[Std (min/unit)],MATCH(tblLabor[[#This Row],[Operation]],tblOperations[Operation],0)),""))</f>
        <v>0.8</v>
      </c>
      <c r="I31" s="38">
        <f>IF(tblLabor[[#This Row],[Date]]="","",IF(tblLabor[[#This Row],[Std (min/unit)]]="","",tblLabor[[#This Row],[Good units]]*tblLabor[[#This Row],[Std (min/unit)]]/60))</f>
        <v>28.92</v>
      </c>
      <c r="J31" s="31">
        <f>IF(tblLabor[[#This Row],[Date]]="","",IF(AND(tblLabor[[#This Row],[Actual hours (person-h)]]&gt;0,ISNUMBER(tblLabor[[#This Row],[Earned hours (person-h)]])),tblLabor[[#This Row],[Earned hours (person-h)]]/tblLabor[[#This Row],[Actual hours (person-h)]],""))</f>
        <v>0.932903225806452</v>
      </c>
      <c r="K31" s="39" t="str">
        <f>IF(NOT(ISNUMBER(tblLabor[[#This Row],[Efficiency]])),"",IF(tblLabor[[#This Row],[Efficiency]]&gt;=TargetEff,"On target",IF(tblLabor[[#This Row],[Efficiency]]&gt;=TargetEff*(1-0.05),"Near target","Below target")))</f>
        <v>On target</v>
      </c>
      <c r="L31" s="40">
        <f>IF(tblLabor[[#This Row],[Date]]="","",IF(ISNUMBER(tblLabor[[#This Row],[Earned hours (person-h)]]),tblLabor[[#This Row],[Actual hours (person-h)]]-tblLabor[[#This Row],[Earned hours (person-h)]],""))</f>
        <v>2.08</v>
      </c>
      <c r="M31" s="41">
        <f>IF(tblLabor[[#This Row],[Date]]="","",IF(AND(tblLabor[[#This Row],[Date]]&gt;=FFrom,tblLabor[[#This Row],[Date]]&lt;=FTo,OR(DashCell="",tblLabor[[#This Row],[Cell]]=DashCell)),tblLabor[[#This Row],[Date]],""))</f>
        <v>46267</v>
      </c>
      <c r="N3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1" s="28" t="s">
        <v>136</v>
      </c>
    </row>
    <row r="32" spans="2:15" x14ac:dyDescent="0.25">
      <c r="B32" s="35">
        <v>46268</v>
      </c>
      <c r="C32" s="28" t="s">
        <v>98</v>
      </c>
      <c r="D32" s="28" t="s">
        <v>108</v>
      </c>
      <c r="E32" s="36">
        <v>349</v>
      </c>
      <c r="F32" s="29">
        <v>14</v>
      </c>
      <c r="G32" s="37" t="str">
        <f>IF(tblLabor[[#This Row],[Date]]="","",IFERROR(INDEX(tblOperations[Cell],MATCH(tblLabor[[#This Row],[Operation]],tblOperations[Operation],0)),""))</f>
        <v>Cut and crimp</v>
      </c>
      <c r="H32" s="38">
        <f>IF(tblLabor[[#This Row],[Date]]="","",IFERROR(INDEX(tblOperations[Std (min/unit)],MATCH(tblLabor[[#This Row],[Operation]],tblOperations[Operation],0)),""))</f>
        <v>2.4</v>
      </c>
      <c r="I32" s="38">
        <f>IF(tblLabor[[#This Row],[Date]]="","",IF(tblLabor[[#This Row],[Std (min/unit)]]="","",tblLabor[[#This Row],[Good units]]*tblLabor[[#This Row],[Std (min/unit)]]/60))</f>
        <v>13.96</v>
      </c>
      <c r="J32" s="31">
        <f>IF(tblLabor[[#This Row],[Date]]="","",IF(AND(tblLabor[[#This Row],[Actual hours (person-h)]]&gt;0,ISNUMBER(tblLabor[[#This Row],[Earned hours (person-h)]])),tblLabor[[#This Row],[Earned hours (person-h)]]/tblLabor[[#This Row],[Actual hours (person-h)]],""))</f>
        <v>0.997142857142857</v>
      </c>
      <c r="K32" s="39" t="str">
        <f>IF(NOT(ISNUMBER(tblLabor[[#This Row],[Efficiency]])),"",IF(tblLabor[[#This Row],[Efficiency]]&gt;=TargetEff,"On target",IF(tblLabor[[#This Row],[Efficiency]]&gt;=TargetEff*(1-0.05),"Near target","Below target")))</f>
        <v>On target</v>
      </c>
      <c r="L32" s="40">
        <f>IF(tblLabor[[#This Row],[Date]]="","",IF(ISNUMBER(tblLabor[[#This Row],[Earned hours (person-h)]]),tblLabor[[#This Row],[Actual hours (person-h)]]-tblLabor[[#This Row],[Earned hours (person-h)]],""))</f>
        <v>0.0399999999999992</v>
      </c>
      <c r="M32" s="41">
        <f>IF(tblLabor[[#This Row],[Date]]="","",IF(AND(tblLabor[[#This Row],[Date]]&gt;=FFrom,tblLabor[[#This Row],[Date]]&lt;=FTo,OR(DashCell="",tblLabor[[#This Row],[Cell]]=DashCell)),tblLabor[[#This Row],[Date]],""))</f>
        <v>46268</v>
      </c>
      <c r="N3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2" s="28" t="s">
        <v>136</v>
      </c>
    </row>
    <row r="33" spans="2:15" x14ac:dyDescent="0.25">
      <c r="B33" s="35">
        <v>46268</v>
      </c>
      <c r="C33" s="28" t="s">
        <v>98</v>
      </c>
      <c r="D33" s="28" t="s">
        <v>110</v>
      </c>
      <c r="E33" s="36">
        <v>854</v>
      </c>
      <c r="F33" s="29">
        <v>13.75</v>
      </c>
      <c r="G33" s="37" t="str">
        <f>IF(tblLabor[[#This Row],[Date]]="","",IFERROR(INDEX(tblOperations[Cell],MATCH(tblLabor[[#This Row],[Operation]],tblOperations[Operation],0)),""))</f>
        <v>Cut and crimp</v>
      </c>
      <c r="H33" s="38">
        <f>IF(tblLabor[[#This Row],[Date]]="","",IFERROR(INDEX(tblOperations[Std (min/unit)],MATCH(tblLabor[[#This Row],[Operation]],tblOperations[Operation],0)),""))</f>
        <v>0.9</v>
      </c>
      <c r="I33" s="38">
        <f>IF(tblLabor[[#This Row],[Date]]="","",IF(tblLabor[[#This Row],[Std (min/unit)]]="","",tblLabor[[#This Row],[Good units]]*tblLabor[[#This Row],[Std (min/unit)]]/60))</f>
        <v>12.81</v>
      </c>
      <c r="J33" s="31">
        <f>IF(tblLabor[[#This Row],[Date]]="","",IF(AND(tblLabor[[#This Row],[Actual hours (person-h)]]&gt;0,ISNUMBER(tblLabor[[#This Row],[Earned hours (person-h)]])),tblLabor[[#This Row],[Earned hours (person-h)]]/tblLabor[[#This Row],[Actual hours (person-h)]],""))</f>
        <v>0.931636363636364</v>
      </c>
      <c r="K33" s="39" t="str">
        <f>IF(NOT(ISNUMBER(tblLabor[[#This Row],[Efficiency]])),"",IF(tblLabor[[#This Row],[Efficiency]]&gt;=TargetEff,"On target",IF(tblLabor[[#This Row],[Efficiency]]&gt;=TargetEff*(1-0.05),"Near target","Below target")))</f>
        <v>On target</v>
      </c>
      <c r="L33" s="40">
        <f>IF(tblLabor[[#This Row],[Date]]="","",IF(ISNUMBER(tblLabor[[#This Row],[Earned hours (person-h)]]),tblLabor[[#This Row],[Actual hours (person-h)]]-tblLabor[[#This Row],[Earned hours (person-h)]],""))</f>
        <v>0.94</v>
      </c>
      <c r="M33" s="41">
        <f>IF(tblLabor[[#This Row],[Date]]="","",IF(AND(tblLabor[[#This Row],[Date]]&gt;=FFrom,tblLabor[[#This Row],[Date]]&lt;=FTo,OR(DashCell="",tblLabor[[#This Row],[Cell]]=DashCell)),tblLabor[[#This Row],[Date]],""))</f>
        <v>46268</v>
      </c>
      <c r="N3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3" s="28" t="s">
        <v>136</v>
      </c>
    </row>
    <row r="34" spans="2:15" x14ac:dyDescent="0.25">
      <c r="B34" s="35">
        <v>46268</v>
      </c>
      <c r="C34" s="28" t="s">
        <v>98</v>
      </c>
      <c r="D34" s="28" t="s">
        <v>114</v>
      </c>
      <c r="E34" s="36">
        <v>119</v>
      </c>
      <c r="F34" s="29">
        <v>47.75</v>
      </c>
      <c r="G34" s="37" t="str">
        <f>IF(tblLabor[[#This Row],[Date]]="","",IFERROR(INDEX(tblOperations[Cell],MATCH(tblLabor[[#This Row],[Operation]],tblOperations[Operation],0)),""))</f>
        <v>Board line A</v>
      </c>
      <c r="H34" s="38">
        <f>IF(tblLabor[[#This Row],[Date]]="","",IFERROR(INDEX(tblOperations[Std (min/unit)],MATCH(tblLabor[[#This Row],[Operation]],tblOperations[Operation],0)),""))</f>
        <v>22</v>
      </c>
      <c r="I34" s="38">
        <f>IF(tblLabor[[#This Row],[Date]]="","",IF(tblLabor[[#This Row],[Std (min/unit)]]="","",tblLabor[[#This Row],[Good units]]*tblLabor[[#This Row],[Std (min/unit)]]/60))</f>
        <v>43.6333333333333</v>
      </c>
      <c r="J34" s="31">
        <f>IF(tblLabor[[#This Row],[Date]]="","",IF(AND(tblLabor[[#This Row],[Actual hours (person-h)]]&gt;0,ISNUMBER(tblLabor[[#This Row],[Earned hours (person-h)]])),tblLabor[[#This Row],[Earned hours (person-h)]]/tblLabor[[#This Row],[Actual hours (person-h)]],""))</f>
        <v>0.913787085514834</v>
      </c>
      <c r="K34" s="39" t="str">
        <f>IF(NOT(ISNUMBER(tblLabor[[#This Row],[Efficiency]])),"",IF(tblLabor[[#This Row],[Efficiency]]&gt;=TargetEff,"On target",IF(tblLabor[[#This Row],[Efficiency]]&gt;=TargetEff*(1-0.05),"Near target","Below target")))</f>
        <v>On target</v>
      </c>
      <c r="L34" s="40">
        <f>IF(tblLabor[[#This Row],[Date]]="","",IF(ISNUMBER(tblLabor[[#This Row],[Earned hours (person-h)]]),tblLabor[[#This Row],[Actual hours (person-h)]]-tblLabor[[#This Row],[Earned hours (person-h)]],""))</f>
        <v>4.11666666666667</v>
      </c>
      <c r="M34" s="41">
        <f>IF(tblLabor[[#This Row],[Date]]="","",IF(AND(tblLabor[[#This Row],[Date]]&gt;=FFrom,tblLabor[[#This Row],[Date]]&lt;=FTo,OR(DashCell="",tblLabor[[#This Row],[Cell]]=DashCell)),tblLabor[[#This Row],[Date]],""))</f>
        <v>46268</v>
      </c>
      <c r="N3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4" s="28" t="s">
        <v>136</v>
      </c>
    </row>
    <row r="35" spans="2:15" x14ac:dyDescent="0.25">
      <c r="B35" s="35">
        <v>46268</v>
      </c>
      <c r="C35" s="28" t="s">
        <v>98</v>
      </c>
      <c r="D35" s="28" t="s">
        <v>115</v>
      </c>
      <c r="E35" s="36">
        <v>274</v>
      </c>
      <c r="F35" s="29">
        <v>48.75</v>
      </c>
      <c r="G35" s="37" t="str">
        <f>IF(tblLabor[[#This Row],[Date]]="","",IFERROR(INDEX(tblOperations[Cell],MATCH(tblLabor[[#This Row],[Operation]],tblOperations[Operation],0)),""))</f>
        <v>Board line B</v>
      </c>
      <c r="H35" s="38">
        <f>IF(tblLabor[[#This Row],[Date]]="","",IFERROR(INDEX(tblOperations[Std (min/unit)],MATCH(tblLabor[[#This Row],[Operation]],tblOperations[Operation],0)),""))</f>
        <v>9.8</v>
      </c>
      <c r="I35" s="38">
        <f>IF(tblLabor[[#This Row],[Date]]="","",IF(tblLabor[[#This Row],[Std (min/unit)]]="","",tblLabor[[#This Row],[Good units]]*tblLabor[[#This Row],[Std (min/unit)]]/60))</f>
        <v>44.7533333333333</v>
      </c>
      <c r="J35" s="31">
        <f>IF(tblLabor[[#This Row],[Date]]="","",IF(AND(tblLabor[[#This Row],[Actual hours (person-h)]]&gt;0,ISNUMBER(tblLabor[[#This Row],[Earned hours (person-h)]])),tblLabor[[#This Row],[Earned hours (person-h)]]/tblLabor[[#This Row],[Actual hours (person-h)]],""))</f>
        <v>0.918017094017094</v>
      </c>
      <c r="K35" s="39" t="str">
        <f>IF(NOT(ISNUMBER(tblLabor[[#This Row],[Efficiency]])),"",IF(tblLabor[[#This Row],[Efficiency]]&gt;=TargetEff,"On target",IF(tblLabor[[#This Row],[Efficiency]]&gt;=TargetEff*(1-0.05),"Near target","Below target")))</f>
        <v>On target</v>
      </c>
      <c r="L35" s="40">
        <f>IF(tblLabor[[#This Row],[Date]]="","",IF(ISNUMBER(tblLabor[[#This Row],[Earned hours (person-h)]]),tblLabor[[#This Row],[Actual hours (person-h)]]-tblLabor[[#This Row],[Earned hours (person-h)]],""))</f>
        <v>3.99666666666666</v>
      </c>
      <c r="M35" s="41">
        <f>IF(tblLabor[[#This Row],[Date]]="","",IF(AND(tblLabor[[#This Row],[Date]]&gt;=FFrom,tblLabor[[#This Row],[Date]]&lt;=FTo,OR(DashCell="",tblLabor[[#This Row],[Cell]]=DashCell)),tblLabor[[#This Row],[Date]],""))</f>
        <v>46268</v>
      </c>
      <c r="N3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5" s="28" t="s">
        <v>136</v>
      </c>
    </row>
    <row r="36" spans="2:15" x14ac:dyDescent="0.25">
      <c r="B36" s="35">
        <v>46268</v>
      </c>
      <c r="C36" s="28" t="s">
        <v>98</v>
      </c>
      <c r="D36" s="28" t="s">
        <v>122</v>
      </c>
      <c r="E36" s="36">
        <v>979</v>
      </c>
      <c r="F36" s="29">
        <v>30.25</v>
      </c>
      <c r="G36" s="37" t="str">
        <f>IF(tblLabor[[#This Row],[Date]]="","",IFERROR(INDEX(tblOperations[Cell],MATCH(tblLabor[[#This Row],[Operation]],tblOperations[Operation],0)),""))</f>
        <v>Test and pack</v>
      </c>
      <c r="H36" s="38">
        <f>IF(tblLabor[[#This Row],[Date]]="","",IFERROR(INDEX(tblOperations[Std (min/unit)],MATCH(tblLabor[[#This Row],[Operation]],tblOperations[Operation],0)),""))</f>
        <v>1.7</v>
      </c>
      <c r="I36" s="38">
        <f>IF(tblLabor[[#This Row],[Date]]="","",IF(tblLabor[[#This Row],[Std (min/unit)]]="","",tblLabor[[#This Row],[Good units]]*tblLabor[[#This Row],[Std (min/unit)]]/60))</f>
        <v>27.7383333333333</v>
      </c>
      <c r="J36" s="31">
        <f>IF(tblLabor[[#This Row],[Date]]="","",IF(AND(tblLabor[[#This Row],[Actual hours (person-h)]]&gt;0,ISNUMBER(tblLabor[[#This Row],[Earned hours (person-h)]])),tblLabor[[#This Row],[Earned hours (person-h)]]/tblLabor[[#This Row],[Actual hours (person-h)]],""))</f>
        <v>0.916969696969697</v>
      </c>
      <c r="K36" s="39" t="str">
        <f>IF(NOT(ISNUMBER(tblLabor[[#This Row],[Efficiency]])),"",IF(tblLabor[[#This Row],[Efficiency]]&gt;=TargetEff,"On target",IF(tblLabor[[#This Row],[Efficiency]]&gt;=TargetEff*(1-0.05),"Near target","Below target")))</f>
        <v>On target</v>
      </c>
      <c r="L36" s="40">
        <f>IF(tblLabor[[#This Row],[Date]]="","",IF(ISNUMBER(tblLabor[[#This Row],[Earned hours (person-h)]]),tblLabor[[#This Row],[Actual hours (person-h)]]-tblLabor[[#This Row],[Earned hours (person-h)]],""))</f>
        <v>2.51166666666667</v>
      </c>
      <c r="M36" s="41">
        <f>IF(tblLabor[[#This Row],[Date]]="","",IF(AND(tblLabor[[#This Row],[Date]]&gt;=FFrom,tblLabor[[#This Row],[Date]]&lt;=FTo,OR(DashCell="",tblLabor[[#This Row],[Cell]]=DashCell)),tblLabor[[#This Row],[Date]],""))</f>
        <v>46268</v>
      </c>
      <c r="N3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6" s="28" t="s">
        <v>136</v>
      </c>
    </row>
    <row r="37" spans="2:15" x14ac:dyDescent="0.25">
      <c r="B37" s="35">
        <v>46268</v>
      </c>
      <c r="C37" s="28" t="s">
        <v>101</v>
      </c>
      <c r="D37" s="28" t="s">
        <v>104</v>
      </c>
      <c r="E37" s="36">
        <v>161</v>
      </c>
      <c r="F37" s="29">
        <v>10.5</v>
      </c>
      <c r="G37" s="37" t="str">
        <f>IF(tblLabor[[#This Row],[Date]]="","",IFERROR(INDEX(tblOperations[Cell],MATCH(tblLabor[[#This Row],[Operation]],tblOperations[Operation],0)),""))</f>
        <v>Cut and crimp</v>
      </c>
      <c r="H37" s="38">
        <f>IF(tblLabor[[#This Row],[Date]]="","",IFERROR(INDEX(tblOperations[Std (min/unit)],MATCH(tblLabor[[#This Row],[Operation]],tblOperations[Operation],0)),""))</f>
        <v>3.8</v>
      </c>
      <c r="I37" s="38">
        <f>IF(tblLabor[[#This Row],[Date]]="","",IF(tblLabor[[#This Row],[Std (min/unit)]]="","",tblLabor[[#This Row],[Good units]]*tblLabor[[#This Row],[Std (min/unit)]]/60))</f>
        <v>10.1966666666667</v>
      </c>
      <c r="J37" s="31">
        <f>IF(tblLabor[[#This Row],[Date]]="","",IF(AND(tblLabor[[#This Row],[Actual hours (person-h)]]&gt;0,ISNUMBER(tblLabor[[#This Row],[Earned hours (person-h)]])),tblLabor[[#This Row],[Earned hours (person-h)]]/tblLabor[[#This Row],[Actual hours (person-h)]],""))</f>
        <v>0.971111111111111</v>
      </c>
      <c r="K37" s="39" t="str">
        <f>IF(NOT(ISNUMBER(tblLabor[[#This Row],[Efficiency]])),"",IF(tblLabor[[#This Row],[Efficiency]]&gt;=TargetEff,"On target",IF(tblLabor[[#This Row],[Efficiency]]&gt;=TargetEff*(1-0.05),"Near target","Below target")))</f>
        <v>On target</v>
      </c>
      <c r="L37" s="40">
        <f>IF(tblLabor[[#This Row],[Date]]="","",IF(ISNUMBER(tblLabor[[#This Row],[Earned hours (person-h)]]),tblLabor[[#This Row],[Actual hours (person-h)]]-tblLabor[[#This Row],[Earned hours (person-h)]],""))</f>
        <v>0.303333333333335</v>
      </c>
      <c r="M37" s="41">
        <f>IF(tblLabor[[#This Row],[Date]]="","",IF(AND(tblLabor[[#This Row],[Date]]&gt;=FFrom,tblLabor[[#This Row],[Date]]&lt;=FTo,OR(DashCell="",tblLabor[[#This Row],[Cell]]=DashCell)),tblLabor[[#This Row],[Date]],""))</f>
        <v>46268</v>
      </c>
      <c r="N3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7" s="28" t="s">
        <v>136</v>
      </c>
    </row>
    <row r="38" spans="2:15" x14ac:dyDescent="0.25">
      <c r="B38" s="35">
        <v>46268</v>
      </c>
      <c r="C38" s="28" t="s">
        <v>101</v>
      </c>
      <c r="D38" s="28" t="s">
        <v>106</v>
      </c>
      <c r="E38" s="36">
        <v>113</v>
      </c>
      <c r="F38" s="29">
        <v>10.25</v>
      </c>
      <c r="G38" s="37" t="str">
        <f>IF(tblLabor[[#This Row],[Date]]="","",IFERROR(INDEX(tblOperations[Cell],MATCH(tblLabor[[#This Row],[Operation]],tblOperations[Operation],0)),""))</f>
        <v>Cut and crimp</v>
      </c>
      <c r="H38" s="38">
        <f>IF(tblLabor[[#This Row],[Date]]="","",IFERROR(INDEX(tblOperations[Std (min/unit)],MATCH(tblLabor[[#This Row],[Operation]],tblOperations[Operation],0)),""))</f>
        <v>5.2</v>
      </c>
      <c r="I38" s="38">
        <f>IF(tblLabor[[#This Row],[Date]]="","",IF(tblLabor[[#This Row],[Std (min/unit)]]="","",tblLabor[[#This Row],[Good units]]*tblLabor[[#This Row],[Std (min/unit)]]/60))</f>
        <v>9.79333333333333</v>
      </c>
      <c r="J38" s="31">
        <f>IF(tblLabor[[#This Row],[Date]]="","",IF(AND(tblLabor[[#This Row],[Actual hours (person-h)]]&gt;0,ISNUMBER(tblLabor[[#This Row],[Earned hours (person-h)]])),tblLabor[[#This Row],[Earned hours (person-h)]]/tblLabor[[#This Row],[Actual hours (person-h)]],""))</f>
        <v>0.955447154471545</v>
      </c>
      <c r="K38" s="39" t="str">
        <f>IF(NOT(ISNUMBER(tblLabor[[#This Row],[Efficiency]])),"",IF(tblLabor[[#This Row],[Efficiency]]&gt;=TargetEff,"On target",IF(tblLabor[[#This Row],[Efficiency]]&gt;=TargetEff*(1-0.05),"Near target","Below target")))</f>
        <v>On target</v>
      </c>
      <c r="L38" s="40">
        <f>IF(tblLabor[[#This Row],[Date]]="","",IF(ISNUMBER(tblLabor[[#This Row],[Earned hours (person-h)]]),tblLabor[[#This Row],[Actual hours (person-h)]]-tblLabor[[#This Row],[Earned hours (person-h)]],""))</f>
        <v>0.456666666666667</v>
      </c>
      <c r="M38" s="41">
        <f>IF(tblLabor[[#This Row],[Date]]="","",IF(AND(tblLabor[[#This Row],[Date]]&gt;=FFrom,tblLabor[[#This Row],[Date]]&lt;=FTo,OR(DashCell="",tblLabor[[#This Row],[Cell]]=DashCell)),tblLabor[[#This Row],[Date]],""))</f>
        <v>46268</v>
      </c>
      <c r="N3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8" s="28" t="s">
        <v>136</v>
      </c>
    </row>
    <row r="39" spans="2:15" x14ac:dyDescent="0.25">
      <c r="B39" s="35">
        <v>46268</v>
      </c>
      <c r="C39" s="28" t="s">
        <v>101</v>
      </c>
      <c r="D39" s="28" t="s">
        <v>114</v>
      </c>
      <c r="E39" s="36">
        <v>135</v>
      </c>
      <c r="F39" s="29">
        <v>54.5</v>
      </c>
      <c r="G39" s="37" t="str">
        <f>IF(tblLabor[[#This Row],[Date]]="","",IFERROR(INDEX(tblOperations[Cell],MATCH(tblLabor[[#This Row],[Operation]],tblOperations[Operation],0)),""))</f>
        <v>Board line A</v>
      </c>
      <c r="H39" s="38">
        <f>IF(tblLabor[[#This Row],[Date]]="","",IFERROR(INDEX(tblOperations[Std (min/unit)],MATCH(tblLabor[[#This Row],[Operation]],tblOperations[Operation],0)),""))</f>
        <v>22</v>
      </c>
      <c r="I39" s="38">
        <f>IF(tblLabor[[#This Row],[Date]]="","",IF(tblLabor[[#This Row],[Std (min/unit)]]="","",tblLabor[[#This Row],[Good units]]*tblLabor[[#This Row],[Std (min/unit)]]/60))</f>
        <v>49.5</v>
      </c>
      <c r="J39" s="31">
        <f>IF(tblLabor[[#This Row],[Date]]="","",IF(AND(tblLabor[[#This Row],[Actual hours (person-h)]]&gt;0,ISNUMBER(tblLabor[[#This Row],[Earned hours (person-h)]])),tblLabor[[#This Row],[Earned hours (person-h)]]/tblLabor[[#This Row],[Actual hours (person-h)]],""))</f>
        <v>0.908256880733945</v>
      </c>
      <c r="K39" s="39" t="str">
        <f>IF(NOT(ISNUMBER(tblLabor[[#This Row],[Efficiency]])),"",IF(tblLabor[[#This Row],[Efficiency]]&gt;=TargetEff,"On target",IF(tblLabor[[#This Row],[Efficiency]]&gt;=TargetEff*(1-0.05),"Near target","Below target")))</f>
        <v>On target</v>
      </c>
      <c r="L39" s="40">
        <f>IF(tblLabor[[#This Row],[Date]]="","",IF(ISNUMBER(tblLabor[[#This Row],[Earned hours (person-h)]]),tblLabor[[#This Row],[Actual hours (person-h)]]-tblLabor[[#This Row],[Earned hours (person-h)]],""))</f>
        <v>5</v>
      </c>
      <c r="M39" s="41">
        <f>IF(tblLabor[[#This Row],[Date]]="","",IF(AND(tblLabor[[#This Row],[Date]]&gt;=FFrom,tblLabor[[#This Row],[Date]]&lt;=FTo,OR(DashCell="",tblLabor[[#This Row],[Cell]]=DashCell)),tblLabor[[#This Row],[Date]],""))</f>
        <v>46268</v>
      </c>
      <c r="N3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39" s="28" t="s">
        <v>136</v>
      </c>
    </row>
    <row r="40" spans="2:15" x14ac:dyDescent="0.25">
      <c r="B40" s="35">
        <v>46268</v>
      </c>
      <c r="C40" s="28" t="s">
        <v>101</v>
      </c>
      <c r="D40" s="28" t="s">
        <v>115</v>
      </c>
      <c r="E40" s="36">
        <v>175</v>
      </c>
      <c r="F40" s="29">
        <v>42</v>
      </c>
      <c r="G40" s="37" t="str">
        <f>IF(tblLabor[[#This Row],[Date]]="","",IFERROR(INDEX(tblOperations[Cell],MATCH(tblLabor[[#This Row],[Operation]],tblOperations[Operation],0)),""))</f>
        <v>Board line B</v>
      </c>
      <c r="H40" s="38">
        <f>IF(tblLabor[[#This Row],[Date]]="","",IFERROR(INDEX(tblOperations[Std (min/unit)],MATCH(tblLabor[[#This Row],[Operation]],tblOperations[Operation],0)),""))</f>
        <v>9.8</v>
      </c>
      <c r="I40" s="38">
        <f>IF(tblLabor[[#This Row],[Date]]="","",IF(tblLabor[[#This Row],[Std (min/unit)]]="","",tblLabor[[#This Row],[Good units]]*tblLabor[[#This Row],[Std (min/unit)]]/60))</f>
        <v>28.5833333333333</v>
      </c>
      <c r="J40" s="31">
        <f>IF(tblLabor[[#This Row],[Date]]="","",IF(AND(tblLabor[[#This Row],[Actual hours (person-h)]]&gt;0,ISNUMBER(tblLabor[[#This Row],[Earned hours (person-h)]])),tblLabor[[#This Row],[Earned hours (person-h)]]/tblLabor[[#This Row],[Actual hours (person-h)]],""))</f>
        <v>0.680555555555556</v>
      </c>
      <c r="K40" s="39" t="str">
        <f>IF(NOT(ISNUMBER(tblLabor[[#This Row],[Efficiency]])),"",IF(tblLabor[[#This Row],[Efficiency]]&gt;=TargetEff,"On target",IF(tblLabor[[#This Row],[Efficiency]]&gt;=TargetEff*(1-0.05),"Near target","Below target")))</f>
        <v>Below target</v>
      </c>
      <c r="L40" s="40">
        <f>IF(tblLabor[[#This Row],[Date]]="","",IF(ISNUMBER(tblLabor[[#This Row],[Earned hours (person-h)]]),tblLabor[[#This Row],[Actual hours (person-h)]]-tblLabor[[#This Row],[Earned hours (person-h)]],""))</f>
        <v>13.4166666666667</v>
      </c>
      <c r="M40" s="41">
        <f>IF(tblLabor[[#This Row],[Date]]="","",IF(AND(tblLabor[[#This Row],[Date]]&gt;=FFrom,tblLabor[[#This Row],[Date]]&lt;=FTo,OR(DashCell="",tblLabor[[#This Row],[Cell]]=DashCell)),tblLabor[[#This Row],[Date]],""))</f>
        <v>46268</v>
      </c>
      <c r="N4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0" s="28" t="s">
        <v>136</v>
      </c>
    </row>
    <row r="41" spans="2:15" x14ac:dyDescent="0.25">
      <c r="B41" s="35">
        <v>46268</v>
      </c>
      <c r="C41" s="28" t="s">
        <v>101</v>
      </c>
      <c r="D41" s="28" t="s">
        <v>118</v>
      </c>
      <c r="E41" s="36">
        <v>647</v>
      </c>
      <c r="F41" s="29">
        <v>31.5</v>
      </c>
      <c r="G41" s="37" t="str">
        <f>IF(tblLabor[[#This Row],[Date]]="","",IFERROR(INDEX(tblOperations[Cell],MATCH(tblLabor[[#This Row],[Operation]],tblOperations[Operation],0)),""))</f>
        <v>Test and pack</v>
      </c>
      <c r="H41" s="38">
        <f>IF(tblLabor[[#This Row],[Date]]="","",IFERROR(INDEX(tblOperations[Std (min/unit)],MATCH(tblLabor[[#This Row],[Operation]],tblOperations[Operation],0)),""))</f>
        <v>2.6</v>
      </c>
      <c r="I41" s="38">
        <f>IF(tblLabor[[#This Row],[Date]]="","",IF(tblLabor[[#This Row],[Std (min/unit)]]="","",tblLabor[[#This Row],[Good units]]*tblLabor[[#This Row],[Std (min/unit)]]/60))</f>
        <v>28.0366666666667</v>
      </c>
      <c r="J41" s="31">
        <f>IF(tblLabor[[#This Row],[Date]]="","",IF(AND(tblLabor[[#This Row],[Actual hours (person-h)]]&gt;0,ISNUMBER(tblLabor[[#This Row],[Earned hours (person-h)]])),tblLabor[[#This Row],[Earned hours (person-h)]]/tblLabor[[#This Row],[Actual hours (person-h)]],""))</f>
        <v>0.89005291005291</v>
      </c>
      <c r="K41" s="39" t="str">
        <f>IF(NOT(ISNUMBER(tblLabor[[#This Row],[Efficiency]])),"",IF(tblLabor[[#This Row],[Efficiency]]&gt;=TargetEff,"On target",IF(tblLabor[[#This Row],[Efficiency]]&gt;=TargetEff*(1-0.05),"Near target","Below target")))</f>
        <v>Near target</v>
      </c>
      <c r="L41" s="40">
        <f>IF(tblLabor[[#This Row],[Date]]="","",IF(ISNUMBER(tblLabor[[#This Row],[Earned hours (person-h)]]),tblLabor[[#This Row],[Actual hours (person-h)]]-tblLabor[[#This Row],[Earned hours (person-h)]],""))</f>
        <v>3.46333333333333</v>
      </c>
      <c r="M41" s="41">
        <f>IF(tblLabor[[#This Row],[Date]]="","",IF(AND(tblLabor[[#This Row],[Date]]&gt;=FFrom,tblLabor[[#This Row],[Date]]&lt;=FTo,OR(DashCell="",tblLabor[[#This Row],[Cell]]=DashCell)),tblLabor[[#This Row],[Date]],""))</f>
        <v>46268</v>
      </c>
      <c r="N4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1" s="28" t="s">
        <v>136</v>
      </c>
    </row>
    <row r="42" spans="2:15" x14ac:dyDescent="0.25">
      <c r="B42" s="35">
        <v>46269</v>
      </c>
      <c r="C42" s="28" t="s">
        <v>98</v>
      </c>
      <c r="D42" s="28" t="s">
        <v>110</v>
      </c>
      <c r="E42" s="36">
        <v>1808</v>
      </c>
      <c r="F42" s="29">
        <v>27.75</v>
      </c>
      <c r="G42" s="37" t="str">
        <f>IF(tblLabor[[#This Row],[Date]]="","",IFERROR(INDEX(tblOperations[Cell],MATCH(tblLabor[[#This Row],[Operation]],tblOperations[Operation],0)),""))</f>
        <v>Cut and crimp</v>
      </c>
      <c r="H42" s="38">
        <f>IF(tblLabor[[#This Row],[Date]]="","",IFERROR(INDEX(tblOperations[Std (min/unit)],MATCH(tblLabor[[#This Row],[Operation]],tblOperations[Operation],0)),""))</f>
        <v>0.9</v>
      </c>
      <c r="I42" s="38">
        <f>IF(tblLabor[[#This Row],[Date]]="","",IF(tblLabor[[#This Row],[Std (min/unit)]]="","",tblLabor[[#This Row],[Good units]]*tblLabor[[#This Row],[Std (min/unit)]]/60))</f>
        <v>27.12</v>
      </c>
      <c r="J42" s="31">
        <f>IF(tblLabor[[#This Row],[Date]]="","",IF(AND(tblLabor[[#This Row],[Actual hours (person-h)]]&gt;0,ISNUMBER(tblLabor[[#This Row],[Earned hours (person-h)]])),tblLabor[[#This Row],[Earned hours (person-h)]]/tblLabor[[#This Row],[Actual hours (person-h)]],""))</f>
        <v>0.977297297297297</v>
      </c>
      <c r="K42" s="39" t="str">
        <f>IF(NOT(ISNUMBER(tblLabor[[#This Row],[Efficiency]])),"",IF(tblLabor[[#This Row],[Efficiency]]&gt;=TargetEff,"On target",IF(tblLabor[[#This Row],[Efficiency]]&gt;=TargetEff*(1-0.05),"Near target","Below target")))</f>
        <v>On target</v>
      </c>
      <c r="L42" s="40">
        <f>IF(tblLabor[[#This Row],[Date]]="","",IF(ISNUMBER(tblLabor[[#This Row],[Earned hours (person-h)]]),tblLabor[[#This Row],[Actual hours (person-h)]]-tblLabor[[#This Row],[Earned hours (person-h)]],""))</f>
        <v>0.629999999999999</v>
      </c>
      <c r="M42" s="41">
        <f>IF(tblLabor[[#This Row],[Date]]="","",IF(AND(tblLabor[[#This Row],[Date]]&gt;=FFrom,tblLabor[[#This Row],[Date]]&lt;=FTo,OR(DashCell="",tblLabor[[#This Row],[Cell]]=DashCell)),tblLabor[[#This Row],[Date]],""))</f>
        <v>46269</v>
      </c>
      <c r="N4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2" s="28" t="s">
        <v>136</v>
      </c>
    </row>
    <row r="43" spans="2:15" x14ac:dyDescent="0.25">
      <c r="B43" s="35">
        <v>46269</v>
      </c>
      <c r="C43" s="28" t="s">
        <v>98</v>
      </c>
      <c r="D43" s="28" t="s">
        <v>114</v>
      </c>
      <c r="E43" s="36">
        <v>136</v>
      </c>
      <c r="F43" s="29">
        <v>55</v>
      </c>
      <c r="G43" s="37" t="str">
        <f>IF(tblLabor[[#This Row],[Date]]="","",IFERROR(INDEX(tblOperations[Cell],MATCH(tblLabor[[#This Row],[Operation]],tblOperations[Operation],0)),""))</f>
        <v>Board line A</v>
      </c>
      <c r="H43" s="38">
        <f>IF(tblLabor[[#This Row],[Date]]="","",IFERROR(INDEX(tblOperations[Std (min/unit)],MATCH(tblLabor[[#This Row],[Operation]],tblOperations[Operation],0)),""))</f>
        <v>22</v>
      </c>
      <c r="I43" s="38">
        <f>IF(tblLabor[[#This Row],[Date]]="","",IF(tblLabor[[#This Row],[Std (min/unit)]]="","",tblLabor[[#This Row],[Good units]]*tblLabor[[#This Row],[Std (min/unit)]]/60))</f>
        <v>49.8666666666667</v>
      </c>
      <c r="J43" s="31">
        <f>IF(tblLabor[[#This Row],[Date]]="","",IF(AND(tblLabor[[#This Row],[Actual hours (person-h)]]&gt;0,ISNUMBER(tblLabor[[#This Row],[Earned hours (person-h)]])),tblLabor[[#This Row],[Earned hours (person-h)]]/tblLabor[[#This Row],[Actual hours (person-h)]],""))</f>
        <v>0.906666666666667</v>
      </c>
      <c r="K43" s="39" t="str">
        <f>IF(NOT(ISNUMBER(tblLabor[[#This Row],[Efficiency]])),"",IF(tblLabor[[#This Row],[Efficiency]]&gt;=TargetEff,"On target",IF(tblLabor[[#This Row],[Efficiency]]&gt;=TargetEff*(1-0.05),"Near target","Below target")))</f>
        <v>On target</v>
      </c>
      <c r="L43" s="40">
        <f>IF(tblLabor[[#This Row],[Date]]="","",IF(ISNUMBER(tblLabor[[#This Row],[Earned hours (person-h)]]),tblLabor[[#This Row],[Actual hours (person-h)]]-tblLabor[[#This Row],[Earned hours (person-h)]],""))</f>
        <v>5.13333333333333</v>
      </c>
      <c r="M43" s="41">
        <f>IF(tblLabor[[#This Row],[Date]]="","",IF(AND(tblLabor[[#This Row],[Date]]&gt;=FFrom,tblLabor[[#This Row],[Date]]&lt;=FTo,OR(DashCell="",tblLabor[[#This Row],[Cell]]=DashCell)),tblLabor[[#This Row],[Date]],""))</f>
        <v>46269</v>
      </c>
      <c r="N4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3" s="28" t="s">
        <v>136</v>
      </c>
    </row>
    <row r="44" spans="2:15" x14ac:dyDescent="0.25">
      <c r="B44" s="35">
        <v>46269</v>
      </c>
      <c r="C44" s="28" t="s">
        <v>98</v>
      </c>
      <c r="D44" s="28" t="s">
        <v>116</v>
      </c>
      <c r="E44" s="36">
        <v>886</v>
      </c>
      <c r="F44" s="29">
        <v>48.25</v>
      </c>
      <c r="G44" s="37" t="str">
        <f>IF(tblLabor[[#This Row],[Date]]="","",IFERROR(INDEX(tblOperations[Cell],MATCH(tblLabor[[#This Row],[Operation]],tblOperations[Operation],0)),""))</f>
        <v>Board line B</v>
      </c>
      <c r="H44" s="38">
        <f>IF(tblLabor[[#This Row],[Date]]="","",IFERROR(INDEX(tblOperations[Std (min/unit)],MATCH(tblLabor[[#This Row],[Operation]],tblOperations[Operation],0)),""))</f>
        <v>3.1</v>
      </c>
      <c r="I44" s="38">
        <f>IF(tblLabor[[#This Row],[Date]]="","",IF(tblLabor[[#This Row],[Std (min/unit)]]="","",tblLabor[[#This Row],[Good units]]*tblLabor[[#This Row],[Std (min/unit)]]/60))</f>
        <v>45.7766666666667</v>
      </c>
      <c r="J44" s="31">
        <f>IF(tblLabor[[#This Row],[Date]]="","",IF(AND(tblLabor[[#This Row],[Actual hours (person-h)]]&gt;0,ISNUMBER(tblLabor[[#This Row],[Earned hours (person-h)]])),tblLabor[[#This Row],[Earned hours (person-h)]]/tblLabor[[#This Row],[Actual hours (person-h)]],""))</f>
        <v>0.94873920552677</v>
      </c>
      <c r="K44" s="39" t="str">
        <f>IF(NOT(ISNUMBER(tblLabor[[#This Row],[Efficiency]])),"",IF(tblLabor[[#This Row],[Efficiency]]&gt;=TargetEff,"On target",IF(tblLabor[[#This Row],[Efficiency]]&gt;=TargetEff*(1-0.05),"Near target","Below target")))</f>
        <v>On target</v>
      </c>
      <c r="L44" s="40">
        <f>IF(tblLabor[[#This Row],[Date]]="","",IF(ISNUMBER(tblLabor[[#This Row],[Earned hours (person-h)]]),tblLabor[[#This Row],[Actual hours (person-h)]]-tblLabor[[#This Row],[Earned hours (person-h)]],""))</f>
        <v>2.47333333333334</v>
      </c>
      <c r="M44" s="41">
        <f>IF(tblLabor[[#This Row],[Date]]="","",IF(AND(tblLabor[[#This Row],[Date]]&gt;=FFrom,tblLabor[[#This Row],[Date]]&lt;=FTo,OR(DashCell="",tblLabor[[#This Row],[Cell]]=DashCell)),tblLabor[[#This Row],[Date]],""))</f>
        <v>46269</v>
      </c>
      <c r="N4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4" s="28" t="s">
        <v>136</v>
      </c>
    </row>
    <row r="45" spans="2:15" x14ac:dyDescent="0.25">
      <c r="B45" s="35">
        <v>46269</v>
      </c>
      <c r="C45" s="28" t="s">
        <v>98</v>
      </c>
      <c r="D45" s="28" t="s">
        <v>124</v>
      </c>
      <c r="E45" s="36">
        <v>2092</v>
      </c>
      <c r="F45" s="29">
        <v>30.25</v>
      </c>
      <c r="G45" s="37" t="str">
        <f>IF(tblLabor[[#This Row],[Date]]="","",IFERROR(INDEX(tblOperations[Cell],MATCH(tblLabor[[#This Row],[Operation]],tblOperations[Operation],0)),""))</f>
        <v>Test and pack</v>
      </c>
      <c r="H45" s="38">
        <f>IF(tblLabor[[#This Row],[Date]]="","",IFERROR(INDEX(tblOperations[Std (min/unit)],MATCH(tblLabor[[#This Row],[Operation]],tblOperations[Operation],0)),""))</f>
        <v>0.8</v>
      </c>
      <c r="I45" s="38">
        <f>IF(tblLabor[[#This Row],[Date]]="","",IF(tblLabor[[#This Row],[Std (min/unit)]]="","",tblLabor[[#This Row],[Good units]]*tblLabor[[#This Row],[Std (min/unit)]]/60))</f>
        <v>27.8933333333333</v>
      </c>
      <c r="J45" s="31">
        <f>IF(tblLabor[[#This Row],[Date]]="","",IF(AND(tblLabor[[#This Row],[Actual hours (person-h)]]&gt;0,ISNUMBER(tblLabor[[#This Row],[Earned hours (person-h)]])),tblLabor[[#This Row],[Earned hours (person-h)]]/tblLabor[[#This Row],[Actual hours (person-h)]],""))</f>
        <v>0.922093663911846</v>
      </c>
      <c r="K45" s="39" t="str">
        <f>IF(NOT(ISNUMBER(tblLabor[[#This Row],[Efficiency]])),"",IF(tblLabor[[#This Row],[Efficiency]]&gt;=TargetEff,"On target",IF(tblLabor[[#This Row],[Efficiency]]&gt;=TargetEff*(1-0.05),"Near target","Below target")))</f>
        <v>On target</v>
      </c>
      <c r="L45" s="40">
        <f>IF(tblLabor[[#This Row],[Date]]="","",IF(ISNUMBER(tblLabor[[#This Row],[Earned hours (person-h)]]),tblLabor[[#This Row],[Actual hours (person-h)]]-tblLabor[[#This Row],[Earned hours (person-h)]],""))</f>
        <v>2.35666666666667</v>
      </c>
      <c r="M45" s="41">
        <f>IF(tblLabor[[#This Row],[Date]]="","",IF(AND(tblLabor[[#This Row],[Date]]&gt;=FFrom,tblLabor[[#This Row],[Date]]&lt;=FTo,OR(DashCell="",tblLabor[[#This Row],[Cell]]=DashCell)),tblLabor[[#This Row],[Date]],""))</f>
        <v>46269</v>
      </c>
      <c r="N4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5" s="28" t="s">
        <v>136</v>
      </c>
    </row>
    <row r="46" spans="2:15" x14ac:dyDescent="0.25">
      <c r="B46" s="35">
        <v>46269</v>
      </c>
      <c r="C46" s="28" t="s">
        <v>101</v>
      </c>
      <c r="D46" s="28" t="s">
        <v>106</v>
      </c>
      <c r="E46" s="36">
        <v>320</v>
      </c>
      <c r="F46" s="29">
        <v>28.25</v>
      </c>
      <c r="G46" s="37" t="str">
        <f>IF(tblLabor[[#This Row],[Date]]="","",IFERROR(INDEX(tblOperations[Cell],MATCH(tblLabor[[#This Row],[Operation]],tblOperations[Operation],0)),""))</f>
        <v>Cut and crimp</v>
      </c>
      <c r="H46" s="38">
        <f>IF(tblLabor[[#This Row],[Date]]="","",IFERROR(INDEX(tblOperations[Std (min/unit)],MATCH(tblLabor[[#This Row],[Operation]],tblOperations[Operation],0)),""))</f>
        <v>5.2</v>
      </c>
      <c r="I46" s="38">
        <f>IF(tblLabor[[#This Row],[Date]]="","",IF(tblLabor[[#This Row],[Std (min/unit)]]="","",tblLabor[[#This Row],[Good units]]*tblLabor[[#This Row],[Std (min/unit)]]/60))</f>
        <v>27.7333333333333</v>
      </c>
      <c r="J46" s="31">
        <f>IF(tblLabor[[#This Row],[Date]]="","",IF(AND(tblLabor[[#This Row],[Actual hours (person-h)]]&gt;0,ISNUMBER(tblLabor[[#This Row],[Earned hours (person-h)]])),tblLabor[[#This Row],[Earned hours (person-h)]]/tblLabor[[#This Row],[Actual hours (person-h)]],""))</f>
        <v>0.981710914454277</v>
      </c>
      <c r="K46" s="39" t="str">
        <f>IF(NOT(ISNUMBER(tblLabor[[#This Row],[Efficiency]])),"",IF(tblLabor[[#This Row],[Efficiency]]&gt;=TargetEff,"On target",IF(tblLabor[[#This Row],[Efficiency]]&gt;=TargetEff*(1-0.05),"Near target","Below target")))</f>
        <v>On target</v>
      </c>
      <c r="L46" s="40">
        <f>IF(tblLabor[[#This Row],[Date]]="","",IF(ISNUMBER(tblLabor[[#This Row],[Earned hours (person-h)]]),tblLabor[[#This Row],[Actual hours (person-h)]]-tblLabor[[#This Row],[Earned hours (person-h)]],""))</f>
        <v>0.516666666666666</v>
      </c>
      <c r="M46" s="41">
        <f>IF(tblLabor[[#This Row],[Date]]="","",IF(AND(tblLabor[[#This Row],[Date]]&gt;=FFrom,tblLabor[[#This Row],[Date]]&lt;=FTo,OR(DashCell="",tblLabor[[#This Row],[Cell]]=DashCell)),tblLabor[[#This Row],[Date]],""))</f>
        <v>46269</v>
      </c>
      <c r="N4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6" s="28" t="s">
        <v>136</v>
      </c>
    </row>
    <row r="47" spans="2:15" x14ac:dyDescent="0.25">
      <c r="B47" s="35">
        <v>46269</v>
      </c>
      <c r="C47" s="28" t="s">
        <v>101</v>
      </c>
      <c r="D47" s="28" t="s">
        <v>114</v>
      </c>
      <c r="E47" s="36">
        <v>139</v>
      </c>
      <c r="F47" s="29">
        <v>56.5</v>
      </c>
      <c r="G47" s="37" t="str">
        <f>IF(tblLabor[[#This Row],[Date]]="","",IFERROR(INDEX(tblOperations[Cell],MATCH(tblLabor[[#This Row],[Operation]],tblOperations[Operation],0)),""))</f>
        <v>Board line A</v>
      </c>
      <c r="H47" s="38">
        <f>IF(tblLabor[[#This Row],[Date]]="","",IFERROR(INDEX(tblOperations[Std (min/unit)],MATCH(tblLabor[[#This Row],[Operation]],tblOperations[Operation],0)),""))</f>
        <v>22</v>
      </c>
      <c r="I47" s="38">
        <f>IF(tblLabor[[#This Row],[Date]]="","",IF(tblLabor[[#This Row],[Std (min/unit)]]="","",tblLabor[[#This Row],[Good units]]*tblLabor[[#This Row],[Std (min/unit)]]/60))</f>
        <v>50.9666666666667</v>
      </c>
      <c r="J47" s="31">
        <f>IF(tblLabor[[#This Row],[Date]]="","",IF(AND(tblLabor[[#This Row],[Actual hours (person-h)]]&gt;0,ISNUMBER(tblLabor[[#This Row],[Earned hours (person-h)]])),tblLabor[[#This Row],[Earned hours (person-h)]]/tblLabor[[#This Row],[Actual hours (person-h)]],""))</f>
        <v>0.902064896755162</v>
      </c>
      <c r="K47" s="39" t="str">
        <f>IF(NOT(ISNUMBER(tblLabor[[#This Row],[Efficiency]])),"",IF(tblLabor[[#This Row],[Efficiency]]&gt;=TargetEff,"On target",IF(tblLabor[[#This Row],[Efficiency]]&gt;=TargetEff*(1-0.05),"Near target","Below target")))</f>
        <v>On target</v>
      </c>
      <c r="L47" s="40">
        <f>IF(tblLabor[[#This Row],[Date]]="","",IF(ISNUMBER(tblLabor[[#This Row],[Earned hours (person-h)]]),tblLabor[[#This Row],[Actual hours (person-h)]]-tblLabor[[#This Row],[Earned hours (person-h)]],""))</f>
        <v>5.53333333333333</v>
      </c>
      <c r="M47" s="41">
        <f>IF(tblLabor[[#This Row],[Date]]="","",IF(AND(tblLabor[[#This Row],[Date]]&gt;=FFrom,tblLabor[[#This Row],[Date]]&lt;=FTo,OR(DashCell="",tblLabor[[#This Row],[Cell]]=DashCell)),tblLabor[[#This Row],[Date]],""))</f>
        <v>46269</v>
      </c>
      <c r="N4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7" s="28" t="s">
        <v>136</v>
      </c>
    </row>
    <row r="48" spans="2:15" x14ac:dyDescent="0.25">
      <c r="B48" s="35">
        <v>46269</v>
      </c>
      <c r="C48" s="28" t="s">
        <v>101</v>
      </c>
      <c r="D48" s="28" t="s">
        <v>116</v>
      </c>
      <c r="E48" s="36">
        <v>516</v>
      </c>
      <c r="F48" s="29">
        <v>40.5</v>
      </c>
      <c r="G48" s="37" t="str">
        <f>IF(tblLabor[[#This Row],[Date]]="","",IFERROR(INDEX(tblOperations[Cell],MATCH(tblLabor[[#This Row],[Operation]],tblOperations[Operation],0)),""))</f>
        <v>Board line B</v>
      </c>
      <c r="H48" s="38">
        <f>IF(tblLabor[[#This Row],[Date]]="","",IFERROR(INDEX(tblOperations[Std (min/unit)],MATCH(tblLabor[[#This Row],[Operation]],tblOperations[Operation],0)),""))</f>
        <v>3.1</v>
      </c>
      <c r="I48" s="38">
        <f>IF(tblLabor[[#This Row],[Date]]="","",IF(tblLabor[[#This Row],[Std (min/unit)]]="","",tblLabor[[#This Row],[Good units]]*tblLabor[[#This Row],[Std (min/unit)]]/60))</f>
        <v>26.66</v>
      </c>
      <c r="J48" s="31">
        <f>IF(tblLabor[[#This Row],[Date]]="","",IF(AND(tblLabor[[#This Row],[Actual hours (person-h)]]&gt;0,ISNUMBER(tblLabor[[#This Row],[Earned hours (person-h)]])),tblLabor[[#This Row],[Earned hours (person-h)]]/tblLabor[[#This Row],[Actual hours (person-h)]],""))</f>
        <v>0.658271604938272</v>
      </c>
      <c r="K48" s="39" t="str">
        <f>IF(NOT(ISNUMBER(tblLabor[[#This Row],[Efficiency]])),"",IF(tblLabor[[#This Row],[Efficiency]]&gt;=TargetEff,"On target",IF(tblLabor[[#This Row],[Efficiency]]&gt;=TargetEff*(1-0.05),"Near target","Below target")))</f>
        <v>Below target</v>
      </c>
      <c r="L48" s="40">
        <f>IF(tblLabor[[#This Row],[Date]]="","",IF(ISNUMBER(tblLabor[[#This Row],[Earned hours (person-h)]]),tblLabor[[#This Row],[Actual hours (person-h)]]-tblLabor[[#This Row],[Earned hours (person-h)]],""))</f>
        <v>13.84</v>
      </c>
      <c r="M48" s="41">
        <f>IF(tblLabor[[#This Row],[Date]]="","",IF(AND(tblLabor[[#This Row],[Date]]&gt;=FFrom,tblLabor[[#This Row],[Date]]&lt;=FTo,OR(DashCell="",tblLabor[[#This Row],[Cell]]=DashCell)),tblLabor[[#This Row],[Date]],""))</f>
        <v>46269</v>
      </c>
      <c r="N4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8" s="28" t="s">
        <v>136</v>
      </c>
    </row>
    <row r="49" spans="2:15" x14ac:dyDescent="0.25">
      <c r="B49" s="35">
        <v>46269</v>
      </c>
      <c r="C49" s="28" t="s">
        <v>101</v>
      </c>
      <c r="D49" s="28" t="s">
        <v>120</v>
      </c>
      <c r="E49" s="36">
        <v>482</v>
      </c>
      <c r="F49" s="29">
        <v>31</v>
      </c>
      <c r="G49" s="37" t="str">
        <f>IF(tblLabor[[#This Row],[Date]]="","",IFERROR(INDEX(tblOperations[Cell],MATCH(tblLabor[[#This Row],[Operation]],tblOperations[Operation],0)),""))</f>
        <v>Test and pack</v>
      </c>
      <c r="H49" s="38">
        <f>IF(tblLabor[[#This Row],[Date]]="","",IFERROR(INDEX(tblOperations[Std (min/unit)],MATCH(tblLabor[[#This Row],[Operation]],tblOperations[Operation],0)),""))</f>
        <v>3.4</v>
      </c>
      <c r="I49" s="38">
        <f>IF(tblLabor[[#This Row],[Date]]="","",IF(tblLabor[[#This Row],[Std (min/unit)]]="","",tblLabor[[#This Row],[Good units]]*tblLabor[[#This Row],[Std (min/unit)]]/60))</f>
        <v>27.3133333333333</v>
      </c>
      <c r="J49" s="31">
        <f>IF(tblLabor[[#This Row],[Date]]="","",IF(AND(tblLabor[[#This Row],[Actual hours (person-h)]]&gt;0,ISNUMBER(tblLabor[[#This Row],[Earned hours (person-h)]])),tblLabor[[#This Row],[Earned hours (person-h)]]/tblLabor[[#This Row],[Actual hours (person-h)]],""))</f>
        <v>0.881075268817204</v>
      </c>
      <c r="K49" s="39" t="str">
        <f>IF(NOT(ISNUMBER(tblLabor[[#This Row],[Efficiency]])),"",IF(tblLabor[[#This Row],[Efficiency]]&gt;=TargetEff,"On target",IF(tblLabor[[#This Row],[Efficiency]]&gt;=TargetEff*(1-0.05),"Near target","Below target")))</f>
        <v>Near target</v>
      </c>
      <c r="L49" s="40">
        <f>IF(tblLabor[[#This Row],[Date]]="","",IF(ISNUMBER(tblLabor[[#This Row],[Earned hours (person-h)]]),tblLabor[[#This Row],[Actual hours (person-h)]]-tblLabor[[#This Row],[Earned hours (person-h)]],""))</f>
        <v>3.68666666666667</v>
      </c>
      <c r="M49" s="41">
        <f>IF(tblLabor[[#This Row],[Date]]="","",IF(AND(tblLabor[[#This Row],[Date]]&gt;=FFrom,tblLabor[[#This Row],[Date]]&lt;=FTo,OR(DashCell="",tblLabor[[#This Row],[Cell]]=DashCell)),tblLabor[[#This Row],[Date]],""))</f>
        <v>46269</v>
      </c>
      <c r="N4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49" s="28" t="s">
        <v>136</v>
      </c>
    </row>
    <row r="50" spans="2:15" x14ac:dyDescent="0.25">
      <c r="B50" s="35">
        <v>46272</v>
      </c>
      <c r="C50" s="28" t="s">
        <v>98</v>
      </c>
      <c r="D50" s="28" t="s">
        <v>108</v>
      </c>
      <c r="E50" s="36">
        <v>613</v>
      </c>
      <c r="F50" s="29">
        <v>26.25</v>
      </c>
      <c r="G50" s="37" t="str">
        <f>IF(tblLabor[[#This Row],[Date]]="","",IFERROR(INDEX(tblOperations[Cell],MATCH(tblLabor[[#This Row],[Operation]],tblOperations[Operation],0)),""))</f>
        <v>Cut and crimp</v>
      </c>
      <c r="H50" s="38">
        <f>IF(tblLabor[[#This Row],[Date]]="","",IFERROR(INDEX(tblOperations[Std (min/unit)],MATCH(tblLabor[[#This Row],[Operation]],tblOperations[Operation],0)),""))</f>
        <v>2.4</v>
      </c>
      <c r="I50" s="38">
        <f>IF(tblLabor[[#This Row],[Date]]="","",IF(tblLabor[[#This Row],[Std (min/unit)]]="","",tblLabor[[#This Row],[Good units]]*tblLabor[[#This Row],[Std (min/unit)]]/60))</f>
        <v>24.52</v>
      </c>
      <c r="J50" s="31">
        <f>IF(tblLabor[[#This Row],[Date]]="","",IF(AND(tblLabor[[#This Row],[Actual hours (person-h)]]&gt;0,ISNUMBER(tblLabor[[#This Row],[Earned hours (person-h)]])),tblLabor[[#This Row],[Earned hours (person-h)]]/tblLabor[[#This Row],[Actual hours (person-h)]],""))</f>
        <v>0.934095238095238</v>
      </c>
      <c r="K50" s="39" t="str">
        <f>IF(NOT(ISNUMBER(tblLabor[[#This Row],[Efficiency]])),"",IF(tblLabor[[#This Row],[Efficiency]]&gt;=TargetEff,"On target",IF(tblLabor[[#This Row],[Efficiency]]&gt;=TargetEff*(1-0.05),"Near target","Below target")))</f>
        <v>On target</v>
      </c>
      <c r="L50" s="40">
        <f>IF(tblLabor[[#This Row],[Date]]="","",IF(ISNUMBER(tblLabor[[#This Row],[Earned hours (person-h)]]),tblLabor[[#This Row],[Actual hours (person-h)]]-tblLabor[[#This Row],[Earned hours (person-h)]],""))</f>
        <v>1.73</v>
      </c>
      <c r="M50" s="41">
        <f>IF(tblLabor[[#This Row],[Date]]="","",IF(AND(tblLabor[[#This Row],[Date]]&gt;=FFrom,tblLabor[[#This Row],[Date]]&lt;=FTo,OR(DashCell="",tblLabor[[#This Row],[Cell]]=DashCell)),tblLabor[[#This Row],[Date]],""))</f>
        <v>46272</v>
      </c>
      <c r="N5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0" s="28" t="s">
        <v>136</v>
      </c>
    </row>
    <row r="51" spans="2:15" x14ac:dyDescent="0.25">
      <c r="B51" s="35">
        <v>46272</v>
      </c>
      <c r="C51" s="28" t="s">
        <v>98</v>
      </c>
      <c r="D51" s="28" t="s">
        <v>112</v>
      </c>
      <c r="E51" s="36">
        <v>172</v>
      </c>
      <c r="F51" s="29">
        <v>50.25</v>
      </c>
      <c r="G51" s="37" t="str">
        <f>IF(tblLabor[[#This Row],[Date]]="","",IFERROR(INDEX(tblOperations[Cell],MATCH(tblLabor[[#This Row],[Operation]],tblOperations[Operation],0)),""))</f>
        <v>Board line A</v>
      </c>
      <c r="H51" s="38">
        <f>IF(tblLabor[[#This Row],[Date]]="","",IFERROR(INDEX(tblOperations[Std (min/unit)],MATCH(tblLabor[[#This Row],[Operation]],tblOperations[Operation],0)),""))</f>
        <v>16.5</v>
      </c>
      <c r="I51" s="38">
        <f>IF(tblLabor[[#This Row],[Date]]="","",IF(tblLabor[[#This Row],[Std (min/unit)]]="","",tblLabor[[#This Row],[Good units]]*tblLabor[[#This Row],[Std (min/unit)]]/60))</f>
        <v>47.3</v>
      </c>
      <c r="J51" s="31">
        <f>IF(tblLabor[[#This Row],[Date]]="","",IF(AND(tblLabor[[#This Row],[Actual hours (person-h)]]&gt;0,ISNUMBER(tblLabor[[#This Row],[Earned hours (person-h)]])),tblLabor[[#This Row],[Earned hours (person-h)]]/tblLabor[[#This Row],[Actual hours (person-h)]],""))</f>
        <v>0.941293532338308</v>
      </c>
      <c r="K51" s="39" t="str">
        <f>IF(NOT(ISNUMBER(tblLabor[[#This Row],[Efficiency]])),"",IF(tblLabor[[#This Row],[Efficiency]]&gt;=TargetEff,"On target",IF(tblLabor[[#This Row],[Efficiency]]&gt;=TargetEff*(1-0.05),"Near target","Below target")))</f>
        <v>On target</v>
      </c>
      <c r="L51" s="40">
        <f>IF(tblLabor[[#This Row],[Date]]="","",IF(ISNUMBER(tblLabor[[#This Row],[Earned hours (person-h)]]),tblLabor[[#This Row],[Actual hours (person-h)]]-tblLabor[[#This Row],[Earned hours (person-h)]],""))</f>
        <v>2.95</v>
      </c>
      <c r="M51" s="41">
        <f>IF(tblLabor[[#This Row],[Date]]="","",IF(AND(tblLabor[[#This Row],[Date]]&gt;=FFrom,tblLabor[[#This Row],[Date]]&lt;=FTo,OR(DashCell="",tblLabor[[#This Row],[Cell]]=DashCell)),tblLabor[[#This Row],[Date]],""))</f>
        <v>46272</v>
      </c>
      <c r="N5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1" s="28" t="s">
        <v>136</v>
      </c>
    </row>
    <row r="52" spans="2:15" x14ac:dyDescent="0.25">
      <c r="B52" s="35">
        <v>46272</v>
      </c>
      <c r="C52" s="28" t="s">
        <v>98</v>
      </c>
      <c r="D52" s="28" t="s">
        <v>115</v>
      </c>
      <c r="E52" s="36">
        <v>230</v>
      </c>
      <c r="F52" s="29">
        <v>43.25</v>
      </c>
      <c r="G52" s="37" t="str">
        <f>IF(tblLabor[[#This Row],[Date]]="","",IFERROR(INDEX(tblOperations[Cell],MATCH(tblLabor[[#This Row],[Operation]],tblOperations[Operation],0)),""))</f>
        <v>Board line B</v>
      </c>
      <c r="H52" s="38">
        <f>IF(tblLabor[[#This Row],[Date]]="","",IFERROR(INDEX(tblOperations[Std (min/unit)],MATCH(tblLabor[[#This Row],[Operation]],tblOperations[Operation],0)),""))</f>
        <v>9.8</v>
      </c>
      <c r="I52" s="38">
        <f>IF(tblLabor[[#This Row],[Date]]="","",IF(tblLabor[[#This Row],[Std (min/unit)]]="","",tblLabor[[#This Row],[Good units]]*tblLabor[[#This Row],[Std (min/unit)]]/60))</f>
        <v>37.5666666666667</v>
      </c>
      <c r="J52" s="31">
        <f>IF(tblLabor[[#This Row],[Date]]="","",IF(AND(tblLabor[[#This Row],[Actual hours (person-h)]]&gt;0,ISNUMBER(tblLabor[[#This Row],[Earned hours (person-h)]])),tblLabor[[#This Row],[Earned hours (person-h)]]/tblLabor[[#This Row],[Actual hours (person-h)]],""))</f>
        <v>0.86859344894027</v>
      </c>
      <c r="K52" s="39" t="str">
        <f>IF(NOT(ISNUMBER(tblLabor[[#This Row],[Efficiency]])),"",IF(tblLabor[[#This Row],[Efficiency]]&gt;=TargetEff,"On target",IF(tblLabor[[#This Row],[Efficiency]]&gt;=TargetEff*(1-0.05),"Near target","Below target")))</f>
        <v>Near target</v>
      </c>
      <c r="L52" s="40">
        <f>IF(tblLabor[[#This Row],[Date]]="","",IF(ISNUMBER(tblLabor[[#This Row],[Earned hours (person-h)]]),tblLabor[[#This Row],[Actual hours (person-h)]]-tblLabor[[#This Row],[Earned hours (person-h)]],""))</f>
        <v>5.68333333333333</v>
      </c>
      <c r="M52" s="41">
        <f>IF(tblLabor[[#This Row],[Date]]="","",IF(AND(tblLabor[[#This Row],[Date]]&gt;=FFrom,tblLabor[[#This Row],[Date]]&lt;=FTo,OR(DashCell="",tblLabor[[#This Row],[Cell]]=DashCell)),tblLabor[[#This Row],[Date]],""))</f>
        <v>46272</v>
      </c>
      <c r="N5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2" s="28" t="s">
        <v>136</v>
      </c>
    </row>
    <row r="53" spans="2:15" x14ac:dyDescent="0.25">
      <c r="B53" s="35">
        <v>46272</v>
      </c>
      <c r="C53" s="28" t="s">
        <v>98</v>
      </c>
      <c r="D53" s="28" t="s">
        <v>122</v>
      </c>
      <c r="E53" s="36">
        <v>763</v>
      </c>
      <c r="F53" s="29">
        <v>23.5</v>
      </c>
      <c r="G53" s="37" t="str">
        <f>IF(tblLabor[[#This Row],[Date]]="","",IFERROR(INDEX(tblOperations[Cell],MATCH(tblLabor[[#This Row],[Operation]],tblOperations[Operation],0)),""))</f>
        <v>Test and pack</v>
      </c>
      <c r="H53" s="38">
        <f>IF(tblLabor[[#This Row],[Date]]="","",IFERROR(INDEX(tblOperations[Std (min/unit)],MATCH(tblLabor[[#This Row],[Operation]],tblOperations[Operation],0)),""))</f>
        <v>1.7</v>
      </c>
      <c r="I53" s="38">
        <f>IF(tblLabor[[#This Row],[Date]]="","",IF(tblLabor[[#This Row],[Std (min/unit)]]="","",tblLabor[[#This Row],[Good units]]*tblLabor[[#This Row],[Std (min/unit)]]/60))</f>
        <v>21.6183333333333</v>
      </c>
      <c r="J53" s="31">
        <f>IF(tblLabor[[#This Row],[Date]]="","",IF(AND(tblLabor[[#This Row],[Actual hours (person-h)]]&gt;0,ISNUMBER(tblLabor[[#This Row],[Earned hours (person-h)]])),tblLabor[[#This Row],[Earned hours (person-h)]]/tblLabor[[#This Row],[Actual hours (person-h)]],""))</f>
        <v>0.919929078014184</v>
      </c>
      <c r="K53" s="39" t="str">
        <f>IF(NOT(ISNUMBER(tblLabor[[#This Row],[Efficiency]])),"",IF(tblLabor[[#This Row],[Efficiency]]&gt;=TargetEff,"On target",IF(tblLabor[[#This Row],[Efficiency]]&gt;=TargetEff*(1-0.05),"Near target","Below target")))</f>
        <v>On target</v>
      </c>
      <c r="L53" s="40">
        <f>IF(tblLabor[[#This Row],[Date]]="","",IF(ISNUMBER(tblLabor[[#This Row],[Earned hours (person-h)]]),tblLabor[[#This Row],[Actual hours (person-h)]]-tblLabor[[#This Row],[Earned hours (person-h)]],""))</f>
        <v>1.88166666666667</v>
      </c>
      <c r="M53" s="41">
        <f>IF(tblLabor[[#This Row],[Date]]="","",IF(AND(tblLabor[[#This Row],[Date]]&gt;=FFrom,tblLabor[[#This Row],[Date]]&lt;=FTo,OR(DashCell="",tblLabor[[#This Row],[Cell]]=DashCell)),tblLabor[[#This Row],[Date]],""))</f>
        <v>46272</v>
      </c>
      <c r="N5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3" s="28" t="s">
        <v>136</v>
      </c>
    </row>
    <row r="54" spans="2:15" x14ac:dyDescent="0.25">
      <c r="B54" s="35">
        <v>46272</v>
      </c>
      <c r="C54" s="28" t="s">
        <v>101</v>
      </c>
      <c r="D54" s="28" t="s">
        <v>104</v>
      </c>
      <c r="E54" s="36">
        <v>402</v>
      </c>
      <c r="F54" s="29">
        <v>26</v>
      </c>
      <c r="G54" s="37" t="str">
        <f>IF(tblLabor[[#This Row],[Date]]="","",IFERROR(INDEX(tblOperations[Cell],MATCH(tblLabor[[#This Row],[Operation]],tblOperations[Operation],0)),""))</f>
        <v>Cut and crimp</v>
      </c>
      <c r="H54" s="38">
        <f>IF(tblLabor[[#This Row],[Date]]="","",IFERROR(INDEX(tblOperations[Std (min/unit)],MATCH(tblLabor[[#This Row],[Operation]],tblOperations[Operation],0)),""))</f>
        <v>3.8</v>
      </c>
      <c r="I54" s="38">
        <f>IF(tblLabor[[#This Row],[Date]]="","",IF(tblLabor[[#This Row],[Std (min/unit)]]="","",tblLabor[[#This Row],[Good units]]*tblLabor[[#This Row],[Std (min/unit)]]/60))</f>
        <v>25.46</v>
      </c>
      <c r="J54" s="31">
        <f>IF(tblLabor[[#This Row],[Date]]="","",IF(AND(tblLabor[[#This Row],[Actual hours (person-h)]]&gt;0,ISNUMBER(tblLabor[[#This Row],[Earned hours (person-h)]])),tblLabor[[#This Row],[Earned hours (person-h)]]/tblLabor[[#This Row],[Actual hours (person-h)]],""))</f>
        <v>0.979230769230769</v>
      </c>
      <c r="K54" s="39" t="str">
        <f>IF(NOT(ISNUMBER(tblLabor[[#This Row],[Efficiency]])),"",IF(tblLabor[[#This Row],[Efficiency]]&gt;=TargetEff,"On target",IF(tblLabor[[#This Row],[Efficiency]]&gt;=TargetEff*(1-0.05),"Near target","Below target")))</f>
        <v>On target</v>
      </c>
      <c r="L54" s="40">
        <f>IF(tblLabor[[#This Row],[Date]]="","",IF(ISNUMBER(tblLabor[[#This Row],[Earned hours (person-h)]]),tblLabor[[#This Row],[Actual hours (person-h)]]-tblLabor[[#This Row],[Earned hours (person-h)]],""))</f>
        <v>0.540000000000003</v>
      </c>
      <c r="M54" s="41">
        <f>IF(tblLabor[[#This Row],[Date]]="","",IF(AND(tblLabor[[#This Row],[Date]]&gt;=FFrom,tblLabor[[#This Row],[Date]]&lt;=FTo,OR(DashCell="",tblLabor[[#This Row],[Cell]]=DashCell)),tblLabor[[#This Row],[Date]],""))</f>
        <v>46272</v>
      </c>
      <c r="N5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4" s="28" t="s">
        <v>136</v>
      </c>
    </row>
    <row r="55" spans="2:15" x14ac:dyDescent="0.25">
      <c r="B55" s="35">
        <v>46272</v>
      </c>
      <c r="C55" s="28" t="s">
        <v>101</v>
      </c>
      <c r="D55" s="28" t="s">
        <v>112</v>
      </c>
      <c r="E55" s="36">
        <v>152</v>
      </c>
      <c r="F55" s="29">
        <v>46</v>
      </c>
      <c r="G55" s="37" t="str">
        <f>IF(tblLabor[[#This Row],[Date]]="","",IFERROR(INDEX(tblOperations[Cell],MATCH(tblLabor[[#This Row],[Operation]],tblOperations[Operation],0)),""))</f>
        <v>Board line A</v>
      </c>
      <c r="H55" s="38">
        <f>IF(tblLabor[[#This Row],[Date]]="","",IFERROR(INDEX(tblOperations[Std (min/unit)],MATCH(tblLabor[[#This Row],[Operation]],tblOperations[Operation],0)),""))</f>
        <v>16.5</v>
      </c>
      <c r="I55" s="38">
        <f>IF(tblLabor[[#This Row],[Date]]="","",IF(tblLabor[[#This Row],[Std (min/unit)]]="","",tblLabor[[#This Row],[Good units]]*tblLabor[[#This Row],[Std (min/unit)]]/60))</f>
        <v>41.8</v>
      </c>
      <c r="J55" s="31">
        <f>IF(tblLabor[[#This Row],[Date]]="","",IF(AND(tblLabor[[#This Row],[Actual hours (person-h)]]&gt;0,ISNUMBER(tblLabor[[#This Row],[Earned hours (person-h)]])),tblLabor[[#This Row],[Earned hours (person-h)]]/tblLabor[[#This Row],[Actual hours (person-h)]],""))</f>
        <v>0.908695652173913</v>
      </c>
      <c r="K55" s="39" t="str">
        <f>IF(NOT(ISNUMBER(tblLabor[[#This Row],[Efficiency]])),"",IF(tblLabor[[#This Row],[Efficiency]]&gt;=TargetEff,"On target",IF(tblLabor[[#This Row],[Efficiency]]&gt;=TargetEff*(1-0.05),"Near target","Below target")))</f>
        <v>On target</v>
      </c>
      <c r="L55" s="40">
        <f>IF(tblLabor[[#This Row],[Date]]="","",IF(ISNUMBER(tblLabor[[#This Row],[Earned hours (person-h)]]),tblLabor[[#This Row],[Actual hours (person-h)]]-tblLabor[[#This Row],[Earned hours (person-h)]],""))</f>
        <v>4.2</v>
      </c>
      <c r="M55" s="41">
        <f>IF(tblLabor[[#This Row],[Date]]="","",IF(AND(tblLabor[[#This Row],[Date]]&gt;=FFrom,tblLabor[[#This Row],[Date]]&lt;=FTo,OR(DashCell="",tblLabor[[#This Row],[Cell]]=DashCell)),tblLabor[[#This Row],[Date]],""))</f>
        <v>46272</v>
      </c>
      <c r="N5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5" s="28" t="s">
        <v>136</v>
      </c>
    </row>
    <row r="56" spans="2:15" x14ac:dyDescent="0.25">
      <c r="B56" s="35">
        <v>46272</v>
      </c>
      <c r="C56" s="28" t="s">
        <v>101</v>
      </c>
      <c r="D56" s="28" t="s">
        <v>115</v>
      </c>
      <c r="E56" s="36">
        <v>208</v>
      </c>
      <c r="F56" s="29">
        <v>45</v>
      </c>
      <c r="G56" s="37" t="str">
        <f>IF(tblLabor[[#This Row],[Date]]="","",IFERROR(INDEX(tblOperations[Cell],MATCH(tblLabor[[#This Row],[Operation]],tblOperations[Operation],0)),""))</f>
        <v>Board line B</v>
      </c>
      <c r="H56" s="38">
        <f>IF(tblLabor[[#This Row],[Date]]="","",IFERROR(INDEX(tblOperations[Std (min/unit)],MATCH(tblLabor[[#This Row],[Operation]],tblOperations[Operation],0)),""))</f>
        <v>9.8</v>
      </c>
      <c r="I56" s="38">
        <f>IF(tblLabor[[#This Row],[Date]]="","",IF(tblLabor[[#This Row],[Std (min/unit)]]="","",tblLabor[[#This Row],[Good units]]*tblLabor[[#This Row],[Std (min/unit)]]/60))</f>
        <v>33.9733333333333</v>
      </c>
      <c r="J56" s="31">
        <f>IF(tblLabor[[#This Row],[Date]]="","",IF(AND(tblLabor[[#This Row],[Actual hours (person-h)]]&gt;0,ISNUMBER(tblLabor[[#This Row],[Earned hours (person-h)]])),tblLabor[[#This Row],[Earned hours (person-h)]]/tblLabor[[#This Row],[Actual hours (person-h)]],""))</f>
        <v>0.754962962962963</v>
      </c>
      <c r="K56" s="39" t="str">
        <f>IF(NOT(ISNUMBER(tblLabor[[#This Row],[Efficiency]])),"",IF(tblLabor[[#This Row],[Efficiency]]&gt;=TargetEff,"On target",IF(tblLabor[[#This Row],[Efficiency]]&gt;=TargetEff*(1-0.05),"Near target","Below target")))</f>
        <v>Below target</v>
      </c>
      <c r="L56" s="40">
        <f>IF(tblLabor[[#This Row],[Date]]="","",IF(ISNUMBER(tblLabor[[#This Row],[Earned hours (person-h)]]),tblLabor[[#This Row],[Actual hours (person-h)]]-tblLabor[[#This Row],[Earned hours (person-h)]],""))</f>
        <v>11.0266666666667</v>
      </c>
      <c r="M56" s="41">
        <f>IF(tblLabor[[#This Row],[Date]]="","",IF(AND(tblLabor[[#This Row],[Date]]&gt;=FFrom,tblLabor[[#This Row],[Date]]&lt;=FTo,OR(DashCell="",tblLabor[[#This Row],[Cell]]=DashCell)),tblLabor[[#This Row],[Date]],""))</f>
        <v>46272</v>
      </c>
      <c r="N5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6" s="28" t="s">
        <v>136</v>
      </c>
    </row>
    <row r="57" spans="2:15" x14ac:dyDescent="0.25">
      <c r="B57" s="35">
        <v>46272</v>
      </c>
      <c r="C57" s="28" t="s">
        <v>101</v>
      </c>
      <c r="D57" s="28" t="s">
        <v>118</v>
      </c>
      <c r="E57" s="36">
        <v>589</v>
      </c>
      <c r="F57" s="29">
        <v>27.75</v>
      </c>
      <c r="G57" s="37" t="str">
        <f>IF(tblLabor[[#This Row],[Date]]="","",IFERROR(INDEX(tblOperations[Cell],MATCH(tblLabor[[#This Row],[Operation]],tblOperations[Operation],0)),""))</f>
        <v>Test and pack</v>
      </c>
      <c r="H57" s="38">
        <f>IF(tblLabor[[#This Row],[Date]]="","",IFERROR(INDEX(tblOperations[Std (min/unit)],MATCH(tblLabor[[#This Row],[Operation]],tblOperations[Operation],0)),""))</f>
        <v>2.6</v>
      </c>
      <c r="I57" s="38">
        <f>IF(tblLabor[[#This Row],[Date]]="","",IF(tblLabor[[#This Row],[Std (min/unit)]]="","",tblLabor[[#This Row],[Good units]]*tblLabor[[#This Row],[Std (min/unit)]]/60))</f>
        <v>25.5233333333333</v>
      </c>
      <c r="J57" s="31">
        <f>IF(tblLabor[[#This Row],[Date]]="","",IF(AND(tblLabor[[#This Row],[Actual hours (person-h)]]&gt;0,ISNUMBER(tblLabor[[#This Row],[Earned hours (person-h)]])),tblLabor[[#This Row],[Earned hours (person-h)]]/tblLabor[[#This Row],[Actual hours (person-h)]],""))</f>
        <v>0.91975975975976</v>
      </c>
      <c r="K57" s="39" t="str">
        <f>IF(NOT(ISNUMBER(tblLabor[[#This Row],[Efficiency]])),"",IF(tblLabor[[#This Row],[Efficiency]]&gt;=TargetEff,"On target",IF(tblLabor[[#This Row],[Efficiency]]&gt;=TargetEff*(1-0.05),"Near target","Below target")))</f>
        <v>On target</v>
      </c>
      <c r="L57" s="40">
        <f>IF(tblLabor[[#This Row],[Date]]="","",IF(ISNUMBER(tblLabor[[#This Row],[Earned hours (person-h)]]),tblLabor[[#This Row],[Actual hours (person-h)]]-tblLabor[[#This Row],[Earned hours (person-h)]],""))</f>
        <v>2.22666666666667</v>
      </c>
      <c r="M57" s="41">
        <f>IF(tblLabor[[#This Row],[Date]]="","",IF(AND(tblLabor[[#This Row],[Date]]&gt;=FFrom,tblLabor[[#This Row],[Date]]&lt;=FTo,OR(DashCell="",tblLabor[[#This Row],[Cell]]=DashCell)),tblLabor[[#This Row],[Date]],""))</f>
        <v>46272</v>
      </c>
      <c r="N5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7" s="28" t="s">
        <v>136</v>
      </c>
    </row>
    <row r="58" spans="2:15" x14ac:dyDescent="0.25">
      <c r="B58" s="35">
        <v>46273</v>
      </c>
      <c r="C58" s="28" t="s">
        <v>98</v>
      </c>
      <c r="D58" s="28" t="s">
        <v>110</v>
      </c>
      <c r="E58" s="36">
        <v>1153</v>
      </c>
      <c r="F58" s="29">
        <v>18</v>
      </c>
      <c r="G58" s="37" t="str">
        <f>IF(tblLabor[[#This Row],[Date]]="","",IFERROR(INDEX(tblOperations[Cell],MATCH(tblLabor[[#This Row],[Operation]],tblOperations[Operation],0)),""))</f>
        <v>Cut and crimp</v>
      </c>
      <c r="H58" s="38">
        <f>IF(tblLabor[[#This Row],[Date]]="","",IFERROR(INDEX(tblOperations[Std (min/unit)],MATCH(tblLabor[[#This Row],[Operation]],tblOperations[Operation],0)),""))</f>
        <v>0.9</v>
      </c>
      <c r="I58" s="38">
        <f>IF(tblLabor[[#This Row],[Date]]="","",IF(tblLabor[[#This Row],[Std (min/unit)]]="","",tblLabor[[#This Row],[Good units]]*tblLabor[[#This Row],[Std (min/unit)]]/60))</f>
        <v>17.295</v>
      </c>
      <c r="J58" s="31">
        <f>IF(tblLabor[[#This Row],[Date]]="","",IF(AND(tblLabor[[#This Row],[Actual hours (person-h)]]&gt;0,ISNUMBER(tblLabor[[#This Row],[Earned hours (person-h)]])),tblLabor[[#This Row],[Earned hours (person-h)]]/tblLabor[[#This Row],[Actual hours (person-h)]],""))</f>
        <v>0.960833333333333</v>
      </c>
      <c r="K58" s="39" t="str">
        <f>IF(NOT(ISNUMBER(tblLabor[[#This Row],[Efficiency]])),"",IF(tblLabor[[#This Row],[Efficiency]]&gt;=TargetEff,"On target",IF(tblLabor[[#This Row],[Efficiency]]&gt;=TargetEff*(1-0.05),"Near target","Below target")))</f>
        <v>On target</v>
      </c>
      <c r="L58" s="40">
        <f>IF(tblLabor[[#This Row],[Date]]="","",IF(ISNUMBER(tblLabor[[#This Row],[Earned hours (person-h)]]),tblLabor[[#This Row],[Actual hours (person-h)]]-tblLabor[[#This Row],[Earned hours (person-h)]],""))</f>
        <v>0.704999999999998</v>
      </c>
      <c r="M58" s="41">
        <f>IF(tblLabor[[#This Row],[Date]]="","",IF(AND(tblLabor[[#This Row],[Date]]&gt;=FFrom,tblLabor[[#This Row],[Date]]&lt;=FTo,OR(DashCell="",tblLabor[[#This Row],[Cell]]=DashCell)),tblLabor[[#This Row],[Date]],""))</f>
        <v>46273</v>
      </c>
      <c r="N5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8" s="28" t="s">
        <v>136</v>
      </c>
    </row>
    <row r="59" spans="2:15" x14ac:dyDescent="0.25">
      <c r="B59" s="35">
        <v>46273</v>
      </c>
      <c r="C59" s="28" t="s">
        <v>98</v>
      </c>
      <c r="D59" s="28" t="s">
        <v>104</v>
      </c>
      <c r="E59" s="36">
        <v>143</v>
      </c>
      <c r="F59" s="29">
        <v>9.5</v>
      </c>
      <c r="G59" s="37" t="str">
        <f>IF(tblLabor[[#This Row],[Date]]="","",IFERROR(INDEX(tblOperations[Cell],MATCH(tblLabor[[#This Row],[Operation]],tblOperations[Operation],0)),""))</f>
        <v>Cut and crimp</v>
      </c>
      <c r="H59" s="38">
        <f>IF(tblLabor[[#This Row],[Date]]="","",IFERROR(INDEX(tblOperations[Std (min/unit)],MATCH(tblLabor[[#This Row],[Operation]],tblOperations[Operation],0)),""))</f>
        <v>3.8</v>
      </c>
      <c r="I59" s="38">
        <f>IF(tblLabor[[#This Row],[Date]]="","",IF(tblLabor[[#This Row],[Std (min/unit)]]="","",tblLabor[[#This Row],[Good units]]*tblLabor[[#This Row],[Std (min/unit)]]/60))</f>
        <v>9.05666666666667</v>
      </c>
      <c r="J59" s="31">
        <f>IF(tblLabor[[#This Row],[Date]]="","",IF(AND(tblLabor[[#This Row],[Actual hours (person-h)]]&gt;0,ISNUMBER(tblLabor[[#This Row],[Earned hours (person-h)]])),tblLabor[[#This Row],[Earned hours (person-h)]]/tblLabor[[#This Row],[Actual hours (person-h)]],""))</f>
        <v>0.953333333333333</v>
      </c>
      <c r="K59" s="39" t="str">
        <f>IF(NOT(ISNUMBER(tblLabor[[#This Row],[Efficiency]])),"",IF(tblLabor[[#This Row],[Efficiency]]&gt;=TargetEff,"On target",IF(tblLabor[[#This Row],[Efficiency]]&gt;=TargetEff*(1-0.05),"Near target","Below target")))</f>
        <v>On target</v>
      </c>
      <c r="L59" s="40">
        <f>IF(tblLabor[[#This Row],[Date]]="","",IF(ISNUMBER(tblLabor[[#This Row],[Earned hours (person-h)]]),tblLabor[[#This Row],[Actual hours (person-h)]]-tblLabor[[#This Row],[Earned hours (person-h)]],""))</f>
        <v>0.443333333333333</v>
      </c>
      <c r="M59" s="41">
        <f>IF(tblLabor[[#This Row],[Date]]="","",IF(AND(tblLabor[[#This Row],[Date]]&gt;=FFrom,tblLabor[[#This Row],[Date]]&lt;=FTo,OR(DashCell="",tblLabor[[#This Row],[Cell]]=DashCell)),tblLabor[[#This Row],[Date]],""))</f>
        <v>46273</v>
      </c>
      <c r="N5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59" s="28" t="s">
        <v>136</v>
      </c>
    </row>
    <row r="60" spans="2:15" x14ac:dyDescent="0.25">
      <c r="B60" s="35">
        <v>46273</v>
      </c>
      <c r="C60" s="28" t="s">
        <v>98</v>
      </c>
      <c r="D60" s="28" t="s">
        <v>112</v>
      </c>
      <c r="E60" s="36">
        <v>186</v>
      </c>
      <c r="F60" s="29">
        <v>56.5</v>
      </c>
      <c r="G60" s="37" t="str">
        <f>IF(tblLabor[[#This Row],[Date]]="","",IFERROR(INDEX(tblOperations[Cell],MATCH(tblLabor[[#This Row],[Operation]],tblOperations[Operation],0)),""))</f>
        <v>Board line A</v>
      </c>
      <c r="H60" s="38">
        <f>IF(tblLabor[[#This Row],[Date]]="","",IFERROR(INDEX(tblOperations[Std (min/unit)],MATCH(tblLabor[[#This Row],[Operation]],tblOperations[Operation],0)),""))</f>
        <v>16.5</v>
      </c>
      <c r="I60" s="38">
        <f>IF(tblLabor[[#This Row],[Date]]="","",IF(tblLabor[[#This Row],[Std (min/unit)]]="","",tblLabor[[#This Row],[Good units]]*tblLabor[[#This Row],[Std (min/unit)]]/60))</f>
        <v>51.15</v>
      </c>
      <c r="J60" s="31">
        <f>IF(tblLabor[[#This Row],[Date]]="","",IF(AND(tblLabor[[#This Row],[Actual hours (person-h)]]&gt;0,ISNUMBER(tblLabor[[#This Row],[Earned hours (person-h)]])),tblLabor[[#This Row],[Earned hours (person-h)]]/tblLabor[[#This Row],[Actual hours (person-h)]],""))</f>
        <v>0.905309734513274</v>
      </c>
      <c r="K60" s="39" t="str">
        <f>IF(NOT(ISNUMBER(tblLabor[[#This Row],[Efficiency]])),"",IF(tblLabor[[#This Row],[Efficiency]]&gt;=TargetEff,"On target",IF(tblLabor[[#This Row],[Efficiency]]&gt;=TargetEff*(1-0.05),"Near target","Below target")))</f>
        <v>On target</v>
      </c>
      <c r="L60" s="40">
        <f>IF(tblLabor[[#This Row],[Date]]="","",IF(ISNUMBER(tblLabor[[#This Row],[Earned hours (person-h)]]),tblLabor[[#This Row],[Actual hours (person-h)]]-tblLabor[[#This Row],[Earned hours (person-h)]],""))</f>
        <v>5.35</v>
      </c>
      <c r="M60" s="41">
        <f>IF(tblLabor[[#This Row],[Date]]="","",IF(AND(tblLabor[[#This Row],[Date]]&gt;=FFrom,tblLabor[[#This Row],[Date]]&lt;=FTo,OR(DashCell="",tblLabor[[#This Row],[Cell]]=DashCell)),tblLabor[[#This Row],[Date]],""))</f>
        <v>46273</v>
      </c>
      <c r="N6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0" s="28" t="s">
        <v>136</v>
      </c>
    </row>
    <row r="61" spans="2:15" x14ac:dyDescent="0.25">
      <c r="B61" s="35">
        <v>46273</v>
      </c>
      <c r="C61" s="28" t="s">
        <v>98</v>
      </c>
      <c r="D61" s="28" t="s">
        <v>115</v>
      </c>
      <c r="E61" s="36">
        <v>274</v>
      </c>
      <c r="F61" s="29">
        <v>47.25</v>
      </c>
      <c r="G61" s="37" t="str">
        <f>IF(tblLabor[[#This Row],[Date]]="","",IFERROR(INDEX(tblOperations[Cell],MATCH(tblLabor[[#This Row],[Operation]],tblOperations[Operation],0)),""))</f>
        <v>Board line B</v>
      </c>
      <c r="H61" s="38">
        <f>IF(tblLabor[[#This Row],[Date]]="","",IFERROR(INDEX(tblOperations[Std (min/unit)],MATCH(tblLabor[[#This Row],[Operation]],tblOperations[Operation],0)),""))</f>
        <v>9.8</v>
      </c>
      <c r="I61" s="38">
        <f>IF(tblLabor[[#This Row],[Date]]="","",IF(tblLabor[[#This Row],[Std (min/unit)]]="","",tblLabor[[#This Row],[Good units]]*tblLabor[[#This Row],[Std (min/unit)]]/60))</f>
        <v>44.7533333333333</v>
      </c>
      <c r="J61" s="31">
        <f>IF(tblLabor[[#This Row],[Date]]="","",IF(AND(tblLabor[[#This Row],[Actual hours (person-h)]]&gt;0,ISNUMBER(tblLabor[[#This Row],[Earned hours (person-h)]])),tblLabor[[#This Row],[Earned hours (person-h)]]/tblLabor[[#This Row],[Actual hours (person-h)]],""))</f>
        <v>0.947160493827161</v>
      </c>
      <c r="K61" s="39" t="str">
        <f>IF(NOT(ISNUMBER(tblLabor[[#This Row],[Efficiency]])),"",IF(tblLabor[[#This Row],[Efficiency]]&gt;=TargetEff,"On target",IF(tblLabor[[#This Row],[Efficiency]]&gt;=TargetEff*(1-0.05),"Near target","Below target")))</f>
        <v>On target</v>
      </c>
      <c r="L61" s="40">
        <f>IF(tblLabor[[#This Row],[Date]]="","",IF(ISNUMBER(tblLabor[[#This Row],[Earned hours (person-h)]]),tblLabor[[#This Row],[Actual hours (person-h)]]-tblLabor[[#This Row],[Earned hours (person-h)]],""))</f>
        <v>2.49666666666666</v>
      </c>
      <c r="M61" s="41">
        <f>IF(tblLabor[[#This Row],[Date]]="","",IF(AND(tblLabor[[#This Row],[Date]]&gt;=FFrom,tblLabor[[#This Row],[Date]]&lt;=FTo,OR(DashCell="",tblLabor[[#This Row],[Cell]]=DashCell)),tblLabor[[#This Row],[Date]],""))</f>
        <v>46273</v>
      </c>
      <c r="N6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1" s="28" t="s">
        <v>136</v>
      </c>
    </row>
    <row r="62" spans="2:15" x14ac:dyDescent="0.25">
      <c r="B62" s="35">
        <v>46273</v>
      </c>
      <c r="C62" s="28" t="s">
        <v>98</v>
      </c>
      <c r="D62" s="28" t="s">
        <v>124</v>
      </c>
      <c r="E62" s="36">
        <v>2113</v>
      </c>
      <c r="F62" s="29">
        <v>30.5</v>
      </c>
      <c r="G62" s="37" t="str">
        <f>IF(tblLabor[[#This Row],[Date]]="","",IFERROR(INDEX(tblOperations[Cell],MATCH(tblLabor[[#This Row],[Operation]],tblOperations[Operation],0)),""))</f>
        <v>Test and pack</v>
      </c>
      <c r="H62" s="38">
        <f>IF(tblLabor[[#This Row],[Date]]="","",IFERROR(INDEX(tblOperations[Std (min/unit)],MATCH(tblLabor[[#This Row],[Operation]],tblOperations[Operation],0)),""))</f>
        <v>0.8</v>
      </c>
      <c r="I62" s="38">
        <f>IF(tblLabor[[#This Row],[Date]]="","",IF(tblLabor[[#This Row],[Std (min/unit)]]="","",tblLabor[[#This Row],[Good units]]*tblLabor[[#This Row],[Std (min/unit)]]/60))</f>
        <v>28.1733333333333</v>
      </c>
      <c r="J62" s="31">
        <f>IF(tblLabor[[#This Row],[Date]]="","",IF(AND(tblLabor[[#This Row],[Actual hours (person-h)]]&gt;0,ISNUMBER(tblLabor[[#This Row],[Earned hours (person-h)]])),tblLabor[[#This Row],[Earned hours (person-h)]]/tblLabor[[#This Row],[Actual hours (person-h)]],""))</f>
        <v>0.923715846994536</v>
      </c>
      <c r="K62" s="39" t="str">
        <f>IF(NOT(ISNUMBER(tblLabor[[#This Row],[Efficiency]])),"",IF(tblLabor[[#This Row],[Efficiency]]&gt;=TargetEff,"On target",IF(tblLabor[[#This Row],[Efficiency]]&gt;=TargetEff*(1-0.05),"Near target","Below target")))</f>
        <v>On target</v>
      </c>
      <c r="L62" s="40">
        <f>IF(tblLabor[[#This Row],[Date]]="","",IF(ISNUMBER(tblLabor[[#This Row],[Earned hours (person-h)]]),tblLabor[[#This Row],[Actual hours (person-h)]]-tblLabor[[#This Row],[Earned hours (person-h)]],""))</f>
        <v>2.32666666666666</v>
      </c>
      <c r="M62" s="41">
        <f>IF(tblLabor[[#This Row],[Date]]="","",IF(AND(tblLabor[[#This Row],[Date]]&gt;=FFrom,tblLabor[[#This Row],[Date]]&lt;=FTo,OR(DashCell="",tblLabor[[#This Row],[Cell]]=DashCell)),tblLabor[[#This Row],[Date]],""))</f>
        <v>46273</v>
      </c>
      <c r="N6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2" s="28" t="s">
        <v>136</v>
      </c>
    </row>
    <row r="63" spans="2:15" x14ac:dyDescent="0.25">
      <c r="B63" s="35">
        <v>46273</v>
      </c>
      <c r="C63" s="28" t="s">
        <v>101</v>
      </c>
      <c r="D63" s="28" t="s">
        <v>106</v>
      </c>
      <c r="E63" s="36">
        <v>127</v>
      </c>
      <c r="F63" s="29">
        <v>11.75</v>
      </c>
      <c r="G63" s="37" t="str">
        <f>IF(tblLabor[[#This Row],[Date]]="","",IFERROR(INDEX(tblOperations[Cell],MATCH(tblLabor[[#This Row],[Operation]],tblOperations[Operation],0)),""))</f>
        <v>Cut and crimp</v>
      </c>
      <c r="H63" s="38">
        <f>IF(tblLabor[[#This Row],[Date]]="","",IFERROR(INDEX(tblOperations[Std (min/unit)],MATCH(tblLabor[[#This Row],[Operation]],tblOperations[Operation],0)),""))</f>
        <v>5.2</v>
      </c>
      <c r="I63" s="38">
        <f>IF(tblLabor[[#This Row],[Date]]="","",IF(tblLabor[[#This Row],[Std (min/unit)]]="","",tblLabor[[#This Row],[Good units]]*tblLabor[[#This Row],[Std (min/unit)]]/60))</f>
        <v>11.0066666666667</v>
      </c>
      <c r="J63" s="31">
        <f>IF(tblLabor[[#This Row],[Date]]="","",IF(AND(tblLabor[[#This Row],[Actual hours (person-h)]]&gt;0,ISNUMBER(tblLabor[[#This Row],[Earned hours (person-h)]])),tblLabor[[#This Row],[Earned hours (person-h)]]/tblLabor[[#This Row],[Actual hours (person-h)]],""))</f>
        <v>0.936737588652482</v>
      </c>
      <c r="K63" s="39" t="str">
        <f>IF(NOT(ISNUMBER(tblLabor[[#This Row],[Efficiency]])),"",IF(tblLabor[[#This Row],[Efficiency]]&gt;=TargetEff,"On target",IF(tblLabor[[#This Row],[Efficiency]]&gt;=TargetEff*(1-0.05),"Near target","Below target")))</f>
        <v>On target</v>
      </c>
      <c r="L63" s="40">
        <f>IF(tblLabor[[#This Row],[Date]]="","",IF(ISNUMBER(tblLabor[[#This Row],[Earned hours (person-h)]]),tblLabor[[#This Row],[Actual hours (person-h)]]-tblLabor[[#This Row],[Earned hours (person-h)]],""))</f>
        <v>0.743333333333334</v>
      </c>
      <c r="M63" s="41">
        <f>IF(tblLabor[[#This Row],[Date]]="","",IF(AND(tblLabor[[#This Row],[Date]]&gt;=FFrom,tblLabor[[#This Row],[Date]]&lt;=FTo,OR(DashCell="",tblLabor[[#This Row],[Cell]]=DashCell)),tblLabor[[#This Row],[Date]],""))</f>
        <v>46273</v>
      </c>
      <c r="N6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3" s="28" t="s">
        <v>136</v>
      </c>
    </row>
    <row r="64" spans="2:15" x14ac:dyDescent="0.25">
      <c r="B64" s="35">
        <v>46273</v>
      </c>
      <c r="C64" s="28" t="s">
        <v>101</v>
      </c>
      <c r="D64" s="28" t="s">
        <v>108</v>
      </c>
      <c r="E64" s="36">
        <v>239</v>
      </c>
      <c r="F64" s="29">
        <v>9.75</v>
      </c>
      <c r="G64" s="37" t="str">
        <f>IF(tblLabor[[#This Row],[Date]]="","",IFERROR(INDEX(tblOperations[Cell],MATCH(tblLabor[[#This Row],[Operation]],tblOperations[Operation],0)),""))</f>
        <v>Cut and crimp</v>
      </c>
      <c r="H64" s="38">
        <f>IF(tblLabor[[#This Row],[Date]]="","",IFERROR(INDEX(tblOperations[Std (min/unit)],MATCH(tblLabor[[#This Row],[Operation]],tblOperations[Operation],0)),""))</f>
        <v>2.4</v>
      </c>
      <c r="I64" s="38">
        <f>IF(tblLabor[[#This Row],[Date]]="","",IF(tblLabor[[#This Row],[Std (min/unit)]]="","",tblLabor[[#This Row],[Good units]]*tblLabor[[#This Row],[Std (min/unit)]]/60))</f>
        <v>9.56</v>
      </c>
      <c r="J64" s="31">
        <f>IF(tblLabor[[#This Row],[Date]]="","",IF(AND(tblLabor[[#This Row],[Actual hours (person-h)]]&gt;0,ISNUMBER(tblLabor[[#This Row],[Earned hours (person-h)]])),tblLabor[[#This Row],[Earned hours (person-h)]]/tblLabor[[#This Row],[Actual hours (person-h)]],""))</f>
        <v>0.980512820512821</v>
      </c>
      <c r="K64" s="39" t="str">
        <f>IF(NOT(ISNUMBER(tblLabor[[#This Row],[Efficiency]])),"",IF(tblLabor[[#This Row],[Efficiency]]&gt;=TargetEff,"On target",IF(tblLabor[[#This Row],[Efficiency]]&gt;=TargetEff*(1-0.05),"Near target","Below target")))</f>
        <v>On target</v>
      </c>
      <c r="L64" s="40">
        <f>IF(tblLabor[[#This Row],[Date]]="","",IF(ISNUMBER(tblLabor[[#This Row],[Earned hours (person-h)]]),tblLabor[[#This Row],[Actual hours (person-h)]]-tblLabor[[#This Row],[Earned hours (person-h)]],""))</f>
        <v>0.19</v>
      </c>
      <c r="M64" s="41">
        <f>IF(tblLabor[[#This Row],[Date]]="","",IF(AND(tblLabor[[#This Row],[Date]]&gt;=FFrom,tblLabor[[#This Row],[Date]]&lt;=FTo,OR(DashCell="",tblLabor[[#This Row],[Cell]]=DashCell)),tblLabor[[#This Row],[Date]],""))</f>
        <v>46273</v>
      </c>
      <c r="N6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4" s="28" t="s">
        <v>136</v>
      </c>
    </row>
    <row r="65" spans="2:15" x14ac:dyDescent="0.25">
      <c r="B65" s="35">
        <v>46273</v>
      </c>
      <c r="C65" s="28" t="s">
        <v>101</v>
      </c>
      <c r="D65" s="28" t="s">
        <v>112</v>
      </c>
      <c r="E65" s="36">
        <v>176</v>
      </c>
      <c r="F65" s="29">
        <v>55</v>
      </c>
      <c r="G65" s="37" t="str">
        <f>IF(tblLabor[[#This Row],[Date]]="","",IFERROR(INDEX(tblOperations[Cell],MATCH(tblLabor[[#This Row],[Operation]],tblOperations[Operation],0)),""))</f>
        <v>Board line A</v>
      </c>
      <c r="H65" s="38">
        <f>IF(tblLabor[[#This Row],[Date]]="","",IFERROR(INDEX(tblOperations[Std (min/unit)],MATCH(tblLabor[[#This Row],[Operation]],tblOperations[Operation],0)),""))</f>
        <v>16.5</v>
      </c>
      <c r="I65" s="38">
        <f>IF(tblLabor[[#This Row],[Date]]="","",IF(tblLabor[[#This Row],[Std (min/unit)]]="","",tblLabor[[#This Row],[Good units]]*tblLabor[[#This Row],[Std (min/unit)]]/60))</f>
        <v>48.4</v>
      </c>
      <c r="J65" s="31">
        <f>IF(tblLabor[[#This Row],[Date]]="","",IF(AND(tblLabor[[#This Row],[Actual hours (person-h)]]&gt;0,ISNUMBER(tblLabor[[#This Row],[Earned hours (person-h)]])),tblLabor[[#This Row],[Earned hours (person-h)]]/tblLabor[[#This Row],[Actual hours (person-h)]],""))</f>
        <v>0.88</v>
      </c>
      <c r="K65" s="39" t="str">
        <f>IF(NOT(ISNUMBER(tblLabor[[#This Row],[Efficiency]])),"",IF(tblLabor[[#This Row],[Efficiency]]&gt;=TargetEff,"On target",IF(tblLabor[[#This Row],[Efficiency]]&gt;=TargetEff*(1-0.05),"Near target","Below target")))</f>
        <v>Near target</v>
      </c>
      <c r="L65" s="40">
        <f>IF(tblLabor[[#This Row],[Date]]="","",IF(ISNUMBER(tblLabor[[#This Row],[Earned hours (person-h)]]),tblLabor[[#This Row],[Actual hours (person-h)]]-tblLabor[[#This Row],[Earned hours (person-h)]],""))</f>
        <v>6.6</v>
      </c>
      <c r="M65" s="41">
        <f>IF(tblLabor[[#This Row],[Date]]="","",IF(AND(tblLabor[[#This Row],[Date]]&gt;=FFrom,tblLabor[[#This Row],[Date]]&lt;=FTo,OR(DashCell="",tblLabor[[#This Row],[Cell]]=DashCell)),tblLabor[[#This Row],[Date]],""))</f>
        <v>46273</v>
      </c>
      <c r="N6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5" s="28" t="s">
        <v>136</v>
      </c>
    </row>
    <row r="66" spans="2:15" x14ac:dyDescent="0.25">
      <c r="B66" s="35">
        <v>46273</v>
      </c>
      <c r="C66" s="28" t="s">
        <v>101</v>
      </c>
      <c r="D66" s="28" t="s">
        <v>115</v>
      </c>
      <c r="E66" s="36">
        <v>201</v>
      </c>
      <c r="F66" s="29">
        <v>47.5</v>
      </c>
      <c r="G66" s="37" t="str">
        <f>IF(tblLabor[[#This Row],[Date]]="","",IFERROR(INDEX(tblOperations[Cell],MATCH(tblLabor[[#This Row],[Operation]],tblOperations[Operation],0)),""))</f>
        <v>Board line B</v>
      </c>
      <c r="H66" s="38">
        <f>IF(tblLabor[[#This Row],[Date]]="","",IFERROR(INDEX(tblOperations[Std (min/unit)],MATCH(tblLabor[[#This Row],[Operation]],tblOperations[Operation],0)),""))</f>
        <v>9.8</v>
      </c>
      <c r="I66" s="38">
        <f>IF(tblLabor[[#This Row],[Date]]="","",IF(tblLabor[[#This Row],[Std (min/unit)]]="","",tblLabor[[#This Row],[Good units]]*tblLabor[[#This Row],[Std (min/unit)]]/60))</f>
        <v>32.83</v>
      </c>
      <c r="J66" s="31">
        <f>IF(tblLabor[[#This Row],[Date]]="","",IF(AND(tblLabor[[#This Row],[Actual hours (person-h)]]&gt;0,ISNUMBER(tblLabor[[#This Row],[Earned hours (person-h)]])),tblLabor[[#This Row],[Earned hours (person-h)]]/tblLabor[[#This Row],[Actual hours (person-h)]],""))</f>
        <v>0.691157894736842</v>
      </c>
      <c r="K66" s="39" t="str">
        <f>IF(NOT(ISNUMBER(tblLabor[[#This Row],[Efficiency]])),"",IF(tblLabor[[#This Row],[Efficiency]]&gt;=TargetEff,"On target",IF(tblLabor[[#This Row],[Efficiency]]&gt;=TargetEff*(1-0.05),"Near target","Below target")))</f>
        <v>Below target</v>
      </c>
      <c r="L66" s="40">
        <f>IF(tblLabor[[#This Row],[Date]]="","",IF(ISNUMBER(tblLabor[[#This Row],[Earned hours (person-h)]]),tblLabor[[#This Row],[Actual hours (person-h)]]-tblLabor[[#This Row],[Earned hours (person-h)]],""))</f>
        <v>14.67</v>
      </c>
      <c r="M66" s="41">
        <f>IF(tblLabor[[#This Row],[Date]]="","",IF(AND(tblLabor[[#This Row],[Date]]&gt;=FFrom,tblLabor[[#This Row],[Date]]&lt;=FTo,OR(DashCell="",tblLabor[[#This Row],[Cell]]=DashCell)),tblLabor[[#This Row],[Date]],""))</f>
        <v>46273</v>
      </c>
      <c r="N6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6" s="28" t="s">
        <v>136</v>
      </c>
    </row>
    <row r="67" spans="2:15" x14ac:dyDescent="0.25">
      <c r="B67" s="35">
        <v>46273</v>
      </c>
      <c r="C67" s="28" t="s">
        <v>101</v>
      </c>
      <c r="D67" s="28" t="s">
        <v>120</v>
      </c>
      <c r="E67" s="36">
        <v>523</v>
      </c>
      <c r="F67" s="29">
        <v>31.25</v>
      </c>
      <c r="G67" s="37" t="str">
        <f>IF(tblLabor[[#This Row],[Date]]="","",IFERROR(INDEX(tblOperations[Cell],MATCH(tblLabor[[#This Row],[Operation]],tblOperations[Operation],0)),""))</f>
        <v>Test and pack</v>
      </c>
      <c r="H67" s="38">
        <f>IF(tblLabor[[#This Row],[Date]]="","",IFERROR(INDEX(tblOperations[Std (min/unit)],MATCH(tblLabor[[#This Row],[Operation]],tblOperations[Operation],0)),""))</f>
        <v>3.4</v>
      </c>
      <c r="I67" s="38">
        <f>IF(tblLabor[[#This Row],[Date]]="","",IF(tblLabor[[#This Row],[Std (min/unit)]]="","",tblLabor[[#This Row],[Good units]]*tblLabor[[#This Row],[Std (min/unit)]]/60))</f>
        <v>29.6366666666667</v>
      </c>
      <c r="J67" s="31">
        <f>IF(tblLabor[[#This Row],[Date]]="","",IF(AND(tblLabor[[#This Row],[Actual hours (person-h)]]&gt;0,ISNUMBER(tblLabor[[#This Row],[Earned hours (person-h)]])),tblLabor[[#This Row],[Earned hours (person-h)]]/tblLabor[[#This Row],[Actual hours (person-h)]],""))</f>
        <v>0.948373333333333</v>
      </c>
      <c r="K67" s="39" t="str">
        <f>IF(NOT(ISNUMBER(tblLabor[[#This Row],[Efficiency]])),"",IF(tblLabor[[#This Row],[Efficiency]]&gt;=TargetEff,"On target",IF(tblLabor[[#This Row],[Efficiency]]&gt;=TargetEff*(1-0.05),"Near target","Below target")))</f>
        <v>On target</v>
      </c>
      <c r="L67" s="40">
        <f>IF(tblLabor[[#This Row],[Date]]="","",IF(ISNUMBER(tblLabor[[#This Row],[Earned hours (person-h)]]),tblLabor[[#This Row],[Actual hours (person-h)]]-tblLabor[[#This Row],[Earned hours (person-h)]],""))</f>
        <v>1.61333333333333</v>
      </c>
      <c r="M67" s="41">
        <f>IF(tblLabor[[#This Row],[Date]]="","",IF(AND(tblLabor[[#This Row],[Date]]&gt;=FFrom,tblLabor[[#This Row],[Date]]&lt;=FTo,OR(DashCell="",tblLabor[[#This Row],[Cell]]=DashCell)),tblLabor[[#This Row],[Date]],""))</f>
        <v>46273</v>
      </c>
      <c r="N6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7" s="28" t="s">
        <v>136</v>
      </c>
    </row>
    <row r="68" spans="2:15" x14ac:dyDescent="0.25">
      <c r="B68" s="35">
        <v>46274</v>
      </c>
      <c r="C68" s="28" t="s">
        <v>98</v>
      </c>
      <c r="D68" s="28" t="s">
        <v>104</v>
      </c>
      <c r="E68" s="36">
        <v>446</v>
      </c>
      <c r="F68" s="29">
        <v>28.25</v>
      </c>
      <c r="G68" s="37" t="str">
        <f>IF(tblLabor[[#This Row],[Date]]="","",IFERROR(INDEX(tblOperations[Cell],MATCH(tblLabor[[#This Row],[Operation]],tblOperations[Operation],0)),""))</f>
        <v>Cut and crimp</v>
      </c>
      <c r="H68" s="38">
        <f>IF(tblLabor[[#This Row],[Date]]="","",IFERROR(INDEX(tblOperations[Std (min/unit)],MATCH(tblLabor[[#This Row],[Operation]],tblOperations[Operation],0)),""))</f>
        <v>3.8</v>
      </c>
      <c r="I68" s="38">
        <f>IF(tblLabor[[#This Row],[Date]]="","",IF(tblLabor[[#This Row],[Std (min/unit)]]="","",tblLabor[[#This Row],[Good units]]*tblLabor[[#This Row],[Std (min/unit)]]/60))</f>
        <v>28.2466666666667</v>
      </c>
      <c r="J68" s="31">
        <f>IF(tblLabor[[#This Row],[Date]]="","",IF(AND(tblLabor[[#This Row],[Actual hours (person-h)]]&gt;0,ISNUMBER(tblLabor[[#This Row],[Earned hours (person-h)]])),tblLabor[[#This Row],[Earned hours (person-h)]]/tblLabor[[#This Row],[Actual hours (person-h)]],""))</f>
        <v>0.999882005899705</v>
      </c>
      <c r="K68" s="39" t="str">
        <f>IF(NOT(ISNUMBER(tblLabor[[#This Row],[Efficiency]])),"",IF(tblLabor[[#This Row],[Efficiency]]&gt;=TargetEff,"On target",IF(tblLabor[[#This Row],[Efficiency]]&gt;=TargetEff*(1-0.05),"Near target","Below target")))</f>
        <v>On target</v>
      </c>
      <c r="L68" s="40">
        <f>IF(tblLabor[[#This Row],[Date]]="","",IF(ISNUMBER(tblLabor[[#This Row],[Earned hours (person-h)]]),tblLabor[[#This Row],[Actual hours (person-h)]]-tblLabor[[#This Row],[Earned hours (person-h)]],""))</f>
        <v>0.00333333333333385</v>
      </c>
      <c r="M68" s="41">
        <f>IF(tblLabor[[#This Row],[Date]]="","",IF(AND(tblLabor[[#This Row],[Date]]&gt;=FFrom,tblLabor[[#This Row],[Date]]&lt;=FTo,OR(DashCell="",tblLabor[[#This Row],[Cell]]=DashCell)),tblLabor[[#This Row],[Date]],""))</f>
        <v>46274</v>
      </c>
      <c r="N6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8" s="28" t="s">
        <v>136</v>
      </c>
    </row>
    <row r="69" spans="2:15" x14ac:dyDescent="0.25">
      <c r="B69" s="35">
        <v>46274</v>
      </c>
      <c r="C69" s="28" t="s">
        <v>98</v>
      </c>
      <c r="D69" s="28" t="s">
        <v>112</v>
      </c>
      <c r="E69" s="36">
        <v>156</v>
      </c>
      <c r="F69" s="29">
        <v>47.5</v>
      </c>
      <c r="G69" s="37" t="str">
        <f>IF(tblLabor[[#This Row],[Date]]="","",IFERROR(INDEX(tblOperations[Cell],MATCH(tblLabor[[#This Row],[Operation]],tblOperations[Operation],0)),""))</f>
        <v>Board line A</v>
      </c>
      <c r="H69" s="38">
        <f>IF(tblLabor[[#This Row],[Date]]="","",IFERROR(INDEX(tblOperations[Std (min/unit)],MATCH(tblLabor[[#This Row],[Operation]],tblOperations[Operation],0)),""))</f>
        <v>16.5</v>
      </c>
      <c r="I69" s="38">
        <f>IF(tblLabor[[#This Row],[Date]]="","",IF(tblLabor[[#This Row],[Std (min/unit)]]="","",tblLabor[[#This Row],[Good units]]*tblLabor[[#This Row],[Std (min/unit)]]/60))</f>
        <v>42.9</v>
      </c>
      <c r="J69" s="31">
        <f>IF(tblLabor[[#This Row],[Date]]="","",IF(AND(tblLabor[[#This Row],[Actual hours (person-h)]]&gt;0,ISNUMBER(tblLabor[[#This Row],[Earned hours (person-h)]])),tblLabor[[#This Row],[Earned hours (person-h)]]/tblLabor[[#This Row],[Actual hours (person-h)]],""))</f>
        <v>0.903157894736842</v>
      </c>
      <c r="K69" s="39" t="str">
        <f>IF(NOT(ISNUMBER(tblLabor[[#This Row],[Efficiency]])),"",IF(tblLabor[[#This Row],[Efficiency]]&gt;=TargetEff,"On target",IF(tblLabor[[#This Row],[Efficiency]]&gt;=TargetEff*(1-0.05),"Near target","Below target")))</f>
        <v>On target</v>
      </c>
      <c r="L69" s="40">
        <f>IF(tblLabor[[#This Row],[Date]]="","",IF(ISNUMBER(tblLabor[[#This Row],[Earned hours (person-h)]]),tblLabor[[#This Row],[Actual hours (person-h)]]-tblLabor[[#This Row],[Earned hours (person-h)]],""))</f>
        <v>4.6</v>
      </c>
      <c r="M69" s="41">
        <f>IF(tblLabor[[#This Row],[Date]]="","",IF(AND(tblLabor[[#This Row],[Date]]&gt;=FFrom,tblLabor[[#This Row],[Date]]&lt;=FTo,OR(DashCell="",tblLabor[[#This Row],[Cell]]=DashCell)),tblLabor[[#This Row],[Date]],""))</f>
        <v>46274</v>
      </c>
      <c r="N6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69" s="28" t="s">
        <v>136</v>
      </c>
    </row>
    <row r="70" spans="2:15" x14ac:dyDescent="0.25">
      <c r="B70" s="35">
        <v>46274</v>
      </c>
      <c r="C70" s="28" t="s">
        <v>98</v>
      </c>
      <c r="D70" s="28" t="s">
        <v>116</v>
      </c>
      <c r="E70" s="36">
        <v>711</v>
      </c>
      <c r="F70" s="29">
        <v>42.25</v>
      </c>
      <c r="G70" s="37" t="str">
        <f>IF(tblLabor[[#This Row],[Date]]="","",IFERROR(INDEX(tblOperations[Cell],MATCH(tblLabor[[#This Row],[Operation]],tblOperations[Operation],0)),""))</f>
        <v>Board line B</v>
      </c>
      <c r="H70" s="38">
        <f>IF(tblLabor[[#This Row],[Date]]="","",IFERROR(INDEX(tblOperations[Std (min/unit)],MATCH(tblLabor[[#This Row],[Operation]],tblOperations[Operation],0)),""))</f>
        <v>3.1</v>
      </c>
      <c r="I70" s="38">
        <f>IF(tblLabor[[#This Row],[Date]]="","",IF(tblLabor[[#This Row],[Std (min/unit)]]="","",tblLabor[[#This Row],[Good units]]*tblLabor[[#This Row],[Std (min/unit)]]/60))</f>
        <v>36.735</v>
      </c>
      <c r="J70" s="31">
        <f>IF(tblLabor[[#This Row],[Date]]="","",IF(AND(tblLabor[[#This Row],[Actual hours (person-h)]]&gt;0,ISNUMBER(tblLabor[[#This Row],[Earned hours (person-h)]])),tblLabor[[#This Row],[Earned hours (person-h)]]/tblLabor[[#This Row],[Actual hours (person-h)]],""))</f>
        <v>0.869467455621302</v>
      </c>
      <c r="K70" s="39" t="str">
        <f>IF(NOT(ISNUMBER(tblLabor[[#This Row],[Efficiency]])),"",IF(tblLabor[[#This Row],[Efficiency]]&gt;=TargetEff,"On target",IF(tblLabor[[#This Row],[Efficiency]]&gt;=TargetEff*(1-0.05),"Near target","Below target")))</f>
        <v>Near target</v>
      </c>
      <c r="L70" s="40">
        <f>IF(tblLabor[[#This Row],[Date]]="","",IF(ISNUMBER(tblLabor[[#This Row],[Earned hours (person-h)]]),tblLabor[[#This Row],[Actual hours (person-h)]]-tblLabor[[#This Row],[Earned hours (person-h)]],""))</f>
        <v>5.515</v>
      </c>
      <c r="M70" s="41">
        <f>IF(tblLabor[[#This Row],[Date]]="","",IF(AND(tblLabor[[#This Row],[Date]]&gt;=FFrom,tblLabor[[#This Row],[Date]]&lt;=FTo,OR(DashCell="",tblLabor[[#This Row],[Cell]]=DashCell)),tblLabor[[#This Row],[Date]],""))</f>
        <v>46274</v>
      </c>
      <c r="N7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0" s="28" t="s">
        <v>136</v>
      </c>
    </row>
    <row r="71" spans="2:15" x14ac:dyDescent="0.25">
      <c r="B71" s="35">
        <v>46274</v>
      </c>
      <c r="C71" s="28" t="s">
        <v>98</v>
      </c>
      <c r="D71" s="28" t="s">
        <v>118</v>
      </c>
      <c r="E71" s="36">
        <v>660</v>
      </c>
      <c r="F71" s="29">
        <v>31.25</v>
      </c>
      <c r="G71" s="37" t="str">
        <f>IF(tblLabor[[#This Row],[Date]]="","",IFERROR(INDEX(tblOperations[Cell],MATCH(tblLabor[[#This Row],[Operation]],tblOperations[Operation],0)),""))</f>
        <v>Test and pack</v>
      </c>
      <c r="H71" s="38">
        <f>IF(tblLabor[[#This Row],[Date]]="","",IFERROR(INDEX(tblOperations[Std (min/unit)],MATCH(tblLabor[[#This Row],[Operation]],tblOperations[Operation],0)),""))</f>
        <v>2.6</v>
      </c>
      <c r="I71" s="38">
        <f>IF(tblLabor[[#This Row],[Date]]="","",IF(tblLabor[[#This Row],[Std (min/unit)]]="","",tblLabor[[#This Row],[Good units]]*tblLabor[[#This Row],[Std (min/unit)]]/60))</f>
        <v>28.6</v>
      </c>
      <c r="J71" s="31">
        <f>IF(tblLabor[[#This Row],[Date]]="","",IF(AND(tblLabor[[#This Row],[Actual hours (person-h)]]&gt;0,ISNUMBER(tblLabor[[#This Row],[Earned hours (person-h)]])),tblLabor[[#This Row],[Earned hours (person-h)]]/tblLabor[[#This Row],[Actual hours (person-h)]],""))</f>
        <v>0.9152</v>
      </c>
      <c r="K71" s="39" t="str">
        <f>IF(NOT(ISNUMBER(tblLabor[[#This Row],[Efficiency]])),"",IF(tblLabor[[#This Row],[Efficiency]]&gt;=TargetEff,"On target",IF(tblLabor[[#This Row],[Efficiency]]&gt;=TargetEff*(1-0.05),"Near target","Below target")))</f>
        <v>On target</v>
      </c>
      <c r="L71" s="40">
        <f>IF(tblLabor[[#This Row],[Date]]="","",IF(ISNUMBER(tblLabor[[#This Row],[Earned hours (person-h)]]),tblLabor[[#This Row],[Actual hours (person-h)]]-tblLabor[[#This Row],[Earned hours (person-h)]],""))</f>
        <v>2.65</v>
      </c>
      <c r="M71" s="41">
        <f>IF(tblLabor[[#This Row],[Date]]="","",IF(AND(tblLabor[[#This Row],[Date]]&gt;=FFrom,tblLabor[[#This Row],[Date]]&lt;=FTo,OR(DashCell="",tblLabor[[#This Row],[Cell]]=DashCell)),tblLabor[[#This Row],[Date]],""))</f>
        <v>46274</v>
      </c>
      <c r="N7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1" s="28" t="s">
        <v>136</v>
      </c>
    </row>
    <row r="72" spans="2:15" x14ac:dyDescent="0.25">
      <c r="B72" s="35">
        <v>46274</v>
      </c>
      <c r="C72" s="28" t="s">
        <v>101</v>
      </c>
      <c r="D72" s="28" t="s">
        <v>108</v>
      </c>
      <c r="E72" s="36">
        <v>675</v>
      </c>
      <c r="F72" s="29">
        <v>27.5</v>
      </c>
      <c r="G72" s="37" t="str">
        <f>IF(tblLabor[[#This Row],[Date]]="","",IFERROR(INDEX(tblOperations[Cell],MATCH(tblLabor[[#This Row],[Operation]],tblOperations[Operation],0)),""))</f>
        <v>Cut and crimp</v>
      </c>
      <c r="H72" s="38">
        <f>IF(tblLabor[[#This Row],[Date]]="","",IFERROR(INDEX(tblOperations[Std (min/unit)],MATCH(tblLabor[[#This Row],[Operation]],tblOperations[Operation],0)),""))</f>
        <v>2.4</v>
      </c>
      <c r="I72" s="38">
        <f>IF(tblLabor[[#This Row],[Date]]="","",IF(tblLabor[[#This Row],[Std (min/unit)]]="","",tblLabor[[#This Row],[Good units]]*tblLabor[[#This Row],[Std (min/unit)]]/60))</f>
        <v>27</v>
      </c>
      <c r="J72" s="31">
        <f>IF(tblLabor[[#This Row],[Date]]="","",IF(AND(tblLabor[[#This Row],[Actual hours (person-h)]]&gt;0,ISNUMBER(tblLabor[[#This Row],[Earned hours (person-h)]])),tblLabor[[#This Row],[Earned hours (person-h)]]/tblLabor[[#This Row],[Actual hours (person-h)]],""))</f>
        <v>0.981818181818182</v>
      </c>
      <c r="K72" s="39" t="str">
        <f>IF(NOT(ISNUMBER(tblLabor[[#This Row],[Efficiency]])),"",IF(tblLabor[[#This Row],[Efficiency]]&gt;=TargetEff,"On target",IF(tblLabor[[#This Row],[Efficiency]]&gt;=TargetEff*(1-0.05),"Near target","Below target")))</f>
        <v>On target</v>
      </c>
      <c r="L72" s="40">
        <f>IF(tblLabor[[#This Row],[Date]]="","",IF(ISNUMBER(tblLabor[[#This Row],[Earned hours (person-h)]]),tblLabor[[#This Row],[Actual hours (person-h)]]-tblLabor[[#This Row],[Earned hours (person-h)]],""))</f>
        <v>0.5</v>
      </c>
      <c r="M72" s="41">
        <f>IF(tblLabor[[#This Row],[Date]]="","",IF(AND(tblLabor[[#This Row],[Date]]&gt;=FFrom,tblLabor[[#This Row],[Date]]&lt;=FTo,OR(DashCell="",tblLabor[[#This Row],[Cell]]=DashCell)),tblLabor[[#This Row],[Date]],""))</f>
        <v>46274</v>
      </c>
      <c r="N7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2" s="28" t="s">
        <v>136</v>
      </c>
    </row>
    <row r="73" spans="2:15" x14ac:dyDescent="0.25">
      <c r="B73" s="35">
        <v>46274</v>
      </c>
      <c r="C73" s="28" t="s">
        <v>101</v>
      </c>
      <c r="D73" s="28" t="s">
        <v>112</v>
      </c>
      <c r="E73" s="36">
        <v>166</v>
      </c>
      <c r="F73" s="29">
        <v>49.25</v>
      </c>
      <c r="G73" s="37" t="str">
        <f>IF(tblLabor[[#This Row],[Date]]="","",IFERROR(INDEX(tblOperations[Cell],MATCH(tblLabor[[#This Row],[Operation]],tblOperations[Operation],0)),""))</f>
        <v>Board line A</v>
      </c>
      <c r="H73" s="38">
        <f>IF(tblLabor[[#This Row],[Date]]="","",IFERROR(INDEX(tblOperations[Std (min/unit)],MATCH(tblLabor[[#This Row],[Operation]],tblOperations[Operation],0)),""))</f>
        <v>16.5</v>
      </c>
      <c r="I73" s="38">
        <f>IF(tblLabor[[#This Row],[Date]]="","",IF(tblLabor[[#This Row],[Std (min/unit)]]="","",tblLabor[[#This Row],[Good units]]*tblLabor[[#This Row],[Std (min/unit)]]/60))</f>
        <v>45.65</v>
      </c>
      <c r="J73" s="31">
        <f>IF(tblLabor[[#This Row],[Date]]="","",IF(AND(tblLabor[[#This Row],[Actual hours (person-h)]]&gt;0,ISNUMBER(tblLabor[[#This Row],[Earned hours (person-h)]])),tblLabor[[#This Row],[Earned hours (person-h)]]/tblLabor[[#This Row],[Actual hours (person-h)]],""))</f>
        <v>0.926903553299492</v>
      </c>
      <c r="K73" s="39" t="str">
        <f>IF(NOT(ISNUMBER(tblLabor[[#This Row],[Efficiency]])),"",IF(tblLabor[[#This Row],[Efficiency]]&gt;=TargetEff,"On target",IF(tblLabor[[#This Row],[Efficiency]]&gt;=TargetEff*(1-0.05),"Near target","Below target")))</f>
        <v>On target</v>
      </c>
      <c r="L73" s="40">
        <f>IF(tblLabor[[#This Row],[Date]]="","",IF(ISNUMBER(tblLabor[[#This Row],[Earned hours (person-h)]]),tblLabor[[#This Row],[Actual hours (person-h)]]-tblLabor[[#This Row],[Earned hours (person-h)]],""))</f>
        <v>3.6</v>
      </c>
      <c r="M73" s="41">
        <f>IF(tblLabor[[#This Row],[Date]]="","",IF(AND(tblLabor[[#This Row],[Date]]&gt;=FFrom,tblLabor[[#This Row],[Date]]&lt;=FTo,OR(DashCell="",tblLabor[[#This Row],[Cell]]=DashCell)),tblLabor[[#This Row],[Date]],""))</f>
        <v>46274</v>
      </c>
      <c r="N7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3" s="28" t="s">
        <v>136</v>
      </c>
    </row>
    <row r="74" spans="2:15" x14ac:dyDescent="0.25">
      <c r="B74" s="35">
        <v>46274</v>
      </c>
      <c r="C74" s="28" t="s">
        <v>101</v>
      </c>
      <c r="D74" s="28" t="s">
        <v>116</v>
      </c>
      <c r="E74" s="36">
        <v>661</v>
      </c>
      <c r="F74" s="29">
        <v>49</v>
      </c>
      <c r="G74" s="37" t="str">
        <f>IF(tblLabor[[#This Row],[Date]]="","",IFERROR(INDEX(tblOperations[Cell],MATCH(tblLabor[[#This Row],[Operation]],tblOperations[Operation],0)),""))</f>
        <v>Board line B</v>
      </c>
      <c r="H74" s="38">
        <f>IF(tblLabor[[#This Row],[Date]]="","",IFERROR(INDEX(tblOperations[Std (min/unit)],MATCH(tblLabor[[#This Row],[Operation]],tblOperations[Operation],0)),""))</f>
        <v>3.1</v>
      </c>
      <c r="I74" s="38">
        <f>IF(tblLabor[[#This Row],[Date]]="","",IF(tblLabor[[#This Row],[Std (min/unit)]]="","",tblLabor[[#This Row],[Good units]]*tblLabor[[#This Row],[Std (min/unit)]]/60))</f>
        <v>34.1516666666667</v>
      </c>
      <c r="J74" s="31">
        <f>IF(tblLabor[[#This Row],[Date]]="","",IF(AND(tblLabor[[#This Row],[Actual hours (person-h)]]&gt;0,ISNUMBER(tblLabor[[#This Row],[Earned hours (person-h)]])),tblLabor[[#This Row],[Earned hours (person-h)]]/tblLabor[[#This Row],[Actual hours (person-h)]],""))</f>
        <v>0.696972789115646</v>
      </c>
      <c r="K74" s="39" t="str">
        <f>IF(NOT(ISNUMBER(tblLabor[[#This Row],[Efficiency]])),"",IF(tblLabor[[#This Row],[Efficiency]]&gt;=TargetEff,"On target",IF(tblLabor[[#This Row],[Efficiency]]&gt;=TargetEff*(1-0.05),"Near target","Below target")))</f>
        <v>Below target</v>
      </c>
      <c r="L74" s="40">
        <f>IF(tblLabor[[#This Row],[Date]]="","",IF(ISNUMBER(tblLabor[[#This Row],[Earned hours (person-h)]]),tblLabor[[#This Row],[Actual hours (person-h)]]-tblLabor[[#This Row],[Earned hours (person-h)]],""))</f>
        <v>14.8483333333333</v>
      </c>
      <c r="M74" s="41">
        <f>IF(tblLabor[[#This Row],[Date]]="","",IF(AND(tblLabor[[#This Row],[Date]]&gt;=FFrom,tblLabor[[#This Row],[Date]]&lt;=FTo,OR(DashCell="",tblLabor[[#This Row],[Cell]]=DashCell)),tblLabor[[#This Row],[Date]],""))</f>
        <v>46274</v>
      </c>
      <c r="N7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4" s="28" t="s">
        <v>136</v>
      </c>
    </row>
    <row r="75" spans="2:15" x14ac:dyDescent="0.25">
      <c r="B75" s="35">
        <v>46274</v>
      </c>
      <c r="C75" s="28" t="s">
        <v>101</v>
      </c>
      <c r="D75" s="28" t="s">
        <v>122</v>
      </c>
      <c r="E75" s="36">
        <v>979</v>
      </c>
      <c r="F75" s="29">
        <v>31.25</v>
      </c>
      <c r="G75" s="37" t="str">
        <f>IF(tblLabor[[#This Row],[Date]]="","",IFERROR(INDEX(tblOperations[Cell],MATCH(tblLabor[[#This Row],[Operation]],tblOperations[Operation],0)),""))</f>
        <v>Test and pack</v>
      </c>
      <c r="H75" s="38">
        <f>IF(tblLabor[[#This Row],[Date]]="","",IFERROR(INDEX(tblOperations[Std (min/unit)],MATCH(tblLabor[[#This Row],[Operation]],tblOperations[Operation],0)),""))</f>
        <v>1.7</v>
      </c>
      <c r="I75" s="38">
        <f>IF(tblLabor[[#This Row],[Date]]="","",IF(tblLabor[[#This Row],[Std (min/unit)]]="","",tblLabor[[#This Row],[Good units]]*tblLabor[[#This Row],[Std (min/unit)]]/60))</f>
        <v>27.7383333333333</v>
      </c>
      <c r="J75" s="31">
        <f>IF(tblLabor[[#This Row],[Date]]="","",IF(AND(tblLabor[[#This Row],[Actual hours (person-h)]]&gt;0,ISNUMBER(tblLabor[[#This Row],[Earned hours (person-h)]])),tblLabor[[#This Row],[Earned hours (person-h)]]/tblLabor[[#This Row],[Actual hours (person-h)]],""))</f>
        <v>0.887626666666667</v>
      </c>
      <c r="K75" s="39" t="str">
        <f>IF(NOT(ISNUMBER(tblLabor[[#This Row],[Efficiency]])),"",IF(tblLabor[[#This Row],[Efficiency]]&gt;=TargetEff,"On target",IF(tblLabor[[#This Row],[Efficiency]]&gt;=TargetEff*(1-0.05),"Near target","Below target")))</f>
        <v>Near target</v>
      </c>
      <c r="L75" s="40">
        <f>IF(tblLabor[[#This Row],[Date]]="","",IF(ISNUMBER(tblLabor[[#This Row],[Earned hours (person-h)]]),tblLabor[[#This Row],[Actual hours (person-h)]]-tblLabor[[#This Row],[Earned hours (person-h)]],""))</f>
        <v>3.51166666666667</v>
      </c>
      <c r="M75" s="41">
        <f>IF(tblLabor[[#This Row],[Date]]="","",IF(AND(tblLabor[[#This Row],[Date]]&gt;=FFrom,tblLabor[[#This Row],[Date]]&lt;=FTo,OR(DashCell="",tblLabor[[#This Row],[Cell]]=DashCell)),tblLabor[[#This Row],[Date]],""))</f>
        <v>46274</v>
      </c>
      <c r="N7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5" s="28" t="s">
        <v>136</v>
      </c>
    </row>
    <row r="76" spans="2:15" x14ac:dyDescent="0.25">
      <c r="B76" s="35">
        <v>46275</v>
      </c>
      <c r="C76" s="28" t="s">
        <v>98</v>
      </c>
      <c r="D76" s="28" t="s">
        <v>106</v>
      </c>
      <c r="E76" s="36">
        <v>127</v>
      </c>
      <c r="F76" s="29">
        <v>11.75</v>
      </c>
      <c r="G76" s="37" t="str">
        <f>IF(tblLabor[[#This Row],[Date]]="","",IFERROR(INDEX(tblOperations[Cell],MATCH(tblLabor[[#This Row],[Operation]],tblOperations[Operation],0)),""))</f>
        <v>Cut and crimp</v>
      </c>
      <c r="H76" s="38">
        <f>IF(tblLabor[[#This Row],[Date]]="","",IFERROR(INDEX(tblOperations[Std (min/unit)],MATCH(tblLabor[[#This Row],[Operation]],tblOperations[Operation],0)),""))</f>
        <v>5.2</v>
      </c>
      <c r="I76" s="38">
        <f>IF(tblLabor[[#This Row],[Date]]="","",IF(tblLabor[[#This Row],[Std (min/unit)]]="","",tblLabor[[#This Row],[Good units]]*tblLabor[[#This Row],[Std (min/unit)]]/60))</f>
        <v>11.0066666666667</v>
      </c>
      <c r="J76" s="31">
        <f>IF(tblLabor[[#This Row],[Date]]="","",IF(AND(tblLabor[[#This Row],[Actual hours (person-h)]]&gt;0,ISNUMBER(tblLabor[[#This Row],[Earned hours (person-h)]])),tblLabor[[#This Row],[Earned hours (person-h)]]/tblLabor[[#This Row],[Actual hours (person-h)]],""))</f>
        <v>0.936737588652482</v>
      </c>
      <c r="K76" s="39" t="str">
        <f>IF(NOT(ISNUMBER(tblLabor[[#This Row],[Efficiency]])),"",IF(tblLabor[[#This Row],[Efficiency]]&gt;=TargetEff,"On target",IF(tblLabor[[#This Row],[Efficiency]]&gt;=TargetEff*(1-0.05),"Near target","Below target")))</f>
        <v>On target</v>
      </c>
      <c r="L76" s="40">
        <f>IF(tblLabor[[#This Row],[Date]]="","",IF(ISNUMBER(tblLabor[[#This Row],[Earned hours (person-h)]]),tblLabor[[#This Row],[Actual hours (person-h)]]-tblLabor[[#This Row],[Earned hours (person-h)]],""))</f>
        <v>0.743333333333334</v>
      </c>
      <c r="M76" s="41">
        <f>IF(tblLabor[[#This Row],[Date]]="","",IF(AND(tblLabor[[#This Row],[Date]]&gt;=FFrom,tblLabor[[#This Row],[Date]]&lt;=FTo,OR(DashCell="",tblLabor[[#This Row],[Cell]]=DashCell)),tblLabor[[#This Row],[Date]],""))</f>
        <v>46275</v>
      </c>
      <c r="N7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6" s="28" t="s">
        <v>136</v>
      </c>
    </row>
    <row r="77" spans="2:15" x14ac:dyDescent="0.25">
      <c r="B77" s="35">
        <v>46275</v>
      </c>
      <c r="C77" s="28" t="s">
        <v>98</v>
      </c>
      <c r="D77" s="28" t="s">
        <v>108</v>
      </c>
      <c r="E77" s="36">
        <v>234</v>
      </c>
      <c r="F77" s="29">
        <v>9.5</v>
      </c>
      <c r="G77" s="37" t="str">
        <f>IF(tblLabor[[#This Row],[Date]]="","",IFERROR(INDEX(tblOperations[Cell],MATCH(tblLabor[[#This Row],[Operation]],tblOperations[Operation],0)),""))</f>
        <v>Cut and crimp</v>
      </c>
      <c r="H77" s="38">
        <f>IF(tblLabor[[#This Row],[Date]]="","",IFERROR(INDEX(tblOperations[Std (min/unit)],MATCH(tblLabor[[#This Row],[Operation]],tblOperations[Operation],0)),""))</f>
        <v>2.4</v>
      </c>
      <c r="I77" s="38">
        <f>IF(tblLabor[[#This Row],[Date]]="","",IF(tblLabor[[#This Row],[Std (min/unit)]]="","",tblLabor[[#This Row],[Good units]]*tblLabor[[#This Row],[Std (min/unit)]]/60))</f>
        <v>9.36</v>
      </c>
      <c r="J77" s="31">
        <f>IF(tblLabor[[#This Row],[Date]]="","",IF(AND(tblLabor[[#This Row],[Actual hours (person-h)]]&gt;0,ISNUMBER(tblLabor[[#This Row],[Earned hours (person-h)]])),tblLabor[[#This Row],[Earned hours (person-h)]]/tblLabor[[#This Row],[Actual hours (person-h)]],""))</f>
        <v>0.985263157894737</v>
      </c>
      <c r="K77" s="39" t="str">
        <f>IF(NOT(ISNUMBER(tblLabor[[#This Row],[Efficiency]])),"",IF(tblLabor[[#This Row],[Efficiency]]&gt;=TargetEff,"On target",IF(tblLabor[[#This Row],[Efficiency]]&gt;=TargetEff*(1-0.05),"Near target","Below target")))</f>
        <v>On target</v>
      </c>
      <c r="L77" s="40">
        <f>IF(tblLabor[[#This Row],[Date]]="","",IF(ISNUMBER(tblLabor[[#This Row],[Earned hours (person-h)]]),tblLabor[[#This Row],[Actual hours (person-h)]]-tblLabor[[#This Row],[Earned hours (person-h)]],""))</f>
        <v>0.139999999999999</v>
      </c>
      <c r="M77" s="41">
        <f>IF(tblLabor[[#This Row],[Date]]="","",IF(AND(tblLabor[[#This Row],[Date]]&gt;=FFrom,tblLabor[[#This Row],[Date]]&lt;=FTo,OR(DashCell="",tblLabor[[#This Row],[Cell]]=DashCell)),tblLabor[[#This Row],[Date]],""))</f>
        <v>46275</v>
      </c>
      <c r="N7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7" s="28" t="s">
        <v>136</v>
      </c>
    </row>
    <row r="78" spans="2:15" x14ac:dyDescent="0.25">
      <c r="B78" s="35">
        <v>46275</v>
      </c>
      <c r="C78" s="28" t="s">
        <v>98</v>
      </c>
      <c r="D78" s="28" t="s">
        <v>114</v>
      </c>
      <c r="E78" s="36">
        <v>142</v>
      </c>
      <c r="F78" s="29">
        <v>55.25</v>
      </c>
      <c r="G78" s="37" t="str">
        <f>IF(tblLabor[[#This Row],[Date]]="","",IFERROR(INDEX(tblOperations[Cell],MATCH(tblLabor[[#This Row],[Operation]],tblOperations[Operation],0)),""))</f>
        <v>Board line A</v>
      </c>
      <c r="H78" s="38">
        <f>IF(tblLabor[[#This Row],[Date]]="","",IFERROR(INDEX(tblOperations[Std (min/unit)],MATCH(tblLabor[[#This Row],[Operation]],tblOperations[Operation],0)),""))</f>
        <v>22</v>
      </c>
      <c r="I78" s="38">
        <f>IF(tblLabor[[#This Row],[Date]]="","",IF(tblLabor[[#This Row],[Std (min/unit)]]="","",tblLabor[[#This Row],[Good units]]*tblLabor[[#This Row],[Std (min/unit)]]/60))</f>
        <v>52.0666666666667</v>
      </c>
      <c r="J78" s="31">
        <f>IF(tblLabor[[#This Row],[Date]]="","",IF(AND(tblLabor[[#This Row],[Actual hours (person-h)]]&gt;0,ISNUMBER(tblLabor[[#This Row],[Earned hours (person-h)]])),tblLabor[[#This Row],[Earned hours (person-h)]]/tblLabor[[#This Row],[Actual hours (person-h)]],""))</f>
        <v>0.94238310708899</v>
      </c>
      <c r="K78" s="39" t="str">
        <f>IF(NOT(ISNUMBER(tblLabor[[#This Row],[Efficiency]])),"",IF(tblLabor[[#This Row],[Efficiency]]&gt;=TargetEff,"On target",IF(tblLabor[[#This Row],[Efficiency]]&gt;=TargetEff*(1-0.05),"Near target","Below target")))</f>
        <v>On target</v>
      </c>
      <c r="L78" s="40">
        <f>IF(tblLabor[[#This Row],[Date]]="","",IF(ISNUMBER(tblLabor[[#This Row],[Earned hours (person-h)]]),tblLabor[[#This Row],[Actual hours (person-h)]]-tblLabor[[#This Row],[Earned hours (person-h)]],""))</f>
        <v>3.18333333333333</v>
      </c>
      <c r="M78" s="41">
        <f>IF(tblLabor[[#This Row],[Date]]="","",IF(AND(tblLabor[[#This Row],[Date]]&gt;=FFrom,tblLabor[[#This Row],[Date]]&lt;=FTo,OR(DashCell="",tblLabor[[#This Row],[Cell]]=DashCell)),tblLabor[[#This Row],[Date]],""))</f>
        <v>46275</v>
      </c>
      <c r="N7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8" s="28" t="s">
        <v>136</v>
      </c>
    </row>
    <row r="79" spans="2:15" x14ac:dyDescent="0.25">
      <c r="B79" s="35">
        <v>46275</v>
      </c>
      <c r="C79" s="28" t="s">
        <v>98</v>
      </c>
      <c r="D79" s="28" t="s">
        <v>115</v>
      </c>
      <c r="E79" s="36">
        <v>225</v>
      </c>
      <c r="F79" s="29">
        <v>40.25</v>
      </c>
      <c r="G79" s="37" t="str">
        <f>IF(tblLabor[[#This Row],[Date]]="","",IFERROR(INDEX(tblOperations[Cell],MATCH(tblLabor[[#This Row],[Operation]],tblOperations[Operation],0)),""))</f>
        <v>Board line B</v>
      </c>
      <c r="H79" s="38">
        <f>IF(tblLabor[[#This Row],[Date]]="","",IFERROR(INDEX(tblOperations[Std (min/unit)],MATCH(tblLabor[[#This Row],[Operation]],tblOperations[Operation],0)),""))</f>
        <v>9.8</v>
      </c>
      <c r="I79" s="38">
        <f>IF(tblLabor[[#This Row],[Date]]="","",IF(tblLabor[[#This Row],[Std (min/unit)]]="","",tblLabor[[#This Row],[Good units]]*tblLabor[[#This Row],[Std (min/unit)]]/60))</f>
        <v>36.75</v>
      </c>
      <c r="J79" s="31">
        <f>IF(tblLabor[[#This Row],[Date]]="","",IF(AND(tblLabor[[#This Row],[Actual hours (person-h)]]&gt;0,ISNUMBER(tblLabor[[#This Row],[Earned hours (person-h)]])),tblLabor[[#This Row],[Earned hours (person-h)]]/tblLabor[[#This Row],[Actual hours (person-h)]],""))</f>
        <v>0.91304347826087</v>
      </c>
      <c r="K79" s="39" t="str">
        <f>IF(NOT(ISNUMBER(tblLabor[[#This Row],[Efficiency]])),"",IF(tblLabor[[#This Row],[Efficiency]]&gt;=TargetEff,"On target",IF(tblLabor[[#This Row],[Efficiency]]&gt;=TargetEff*(1-0.05),"Near target","Below target")))</f>
        <v>On target</v>
      </c>
      <c r="L79" s="40">
        <f>IF(tblLabor[[#This Row],[Date]]="","",IF(ISNUMBER(tblLabor[[#This Row],[Earned hours (person-h)]]),tblLabor[[#This Row],[Actual hours (person-h)]]-tblLabor[[#This Row],[Earned hours (person-h)]],""))</f>
        <v>3.5</v>
      </c>
      <c r="M79" s="41">
        <f>IF(tblLabor[[#This Row],[Date]]="","",IF(AND(tblLabor[[#This Row],[Date]]&gt;=FFrom,tblLabor[[#This Row],[Date]]&lt;=FTo,OR(DashCell="",tblLabor[[#This Row],[Cell]]=DashCell)),tblLabor[[#This Row],[Date]],""))</f>
        <v>46275</v>
      </c>
      <c r="N7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79" s="28" t="s">
        <v>136</v>
      </c>
    </row>
    <row r="80" spans="2:15" x14ac:dyDescent="0.25">
      <c r="B80" s="35">
        <v>46275</v>
      </c>
      <c r="C80" s="28" t="s">
        <v>98</v>
      </c>
      <c r="D80" s="28" t="s">
        <v>120</v>
      </c>
      <c r="E80" s="36">
        <v>508</v>
      </c>
      <c r="F80" s="29">
        <v>30.75</v>
      </c>
      <c r="G80" s="37" t="str">
        <f>IF(tblLabor[[#This Row],[Date]]="","",IFERROR(INDEX(tblOperations[Cell],MATCH(tblLabor[[#This Row],[Operation]],tblOperations[Operation],0)),""))</f>
        <v>Test and pack</v>
      </c>
      <c r="H80" s="38">
        <f>IF(tblLabor[[#This Row],[Date]]="","",IFERROR(INDEX(tblOperations[Std (min/unit)],MATCH(tblLabor[[#This Row],[Operation]],tblOperations[Operation],0)),""))</f>
        <v>3.4</v>
      </c>
      <c r="I80" s="38">
        <f>IF(tblLabor[[#This Row],[Date]]="","",IF(tblLabor[[#This Row],[Std (min/unit)]]="","",tblLabor[[#This Row],[Good units]]*tblLabor[[#This Row],[Std (min/unit)]]/60))</f>
        <v>28.7866666666667</v>
      </c>
      <c r="J80" s="31">
        <f>IF(tblLabor[[#This Row],[Date]]="","",IF(AND(tblLabor[[#This Row],[Actual hours (person-h)]]&gt;0,ISNUMBER(tblLabor[[#This Row],[Earned hours (person-h)]])),tblLabor[[#This Row],[Earned hours (person-h)]]/tblLabor[[#This Row],[Actual hours (person-h)]],""))</f>
        <v>0.936151761517615</v>
      </c>
      <c r="K80" s="39" t="str">
        <f>IF(NOT(ISNUMBER(tblLabor[[#This Row],[Efficiency]])),"",IF(tblLabor[[#This Row],[Efficiency]]&gt;=TargetEff,"On target",IF(tblLabor[[#This Row],[Efficiency]]&gt;=TargetEff*(1-0.05),"Near target","Below target")))</f>
        <v>On target</v>
      </c>
      <c r="L80" s="40">
        <f>IF(tblLabor[[#This Row],[Date]]="","",IF(ISNUMBER(tblLabor[[#This Row],[Earned hours (person-h)]]),tblLabor[[#This Row],[Actual hours (person-h)]]-tblLabor[[#This Row],[Earned hours (person-h)]],""))</f>
        <v>1.96333333333333</v>
      </c>
      <c r="M80" s="41">
        <f>IF(tblLabor[[#This Row],[Date]]="","",IF(AND(tblLabor[[#This Row],[Date]]&gt;=FFrom,tblLabor[[#This Row],[Date]]&lt;=FTo,OR(DashCell="",tblLabor[[#This Row],[Cell]]=DashCell)),tblLabor[[#This Row],[Date]],""))</f>
        <v>46275</v>
      </c>
      <c r="N8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0" s="28" t="s">
        <v>136</v>
      </c>
    </row>
    <row r="81" spans="2:15" x14ac:dyDescent="0.25">
      <c r="B81" s="35">
        <v>46275</v>
      </c>
      <c r="C81" s="28" t="s">
        <v>101</v>
      </c>
      <c r="D81" s="28" t="s">
        <v>110</v>
      </c>
      <c r="E81" s="36">
        <v>1119</v>
      </c>
      <c r="F81" s="29">
        <v>18</v>
      </c>
      <c r="G81" s="37" t="str">
        <f>IF(tblLabor[[#This Row],[Date]]="","",IFERROR(INDEX(tblOperations[Cell],MATCH(tblLabor[[#This Row],[Operation]],tblOperations[Operation],0)),""))</f>
        <v>Cut and crimp</v>
      </c>
      <c r="H81" s="38">
        <f>IF(tblLabor[[#This Row],[Date]]="","",IFERROR(INDEX(tblOperations[Std (min/unit)],MATCH(tblLabor[[#This Row],[Operation]],tblOperations[Operation],0)),""))</f>
        <v>0.9</v>
      </c>
      <c r="I81" s="38">
        <f>IF(tblLabor[[#This Row],[Date]]="","",IF(tblLabor[[#This Row],[Std (min/unit)]]="","",tblLabor[[#This Row],[Good units]]*tblLabor[[#This Row],[Std (min/unit)]]/60))</f>
        <v>16.785</v>
      </c>
      <c r="J81" s="31">
        <f>IF(tblLabor[[#This Row],[Date]]="","",IF(AND(tblLabor[[#This Row],[Actual hours (person-h)]]&gt;0,ISNUMBER(tblLabor[[#This Row],[Earned hours (person-h)]])),tblLabor[[#This Row],[Earned hours (person-h)]]/tblLabor[[#This Row],[Actual hours (person-h)]],""))</f>
        <v>0.9325</v>
      </c>
      <c r="K81" s="39" t="str">
        <f>IF(NOT(ISNUMBER(tblLabor[[#This Row],[Efficiency]])),"",IF(tblLabor[[#This Row],[Efficiency]]&gt;=TargetEff,"On target",IF(tblLabor[[#This Row],[Efficiency]]&gt;=TargetEff*(1-0.05),"Near target","Below target")))</f>
        <v>On target</v>
      </c>
      <c r="L81" s="40">
        <f>IF(tblLabor[[#This Row],[Date]]="","",IF(ISNUMBER(tblLabor[[#This Row],[Earned hours (person-h)]]),tblLabor[[#This Row],[Actual hours (person-h)]]-tblLabor[[#This Row],[Earned hours (person-h)]],""))</f>
        <v>1.215</v>
      </c>
      <c r="M81" s="41">
        <f>IF(tblLabor[[#This Row],[Date]]="","",IF(AND(tblLabor[[#This Row],[Date]]&gt;=FFrom,tblLabor[[#This Row],[Date]]&lt;=FTo,OR(DashCell="",tblLabor[[#This Row],[Cell]]=DashCell)),tblLabor[[#This Row],[Date]],""))</f>
        <v>46275</v>
      </c>
      <c r="N8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1" s="28" t="s">
        <v>136</v>
      </c>
    </row>
    <row r="82" spans="2:15" x14ac:dyDescent="0.25">
      <c r="B82" s="35">
        <v>46275</v>
      </c>
      <c r="C82" s="28" t="s">
        <v>101</v>
      </c>
      <c r="D82" s="28" t="s">
        <v>104</v>
      </c>
      <c r="E82" s="36">
        <v>148</v>
      </c>
      <c r="F82" s="29">
        <v>9.5</v>
      </c>
      <c r="G82" s="37" t="str">
        <f>IF(tblLabor[[#This Row],[Date]]="","",IFERROR(INDEX(tblOperations[Cell],MATCH(tblLabor[[#This Row],[Operation]],tblOperations[Operation],0)),""))</f>
        <v>Cut and crimp</v>
      </c>
      <c r="H82" s="38">
        <f>IF(tblLabor[[#This Row],[Date]]="","",IFERROR(INDEX(tblOperations[Std (min/unit)],MATCH(tblLabor[[#This Row],[Operation]],tblOperations[Operation],0)),""))</f>
        <v>3.8</v>
      </c>
      <c r="I82" s="38">
        <f>IF(tblLabor[[#This Row],[Date]]="","",IF(tblLabor[[#This Row],[Std (min/unit)]]="","",tblLabor[[#This Row],[Good units]]*tblLabor[[#This Row],[Std (min/unit)]]/60))</f>
        <v>9.37333333333333</v>
      </c>
      <c r="J82" s="31">
        <f>IF(tblLabor[[#This Row],[Date]]="","",IF(AND(tblLabor[[#This Row],[Actual hours (person-h)]]&gt;0,ISNUMBER(tblLabor[[#This Row],[Earned hours (person-h)]])),tblLabor[[#This Row],[Earned hours (person-h)]]/tblLabor[[#This Row],[Actual hours (person-h)]],""))</f>
        <v>0.986666666666667</v>
      </c>
      <c r="K82" s="39" t="str">
        <f>IF(NOT(ISNUMBER(tblLabor[[#This Row],[Efficiency]])),"",IF(tblLabor[[#This Row],[Efficiency]]&gt;=TargetEff,"On target",IF(tblLabor[[#This Row],[Efficiency]]&gt;=TargetEff*(1-0.05),"Near target","Below target")))</f>
        <v>On target</v>
      </c>
      <c r="L82" s="40">
        <f>IF(tblLabor[[#This Row],[Date]]="","",IF(ISNUMBER(tblLabor[[#This Row],[Earned hours (person-h)]]),tblLabor[[#This Row],[Actual hours (person-h)]]-tblLabor[[#This Row],[Earned hours (person-h)]],""))</f>
        <v>0.126666666666667</v>
      </c>
      <c r="M82" s="41">
        <f>IF(tblLabor[[#This Row],[Date]]="","",IF(AND(tblLabor[[#This Row],[Date]]&gt;=FFrom,tblLabor[[#This Row],[Date]]&lt;=FTo,OR(DashCell="",tblLabor[[#This Row],[Cell]]=DashCell)),tblLabor[[#This Row],[Date]],""))</f>
        <v>46275</v>
      </c>
      <c r="N8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2" s="28" t="s">
        <v>136</v>
      </c>
    </row>
    <row r="83" spans="2:15" x14ac:dyDescent="0.25">
      <c r="B83" s="35">
        <v>46275</v>
      </c>
      <c r="C83" s="28" t="s">
        <v>101</v>
      </c>
      <c r="D83" s="28" t="s">
        <v>114</v>
      </c>
      <c r="E83" s="36">
        <v>118</v>
      </c>
      <c r="F83" s="29">
        <v>48.75</v>
      </c>
      <c r="G83" s="37" t="str">
        <f>IF(tblLabor[[#This Row],[Date]]="","",IFERROR(INDEX(tblOperations[Cell],MATCH(tblLabor[[#This Row],[Operation]],tblOperations[Operation],0)),""))</f>
        <v>Board line A</v>
      </c>
      <c r="H83" s="38">
        <f>IF(tblLabor[[#This Row],[Date]]="","",IFERROR(INDEX(tblOperations[Std (min/unit)],MATCH(tblLabor[[#This Row],[Operation]],tblOperations[Operation],0)),""))</f>
        <v>22</v>
      </c>
      <c r="I83" s="38">
        <f>IF(tblLabor[[#This Row],[Date]]="","",IF(tblLabor[[#This Row],[Std (min/unit)]]="","",tblLabor[[#This Row],[Good units]]*tblLabor[[#This Row],[Std (min/unit)]]/60))</f>
        <v>43.2666666666667</v>
      </c>
      <c r="J83" s="31">
        <f>IF(tblLabor[[#This Row],[Date]]="","",IF(AND(tblLabor[[#This Row],[Actual hours (person-h)]]&gt;0,ISNUMBER(tblLabor[[#This Row],[Earned hours (person-h)]])),tblLabor[[#This Row],[Earned hours (person-h)]]/tblLabor[[#This Row],[Actual hours (person-h)]],""))</f>
        <v>0.887521367521368</v>
      </c>
      <c r="K83" s="39" t="str">
        <f>IF(NOT(ISNUMBER(tblLabor[[#This Row],[Efficiency]])),"",IF(tblLabor[[#This Row],[Efficiency]]&gt;=TargetEff,"On target",IF(tblLabor[[#This Row],[Efficiency]]&gt;=TargetEff*(1-0.05),"Near target","Below target")))</f>
        <v>Near target</v>
      </c>
      <c r="L83" s="40">
        <f>IF(tblLabor[[#This Row],[Date]]="","",IF(ISNUMBER(tblLabor[[#This Row],[Earned hours (person-h)]]),tblLabor[[#This Row],[Actual hours (person-h)]]-tblLabor[[#This Row],[Earned hours (person-h)]],""))</f>
        <v>5.48333333333333</v>
      </c>
      <c r="M83" s="41">
        <f>IF(tblLabor[[#This Row],[Date]]="","",IF(AND(tblLabor[[#This Row],[Date]]&gt;=FFrom,tblLabor[[#This Row],[Date]]&lt;=FTo,OR(DashCell="",tblLabor[[#This Row],[Cell]]=DashCell)),tblLabor[[#This Row],[Date]],""))</f>
        <v>46275</v>
      </c>
      <c r="N8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3" s="28" t="s">
        <v>136</v>
      </c>
    </row>
    <row r="84" spans="2:15" x14ac:dyDescent="0.25">
      <c r="B84" s="35">
        <v>46275</v>
      </c>
      <c r="C84" s="28" t="s">
        <v>101</v>
      </c>
      <c r="D84" s="28" t="s">
        <v>115</v>
      </c>
      <c r="E84" s="36">
        <v>206</v>
      </c>
      <c r="F84" s="29">
        <v>49.25</v>
      </c>
      <c r="G84" s="37" t="str">
        <f>IF(tblLabor[[#This Row],[Date]]="","",IFERROR(INDEX(tblOperations[Cell],MATCH(tblLabor[[#This Row],[Operation]],tblOperations[Operation],0)),""))</f>
        <v>Board line B</v>
      </c>
      <c r="H84" s="38">
        <f>IF(tblLabor[[#This Row],[Date]]="","",IFERROR(INDEX(tblOperations[Std (min/unit)],MATCH(tblLabor[[#This Row],[Operation]],tblOperations[Operation],0)),""))</f>
        <v>9.8</v>
      </c>
      <c r="I84" s="38">
        <f>IF(tblLabor[[#This Row],[Date]]="","",IF(tblLabor[[#This Row],[Std (min/unit)]]="","",tblLabor[[#This Row],[Good units]]*tblLabor[[#This Row],[Std (min/unit)]]/60))</f>
        <v>33.6466666666667</v>
      </c>
      <c r="J84" s="31">
        <f>IF(tblLabor[[#This Row],[Date]]="","",IF(AND(tblLabor[[#This Row],[Actual hours (person-h)]]&gt;0,ISNUMBER(tblLabor[[#This Row],[Earned hours (person-h)]])),tblLabor[[#This Row],[Earned hours (person-h)]]/tblLabor[[#This Row],[Actual hours (person-h)]],""))</f>
        <v>0.683181049069374</v>
      </c>
      <c r="K84" s="39" t="str">
        <f>IF(NOT(ISNUMBER(tblLabor[[#This Row],[Efficiency]])),"",IF(tblLabor[[#This Row],[Efficiency]]&gt;=TargetEff,"On target",IF(tblLabor[[#This Row],[Efficiency]]&gt;=TargetEff*(1-0.05),"Near target","Below target")))</f>
        <v>Below target</v>
      </c>
      <c r="L84" s="40">
        <f>IF(tblLabor[[#This Row],[Date]]="","",IF(ISNUMBER(tblLabor[[#This Row],[Earned hours (person-h)]]),tblLabor[[#This Row],[Actual hours (person-h)]]-tblLabor[[#This Row],[Earned hours (person-h)]],""))</f>
        <v>15.6033333333333</v>
      </c>
      <c r="M84" s="41">
        <f>IF(tblLabor[[#This Row],[Date]]="","",IF(AND(tblLabor[[#This Row],[Date]]&gt;=FFrom,tblLabor[[#This Row],[Date]]&lt;=FTo,OR(DashCell="",tblLabor[[#This Row],[Cell]]=DashCell)),tblLabor[[#This Row],[Date]],""))</f>
        <v>46275</v>
      </c>
      <c r="N8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4" s="28" t="s">
        <v>136</v>
      </c>
    </row>
    <row r="85" spans="2:15" x14ac:dyDescent="0.25">
      <c r="B85" s="35">
        <v>46275</v>
      </c>
      <c r="C85" s="28" t="s">
        <v>101</v>
      </c>
      <c r="D85" s="28" t="s">
        <v>124</v>
      </c>
      <c r="E85" s="36">
        <v>2139</v>
      </c>
      <c r="F85" s="29">
        <v>31.5</v>
      </c>
      <c r="G85" s="37" t="str">
        <f>IF(tblLabor[[#This Row],[Date]]="","",IFERROR(INDEX(tblOperations[Cell],MATCH(tblLabor[[#This Row],[Operation]],tblOperations[Operation],0)),""))</f>
        <v>Test and pack</v>
      </c>
      <c r="H85" s="38">
        <f>IF(tblLabor[[#This Row],[Date]]="","",IFERROR(INDEX(tblOperations[Std (min/unit)],MATCH(tblLabor[[#This Row],[Operation]],tblOperations[Operation],0)),""))</f>
        <v>0.8</v>
      </c>
      <c r="I85" s="38">
        <f>IF(tblLabor[[#This Row],[Date]]="","",IF(tblLabor[[#This Row],[Std (min/unit)]]="","",tblLabor[[#This Row],[Good units]]*tblLabor[[#This Row],[Std (min/unit)]]/60))</f>
        <v>28.52</v>
      </c>
      <c r="J85" s="31">
        <f>IF(tblLabor[[#This Row],[Date]]="","",IF(AND(tblLabor[[#This Row],[Actual hours (person-h)]]&gt;0,ISNUMBER(tblLabor[[#This Row],[Earned hours (person-h)]])),tblLabor[[#This Row],[Earned hours (person-h)]]/tblLabor[[#This Row],[Actual hours (person-h)]],""))</f>
        <v>0.905396825396825</v>
      </c>
      <c r="K85" s="39" t="str">
        <f>IF(NOT(ISNUMBER(tblLabor[[#This Row],[Efficiency]])),"",IF(tblLabor[[#This Row],[Efficiency]]&gt;=TargetEff,"On target",IF(tblLabor[[#This Row],[Efficiency]]&gt;=TargetEff*(1-0.05),"Near target","Below target")))</f>
        <v>On target</v>
      </c>
      <c r="L85" s="40">
        <f>IF(tblLabor[[#This Row],[Date]]="","",IF(ISNUMBER(tblLabor[[#This Row],[Earned hours (person-h)]]),tblLabor[[#This Row],[Actual hours (person-h)]]-tblLabor[[#This Row],[Earned hours (person-h)]],""))</f>
        <v>2.98</v>
      </c>
      <c r="M85" s="41">
        <f>IF(tblLabor[[#This Row],[Date]]="","",IF(AND(tblLabor[[#This Row],[Date]]&gt;=FFrom,tblLabor[[#This Row],[Date]]&lt;=FTo,OR(DashCell="",tblLabor[[#This Row],[Cell]]=DashCell)),tblLabor[[#This Row],[Date]],""))</f>
        <v>46275</v>
      </c>
      <c r="N8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5" s="28" t="s">
        <v>136</v>
      </c>
    </row>
    <row r="86" spans="2:15" x14ac:dyDescent="0.25">
      <c r="B86" s="35">
        <v>46276</v>
      </c>
      <c r="C86" s="28" t="s">
        <v>98</v>
      </c>
      <c r="D86" s="28" t="s">
        <v>108</v>
      </c>
      <c r="E86" s="36">
        <v>696</v>
      </c>
      <c r="F86" s="29">
        <v>27.75</v>
      </c>
      <c r="G86" s="37" t="str">
        <f>IF(tblLabor[[#This Row],[Date]]="","",IFERROR(INDEX(tblOperations[Cell],MATCH(tblLabor[[#This Row],[Operation]],tblOperations[Operation],0)),""))</f>
        <v>Cut and crimp</v>
      </c>
      <c r="H86" s="38">
        <f>IF(tblLabor[[#This Row],[Date]]="","",IFERROR(INDEX(tblOperations[Std (min/unit)],MATCH(tblLabor[[#This Row],[Operation]],tblOperations[Operation],0)),""))</f>
        <v>2.4</v>
      </c>
      <c r="I86" s="38">
        <f>IF(tblLabor[[#This Row],[Date]]="","",IF(tblLabor[[#This Row],[Std (min/unit)]]="","",tblLabor[[#This Row],[Good units]]*tblLabor[[#This Row],[Std (min/unit)]]/60))</f>
        <v>27.84</v>
      </c>
      <c r="J86" s="31">
        <f>IF(tblLabor[[#This Row],[Date]]="","",IF(AND(tblLabor[[#This Row],[Actual hours (person-h)]]&gt;0,ISNUMBER(tblLabor[[#This Row],[Earned hours (person-h)]])),tblLabor[[#This Row],[Earned hours (person-h)]]/tblLabor[[#This Row],[Actual hours (person-h)]],""))</f>
        <v>1.00324324324324</v>
      </c>
      <c r="K86" s="39" t="str">
        <f>IF(NOT(ISNUMBER(tblLabor[[#This Row],[Efficiency]])),"",IF(tblLabor[[#This Row],[Efficiency]]&gt;=TargetEff,"On target",IF(tblLabor[[#This Row],[Efficiency]]&gt;=TargetEff*(1-0.05),"Near target","Below target")))</f>
        <v>On target</v>
      </c>
      <c r="L86" s="40">
        <f>IF(tblLabor[[#This Row],[Date]]="","",IF(ISNUMBER(tblLabor[[#This Row],[Earned hours (person-h)]]),tblLabor[[#This Row],[Actual hours (person-h)]]-tblLabor[[#This Row],[Earned hours (person-h)]],""))</f>
        <v>-0.0899999999999963</v>
      </c>
      <c r="M86" s="41">
        <f>IF(tblLabor[[#This Row],[Date]]="","",IF(AND(tblLabor[[#This Row],[Date]]&gt;=FFrom,tblLabor[[#This Row],[Date]]&lt;=FTo,OR(DashCell="",tblLabor[[#This Row],[Cell]]=DashCell)),tblLabor[[#This Row],[Date]],""))</f>
        <v>46276</v>
      </c>
      <c r="N8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6" s="28" t="s">
        <v>136</v>
      </c>
    </row>
    <row r="87" spans="2:15" x14ac:dyDescent="0.25">
      <c r="B87" s="35">
        <v>46276</v>
      </c>
      <c r="C87" s="28" t="s">
        <v>98</v>
      </c>
      <c r="D87" s="28" t="s">
        <v>114</v>
      </c>
      <c r="E87" s="36">
        <v>135</v>
      </c>
      <c r="F87" s="29">
        <v>54.75</v>
      </c>
      <c r="G87" s="37" t="str">
        <f>IF(tblLabor[[#This Row],[Date]]="","",IFERROR(INDEX(tblOperations[Cell],MATCH(tblLabor[[#This Row],[Operation]],tblOperations[Operation],0)),""))</f>
        <v>Board line A</v>
      </c>
      <c r="H87" s="38">
        <f>IF(tblLabor[[#This Row],[Date]]="","",IFERROR(INDEX(tblOperations[Std (min/unit)],MATCH(tblLabor[[#This Row],[Operation]],tblOperations[Operation],0)),""))</f>
        <v>22</v>
      </c>
      <c r="I87" s="38">
        <f>IF(tblLabor[[#This Row],[Date]]="","",IF(tblLabor[[#This Row],[Std (min/unit)]]="","",tblLabor[[#This Row],[Good units]]*tblLabor[[#This Row],[Std (min/unit)]]/60))</f>
        <v>49.5</v>
      </c>
      <c r="J87" s="31">
        <f>IF(tblLabor[[#This Row],[Date]]="","",IF(AND(tblLabor[[#This Row],[Actual hours (person-h)]]&gt;0,ISNUMBER(tblLabor[[#This Row],[Earned hours (person-h)]])),tblLabor[[#This Row],[Earned hours (person-h)]]/tblLabor[[#This Row],[Actual hours (person-h)]],""))</f>
        <v>0.904109589041096</v>
      </c>
      <c r="K87" s="39" t="str">
        <f>IF(NOT(ISNUMBER(tblLabor[[#This Row],[Efficiency]])),"",IF(tblLabor[[#This Row],[Efficiency]]&gt;=TargetEff,"On target",IF(tblLabor[[#This Row],[Efficiency]]&gt;=TargetEff*(1-0.05),"Near target","Below target")))</f>
        <v>On target</v>
      </c>
      <c r="L87" s="40">
        <f>IF(tblLabor[[#This Row],[Date]]="","",IF(ISNUMBER(tblLabor[[#This Row],[Earned hours (person-h)]]),tblLabor[[#This Row],[Actual hours (person-h)]]-tblLabor[[#This Row],[Earned hours (person-h)]],""))</f>
        <v>5.25</v>
      </c>
      <c r="M87" s="41">
        <f>IF(tblLabor[[#This Row],[Date]]="","",IF(AND(tblLabor[[#This Row],[Date]]&gt;=FFrom,tblLabor[[#This Row],[Date]]&lt;=FTo,OR(DashCell="",tblLabor[[#This Row],[Cell]]=DashCell)),tblLabor[[#This Row],[Date]],""))</f>
        <v>46276</v>
      </c>
      <c r="N8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7" s="28" t="s">
        <v>136</v>
      </c>
    </row>
    <row r="88" spans="2:15" x14ac:dyDescent="0.25">
      <c r="B88" s="35">
        <v>46276</v>
      </c>
      <c r="C88" s="28" t="s">
        <v>98</v>
      </c>
      <c r="D88" s="28" t="s">
        <v>116</v>
      </c>
      <c r="E88" s="36">
        <v>846</v>
      </c>
      <c r="F88" s="29">
        <v>47</v>
      </c>
      <c r="G88" s="37" t="str">
        <f>IF(tblLabor[[#This Row],[Date]]="","",IFERROR(INDEX(tblOperations[Cell],MATCH(tblLabor[[#This Row],[Operation]],tblOperations[Operation],0)),""))</f>
        <v>Board line B</v>
      </c>
      <c r="H88" s="38">
        <f>IF(tblLabor[[#This Row],[Date]]="","",IFERROR(INDEX(tblOperations[Std (min/unit)],MATCH(tblLabor[[#This Row],[Operation]],tblOperations[Operation],0)),""))</f>
        <v>3.1</v>
      </c>
      <c r="I88" s="38">
        <f>IF(tblLabor[[#This Row],[Date]]="","",IF(tblLabor[[#This Row],[Std (min/unit)]]="","",tblLabor[[#This Row],[Good units]]*tblLabor[[#This Row],[Std (min/unit)]]/60))</f>
        <v>43.71</v>
      </c>
      <c r="J88" s="31">
        <f>IF(tblLabor[[#This Row],[Date]]="","",IF(AND(tblLabor[[#This Row],[Actual hours (person-h)]]&gt;0,ISNUMBER(tblLabor[[#This Row],[Earned hours (person-h)]])),tblLabor[[#This Row],[Earned hours (person-h)]]/tblLabor[[#This Row],[Actual hours (person-h)]],""))</f>
        <v>0.93</v>
      </c>
      <c r="K88" s="39" t="str">
        <f>IF(NOT(ISNUMBER(tblLabor[[#This Row],[Efficiency]])),"",IF(tblLabor[[#This Row],[Efficiency]]&gt;=TargetEff,"On target",IF(tblLabor[[#This Row],[Efficiency]]&gt;=TargetEff*(1-0.05),"Near target","Below target")))</f>
        <v>On target</v>
      </c>
      <c r="L88" s="40">
        <f>IF(tblLabor[[#This Row],[Date]]="","",IF(ISNUMBER(tblLabor[[#This Row],[Earned hours (person-h)]]),tblLabor[[#This Row],[Actual hours (person-h)]]-tblLabor[[#This Row],[Earned hours (person-h)]],""))</f>
        <v>3.29</v>
      </c>
      <c r="M88" s="41">
        <f>IF(tblLabor[[#This Row],[Date]]="","",IF(AND(tblLabor[[#This Row],[Date]]&gt;=FFrom,tblLabor[[#This Row],[Date]]&lt;=FTo,OR(DashCell="",tblLabor[[#This Row],[Cell]]=DashCell)),tblLabor[[#This Row],[Date]],""))</f>
        <v>46276</v>
      </c>
      <c r="N8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8" s="28" t="s">
        <v>136</v>
      </c>
    </row>
    <row r="89" spans="2:15" x14ac:dyDescent="0.25">
      <c r="B89" s="35">
        <v>46276</v>
      </c>
      <c r="C89" s="28" t="s">
        <v>98</v>
      </c>
      <c r="D89" s="28" t="s">
        <v>122</v>
      </c>
      <c r="E89" s="36">
        <v>1039</v>
      </c>
      <c r="F89" s="29">
        <v>31.75</v>
      </c>
      <c r="G89" s="37" t="str">
        <f>IF(tblLabor[[#This Row],[Date]]="","",IFERROR(INDEX(tblOperations[Cell],MATCH(tblLabor[[#This Row],[Operation]],tblOperations[Operation],0)),""))</f>
        <v>Test and pack</v>
      </c>
      <c r="H89" s="38">
        <f>IF(tblLabor[[#This Row],[Date]]="","",IFERROR(INDEX(tblOperations[Std (min/unit)],MATCH(tblLabor[[#This Row],[Operation]],tblOperations[Operation],0)),""))</f>
        <v>1.7</v>
      </c>
      <c r="I89" s="38">
        <f>IF(tblLabor[[#This Row],[Date]]="","",IF(tblLabor[[#This Row],[Std (min/unit)]]="","",tblLabor[[#This Row],[Good units]]*tblLabor[[#This Row],[Std (min/unit)]]/60))</f>
        <v>29.4383333333333</v>
      </c>
      <c r="J89" s="31">
        <f>IF(tblLabor[[#This Row],[Date]]="","",IF(AND(tblLabor[[#This Row],[Actual hours (person-h)]]&gt;0,ISNUMBER(tblLabor[[#This Row],[Earned hours (person-h)]])),tblLabor[[#This Row],[Earned hours (person-h)]]/tblLabor[[#This Row],[Actual hours (person-h)]],""))</f>
        <v>0.927191601049869</v>
      </c>
      <c r="K89" s="39" t="str">
        <f>IF(NOT(ISNUMBER(tblLabor[[#This Row],[Efficiency]])),"",IF(tblLabor[[#This Row],[Efficiency]]&gt;=TargetEff,"On target",IF(tblLabor[[#This Row],[Efficiency]]&gt;=TargetEff*(1-0.05),"Near target","Below target")))</f>
        <v>On target</v>
      </c>
      <c r="L89" s="40">
        <f>IF(tblLabor[[#This Row],[Date]]="","",IF(ISNUMBER(tblLabor[[#This Row],[Earned hours (person-h)]]),tblLabor[[#This Row],[Actual hours (person-h)]]-tblLabor[[#This Row],[Earned hours (person-h)]],""))</f>
        <v>2.31166666666667</v>
      </c>
      <c r="M89" s="41">
        <f>IF(tblLabor[[#This Row],[Date]]="","",IF(AND(tblLabor[[#This Row],[Date]]&gt;=FFrom,tblLabor[[#This Row],[Date]]&lt;=FTo,OR(DashCell="",tblLabor[[#This Row],[Cell]]=DashCell)),tblLabor[[#This Row],[Date]],""))</f>
        <v>46276</v>
      </c>
      <c r="N8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89" s="28" t="s">
        <v>136</v>
      </c>
    </row>
    <row r="90" spans="2:15" x14ac:dyDescent="0.25">
      <c r="B90" s="35">
        <v>46276</v>
      </c>
      <c r="C90" s="28" t="s">
        <v>101</v>
      </c>
      <c r="D90" s="28" t="s">
        <v>104</v>
      </c>
      <c r="E90" s="36">
        <v>428</v>
      </c>
      <c r="F90" s="29">
        <v>28</v>
      </c>
      <c r="G90" s="37" t="str">
        <f>IF(tblLabor[[#This Row],[Date]]="","",IFERROR(INDEX(tblOperations[Cell],MATCH(tblLabor[[#This Row],[Operation]],tblOperations[Operation],0)),""))</f>
        <v>Cut and crimp</v>
      </c>
      <c r="H90" s="38">
        <f>IF(tblLabor[[#This Row],[Date]]="","",IFERROR(INDEX(tblOperations[Std (min/unit)],MATCH(tblLabor[[#This Row],[Operation]],tblOperations[Operation],0)),""))</f>
        <v>3.8</v>
      </c>
      <c r="I90" s="38">
        <f>IF(tblLabor[[#This Row],[Date]]="","",IF(tblLabor[[#This Row],[Std (min/unit)]]="","",tblLabor[[#This Row],[Good units]]*tblLabor[[#This Row],[Std (min/unit)]]/60))</f>
        <v>27.1066666666667</v>
      </c>
      <c r="J90" s="31">
        <f>IF(tblLabor[[#This Row],[Date]]="","",IF(AND(tblLabor[[#This Row],[Actual hours (person-h)]]&gt;0,ISNUMBER(tblLabor[[#This Row],[Earned hours (person-h)]])),tblLabor[[#This Row],[Earned hours (person-h)]]/tblLabor[[#This Row],[Actual hours (person-h)]],""))</f>
        <v>0.968095238095238</v>
      </c>
      <c r="K90" s="39" t="str">
        <f>IF(NOT(ISNUMBER(tblLabor[[#This Row],[Efficiency]])),"",IF(tblLabor[[#This Row],[Efficiency]]&gt;=TargetEff,"On target",IF(tblLabor[[#This Row],[Efficiency]]&gt;=TargetEff*(1-0.05),"Near target","Below target")))</f>
        <v>On target</v>
      </c>
      <c r="L90" s="40">
        <f>IF(tblLabor[[#This Row],[Date]]="","",IF(ISNUMBER(tblLabor[[#This Row],[Earned hours (person-h)]]),tblLabor[[#This Row],[Actual hours (person-h)]]-tblLabor[[#This Row],[Earned hours (person-h)]],""))</f>
        <v>0.893333333333334</v>
      </c>
      <c r="M90" s="41">
        <f>IF(tblLabor[[#This Row],[Date]]="","",IF(AND(tblLabor[[#This Row],[Date]]&gt;=FFrom,tblLabor[[#This Row],[Date]]&lt;=FTo,OR(DashCell="",tblLabor[[#This Row],[Cell]]=DashCell)),tblLabor[[#This Row],[Date]],""))</f>
        <v>46276</v>
      </c>
      <c r="N9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0" s="28" t="s">
        <v>136</v>
      </c>
    </row>
    <row r="91" spans="2:15" x14ac:dyDescent="0.25">
      <c r="B91" s="35">
        <v>46276</v>
      </c>
      <c r="C91" s="28" t="s">
        <v>101</v>
      </c>
      <c r="D91" s="28" t="s">
        <v>114</v>
      </c>
      <c r="E91" s="36">
        <v>115</v>
      </c>
      <c r="F91" s="29">
        <v>48.25</v>
      </c>
      <c r="G91" s="37" t="str">
        <f>IF(tblLabor[[#This Row],[Date]]="","",IFERROR(INDEX(tblOperations[Cell],MATCH(tblLabor[[#This Row],[Operation]],tblOperations[Operation],0)),""))</f>
        <v>Board line A</v>
      </c>
      <c r="H91" s="38">
        <f>IF(tblLabor[[#This Row],[Date]]="","",IFERROR(INDEX(tblOperations[Std (min/unit)],MATCH(tblLabor[[#This Row],[Operation]],tblOperations[Operation],0)),""))</f>
        <v>22</v>
      </c>
      <c r="I91" s="38">
        <f>IF(tblLabor[[#This Row],[Date]]="","",IF(tblLabor[[#This Row],[Std (min/unit)]]="","",tblLabor[[#This Row],[Good units]]*tblLabor[[#This Row],[Std (min/unit)]]/60))</f>
        <v>42.1666666666667</v>
      </c>
      <c r="J91" s="31">
        <f>IF(tblLabor[[#This Row],[Date]]="","",IF(AND(tblLabor[[#This Row],[Actual hours (person-h)]]&gt;0,ISNUMBER(tblLabor[[#This Row],[Earned hours (person-h)]])),tblLabor[[#This Row],[Earned hours (person-h)]]/tblLabor[[#This Row],[Actual hours (person-h)]],""))</f>
        <v>0.873920552677029</v>
      </c>
      <c r="K91" s="39" t="str">
        <f>IF(NOT(ISNUMBER(tblLabor[[#This Row],[Efficiency]])),"",IF(tblLabor[[#This Row],[Efficiency]]&gt;=TargetEff,"On target",IF(tblLabor[[#This Row],[Efficiency]]&gt;=TargetEff*(1-0.05),"Near target","Below target")))</f>
        <v>Near target</v>
      </c>
      <c r="L91" s="40">
        <f>IF(tblLabor[[#This Row],[Date]]="","",IF(ISNUMBER(tblLabor[[#This Row],[Earned hours (person-h)]]),tblLabor[[#This Row],[Actual hours (person-h)]]-tblLabor[[#This Row],[Earned hours (person-h)]],""))</f>
        <v>6.08333333333334</v>
      </c>
      <c r="M91" s="41">
        <f>IF(tblLabor[[#This Row],[Date]]="","",IF(AND(tblLabor[[#This Row],[Date]]&gt;=FFrom,tblLabor[[#This Row],[Date]]&lt;=FTo,OR(DashCell="",tblLabor[[#This Row],[Cell]]=DashCell)),tblLabor[[#This Row],[Date]],""))</f>
        <v>46276</v>
      </c>
      <c r="N9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1" s="28" t="s">
        <v>136</v>
      </c>
    </row>
    <row r="92" spans="2:15" x14ac:dyDescent="0.25">
      <c r="B92" s="35">
        <v>46276</v>
      </c>
      <c r="C92" s="28" t="s">
        <v>101</v>
      </c>
      <c r="D92" s="28" t="s">
        <v>116</v>
      </c>
      <c r="E92" s="36">
        <v>635</v>
      </c>
      <c r="F92" s="29">
        <v>47</v>
      </c>
      <c r="G92" s="37" t="str">
        <f>IF(tblLabor[[#This Row],[Date]]="","",IFERROR(INDEX(tblOperations[Cell],MATCH(tblLabor[[#This Row],[Operation]],tblOperations[Operation],0)),""))</f>
        <v>Board line B</v>
      </c>
      <c r="H92" s="38">
        <f>IF(tblLabor[[#This Row],[Date]]="","",IFERROR(INDEX(tblOperations[Std (min/unit)],MATCH(tblLabor[[#This Row],[Operation]],tblOperations[Operation],0)),""))</f>
        <v>3.1</v>
      </c>
      <c r="I92" s="38">
        <f>IF(tblLabor[[#This Row],[Date]]="","",IF(tblLabor[[#This Row],[Std (min/unit)]]="","",tblLabor[[#This Row],[Good units]]*tblLabor[[#This Row],[Std (min/unit)]]/60))</f>
        <v>32.8083333333333</v>
      </c>
      <c r="J92" s="31">
        <f>IF(tblLabor[[#This Row],[Date]]="","",IF(AND(tblLabor[[#This Row],[Actual hours (person-h)]]&gt;0,ISNUMBER(tblLabor[[#This Row],[Earned hours (person-h)]])),tblLabor[[#This Row],[Earned hours (person-h)]]/tblLabor[[#This Row],[Actual hours (person-h)]],""))</f>
        <v>0.698049645390071</v>
      </c>
      <c r="K92" s="39" t="str">
        <f>IF(NOT(ISNUMBER(tblLabor[[#This Row],[Efficiency]])),"",IF(tblLabor[[#This Row],[Efficiency]]&gt;=TargetEff,"On target",IF(tblLabor[[#This Row],[Efficiency]]&gt;=TargetEff*(1-0.05),"Near target","Below target")))</f>
        <v>Below target</v>
      </c>
      <c r="L92" s="40">
        <f>IF(tblLabor[[#This Row],[Date]]="","",IF(ISNUMBER(tblLabor[[#This Row],[Earned hours (person-h)]]),tblLabor[[#This Row],[Actual hours (person-h)]]-tblLabor[[#This Row],[Earned hours (person-h)]],""))</f>
        <v>14.1916666666667</v>
      </c>
      <c r="M92" s="41">
        <f>IF(tblLabor[[#This Row],[Date]]="","",IF(AND(tblLabor[[#This Row],[Date]]&gt;=FFrom,tblLabor[[#This Row],[Date]]&lt;=FTo,OR(DashCell="",tblLabor[[#This Row],[Cell]]=DashCell)),tblLabor[[#This Row],[Date]],""))</f>
        <v>46276</v>
      </c>
      <c r="N9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2" s="28" t="s">
        <v>136</v>
      </c>
    </row>
    <row r="93" spans="2:15" x14ac:dyDescent="0.25">
      <c r="B93" s="35">
        <v>46276</v>
      </c>
      <c r="C93" s="28" t="s">
        <v>101</v>
      </c>
      <c r="D93" s="28" t="s">
        <v>118</v>
      </c>
      <c r="E93" s="36">
        <v>534</v>
      </c>
      <c r="F93" s="29">
        <v>24.5</v>
      </c>
      <c r="G93" s="37" t="str">
        <f>IF(tblLabor[[#This Row],[Date]]="","",IFERROR(INDEX(tblOperations[Cell],MATCH(tblLabor[[#This Row],[Operation]],tblOperations[Operation],0)),""))</f>
        <v>Test and pack</v>
      </c>
      <c r="H93" s="38">
        <f>IF(tblLabor[[#This Row],[Date]]="","",IFERROR(INDEX(tblOperations[Std (min/unit)],MATCH(tblLabor[[#This Row],[Operation]],tblOperations[Operation],0)),""))</f>
        <v>2.6</v>
      </c>
      <c r="I93" s="38">
        <f>IF(tblLabor[[#This Row],[Date]]="","",IF(tblLabor[[#This Row],[Std (min/unit)]]="","",tblLabor[[#This Row],[Good units]]*tblLabor[[#This Row],[Std (min/unit)]]/60))</f>
        <v>23.14</v>
      </c>
      <c r="J93" s="31">
        <f>IF(tblLabor[[#This Row],[Date]]="","",IF(AND(tblLabor[[#This Row],[Actual hours (person-h)]]&gt;0,ISNUMBER(tblLabor[[#This Row],[Earned hours (person-h)]])),tblLabor[[#This Row],[Earned hours (person-h)]]/tblLabor[[#This Row],[Actual hours (person-h)]],""))</f>
        <v>0.944489795918367</v>
      </c>
      <c r="K93" s="39" t="str">
        <f>IF(NOT(ISNUMBER(tblLabor[[#This Row],[Efficiency]])),"",IF(tblLabor[[#This Row],[Efficiency]]&gt;=TargetEff,"On target",IF(tblLabor[[#This Row],[Efficiency]]&gt;=TargetEff*(1-0.05),"Near target","Below target")))</f>
        <v>On target</v>
      </c>
      <c r="L93" s="40">
        <f>IF(tblLabor[[#This Row],[Date]]="","",IF(ISNUMBER(tblLabor[[#This Row],[Earned hours (person-h)]]),tblLabor[[#This Row],[Actual hours (person-h)]]-tblLabor[[#This Row],[Earned hours (person-h)]],""))</f>
        <v>1.36</v>
      </c>
      <c r="M93" s="41">
        <f>IF(tblLabor[[#This Row],[Date]]="","",IF(AND(tblLabor[[#This Row],[Date]]&gt;=FFrom,tblLabor[[#This Row],[Date]]&lt;=FTo,OR(DashCell="",tblLabor[[#This Row],[Cell]]=DashCell)),tblLabor[[#This Row],[Date]],""))</f>
        <v>46276</v>
      </c>
      <c r="N9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3" s="28" t="s">
        <v>136</v>
      </c>
    </row>
    <row r="94" spans="2:15" x14ac:dyDescent="0.25">
      <c r="B94" s="35">
        <v>46279</v>
      </c>
      <c r="C94" s="28" t="s">
        <v>98</v>
      </c>
      <c r="D94" s="28" t="s">
        <v>106</v>
      </c>
      <c r="E94" s="36">
        <v>308</v>
      </c>
      <c r="F94" s="29">
        <v>26.5</v>
      </c>
      <c r="G94" s="37" t="str">
        <f>IF(tblLabor[[#This Row],[Date]]="","",IFERROR(INDEX(tblOperations[Cell],MATCH(tblLabor[[#This Row],[Operation]],tblOperations[Operation],0)),""))</f>
        <v>Cut and crimp</v>
      </c>
      <c r="H94" s="38">
        <f>IF(tblLabor[[#This Row],[Date]]="","",IFERROR(INDEX(tblOperations[Std (min/unit)],MATCH(tblLabor[[#This Row],[Operation]],tblOperations[Operation],0)),""))</f>
        <v>5.2</v>
      </c>
      <c r="I94" s="38">
        <f>IF(tblLabor[[#This Row],[Date]]="","",IF(tblLabor[[#This Row],[Std (min/unit)]]="","",tblLabor[[#This Row],[Good units]]*tblLabor[[#This Row],[Std (min/unit)]]/60))</f>
        <v>26.6933333333333</v>
      </c>
      <c r="J94" s="31">
        <f>IF(tblLabor[[#This Row],[Date]]="","",IF(AND(tblLabor[[#This Row],[Actual hours (person-h)]]&gt;0,ISNUMBER(tblLabor[[#This Row],[Earned hours (person-h)]])),tblLabor[[#This Row],[Earned hours (person-h)]]/tblLabor[[#This Row],[Actual hours (person-h)]],""))</f>
        <v>1.00729559748428</v>
      </c>
      <c r="K94" s="39" t="str">
        <f>IF(NOT(ISNUMBER(tblLabor[[#This Row],[Efficiency]])),"",IF(tblLabor[[#This Row],[Efficiency]]&gt;=TargetEff,"On target",IF(tblLabor[[#This Row],[Efficiency]]&gt;=TargetEff*(1-0.05),"Near target","Below target")))</f>
        <v>On target</v>
      </c>
      <c r="L94" s="40">
        <f>IF(tblLabor[[#This Row],[Date]]="","",IF(ISNUMBER(tblLabor[[#This Row],[Earned hours (person-h)]]),tblLabor[[#This Row],[Actual hours (person-h)]]-tblLabor[[#This Row],[Earned hours (person-h)]],""))</f>
        <v>-0.193333333333335</v>
      </c>
      <c r="M94" s="41">
        <f>IF(tblLabor[[#This Row],[Date]]="","",IF(AND(tblLabor[[#This Row],[Date]]&gt;=FFrom,tblLabor[[#This Row],[Date]]&lt;=FTo,OR(DashCell="",tblLabor[[#This Row],[Cell]]=DashCell)),tblLabor[[#This Row],[Date]],""))</f>
        <v>46279</v>
      </c>
      <c r="N9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4" s="28" t="s">
        <v>136</v>
      </c>
    </row>
    <row r="95" spans="2:15" x14ac:dyDescent="0.25">
      <c r="B95" s="35">
        <v>46279</v>
      </c>
      <c r="C95" s="28" t="s">
        <v>98</v>
      </c>
      <c r="D95" s="28" t="s">
        <v>112</v>
      </c>
      <c r="E95" s="36">
        <v>149</v>
      </c>
      <c r="F95" s="29">
        <v>44</v>
      </c>
      <c r="G95" s="37" t="str">
        <f>IF(tblLabor[[#This Row],[Date]]="","",IFERROR(INDEX(tblOperations[Cell],MATCH(tblLabor[[#This Row],[Operation]],tblOperations[Operation],0)),""))</f>
        <v>Board line A</v>
      </c>
      <c r="H95" s="38">
        <f>IF(tblLabor[[#This Row],[Date]]="","",IFERROR(INDEX(tblOperations[Std (min/unit)],MATCH(tblLabor[[#This Row],[Operation]],tblOperations[Operation],0)),""))</f>
        <v>16.5</v>
      </c>
      <c r="I95" s="38">
        <f>IF(tblLabor[[#This Row],[Date]]="","",IF(tblLabor[[#This Row],[Std (min/unit)]]="","",tblLabor[[#This Row],[Good units]]*tblLabor[[#This Row],[Std (min/unit)]]/60))</f>
        <v>40.975</v>
      </c>
      <c r="J95" s="31">
        <f>IF(tblLabor[[#This Row],[Date]]="","",IF(AND(tblLabor[[#This Row],[Actual hours (person-h)]]&gt;0,ISNUMBER(tblLabor[[#This Row],[Earned hours (person-h)]])),tblLabor[[#This Row],[Earned hours (person-h)]]/tblLabor[[#This Row],[Actual hours (person-h)]],""))</f>
        <v>0.93125</v>
      </c>
      <c r="K95" s="39" t="str">
        <f>IF(NOT(ISNUMBER(tblLabor[[#This Row],[Efficiency]])),"",IF(tblLabor[[#This Row],[Efficiency]]&gt;=TargetEff,"On target",IF(tblLabor[[#This Row],[Efficiency]]&gt;=TargetEff*(1-0.05),"Near target","Below target")))</f>
        <v>On target</v>
      </c>
      <c r="L95" s="40">
        <f>IF(tblLabor[[#This Row],[Date]]="","",IF(ISNUMBER(tblLabor[[#This Row],[Earned hours (person-h)]]),tblLabor[[#This Row],[Actual hours (person-h)]]-tblLabor[[#This Row],[Earned hours (person-h)]],""))</f>
        <v>3.025</v>
      </c>
      <c r="M95" s="41">
        <f>IF(tblLabor[[#This Row],[Date]]="","",IF(AND(tblLabor[[#This Row],[Date]]&gt;=FFrom,tblLabor[[#This Row],[Date]]&lt;=FTo,OR(DashCell="",tblLabor[[#This Row],[Cell]]=DashCell)),tblLabor[[#This Row],[Date]],""))</f>
        <v>46279</v>
      </c>
      <c r="N9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5" s="28" t="s">
        <v>136</v>
      </c>
    </row>
    <row r="96" spans="2:15" x14ac:dyDescent="0.25">
      <c r="B96" s="35">
        <v>46279</v>
      </c>
      <c r="C96" s="28" t="s">
        <v>98</v>
      </c>
      <c r="D96" s="28" t="s">
        <v>115</v>
      </c>
      <c r="E96" s="36">
        <v>236</v>
      </c>
      <c r="F96" s="29">
        <v>44</v>
      </c>
      <c r="G96" s="37" t="str">
        <f>IF(tblLabor[[#This Row],[Date]]="","",IFERROR(INDEX(tblOperations[Cell],MATCH(tblLabor[[#This Row],[Operation]],tblOperations[Operation],0)),""))</f>
        <v>Board line B</v>
      </c>
      <c r="H96" s="38">
        <f>IF(tblLabor[[#This Row],[Date]]="","",IFERROR(INDEX(tblOperations[Std (min/unit)],MATCH(tblLabor[[#This Row],[Operation]],tblOperations[Operation],0)),""))</f>
        <v>9.8</v>
      </c>
      <c r="I96" s="38">
        <f>IF(tblLabor[[#This Row],[Date]]="","",IF(tblLabor[[#This Row],[Std (min/unit)]]="","",tblLabor[[#This Row],[Good units]]*tblLabor[[#This Row],[Std (min/unit)]]/60))</f>
        <v>38.5466666666667</v>
      </c>
      <c r="J96" s="31">
        <f>IF(tblLabor[[#This Row],[Date]]="","",IF(AND(tblLabor[[#This Row],[Actual hours (person-h)]]&gt;0,ISNUMBER(tblLabor[[#This Row],[Earned hours (person-h)]])),tblLabor[[#This Row],[Earned hours (person-h)]]/tblLabor[[#This Row],[Actual hours (person-h)]],""))</f>
        <v>0.876060606060606</v>
      </c>
      <c r="K96" s="39" t="str">
        <f>IF(NOT(ISNUMBER(tblLabor[[#This Row],[Efficiency]])),"",IF(tblLabor[[#This Row],[Efficiency]]&gt;=TargetEff,"On target",IF(tblLabor[[#This Row],[Efficiency]]&gt;=TargetEff*(1-0.05),"Near target","Below target")))</f>
        <v>Near target</v>
      </c>
      <c r="L96" s="40">
        <f>IF(tblLabor[[#This Row],[Date]]="","",IF(ISNUMBER(tblLabor[[#This Row],[Earned hours (person-h)]]),tblLabor[[#This Row],[Actual hours (person-h)]]-tblLabor[[#This Row],[Earned hours (person-h)]],""))</f>
        <v>5.45333333333333</v>
      </c>
      <c r="M96" s="41">
        <f>IF(tblLabor[[#This Row],[Date]]="","",IF(AND(tblLabor[[#This Row],[Date]]&gt;=FFrom,tblLabor[[#This Row],[Date]]&lt;=FTo,OR(DashCell="",tblLabor[[#This Row],[Cell]]=DashCell)),tblLabor[[#This Row],[Date]],""))</f>
        <v>46279</v>
      </c>
      <c r="N9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6" s="28" t="s">
        <v>136</v>
      </c>
    </row>
    <row r="97" spans="2:15" x14ac:dyDescent="0.25">
      <c r="B97" s="35">
        <v>46279</v>
      </c>
      <c r="C97" s="28" t="s">
        <v>98</v>
      </c>
      <c r="D97" s="28" t="s">
        <v>120</v>
      </c>
      <c r="E97" s="36">
        <v>488</v>
      </c>
      <c r="F97" s="29">
        <v>29.25</v>
      </c>
      <c r="G97" s="37" t="str">
        <f>IF(tblLabor[[#This Row],[Date]]="","",IFERROR(INDEX(tblOperations[Cell],MATCH(tblLabor[[#This Row],[Operation]],tblOperations[Operation],0)),""))</f>
        <v>Test and pack</v>
      </c>
      <c r="H97" s="38">
        <f>IF(tblLabor[[#This Row],[Date]]="","",IFERROR(INDEX(tblOperations[Std (min/unit)],MATCH(tblLabor[[#This Row],[Operation]],tblOperations[Operation],0)),""))</f>
        <v>3.4</v>
      </c>
      <c r="I97" s="38">
        <f>IF(tblLabor[[#This Row],[Date]]="","",IF(tblLabor[[#This Row],[Std (min/unit)]]="","",tblLabor[[#This Row],[Good units]]*tblLabor[[#This Row],[Std (min/unit)]]/60))</f>
        <v>27.6533333333333</v>
      </c>
      <c r="J97" s="31">
        <f>IF(tblLabor[[#This Row],[Date]]="","",IF(AND(tblLabor[[#This Row],[Actual hours (person-h)]]&gt;0,ISNUMBER(tblLabor[[#This Row],[Earned hours (person-h)]])),tblLabor[[#This Row],[Earned hours (person-h)]]/tblLabor[[#This Row],[Actual hours (person-h)]],""))</f>
        <v>0.945413105413105</v>
      </c>
      <c r="K97" s="39" t="str">
        <f>IF(NOT(ISNUMBER(tblLabor[[#This Row],[Efficiency]])),"",IF(tblLabor[[#This Row],[Efficiency]]&gt;=TargetEff,"On target",IF(tblLabor[[#This Row],[Efficiency]]&gt;=TargetEff*(1-0.05),"Near target","Below target")))</f>
        <v>On target</v>
      </c>
      <c r="L97" s="40">
        <f>IF(tblLabor[[#This Row],[Date]]="","",IF(ISNUMBER(tblLabor[[#This Row],[Earned hours (person-h)]]),tblLabor[[#This Row],[Actual hours (person-h)]]-tblLabor[[#This Row],[Earned hours (person-h)]],""))</f>
        <v>1.59666666666667</v>
      </c>
      <c r="M97" s="41">
        <f>IF(tblLabor[[#This Row],[Date]]="","",IF(AND(tblLabor[[#This Row],[Date]]&gt;=FFrom,tblLabor[[#This Row],[Date]]&lt;=FTo,OR(DashCell="",tblLabor[[#This Row],[Cell]]=DashCell)),tblLabor[[#This Row],[Date]],""))</f>
        <v>46279</v>
      </c>
      <c r="N9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7" s="28" t="s">
        <v>136</v>
      </c>
    </row>
    <row r="98" spans="2:15" x14ac:dyDescent="0.25">
      <c r="B98" s="35">
        <v>46279</v>
      </c>
      <c r="C98" s="28" t="s">
        <v>101</v>
      </c>
      <c r="D98" s="28" t="s">
        <v>110</v>
      </c>
      <c r="E98" s="36">
        <v>1650</v>
      </c>
      <c r="F98" s="29">
        <v>26.5</v>
      </c>
      <c r="G98" s="37" t="str">
        <f>IF(tblLabor[[#This Row],[Date]]="","",IFERROR(INDEX(tblOperations[Cell],MATCH(tblLabor[[#This Row],[Operation]],tblOperations[Operation],0)),""))</f>
        <v>Cut and crimp</v>
      </c>
      <c r="H98" s="38">
        <f>IF(tblLabor[[#This Row],[Date]]="","",IFERROR(INDEX(tblOperations[Std (min/unit)],MATCH(tblLabor[[#This Row],[Operation]],tblOperations[Operation],0)),""))</f>
        <v>0.9</v>
      </c>
      <c r="I98" s="38">
        <f>IF(tblLabor[[#This Row],[Date]]="","",IF(tblLabor[[#This Row],[Std (min/unit)]]="","",tblLabor[[#This Row],[Good units]]*tblLabor[[#This Row],[Std (min/unit)]]/60))</f>
        <v>24.75</v>
      </c>
      <c r="J98" s="31">
        <f>IF(tblLabor[[#This Row],[Date]]="","",IF(AND(tblLabor[[#This Row],[Actual hours (person-h)]]&gt;0,ISNUMBER(tblLabor[[#This Row],[Earned hours (person-h)]])),tblLabor[[#This Row],[Earned hours (person-h)]]/tblLabor[[#This Row],[Actual hours (person-h)]],""))</f>
        <v>0.933962264150943</v>
      </c>
      <c r="K98" s="39" t="str">
        <f>IF(NOT(ISNUMBER(tblLabor[[#This Row],[Efficiency]])),"",IF(tblLabor[[#This Row],[Efficiency]]&gt;=TargetEff,"On target",IF(tblLabor[[#This Row],[Efficiency]]&gt;=TargetEff*(1-0.05),"Near target","Below target")))</f>
        <v>On target</v>
      </c>
      <c r="L98" s="40">
        <f>IF(tblLabor[[#This Row],[Date]]="","",IF(ISNUMBER(tblLabor[[#This Row],[Earned hours (person-h)]]),tblLabor[[#This Row],[Actual hours (person-h)]]-tblLabor[[#This Row],[Earned hours (person-h)]],""))</f>
        <v>1.75</v>
      </c>
      <c r="M98" s="41">
        <f>IF(tblLabor[[#This Row],[Date]]="","",IF(AND(tblLabor[[#This Row],[Date]]&gt;=FFrom,tblLabor[[#This Row],[Date]]&lt;=FTo,OR(DashCell="",tblLabor[[#This Row],[Cell]]=DashCell)),tblLabor[[#This Row],[Date]],""))</f>
        <v>46279</v>
      </c>
      <c r="N9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8" s="28" t="s">
        <v>136</v>
      </c>
    </row>
    <row r="99" spans="2:15" x14ac:dyDescent="0.25">
      <c r="B99" s="35">
        <v>46279</v>
      </c>
      <c r="C99" s="28" t="s">
        <v>101</v>
      </c>
      <c r="D99" s="28" t="s">
        <v>112</v>
      </c>
      <c r="E99" s="36">
        <v>161</v>
      </c>
      <c r="F99" s="29">
        <v>50.25</v>
      </c>
      <c r="G99" s="37" t="str">
        <f>IF(tblLabor[[#This Row],[Date]]="","",IFERROR(INDEX(tblOperations[Cell],MATCH(tblLabor[[#This Row],[Operation]],tblOperations[Operation],0)),""))</f>
        <v>Board line A</v>
      </c>
      <c r="H99" s="38">
        <f>IF(tblLabor[[#This Row],[Date]]="","",IFERROR(INDEX(tblOperations[Std (min/unit)],MATCH(tblLabor[[#This Row],[Operation]],tblOperations[Operation],0)),""))</f>
        <v>16.5</v>
      </c>
      <c r="I99" s="38">
        <f>IF(tblLabor[[#This Row],[Date]]="","",IF(tblLabor[[#This Row],[Std (min/unit)]]="","",tblLabor[[#This Row],[Good units]]*tblLabor[[#This Row],[Std (min/unit)]]/60))</f>
        <v>44.275</v>
      </c>
      <c r="J99" s="31">
        <f>IF(tblLabor[[#This Row],[Date]]="","",IF(AND(tblLabor[[#This Row],[Actual hours (person-h)]]&gt;0,ISNUMBER(tblLabor[[#This Row],[Earned hours (person-h)]])),tblLabor[[#This Row],[Earned hours (person-h)]]/tblLabor[[#This Row],[Actual hours (person-h)]],""))</f>
        <v>0.881094527363184</v>
      </c>
      <c r="K99" s="39" t="str">
        <f>IF(NOT(ISNUMBER(tblLabor[[#This Row],[Efficiency]])),"",IF(tblLabor[[#This Row],[Efficiency]]&gt;=TargetEff,"On target",IF(tblLabor[[#This Row],[Efficiency]]&gt;=TargetEff*(1-0.05),"Near target","Below target")))</f>
        <v>Near target</v>
      </c>
      <c r="L99" s="40">
        <f>IF(tblLabor[[#This Row],[Date]]="","",IF(ISNUMBER(tblLabor[[#This Row],[Earned hours (person-h)]]),tblLabor[[#This Row],[Actual hours (person-h)]]-tblLabor[[#This Row],[Earned hours (person-h)]],""))</f>
        <v>5.975</v>
      </c>
      <c r="M99" s="41">
        <f>IF(tblLabor[[#This Row],[Date]]="","",IF(AND(tblLabor[[#This Row],[Date]]&gt;=FFrom,tblLabor[[#This Row],[Date]]&lt;=FTo,OR(DashCell="",tblLabor[[#This Row],[Cell]]=DashCell)),tblLabor[[#This Row],[Date]],""))</f>
        <v>46279</v>
      </c>
      <c r="N9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99" s="28" t="s">
        <v>136</v>
      </c>
    </row>
    <row r="100" spans="2:15" x14ac:dyDescent="0.25">
      <c r="B100" s="35">
        <v>46279</v>
      </c>
      <c r="C100" s="28" t="s">
        <v>101</v>
      </c>
      <c r="D100" s="28" t="s">
        <v>115</v>
      </c>
      <c r="E100" s="36">
        <v>216</v>
      </c>
      <c r="F100" s="29">
        <v>43.5</v>
      </c>
      <c r="G100" s="37" t="str">
        <f>IF(tblLabor[[#This Row],[Date]]="","",IFERROR(INDEX(tblOperations[Cell],MATCH(tblLabor[[#This Row],[Operation]],tblOperations[Operation],0)),""))</f>
        <v>Board line B</v>
      </c>
      <c r="H100" s="38">
        <f>IF(tblLabor[[#This Row],[Date]]="","",IFERROR(INDEX(tblOperations[Std (min/unit)],MATCH(tblLabor[[#This Row],[Operation]],tblOperations[Operation],0)),""))</f>
        <v>9.8</v>
      </c>
      <c r="I100" s="38">
        <f>IF(tblLabor[[#This Row],[Date]]="","",IF(tblLabor[[#This Row],[Std (min/unit)]]="","",tblLabor[[#This Row],[Good units]]*tblLabor[[#This Row],[Std (min/unit)]]/60))</f>
        <v>35.28</v>
      </c>
      <c r="J100" s="31">
        <f>IF(tblLabor[[#This Row],[Date]]="","",IF(AND(tblLabor[[#This Row],[Actual hours (person-h)]]&gt;0,ISNUMBER(tblLabor[[#This Row],[Earned hours (person-h)]])),tblLabor[[#This Row],[Earned hours (person-h)]]/tblLabor[[#This Row],[Actual hours (person-h)]],""))</f>
        <v>0.811034482758621</v>
      </c>
      <c r="K100" s="39" t="str">
        <f>IF(NOT(ISNUMBER(tblLabor[[#This Row],[Efficiency]])),"",IF(tblLabor[[#This Row],[Efficiency]]&gt;=TargetEff,"On target",IF(tblLabor[[#This Row],[Efficiency]]&gt;=TargetEff*(1-0.05),"Near target","Below target")))</f>
        <v>Below target</v>
      </c>
      <c r="L100" s="40">
        <f>IF(tblLabor[[#This Row],[Date]]="","",IF(ISNUMBER(tblLabor[[#This Row],[Earned hours (person-h)]]),tblLabor[[#This Row],[Actual hours (person-h)]]-tblLabor[[#This Row],[Earned hours (person-h)]],""))</f>
        <v>8.22</v>
      </c>
      <c r="M100" s="41">
        <f>IF(tblLabor[[#This Row],[Date]]="","",IF(AND(tblLabor[[#This Row],[Date]]&gt;=FFrom,tblLabor[[#This Row],[Date]]&lt;=FTo,OR(DashCell="",tblLabor[[#This Row],[Cell]]=DashCell)),tblLabor[[#This Row],[Date]],""))</f>
        <v>46279</v>
      </c>
      <c r="N10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0" s="28" t="s">
        <v>136</v>
      </c>
    </row>
    <row r="101" spans="2:15" x14ac:dyDescent="0.25">
      <c r="B101" s="35">
        <v>46279</v>
      </c>
      <c r="C101" s="28" t="s">
        <v>101</v>
      </c>
      <c r="D101" s="28" t="s">
        <v>124</v>
      </c>
      <c r="E101" s="36">
        <v>1927</v>
      </c>
      <c r="F101" s="29">
        <v>28.25</v>
      </c>
      <c r="G101" s="37" t="str">
        <f>IF(tblLabor[[#This Row],[Date]]="","",IFERROR(INDEX(tblOperations[Cell],MATCH(tblLabor[[#This Row],[Operation]],tblOperations[Operation],0)),""))</f>
        <v>Test and pack</v>
      </c>
      <c r="H101" s="38">
        <f>IF(tblLabor[[#This Row],[Date]]="","",IFERROR(INDEX(tblOperations[Std (min/unit)],MATCH(tblLabor[[#This Row],[Operation]],tblOperations[Operation],0)),""))</f>
        <v>0.8</v>
      </c>
      <c r="I101" s="38">
        <f>IF(tblLabor[[#This Row],[Date]]="","",IF(tblLabor[[#This Row],[Std (min/unit)]]="","",tblLabor[[#This Row],[Good units]]*tblLabor[[#This Row],[Std (min/unit)]]/60))</f>
        <v>25.6933333333333</v>
      </c>
      <c r="J101" s="31">
        <f>IF(tblLabor[[#This Row],[Date]]="","",IF(AND(tblLabor[[#This Row],[Actual hours (person-h)]]&gt;0,ISNUMBER(tblLabor[[#This Row],[Earned hours (person-h)]])),tblLabor[[#This Row],[Earned hours (person-h)]]/tblLabor[[#This Row],[Actual hours (person-h)]],""))</f>
        <v>0.909498525073746</v>
      </c>
      <c r="K101" s="39" t="str">
        <f>IF(NOT(ISNUMBER(tblLabor[[#This Row],[Efficiency]])),"",IF(tblLabor[[#This Row],[Efficiency]]&gt;=TargetEff,"On target",IF(tblLabor[[#This Row],[Efficiency]]&gt;=TargetEff*(1-0.05),"Near target","Below target")))</f>
        <v>On target</v>
      </c>
      <c r="L101" s="40">
        <f>IF(tblLabor[[#This Row],[Date]]="","",IF(ISNUMBER(tblLabor[[#This Row],[Earned hours (person-h)]]),tblLabor[[#This Row],[Actual hours (person-h)]]-tblLabor[[#This Row],[Earned hours (person-h)]],""))</f>
        <v>2.55666666666667</v>
      </c>
      <c r="M101" s="41">
        <f>IF(tblLabor[[#This Row],[Date]]="","",IF(AND(tblLabor[[#This Row],[Date]]&gt;=FFrom,tblLabor[[#This Row],[Date]]&lt;=FTo,OR(DashCell="",tblLabor[[#This Row],[Cell]]=DashCell)),tblLabor[[#This Row],[Date]],""))</f>
        <v>46279</v>
      </c>
      <c r="N10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1" s="28" t="s">
        <v>136</v>
      </c>
    </row>
    <row r="102" spans="2:15" x14ac:dyDescent="0.25">
      <c r="B102" s="35">
        <v>46280</v>
      </c>
      <c r="C102" s="28" t="s">
        <v>98</v>
      </c>
      <c r="D102" s="28" t="s">
        <v>108</v>
      </c>
      <c r="E102" s="36">
        <v>409</v>
      </c>
      <c r="F102" s="29">
        <v>17</v>
      </c>
      <c r="G102" s="37" t="str">
        <f>IF(tblLabor[[#This Row],[Date]]="","",IFERROR(INDEX(tblOperations[Cell],MATCH(tblLabor[[#This Row],[Operation]],tblOperations[Operation],0)),""))</f>
        <v>Cut and crimp</v>
      </c>
      <c r="H102" s="38">
        <f>IF(tblLabor[[#This Row],[Date]]="","",IFERROR(INDEX(tblOperations[Std (min/unit)],MATCH(tblLabor[[#This Row],[Operation]],tblOperations[Operation],0)),""))</f>
        <v>2.4</v>
      </c>
      <c r="I102" s="38">
        <f>IF(tblLabor[[#This Row],[Date]]="","",IF(tblLabor[[#This Row],[Std (min/unit)]]="","",tblLabor[[#This Row],[Good units]]*tblLabor[[#This Row],[Std (min/unit)]]/60))</f>
        <v>16.36</v>
      </c>
      <c r="J102" s="31">
        <f>IF(tblLabor[[#This Row],[Date]]="","",IF(AND(tblLabor[[#This Row],[Actual hours (person-h)]]&gt;0,ISNUMBER(tblLabor[[#This Row],[Earned hours (person-h)]])),tblLabor[[#This Row],[Earned hours (person-h)]]/tblLabor[[#This Row],[Actual hours (person-h)]],""))</f>
        <v>0.962352941176471</v>
      </c>
      <c r="K102" s="39" t="str">
        <f>IF(NOT(ISNUMBER(tblLabor[[#This Row],[Efficiency]])),"",IF(tblLabor[[#This Row],[Efficiency]]&gt;=TargetEff,"On target",IF(tblLabor[[#This Row],[Efficiency]]&gt;=TargetEff*(1-0.05),"Near target","Below target")))</f>
        <v>On target</v>
      </c>
      <c r="L102" s="40">
        <f>IF(tblLabor[[#This Row],[Date]]="","",IF(ISNUMBER(tblLabor[[#This Row],[Earned hours (person-h)]]),tblLabor[[#This Row],[Actual hours (person-h)]]-tblLabor[[#This Row],[Earned hours (person-h)]],""))</f>
        <v>0.640000000000001</v>
      </c>
      <c r="M102" s="41">
        <f>IF(tblLabor[[#This Row],[Date]]="","",IF(AND(tblLabor[[#This Row],[Date]]&gt;=FFrom,tblLabor[[#This Row],[Date]]&lt;=FTo,OR(DashCell="",tblLabor[[#This Row],[Cell]]=DashCell)),tblLabor[[#This Row],[Date]],""))</f>
        <v>46280</v>
      </c>
      <c r="N10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2" s="28" t="s">
        <v>136</v>
      </c>
    </row>
    <row r="103" spans="2:15" x14ac:dyDescent="0.25">
      <c r="B103" s="35">
        <v>46280</v>
      </c>
      <c r="C103" s="28" t="s">
        <v>98</v>
      </c>
      <c r="D103" s="28" t="s">
        <v>110</v>
      </c>
      <c r="E103" s="36">
        <v>753</v>
      </c>
      <c r="F103" s="29">
        <v>11.25</v>
      </c>
      <c r="G103" s="37" t="str">
        <f>IF(tblLabor[[#This Row],[Date]]="","",IFERROR(INDEX(tblOperations[Cell],MATCH(tblLabor[[#This Row],[Operation]],tblOperations[Operation],0)),""))</f>
        <v>Cut and crimp</v>
      </c>
      <c r="H103" s="38">
        <f>IF(tblLabor[[#This Row],[Date]]="","",IFERROR(INDEX(tblOperations[Std (min/unit)],MATCH(tblLabor[[#This Row],[Operation]],tblOperations[Operation],0)),""))</f>
        <v>0.9</v>
      </c>
      <c r="I103" s="38">
        <f>IF(tblLabor[[#This Row],[Date]]="","",IF(tblLabor[[#This Row],[Std (min/unit)]]="","",tblLabor[[#This Row],[Good units]]*tblLabor[[#This Row],[Std (min/unit)]]/60))</f>
        <v>11.295</v>
      </c>
      <c r="J103" s="31">
        <f>IF(tblLabor[[#This Row],[Date]]="","",IF(AND(tblLabor[[#This Row],[Actual hours (person-h)]]&gt;0,ISNUMBER(tblLabor[[#This Row],[Earned hours (person-h)]])),tblLabor[[#This Row],[Earned hours (person-h)]]/tblLabor[[#This Row],[Actual hours (person-h)]],""))</f>
        <v>1.004</v>
      </c>
      <c r="K103" s="39" t="str">
        <f>IF(NOT(ISNUMBER(tblLabor[[#This Row],[Efficiency]])),"",IF(tblLabor[[#This Row],[Efficiency]]&gt;=TargetEff,"On target",IF(tblLabor[[#This Row],[Efficiency]]&gt;=TargetEff*(1-0.05),"Near target","Below target")))</f>
        <v>On target</v>
      </c>
      <c r="L103" s="40">
        <f>IF(tblLabor[[#This Row],[Date]]="","",IF(ISNUMBER(tblLabor[[#This Row],[Earned hours (person-h)]]),tblLabor[[#This Row],[Actual hours (person-h)]]-tblLabor[[#This Row],[Earned hours (person-h)]],""))</f>
        <v>-0.0449999999999999</v>
      </c>
      <c r="M103" s="41">
        <f>IF(tblLabor[[#This Row],[Date]]="","",IF(AND(tblLabor[[#This Row],[Date]]&gt;=FFrom,tblLabor[[#This Row],[Date]]&lt;=FTo,OR(DashCell="",tblLabor[[#This Row],[Cell]]=DashCell)),tblLabor[[#This Row],[Date]],""))</f>
        <v>46280</v>
      </c>
      <c r="N10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3" s="28" t="s">
        <v>136</v>
      </c>
    </row>
    <row r="104" spans="2:15" x14ac:dyDescent="0.25">
      <c r="B104" s="35">
        <v>46280</v>
      </c>
      <c r="C104" s="28" t="s">
        <v>98</v>
      </c>
      <c r="D104" s="28" t="s">
        <v>112</v>
      </c>
      <c r="E104" s="36">
        <v>138</v>
      </c>
      <c r="F104" s="29">
        <v>40.75</v>
      </c>
      <c r="G104" s="37" t="str">
        <f>IF(tblLabor[[#This Row],[Date]]="","",IFERROR(INDEX(tblOperations[Cell],MATCH(tblLabor[[#This Row],[Operation]],tblOperations[Operation],0)),""))</f>
        <v>Board line A</v>
      </c>
      <c r="H104" s="38">
        <f>IF(tblLabor[[#This Row],[Date]]="","",IFERROR(INDEX(tblOperations[Std (min/unit)],MATCH(tblLabor[[#This Row],[Operation]],tblOperations[Operation],0)),""))</f>
        <v>16.5</v>
      </c>
      <c r="I104" s="38">
        <f>IF(tblLabor[[#This Row],[Date]]="","",IF(tblLabor[[#This Row],[Std (min/unit)]]="","",tblLabor[[#This Row],[Good units]]*tblLabor[[#This Row],[Std (min/unit)]]/60))</f>
        <v>37.95</v>
      </c>
      <c r="J104" s="31">
        <f>IF(tblLabor[[#This Row],[Date]]="","",IF(AND(tblLabor[[#This Row],[Actual hours (person-h)]]&gt;0,ISNUMBER(tblLabor[[#This Row],[Earned hours (person-h)]])),tblLabor[[#This Row],[Earned hours (person-h)]]/tblLabor[[#This Row],[Actual hours (person-h)]],""))</f>
        <v>0.931288343558282</v>
      </c>
      <c r="K104" s="39" t="str">
        <f>IF(NOT(ISNUMBER(tblLabor[[#This Row],[Efficiency]])),"",IF(tblLabor[[#This Row],[Efficiency]]&gt;=TargetEff,"On target",IF(tblLabor[[#This Row],[Efficiency]]&gt;=TargetEff*(1-0.05),"Near target","Below target")))</f>
        <v>On target</v>
      </c>
      <c r="L104" s="40">
        <f>IF(tblLabor[[#This Row],[Date]]="","",IF(ISNUMBER(tblLabor[[#This Row],[Earned hours (person-h)]]),tblLabor[[#This Row],[Actual hours (person-h)]]-tblLabor[[#This Row],[Earned hours (person-h)]],""))</f>
        <v>2.8</v>
      </c>
      <c r="M104" s="41">
        <f>IF(tblLabor[[#This Row],[Date]]="","",IF(AND(tblLabor[[#This Row],[Date]]&gt;=FFrom,tblLabor[[#This Row],[Date]]&lt;=FTo,OR(DashCell="",tblLabor[[#This Row],[Cell]]=DashCell)),tblLabor[[#This Row],[Date]],""))</f>
        <v>46280</v>
      </c>
      <c r="N10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4" s="28" t="s">
        <v>136</v>
      </c>
    </row>
    <row r="105" spans="2:15" x14ac:dyDescent="0.25">
      <c r="B105" s="35">
        <v>46280</v>
      </c>
      <c r="C105" s="28" t="s">
        <v>98</v>
      </c>
      <c r="D105" s="28" t="s">
        <v>115</v>
      </c>
      <c r="E105" s="36">
        <v>263</v>
      </c>
      <c r="F105" s="29">
        <v>48</v>
      </c>
      <c r="G105" s="37" t="str">
        <f>IF(tblLabor[[#This Row],[Date]]="","",IFERROR(INDEX(tblOperations[Cell],MATCH(tblLabor[[#This Row],[Operation]],tblOperations[Operation],0)),""))</f>
        <v>Board line B</v>
      </c>
      <c r="H105" s="38">
        <f>IF(tblLabor[[#This Row],[Date]]="","",IFERROR(INDEX(tblOperations[Std (min/unit)],MATCH(tblLabor[[#This Row],[Operation]],tblOperations[Operation],0)),""))</f>
        <v>9.8</v>
      </c>
      <c r="I105" s="38">
        <f>IF(tblLabor[[#This Row],[Date]]="","",IF(tblLabor[[#This Row],[Std (min/unit)]]="","",tblLabor[[#This Row],[Good units]]*tblLabor[[#This Row],[Std (min/unit)]]/60))</f>
        <v>42.9566666666667</v>
      </c>
      <c r="J105" s="31">
        <f>IF(tblLabor[[#This Row],[Date]]="","",IF(AND(tblLabor[[#This Row],[Actual hours (person-h)]]&gt;0,ISNUMBER(tblLabor[[#This Row],[Earned hours (person-h)]])),tblLabor[[#This Row],[Earned hours (person-h)]]/tblLabor[[#This Row],[Actual hours (person-h)]],""))</f>
        <v>0.894930555555556</v>
      </c>
      <c r="K105" s="39" t="str">
        <f>IF(NOT(ISNUMBER(tblLabor[[#This Row],[Efficiency]])),"",IF(tblLabor[[#This Row],[Efficiency]]&gt;=TargetEff,"On target",IF(tblLabor[[#This Row],[Efficiency]]&gt;=TargetEff*(1-0.05),"Near target","Below target")))</f>
        <v>Near target</v>
      </c>
      <c r="L105" s="40">
        <f>IF(tblLabor[[#This Row],[Date]]="","",IF(ISNUMBER(tblLabor[[#This Row],[Earned hours (person-h)]]),tblLabor[[#This Row],[Actual hours (person-h)]]-tblLabor[[#This Row],[Earned hours (person-h)]],""))</f>
        <v>5.04333333333333</v>
      </c>
      <c r="M105" s="41">
        <f>IF(tblLabor[[#This Row],[Date]]="","",IF(AND(tblLabor[[#This Row],[Date]]&gt;=FFrom,tblLabor[[#This Row],[Date]]&lt;=FTo,OR(DashCell="",tblLabor[[#This Row],[Cell]]=DashCell)),tblLabor[[#This Row],[Date]],""))</f>
        <v>46280</v>
      </c>
      <c r="N10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5" s="28" t="s">
        <v>136</v>
      </c>
    </row>
    <row r="106" spans="2:15" x14ac:dyDescent="0.25">
      <c r="B106" s="35">
        <v>46280</v>
      </c>
      <c r="C106" s="28" t="s">
        <v>98</v>
      </c>
      <c r="D106" s="28" t="s">
        <v>122</v>
      </c>
      <c r="E106" s="36">
        <v>980</v>
      </c>
      <c r="F106" s="29">
        <v>30.5</v>
      </c>
      <c r="G106" s="37" t="str">
        <f>IF(tblLabor[[#This Row],[Date]]="","",IFERROR(INDEX(tblOperations[Cell],MATCH(tblLabor[[#This Row],[Operation]],tblOperations[Operation],0)),""))</f>
        <v>Test and pack</v>
      </c>
      <c r="H106" s="38">
        <f>IF(tblLabor[[#This Row],[Date]]="","",IFERROR(INDEX(tblOperations[Std (min/unit)],MATCH(tblLabor[[#This Row],[Operation]],tblOperations[Operation],0)),""))</f>
        <v>1.7</v>
      </c>
      <c r="I106" s="38">
        <f>IF(tblLabor[[#This Row],[Date]]="","",IF(tblLabor[[#This Row],[Std (min/unit)]]="","",tblLabor[[#This Row],[Good units]]*tblLabor[[#This Row],[Std (min/unit)]]/60))</f>
        <v>27.7666666666667</v>
      </c>
      <c r="J106" s="31">
        <f>IF(tblLabor[[#This Row],[Date]]="","",IF(AND(tblLabor[[#This Row],[Actual hours (person-h)]]&gt;0,ISNUMBER(tblLabor[[#This Row],[Earned hours (person-h)]])),tblLabor[[#This Row],[Earned hours (person-h)]]/tblLabor[[#This Row],[Actual hours (person-h)]],""))</f>
        <v>0.910382513661202</v>
      </c>
      <c r="K106" s="39" t="str">
        <f>IF(NOT(ISNUMBER(tblLabor[[#This Row],[Efficiency]])),"",IF(tblLabor[[#This Row],[Efficiency]]&gt;=TargetEff,"On target",IF(tblLabor[[#This Row],[Efficiency]]&gt;=TargetEff*(1-0.05),"Near target","Below target")))</f>
        <v>On target</v>
      </c>
      <c r="L106" s="40">
        <f>IF(tblLabor[[#This Row],[Date]]="","",IF(ISNUMBER(tblLabor[[#This Row],[Earned hours (person-h)]]),tblLabor[[#This Row],[Actual hours (person-h)]]-tblLabor[[#This Row],[Earned hours (person-h)]],""))</f>
        <v>2.73333333333333</v>
      </c>
      <c r="M106" s="41">
        <f>IF(tblLabor[[#This Row],[Date]]="","",IF(AND(tblLabor[[#This Row],[Date]]&gt;=FFrom,tblLabor[[#This Row],[Date]]&lt;=FTo,OR(DashCell="",tblLabor[[#This Row],[Cell]]=DashCell)),tblLabor[[#This Row],[Date]],""))</f>
        <v>46280</v>
      </c>
      <c r="N10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6" s="28" t="s">
        <v>136</v>
      </c>
    </row>
    <row r="107" spans="2:15" x14ac:dyDescent="0.25">
      <c r="B107" s="35">
        <v>46280</v>
      </c>
      <c r="C107" s="28" t="s">
        <v>101</v>
      </c>
      <c r="D107" s="28" t="s">
        <v>104</v>
      </c>
      <c r="E107" s="36">
        <v>185</v>
      </c>
      <c r="F107" s="29">
        <v>12.5</v>
      </c>
      <c r="G107" s="37" t="str">
        <f>IF(tblLabor[[#This Row],[Date]]="","",IFERROR(INDEX(tblOperations[Cell],MATCH(tblLabor[[#This Row],[Operation]],tblOperations[Operation],0)),""))</f>
        <v>Cut and crimp</v>
      </c>
      <c r="H107" s="38">
        <f>IF(tblLabor[[#This Row],[Date]]="","",IFERROR(INDEX(tblOperations[Std (min/unit)],MATCH(tblLabor[[#This Row],[Operation]],tblOperations[Operation],0)),""))</f>
        <v>3.8</v>
      </c>
      <c r="I107" s="38">
        <f>IF(tblLabor[[#This Row],[Date]]="","",IF(tblLabor[[#This Row],[Std (min/unit)]]="","",tblLabor[[#This Row],[Good units]]*tblLabor[[#This Row],[Std (min/unit)]]/60))</f>
        <v>11.7166666666667</v>
      </c>
      <c r="J107" s="31">
        <f>IF(tblLabor[[#This Row],[Date]]="","",IF(AND(tblLabor[[#This Row],[Actual hours (person-h)]]&gt;0,ISNUMBER(tblLabor[[#This Row],[Earned hours (person-h)]])),tblLabor[[#This Row],[Earned hours (person-h)]]/tblLabor[[#This Row],[Actual hours (person-h)]],""))</f>
        <v>0.937333333333333</v>
      </c>
      <c r="K107" s="39" t="str">
        <f>IF(NOT(ISNUMBER(tblLabor[[#This Row],[Efficiency]])),"",IF(tblLabor[[#This Row],[Efficiency]]&gt;=TargetEff,"On target",IF(tblLabor[[#This Row],[Efficiency]]&gt;=TargetEff*(1-0.05),"Near target","Below target")))</f>
        <v>On target</v>
      </c>
      <c r="L107" s="40">
        <f>IF(tblLabor[[#This Row],[Date]]="","",IF(ISNUMBER(tblLabor[[#This Row],[Earned hours (person-h)]]),tblLabor[[#This Row],[Actual hours (person-h)]]-tblLabor[[#This Row],[Earned hours (person-h)]],""))</f>
        <v>0.783333333333333</v>
      </c>
      <c r="M107" s="41">
        <f>IF(tblLabor[[#This Row],[Date]]="","",IF(AND(tblLabor[[#This Row],[Date]]&gt;=FFrom,tblLabor[[#This Row],[Date]]&lt;=FTo,OR(DashCell="",tblLabor[[#This Row],[Cell]]=DashCell)),tblLabor[[#This Row],[Date]],""))</f>
        <v>46280</v>
      </c>
      <c r="N10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7" s="28" t="s">
        <v>136</v>
      </c>
    </row>
    <row r="108" spans="2:15" x14ac:dyDescent="0.25">
      <c r="B108" s="35">
        <v>46280</v>
      </c>
      <c r="C108" s="28" t="s">
        <v>101</v>
      </c>
      <c r="D108" s="28" t="s">
        <v>106</v>
      </c>
      <c r="E108" s="36">
        <v>91</v>
      </c>
      <c r="F108" s="29">
        <v>8.5</v>
      </c>
      <c r="G108" s="37" t="str">
        <f>IF(tblLabor[[#This Row],[Date]]="","",IFERROR(INDEX(tblOperations[Cell],MATCH(tblLabor[[#This Row],[Operation]],tblOperations[Operation],0)),""))</f>
        <v>Cut and crimp</v>
      </c>
      <c r="H108" s="38">
        <f>IF(tblLabor[[#This Row],[Date]]="","",IFERROR(INDEX(tblOperations[Std (min/unit)],MATCH(tblLabor[[#This Row],[Operation]],tblOperations[Operation],0)),""))</f>
        <v>5.2</v>
      </c>
      <c r="I108" s="38">
        <f>IF(tblLabor[[#This Row],[Date]]="","",IF(tblLabor[[#This Row],[Std (min/unit)]]="","",tblLabor[[#This Row],[Good units]]*tblLabor[[#This Row],[Std (min/unit)]]/60))</f>
        <v>7.88666666666667</v>
      </c>
      <c r="J108" s="31">
        <f>IF(tblLabor[[#This Row],[Date]]="","",IF(AND(tblLabor[[#This Row],[Actual hours (person-h)]]&gt;0,ISNUMBER(tblLabor[[#This Row],[Earned hours (person-h)]])),tblLabor[[#This Row],[Earned hours (person-h)]]/tblLabor[[#This Row],[Actual hours (person-h)]],""))</f>
        <v>0.927843137254902</v>
      </c>
      <c r="K108" s="39" t="str">
        <f>IF(NOT(ISNUMBER(tblLabor[[#This Row],[Efficiency]])),"",IF(tblLabor[[#This Row],[Efficiency]]&gt;=TargetEff,"On target",IF(tblLabor[[#This Row],[Efficiency]]&gt;=TargetEff*(1-0.05),"Near target","Below target")))</f>
        <v>On target</v>
      </c>
      <c r="L108" s="40">
        <f>IF(tblLabor[[#This Row],[Date]]="","",IF(ISNUMBER(tblLabor[[#This Row],[Earned hours (person-h)]]),tblLabor[[#This Row],[Actual hours (person-h)]]-tblLabor[[#This Row],[Earned hours (person-h)]],""))</f>
        <v>0.613333333333333</v>
      </c>
      <c r="M108" s="41">
        <f>IF(tblLabor[[#This Row],[Date]]="","",IF(AND(tblLabor[[#This Row],[Date]]&gt;=FFrom,tblLabor[[#This Row],[Date]]&lt;=FTo,OR(DashCell="",tblLabor[[#This Row],[Cell]]=DashCell)),tblLabor[[#This Row],[Date]],""))</f>
        <v>46280</v>
      </c>
      <c r="N10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8" s="28" t="s">
        <v>136</v>
      </c>
    </row>
    <row r="109" spans="2:15" x14ac:dyDescent="0.25">
      <c r="B109" s="35">
        <v>46280</v>
      </c>
      <c r="C109" s="28" t="s">
        <v>101</v>
      </c>
      <c r="D109" s="28" t="s">
        <v>112</v>
      </c>
      <c r="E109" s="36">
        <v>158</v>
      </c>
      <c r="F109" s="29">
        <v>47.5</v>
      </c>
      <c r="G109" s="37" t="str">
        <f>IF(tblLabor[[#This Row],[Date]]="","",IFERROR(INDEX(tblOperations[Cell],MATCH(tblLabor[[#This Row],[Operation]],tblOperations[Operation],0)),""))</f>
        <v>Board line A</v>
      </c>
      <c r="H109" s="38">
        <f>IF(tblLabor[[#This Row],[Date]]="","",IFERROR(INDEX(tblOperations[Std (min/unit)],MATCH(tblLabor[[#This Row],[Operation]],tblOperations[Operation],0)),""))</f>
        <v>16.5</v>
      </c>
      <c r="I109" s="38">
        <f>IF(tblLabor[[#This Row],[Date]]="","",IF(tblLabor[[#This Row],[Std (min/unit)]]="","",tblLabor[[#This Row],[Good units]]*tblLabor[[#This Row],[Std (min/unit)]]/60))</f>
        <v>43.45</v>
      </c>
      <c r="J109" s="31">
        <f>IF(tblLabor[[#This Row],[Date]]="","",IF(AND(tblLabor[[#This Row],[Actual hours (person-h)]]&gt;0,ISNUMBER(tblLabor[[#This Row],[Earned hours (person-h)]])),tblLabor[[#This Row],[Earned hours (person-h)]]/tblLabor[[#This Row],[Actual hours (person-h)]],""))</f>
        <v>0.914736842105263</v>
      </c>
      <c r="K109" s="39" t="str">
        <f>IF(NOT(ISNUMBER(tblLabor[[#This Row],[Efficiency]])),"",IF(tblLabor[[#This Row],[Efficiency]]&gt;=TargetEff,"On target",IF(tblLabor[[#This Row],[Efficiency]]&gt;=TargetEff*(1-0.05),"Near target","Below target")))</f>
        <v>On target</v>
      </c>
      <c r="L109" s="40">
        <f>IF(tblLabor[[#This Row],[Date]]="","",IF(ISNUMBER(tblLabor[[#This Row],[Earned hours (person-h)]]),tblLabor[[#This Row],[Actual hours (person-h)]]-tblLabor[[#This Row],[Earned hours (person-h)]],""))</f>
        <v>4.05</v>
      </c>
      <c r="M109" s="41">
        <f>IF(tblLabor[[#This Row],[Date]]="","",IF(AND(tblLabor[[#This Row],[Date]]&gt;=FFrom,tblLabor[[#This Row],[Date]]&lt;=FTo,OR(DashCell="",tblLabor[[#This Row],[Cell]]=DashCell)),tblLabor[[#This Row],[Date]],""))</f>
        <v>46280</v>
      </c>
      <c r="N10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09" s="28" t="s">
        <v>136</v>
      </c>
    </row>
    <row r="110" spans="2:15" x14ac:dyDescent="0.25">
      <c r="B110" s="35">
        <v>46280</v>
      </c>
      <c r="C110" s="28" t="s">
        <v>101</v>
      </c>
      <c r="D110" s="28" t="s">
        <v>115</v>
      </c>
      <c r="E110" s="36">
        <v>228</v>
      </c>
      <c r="F110" s="29">
        <v>47</v>
      </c>
      <c r="G110" s="37" t="str">
        <f>IF(tblLabor[[#This Row],[Date]]="","",IFERROR(INDEX(tblOperations[Cell],MATCH(tblLabor[[#This Row],[Operation]],tblOperations[Operation],0)),""))</f>
        <v>Board line B</v>
      </c>
      <c r="H110" s="38">
        <f>IF(tblLabor[[#This Row],[Date]]="","",IFERROR(INDEX(tblOperations[Std (min/unit)],MATCH(tblLabor[[#This Row],[Operation]],tblOperations[Operation],0)),""))</f>
        <v>9.8</v>
      </c>
      <c r="I110" s="38">
        <f>IF(tblLabor[[#This Row],[Date]]="","",IF(tblLabor[[#This Row],[Std (min/unit)]]="","",tblLabor[[#This Row],[Good units]]*tblLabor[[#This Row],[Std (min/unit)]]/60))</f>
        <v>37.24</v>
      </c>
      <c r="J110" s="31">
        <f>IF(tblLabor[[#This Row],[Date]]="","",IF(AND(tblLabor[[#This Row],[Actual hours (person-h)]]&gt;0,ISNUMBER(tblLabor[[#This Row],[Earned hours (person-h)]])),tblLabor[[#This Row],[Earned hours (person-h)]]/tblLabor[[#This Row],[Actual hours (person-h)]],""))</f>
        <v>0.792340425531915</v>
      </c>
      <c r="K110" s="39" t="str">
        <f>IF(NOT(ISNUMBER(tblLabor[[#This Row],[Efficiency]])),"",IF(tblLabor[[#This Row],[Efficiency]]&gt;=TargetEff,"On target",IF(tblLabor[[#This Row],[Efficiency]]&gt;=TargetEff*(1-0.05),"Near target","Below target")))</f>
        <v>Below target</v>
      </c>
      <c r="L110" s="40">
        <f>IF(tblLabor[[#This Row],[Date]]="","",IF(ISNUMBER(tblLabor[[#This Row],[Earned hours (person-h)]]),tblLabor[[#This Row],[Actual hours (person-h)]]-tblLabor[[#This Row],[Earned hours (person-h)]],""))</f>
        <v>9.76</v>
      </c>
      <c r="M110" s="41">
        <f>IF(tblLabor[[#This Row],[Date]]="","",IF(AND(tblLabor[[#This Row],[Date]]&gt;=FFrom,tblLabor[[#This Row],[Date]]&lt;=FTo,OR(DashCell="",tblLabor[[#This Row],[Cell]]=DashCell)),tblLabor[[#This Row],[Date]],""))</f>
        <v>46280</v>
      </c>
      <c r="N11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0" s="28" t="s">
        <v>136</v>
      </c>
    </row>
    <row r="111" spans="2:15" x14ac:dyDescent="0.25">
      <c r="B111" s="35">
        <v>46280</v>
      </c>
      <c r="C111" s="28" t="s">
        <v>101</v>
      </c>
      <c r="D111" s="28" t="s">
        <v>118</v>
      </c>
      <c r="E111" s="36">
        <v>623</v>
      </c>
      <c r="F111" s="29">
        <v>30.25</v>
      </c>
      <c r="G111" s="37" t="str">
        <f>IF(tblLabor[[#This Row],[Date]]="","",IFERROR(INDEX(tblOperations[Cell],MATCH(tblLabor[[#This Row],[Operation]],tblOperations[Operation],0)),""))</f>
        <v>Test and pack</v>
      </c>
      <c r="H111" s="38">
        <f>IF(tblLabor[[#This Row],[Date]]="","",IFERROR(INDEX(tblOperations[Std (min/unit)],MATCH(tblLabor[[#This Row],[Operation]],tblOperations[Operation],0)),""))</f>
        <v>2.6</v>
      </c>
      <c r="I111" s="38">
        <f>IF(tblLabor[[#This Row],[Date]]="","",IF(tblLabor[[#This Row],[Std (min/unit)]]="","",tblLabor[[#This Row],[Good units]]*tblLabor[[#This Row],[Std (min/unit)]]/60))</f>
        <v>26.9966666666667</v>
      </c>
      <c r="J111" s="31">
        <f>IF(tblLabor[[#This Row],[Date]]="","",IF(AND(tblLabor[[#This Row],[Actual hours (person-h)]]&gt;0,ISNUMBER(tblLabor[[#This Row],[Earned hours (person-h)]])),tblLabor[[#This Row],[Earned hours (person-h)]]/tblLabor[[#This Row],[Actual hours (person-h)]],""))</f>
        <v>0.892451790633609</v>
      </c>
      <c r="K111" s="39" t="str">
        <f>IF(NOT(ISNUMBER(tblLabor[[#This Row],[Efficiency]])),"",IF(tblLabor[[#This Row],[Efficiency]]&gt;=TargetEff,"On target",IF(tblLabor[[#This Row],[Efficiency]]&gt;=TargetEff*(1-0.05),"Near target","Below target")))</f>
        <v>Near target</v>
      </c>
      <c r="L111" s="40">
        <f>IF(tblLabor[[#This Row],[Date]]="","",IF(ISNUMBER(tblLabor[[#This Row],[Earned hours (person-h)]]),tblLabor[[#This Row],[Actual hours (person-h)]]-tblLabor[[#This Row],[Earned hours (person-h)]],""))</f>
        <v>3.25333333333333</v>
      </c>
      <c r="M111" s="41">
        <f>IF(tblLabor[[#This Row],[Date]]="","",IF(AND(tblLabor[[#This Row],[Date]]&gt;=FFrom,tblLabor[[#This Row],[Date]]&lt;=FTo,OR(DashCell="",tblLabor[[#This Row],[Cell]]=DashCell)),tblLabor[[#This Row],[Date]],""))</f>
        <v>46280</v>
      </c>
      <c r="N11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1" s="28" t="s">
        <v>136</v>
      </c>
    </row>
    <row r="112" spans="2:15" x14ac:dyDescent="0.25">
      <c r="B112" s="35">
        <v>46282</v>
      </c>
      <c r="C112" s="28" t="s">
        <v>98</v>
      </c>
      <c r="D112" s="28" t="s">
        <v>104</v>
      </c>
      <c r="E112" s="36">
        <v>181</v>
      </c>
      <c r="F112" s="29">
        <v>11.75</v>
      </c>
      <c r="G112" s="37" t="str">
        <f>IF(tblLabor[[#This Row],[Date]]="","",IFERROR(INDEX(tblOperations[Cell],MATCH(tblLabor[[#This Row],[Operation]],tblOperations[Operation],0)),""))</f>
        <v>Cut and crimp</v>
      </c>
      <c r="H112" s="38">
        <f>IF(tblLabor[[#This Row],[Date]]="","",IFERROR(INDEX(tblOperations[Std (min/unit)],MATCH(tblLabor[[#This Row],[Operation]],tblOperations[Operation],0)),""))</f>
        <v>3.8</v>
      </c>
      <c r="I112" s="38">
        <f>IF(tblLabor[[#This Row],[Date]]="","",IF(tblLabor[[#This Row],[Std (min/unit)]]="","",tblLabor[[#This Row],[Good units]]*tblLabor[[#This Row],[Std (min/unit)]]/60))</f>
        <v>11.4633333333333</v>
      </c>
      <c r="J112" s="31">
        <f>IF(tblLabor[[#This Row],[Date]]="","",IF(AND(tblLabor[[#This Row],[Actual hours (person-h)]]&gt;0,ISNUMBER(tblLabor[[#This Row],[Earned hours (person-h)]])),tblLabor[[#This Row],[Earned hours (person-h)]]/tblLabor[[#This Row],[Actual hours (person-h)]],""))</f>
        <v>0.975602836879433</v>
      </c>
      <c r="K112" s="39" t="str">
        <f>IF(NOT(ISNUMBER(tblLabor[[#This Row],[Efficiency]])),"",IF(tblLabor[[#This Row],[Efficiency]]&gt;=TargetEff,"On target",IF(tblLabor[[#This Row],[Efficiency]]&gt;=TargetEff*(1-0.05),"Near target","Below target")))</f>
        <v>On target</v>
      </c>
      <c r="L112" s="40">
        <f>IF(tblLabor[[#This Row],[Date]]="","",IF(ISNUMBER(tblLabor[[#This Row],[Earned hours (person-h)]]),tblLabor[[#This Row],[Actual hours (person-h)]]-tblLabor[[#This Row],[Earned hours (person-h)]],""))</f>
        <v>0.286666666666667</v>
      </c>
      <c r="M112" s="41">
        <f>IF(tblLabor[[#This Row],[Date]]="","",IF(AND(tblLabor[[#This Row],[Date]]&gt;=FFrom,tblLabor[[#This Row],[Date]]&lt;=FTo,OR(DashCell="",tblLabor[[#This Row],[Cell]]=DashCell)),tblLabor[[#This Row],[Date]],""))</f>
        <v>46282</v>
      </c>
      <c r="N11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2" s="28" t="s">
        <v>136</v>
      </c>
    </row>
    <row r="113" spans="2:15" x14ac:dyDescent="0.25">
      <c r="B113" s="35">
        <v>46282</v>
      </c>
      <c r="C113" s="28" t="s">
        <v>98</v>
      </c>
      <c r="D113" s="28" t="s">
        <v>106</v>
      </c>
      <c r="E113" s="36">
        <v>107</v>
      </c>
      <c r="F113" s="29">
        <v>9.5</v>
      </c>
      <c r="G113" s="37" t="str">
        <f>IF(tblLabor[[#This Row],[Date]]="","",IFERROR(INDEX(tblOperations[Cell],MATCH(tblLabor[[#This Row],[Operation]],tblOperations[Operation],0)),""))</f>
        <v>Cut and crimp</v>
      </c>
      <c r="H113" s="38">
        <f>IF(tblLabor[[#This Row],[Date]]="","",IFERROR(INDEX(tblOperations[Std (min/unit)],MATCH(tblLabor[[#This Row],[Operation]],tblOperations[Operation],0)),""))</f>
        <v>5.2</v>
      </c>
      <c r="I113" s="38">
        <f>IF(tblLabor[[#This Row],[Date]]="","",IF(tblLabor[[#This Row],[Std (min/unit)]]="","",tblLabor[[#This Row],[Good units]]*tblLabor[[#This Row],[Std (min/unit)]]/60))</f>
        <v>9.27333333333333</v>
      </c>
      <c r="J113" s="31">
        <f>IF(tblLabor[[#This Row],[Date]]="","",IF(AND(tblLabor[[#This Row],[Actual hours (person-h)]]&gt;0,ISNUMBER(tblLabor[[#This Row],[Earned hours (person-h)]])),tblLabor[[#This Row],[Earned hours (person-h)]]/tblLabor[[#This Row],[Actual hours (person-h)]],""))</f>
        <v>0.976140350877193</v>
      </c>
      <c r="K113" s="39" t="str">
        <f>IF(NOT(ISNUMBER(tblLabor[[#This Row],[Efficiency]])),"",IF(tblLabor[[#This Row],[Efficiency]]&gt;=TargetEff,"On target",IF(tblLabor[[#This Row],[Efficiency]]&gt;=TargetEff*(1-0.05),"Near target","Below target")))</f>
        <v>On target</v>
      </c>
      <c r="L113" s="40">
        <f>IF(tblLabor[[#This Row],[Date]]="","",IF(ISNUMBER(tblLabor[[#This Row],[Earned hours (person-h)]]),tblLabor[[#This Row],[Actual hours (person-h)]]-tblLabor[[#This Row],[Earned hours (person-h)]],""))</f>
        <v>0.226666666666667</v>
      </c>
      <c r="M113" s="41">
        <f>IF(tblLabor[[#This Row],[Date]]="","",IF(AND(tblLabor[[#This Row],[Date]]&gt;=FFrom,tblLabor[[#This Row],[Date]]&lt;=FTo,OR(DashCell="",tblLabor[[#This Row],[Cell]]=DashCell)),tblLabor[[#This Row],[Date]],""))</f>
        <v>46282</v>
      </c>
      <c r="N11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3" s="28" t="s">
        <v>136</v>
      </c>
    </row>
    <row r="114" spans="2:15" x14ac:dyDescent="0.25">
      <c r="B114" s="35">
        <v>46282</v>
      </c>
      <c r="C114" s="28" t="s">
        <v>98</v>
      </c>
      <c r="D114" s="28" t="s">
        <v>114</v>
      </c>
      <c r="E114" s="36">
        <v>117</v>
      </c>
      <c r="F114" s="29">
        <v>46.75</v>
      </c>
      <c r="G114" s="37" t="str">
        <f>IF(tblLabor[[#This Row],[Date]]="","",IFERROR(INDEX(tblOperations[Cell],MATCH(tblLabor[[#This Row],[Operation]],tblOperations[Operation],0)),""))</f>
        <v>Board line A</v>
      </c>
      <c r="H114" s="38">
        <f>IF(tblLabor[[#This Row],[Date]]="","",IFERROR(INDEX(tblOperations[Std (min/unit)],MATCH(tblLabor[[#This Row],[Operation]],tblOperations[Operation],0)),""))</f>
        <v>22</v>
      </c>
      <c r="I114" s="38">
        <f>IF(tblLabor[[#This Row],[Date]]="","",IF(tblLabor[[#This Row],[Std (min/unit)]]="","",tblLabor[[#This Row],[Good units]]*tblLabor[[#This Row],[Std (min/unit)]]/60))</f>
        <v>42.9</v>
      </c>
      <c r="J114" s="31">
        <f>IF(tblLabor[[#This Row],[Date]]="","",IF(AND(tblLabor[[#This Row],[Actual hours (person-h)]]&gt;0,ISNUMBER(tblLabor[[#This Row],[Earned hours (person-h)]])),tblLabor[[#This Row],[Earned hours (person-h)]]/tblLabor[[#This Row],[Actual hours (person-h)]],""))</f>
        <v>0.917647058823529</v>
      </c>
      <c r="K114" s="39" t="str">
        <f>IF(NOT(ISNUMBER(tblLabor[[#This Row],[Efficiency]])),"",IF(tblLabor[[#This Row],[Efficiency]]&gt;=TargetEff,"On target",IF(tblLabor[[#This Row],[Efficiency]]&gt;=TargetEff*(1-0.05),"Near target","Below target")))</f>
        <v>On target</v>
      </c>
      <c r="L114" s="40">
        <f>IF(tblLabor[[#This Row],[Date]]="","",IF(ISNUMBER(tblLabor[[#This Row],[Earned hours (person-h)]]),tblLabor[[#This Row],[Actual hours (person-h)]]-tblLabor[[#This Row],[Earned hours (person-h)]],""))</f>
        <v>3.85</v>
      </c>
      <c r="M114" s="41">
        <f>IF(tblLabor[[#This Row],[Date]]="","",IF(AND(tblLabor[[#This Row],[Date]]&gt;=FFrom,tblLabor[[#This Row],[Date]]&lt;=FTo,OR(DashCell="",tblLabor[[#This Row],[Cell]]=DashCell)),tblLabor[[#This Row],[Date]],""))</f>
        <v>46282</v>
      </c>
      <c r="N11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4" s="28" t="s">
        <v>136</v>
      </c>
    </row>
    <row r="115" spans="2:15" x14ac:dyDescent="0.25">
      <c r="B115" s="35">
        <v>46282</v>
      </c>
      <c r="C115" s="28" t="s">
        <v>98</v>
      </c>
      <c r="D115" s="28" t="s">
        <v>115</v>
      </c>
      <c r="E115" s="36">
        <v>257</v>
      </c>
      <c r="F115" s="29">
        <v>48.25</v>
      </c>
      <c r="G115" s="37" t="str">
        <f>IF(tblLabor[[#This Row],[Date]]="","",IFERROR(INDEX(tblOperations[Cell],MATCH(tblLabor[[#This Row],[Operation]],tblOperations[Operation],0)),""))</f>
        <v>Board line B</v>
      </c>
      <c r="H115" s="38">
        <f>IF(tblLabor[[#This Row],[Date]]="","",IFERROR(INDEX(tblOperations[Std (min/unit)],MATCH(tblLabor[[#This Row],[Operation]],tblOperations[Operation],0)),""))</f>
        <v>9.8</v>
      </c>
      <c r="I115" s="38">
        <f>IF(tblLabor[[#This Row],[Date]]="","",IF(tblLabor[[#This Row],[Std (min/unit)]]="","",tblLabor[[#This Row],[Good units]]*tblLabor[[#This Row],[Std (min/unit)]]/60))</f>
        <v>41.9766666666667</v>
      </c>
      <c r="J115" s="31">
        <f>IF(tblLabor[[#This Row],[Date]]="","",IF(AND(tblLabor[[#This Row],[Actual hours (person-h)]]&gt;0,ISNUMBER(tblLabor[[#This Row],[Earned hours (person-h)]])),tblLabor[[#This Row],[Earned hours (person-h)]]/tblLabor[[#This Row],[Actual hours (person-h)]],""))</f>
        <v>0.869982728842833</v>
      </c>
      <c r="K115" s="39" t="str">
        <f>IF(NOT(ISNUMBER(tblLabor[[#This Row],[Efficiency]])),"",IF(tblLabor[[#This Row],[Efficiency]]&gt;=TargetEff,"On target",IF(tblLabor[[#This Row],[Efficiency]]&gt;=TargetEff*(1-0.05),"Near target","Below target")))</f>
        <v>Near target</v>
      </c>
      <c r="L115" s="40">
        <f>IF(tblLabor[[#This Row],[Date]]="","",IF(ISNUMBER(tblLabor[[#This Row],[Earned hours (person-h)]]),tblLabor[[#This Row],[Actual hours (person-h)]]-tblLabor[[#This Row],[Earned hours (person-h)]],""))</f>
        <v>6.27333333333333</v>
      </c>
      <c r="M115" s="41">
        <f>IF(tblLabor[[#This Row],[Date]]="","",IF(AND(tblLabor[[#This Row],[Date]]&gt;=FFrom,tblLabor[[#This Row],[Date]]&lt;=FTo,OR(DashCell="",tblLabor[[#This Row],[Cell]]=DashCell)),tblLabor[[#This Row],[Date]],""))</f>
        <v>46282</v>
      </c>
      <c r="N11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5" s="28" t="s">
        <v>136</v>
      </c>
    </row>
    <row r="116" spans="2:15" x14ac:dyDescent="0.25">
      <c r="B116" s="35">
        <v>46282</v>
      </c>
      <c r="C116" s="28" t="s">
        <v>98</v>
      </c>
      <c r="D116" s="28" t="s">
        <v>118</v>
      </c>
      <c r="E116" s="36">
        <v>522</v>
      </c>
      <c r="F116" s="29">
        <v>25</v>
      </c>
      <c r="G116" s="37" t="str">
        <f>IF(tblLabor[[#This Row],[Date]]="","",IFERROR(INDEX(tblOperations[Cell],MATCH(tblLabor[[#This Row],[Operation]],tblOperations[Operation],0)),""))</f>
        <v>Test and pack</v>
      </c>
      <c r="H116" s="38">
        <f>IF(tblLabor[[#This Row],[Date]]="","",IFERROR(INDEX(tblOperations[Std (min/unit)],MATCH(tblLabor[[#This Row],[Operation]],tblOperations[Operation],0)),""))</f>
        <v>2.6</v>
      </c>
      <c r="I116" s="38">
        <f>IF(tblLabor[[#This Row],[Date]]="","",IF(tblLabor[[#This Row],[Std (min/unit)]]="","",tblLabor[[#This Row],[Good units]]*tblLabor[[#This Row],[Std (min/unit)]]/60))</f>
        <v>22.62</v>
      </c>
      <c r="J116" s="31">
        <f>IF(tblLabor[[#This Row],[Date]]="","",IF(AND(tblLabor[[#This Row],[Actual hours (person-h)]]&gt;0,ISNUMBER(tblLabor[[#This Row],[Earned hours (person-h)]])),tblLabor[[#This Row],[Earned hours (person-h)]]/tblLabor[[#This Row],[Actual hours (person-h)]],""))</f>
        <v>0.9048</v>
      </c>
      <c r="K116" s="39" t="str">
        <f>IF(NOT(ISNUMBER(tblLabor[[#This Row],[Efficiency]])),"",IF(tblLabor[[#This Row],[Efficiency]]&gt;=TargetEff,"On target",IF(tblLabor[[#This Row],[Efficiency]]&gt;=TargetEff*(1-0.05),"Near target","Below target")))</f>
        <v>On target</v>
      </c>
      <c r="L116" s="40">
        <f>IF(tblLabor[[#This Row],[Date]]="","",IF(ISNUMBER(tblLabor[[#This Row],[Earned hours (person-h)]]),tblLabor[[#This Row],[Actual hours (person-h)]]-tblLabor[[#This Row],[Earned hours (person-h)]],""))</f>
        <v>2.38</v>
      </c>
      <c r="M116" s="41">
        <f>IF(tblLabor[[#This Row],[Date]]="","",IF(AND(tblLabor[[#This Row],[Date]]&gt;=FFrom,tblLabor[[#This Row],[Date]]&lt;=FTo,OR(DashCell="",tblLabor[[#This Row],[Cell]]=DashCell)),tblLabor[[#This Row],[Date]],""))</f>
        <v>46282</v>
      </c>
      <c r="N11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6" s="28" t="s">
        <v>136</v>
      </c>
    </row>
    <row r="117" spans="2:15" x14ac:dyDescent="0.25">
      <c r="B117" s="35">
        <v>46282</v>
      </c>
      <c r="C117" s="28" t="s">
        <v>101</v>
      </c>
      <c r="D117" s="28" t="s">
        <v>108</v>
      </c>
      <c r="E117" s="36">
        <v>374</v>
      </c>
      <c r="F117" s="29">
        <v>15.75</v>
      </c>
      <c r="G117" s="37" t="str">
        <f>IF(tblLabor[[#This Row],[Date]]="","",IFERROR(INDEX(tblOperations[Cell],MATCH(tblLabor[[#This Row],[Operation]],tblOperations[Operation],0)),""))</f>
        <v>Cut and crimp</v>
      </c>
      <c r="H117" s="38">
        <f>IF(tblLabor[[#This Row],[Date]]="","",IFERROR(INDEX(tblOperations[Std (min/unit)],MATCH(tblLabor[[#This Row],[Operation]],tblOperations[Operation],0)),""))</f>
        <v>2.4</v>
      </c>
      <c r="I117" s="38">
        <f>IF(tblLabor[[#This Row],[Date]]="","",IF(tblLabor[[#This Row],[Std (min/unit)]]="","",tblLabor[[#This Row],[Good units]]*tblLabor[[#This Row],[Std (min/unit)]]/60))</f>
        <v>14.96</v>
      </c>
      <c r="J117" s="31">
        <f>IF(tblLabor[[#This Row],[Date]]="","",IF(AND(tblLabor[[#This Row],[Actual hours (person-h)]]&gt;0,ISNUMBER(tblLabor[[#This Row],[Earned hours (person-h)]])),tblLabor[[#This Row],[Earned hours (person-h)]]/tblLabor[[#This Row],[Actual hours (person-h)]],""))</f>
        <v>0.94984126984127</v>
      </c>
      <c r="K117" s="39" t="str">
        <f>IF(NOT(ISNUMBER(tblLabor[[#This Row],[Efficiency]])),"",IF(tblLabor[[#This Row],[Efficiency]]&gt;=TargetEff,"On target",IF(tblLabor[[#This Row],[Efficiency]]&gt;=TargetEff*(1-0.05),"Near target","Below target")))</f>
        <v>On target</v>
      </c>
      <c r="L117" s="40">
        <f>IF(tblLabor[[#This Row],[Date]]="","",IF(ISNUMBER(tblLabor[[#This Row],[Earned hours (person-h)]]),tblLabor[[#This Row],[Actual hours (person-h)]]-tblLabor[[#This Row],[Earned hours (person-h)]],""))</f>
        <v>0.789999999999999</v>
      </c>
      <c r="M117" s="41">
        <f>IF(tblLabor[[#This Row],[Date]]="","",IF(AND(tblLabor[[#This Row],[Date]]&gt;=FFrom,tblLabor[[#This Row],[Date]]&lt;=FTo,OR(DashCell="",tblLabor[[#This Row],[Cell]]=DashCell)),tblLabor[[#This Row],[Date]],""))</f>
        <v>46282</v>
      </c>
      <c r="N11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7" s="28" t="s">
        <v>136</v>
      </c>
    </row>
    <row r="118" spans="2:15" x14ac:dyDescent="0.25">
      <c r="B118" s="35">
        <v>46282</v>
      </c>
      <c r="C118" s="28" t="s">
        <v>101</v>
      </c>
      <c r="D118" s="28" t="s">
        <v>110</v>
      </c>
      <c r="E118" s="36">
        <v>843</v>
      </c>
      <c r="F118" s="29">
        <v>13</v>
      </c>
      <c r="G118" s="37" t="str">
        <f>IF(tblLabor[[#This Row],[Date]]="","",IFERROR(INDEX(tblOperations[Cell],MATCH(tblLabor[[#This Row],[Operation]],tblOperations[Operation],0)),""))</f>
        <v>Cut and crimp</v>
      </c>
      <c r="H118" s="38">
        <f>IF(tblLabor[[#This Row],[Date]]="","",IFERROR(INDEX(tblOperations[Std (min/unit)],MATCH(tblLabor[[#This Row],[Operation]],tblOperations[Operation],0)),""))</f>
        <v>0.9</v>
      </c>
      <c r="I118" s="38">
        <f>IF(tblLabor[[#This Row],[Date]]="","",IF(tblLabor[[#This Row],[Std (min/unit)]]="","",tblLabor[[#This Row],[Good units]]*tblLabor[[#This Row],[Std (min/unit)]]/60))</f>
        <v>12.645</v>
      </c>
      <c r="J118" s="31">
        <f>IF(tblLabor[[#This Row],[Date]]="","",IF(AND(tblLabor[[#This Row],[Actual hours (person-h)]]&gt;0,ISNUMBER(tblLabor[[#This Row],[Earned hours (person-h)]])),tblLabor[[#This Row],[Earned hours (person-h)]]/tblLabor[[#This Row],[Actual hours (person-h)]],""))</f>
        <v>0.972692307692308</v>
      </c>
      <c r="K118" s="39" t="str">
        <f>IF(NOT(ISNUMBER(tblLabor[[#This Row],[Efficiency]])),"",IF(tblLabor[[#This Row],[Efficiency]]&gt;=TargetEff,"On target",IF(tblLabor[[#This Row],[Efficiency]]&gt;=TargetEff*(1-0.05),"Near target","Below target")))</f>
        <v>On target</v>
      </c>
      <c r="L118" s="40">
        <f>IF(tblLabor[[#This Row],[Date]]="","",IF(ISNUMBER(tblLabor[[#This Row],[Earned hours (person-h)]]),tblLabor[[#This Row],[Actual hours (person-h)]]-tblLabor[[#This Row],[Earned hours (person-h)]],""))</f>
        <v>0.354999999999999</v>
      </c>
      <c r="M118" s="41">
        <f>IF(tblLabor[[#This Row],[Date]]="","",IF(AND(tblLabor[[#This Row],[Date]]&gt;=FFrom,tblLabor[[#This Row],[Date]]&lt;=FTo,OR(DashCell="",tblLabor[[#This Row],[Cell]]=DashCell)),tblLabor[[#This Row],[Date]],""))</f>
        <v>46282</v>
      </c>
      <c r="N11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8" s="28" t="s">
        <v>136</v>
      </c>
    </row>
    <row r="119" spans="2:15" x14ac:dyDescent="0.25">
      <c r="B119" s="35">
        <v>46282</v>
      </c>
      <c r="C119" s="28" t="s">
        <v>101</v>
      </c>
      <c r="D119" s="28" t="s">
        <v>114</v>
      </c>
      <c r="E119" s="36">
        <v>113</v>
      </c>
      <c r="F119" s="29">
        <v>47</v>
      </c>
      <c r="G119" s="37" t="str">
        <f>IF(tblLabor[[#This Row],[Date]]="","",IFERROR(INDEX(tblOperations[Cell],MATCH(tblLabor[[#This Row],[Operation]],tblOperations[Operation],0)),""))</f>
        <v>Board line A</v>
      </c>
      <c r="H119" s="38">
        <f>IF(tblLabor[[#This Row],[Date]]="","",IFERROR(INDEX(tblOperations[Std (min/unit)],MATCH(tblLabor[[#This Row],[Operation]],tblOperations[Operation],0)),""))</f>
        <v>22</v>
      </c>
      <c r="I119" s="38">
        <f>IF(tblLabor[[#This Row],[Date]]="","",IF(tblLabor[[#This Row],[Std (min/unit)]]="","",tblLabor[[#This Row],[Good units]]*tblLabor[[#This Row],[Std (min/unit)]]/60))</f>
        <v>41.4333333333333</v>
      </c>
      <c r="J119" s="31">
        <f>IF(tblLabor[[#This Row],[Date]]="","",IF(AND(tblLabor[[#This Row],[Actual hours (person-h)]]&gt;0,ISNUMBER(tblLabor[[#This Row],[Earned hours (person-h)]])),tblLabor[[#This Row],[Earned hours (person-h)]]/tblLabor[[#This Row],[Actual hours (person-h)]],""))</f>
        <v>0.881560283687943</v>
      </c>
      <c r="K119" s="39" t="str">
        <f>IF(NOT(ISNUMBER(tblLabor[[#This Row],[Efficiency]])),"",IF(tblLabor[[#This Row],[Efficiency]]&gt;=TargetEff,"On target",IF(tblLabor[[#This Row],[Efficiency]]&gt;=TargetEff*(1-0.05),"Near target","Below target")))</f>
        <v>Near target</v>
      </c>
      <c r="L119" s="40">
        <f>IF(tblLabor[[#This Row],[Date]]="","",IF(ISNUMBER(tblLabor[[#This Row],[Earned hours (person-h)]]),tblLabor[[#This Row],[Actual hours (person-h)]]-tblLabor[[#This Row],[Earned hours (person-h)]],""))</f>
        <v>5.56666666666667</v>
      </c>
      <c r="M119" s="41">
        <f>IF(tblLabor[[#This Row],[Date]]="","",IF(AND(tblLabor[[#This Row],[Date]]&gt;=FFrom,tblLabor[[#This Row],[Date]]&lt;=FTo,OR(DashCell="",tblLabor[[#This Row],[Cell]]=DashCell)),tblLabor[[#This Row],[Date]],""))</f>
        <v>46282</v>
      </c>
      <c r="N11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19" s="28" t="s">
        <v>136</v>
      </c>
    </row>
    <row r="120" spans="2:15" x14ac:dyDescent="0.25">
      <c r="B120" s="35">
        <v>46282</v>
      </c>
      <c r="C120" s="28" t="s">
        <v>101</v>
      </c>
      <c r="D120" s="28" t="s">
        <v>115</v>
      </c>
      <c r="E120" s="36">
        <v>220</v>
      </c>
      <c r="F120" s="29">
        <v>47.5</v>
      </c>
      <c r="G120" s="37" t="str">
        <f>IF(tblLabor[[#This Row],[Date]]="","",IFERROR(INDEX(tblOperations[Cell],MATCH(tblLabor[[#This Row],[Operation]],tblOperations[Operation],0)),""))</f>
        <v>Board line B</v>
      </c>
      <c r="H120" s="38">
        <f>IF(tblLabor[[#This Row],[Date]]="","",IFERROR(INDEX(tblOperations[Std (min/unit)],MATCH(tblLabor[[#This Row],[Operation]],tblOperations[Operation],0)),""))</f>
        <v>9.8</v>
      </c>
      <c r="I120" s="38">
        <f>IF(tblLabor[[#This Row],[Date]]="","",IF(tblLabor[[#This Row],[Std (min/unit)]]="","",tblLabor[[#This Row],[Good units]]*tblLabor[[#This Row],[Std (min/unit)]]/60))</f>
        <v>35.9333333333333</v>
      </c>
      <c r="J120" s="31">
        <f>IF(tblLabor[[#This Row],[Date]]="","",IF(AND(tblLabor[[#This Row],[Actual hours (person-h)]]&gt;0,ISNUMBER(tblLabor[[#This Row],[Earned hours (person-h)]])),tblLabor[[#This Row],[Earned hours (person-h)]]/tblLabor[[#This Row],[Actual hours (person-h)]],""))</f>
        <v>0.756491228070175</v>
      </c>
      <c r="K120" s="39" t="str">
        <f>IF(NOT(ISNUMBER(tblLabor[[#This Row],[Efficiency]])),"",IF(tblLabor[[#This Row],[Efficiency]]&gt;=TargetEff,"On target",IF(tblLabor[[#This Row],[Efficiency]]&gt;=TargetEff*(1-0.05),"Near target","Below target")))</f>
        <v>Below target</v>
      </c>
      <c r="L120" s="40">
        <f>IF(tblLabor[[#This Row],[Date]]="","",IF(ISNUMBER(tblLabor[[#This Row],[Earned hours (person-h)]]),tblLabor[[#This Row],[Actual hours (person-h)]]-tblLabor[[#This Row],[Earned hours (person-h)]],""))</f>
        <v>11.5666666666667</v>
      </c>
      <c r="M120" s="41">
        <f>IF(tblLabor[[#This Row],[Date]]="","",IF(AND(tblLabor[[#This Row],[Date]]&gt;=FFrom,tblLabor[[#This Row],[Date]]&lt;=FTo,OR(DashCell="",tblLabor[[#This Row],[Cell]]=DashCell)),tblLabor[[#This Row],[Date]],""))</f>
        <v>46282</v>
      </c>
      <c r="N12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0" s="28" t="s">
        <v>136</v>
      </c>
    </row>
    <row r="121" spans="2:15" x14ac:dyDescent="0.25">
      <c r="B121" s="35">
        <v>46282</v>
      </c>
      <c r="C121" s="28" t="s">
        <v>101</v>
      </c>
      <c r="D121" s="28" t="s">
        <v>122</v>
      </c>
      <c r="E121" s="36">
        <v>972</v>
      </c>
      <c r="F121" s="29">
        <v>30.25</v>
      </c>
      <c r="G121" s="37" t="str">
        <f>IF(tblLabor[[#This Row],[Date]]="","",IFERROR(INDEX(tblOperations[Cell],MATCH(tblLabor[[#This Row],[Operation]],tblOperations[Operation],0)),""))</f>
        <v>Test and pack</v>
      </c>
      <c r="H121" s="38">
        <f>IF(tblLabor[[#This Row],[Date]]="","",IFERROR(INDEX(tblOperations[Std (min/unit)],MATCH(tblLabor[[#This Row],[Operation]],tblOperations[Operation],0)),""))</f>
        <v>1.7</v>
      </c>
      <c r="I121" s="38">
        <f>IF(tblLabor[[#This Row],[Date]]="","",IF(tblLabor[[#This Row],[Std (min/unit)]]="","",tblLabor[[#This Row],[Good units]]*tblLabor[[#This Row],[Std (min/unit)]]/60))</f>
        <v>27.54</v>
      </c>
      <c r="J121" s="31">
        <f>IF(tblLabor[[#This Row],[Date]]="","",IF(AND(tblLabor[[#This Row],[Actual hours (person-h)]]&gt;0,ISNUMBER(tblLabor[[#This Row],[Earned hours (person-h)]])),tblLabor[[#This Row],[Earned hours (person-h)]]/tblLabor[[#This Row],[Actual hours (person-h)]],""))</f>
        <v>0.910413223140496</v>
      </c>
      <c r="K121" s="39" t="str">
        <f>IF(NOT(ISNUMBER(tblLabor[[#This Row],[Efficiency]])),"",IF(tblLabor[[#This Row],[Efficiency]]&gt;=TargetEff,"On target",IF(tblLabor[[#This Row],[Efficiency]]&gt;=TargetEff*(1-0.05),"Near target","Below target")))</f>
        <v>On target</v>
      </c>
      <c r="L121" s="40">
        <f>IF(tblLabor[[#This Row],[Date]]="","",IF(ISNUMBER(tblLabor[[#This Row],[Earned hours (person-h)]]),tblLabor[[#This Row],[Actual hours (person-h)]]-tblLabor[[#This Row],[Earned hours (person-h)]],""))</f>
        <v>2.71</v>
      </c>
      <c r="M121" s="41">
        <f>IF(tblLabor[[#This Row],[Date]]="","",IF(AND(tblLabor[[#This Row],[Date]]&gt;=FFrom,tblLabor[[#This Row],[Date]]&lt;=FTo,OR(DashCell="",tblLabor[[#This Row],[Cell]]=DashCell)),tblLabor[[#This Row],[Date]],""))</f>
        <v>46282</v>
      </c>
      <c r="N12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1" s="28" t="s">
        <v>136</v>
      </c>
    </row>
    <row r="122" spans="2:15" x14ac:dyDescent="0.25">
      <c r="B122" s="35">
        <v>46283</v>
      </c>
      <c r="C122" s="28" t="s">
        <v>98</v>
      </c>
      <c r="D122" s="28" t="s">
        <v>106</v>
      </c>
      <c r="E122" s="36">
        <v>308</v>
      </c>
      <c r="F122" s="29">
        <v>27.75</v>
      </c>
      <c r="G122" s="37" t="str">
        <f>IF(tblLabor[[#This Row],[Date]]="","",IFERROR(INDEX(tblOperations[Cell],MATCH(tblLabor[[#This Row],[Operation]],tblOperations[Operation],0)),""))</f>
        <v>Cut and crimp</v>
      </c>
      <c r="H122" s="38">
        <f>IF(tblLabor[[#This Row],[Date]]="","",IFERROR(INDEX(tblOperations[Std (min/unit)],MATCH(tblLabor[[#This Row],[Operation]],tblOperations[Operation],0)),""))</f>
        <v>5.2</v>
      </c>
      <c r="I122" s="38">
        <f>IF(tblLabor[[#This Row],[Date]]="","",IF(tblLabor[[#This Row],[Std (min/unit)]]="","",tblLabor[[#This Row],[Good units]]*tblLabor[[#This Row],[Std (min/unit)]]/60))</f>
        <v>26.6933333333333</v>
      </c>
      <c r="J122" s="31">
        <f>IF(tblLabor[[#This Row],[Date]]="","",IF(AND(tblLabor[[#This Row],[Actual hours (person-h)]]&gt;0,ISNUMBER(tblLabor[[#This Row],[Earned hours (person-h)]])),tblLabor[[#This Row],[Earned hours (person-h)]]/tblLabor[[#This Row],[Actual hours (person-h)]],""))</f>
        <v>0.961921921921922</v>
      </c>
      <c r="K122" s="39" t="str">
        <f>IF(NOT(ISNUMBER(tblLabor[[#This Row],[Efficiency]])),"",IF(tblLabor[[#This Row],[Efficiency]]&gt;=TargetEff,"On target",IF(tblLabor[[#This Row],[Efficiency]]&gt;=TargetEff*(1-0.05),"Near target","Below target")))</f>
        <v>On target</v>
      </c>
      <c r="L122" s="40">
        <f>IF(tblLabor[[#This Row],[Date]]="","",IF(ISNUMBER(tblLabor[[#This Row],[Earned hours (person-h)]]),tblLabor[[#This Row],[Actual hours (person-h)]]-tblLabor[[#This Row],[Earned hours (person-h)]],""))</f>
        <v>1.05666666666666</v>
      </c>
      <c r="M122" s="41">
        <f>IF(tblLabor[[#This Row],[Date]]="","",IF(AND(tblLabor[[#This Row],[Date]]&gt;=FFrom,tblLabor[[#This Row],[Date]]&lt;=FTo,OR(DashCell="",tblLabor[[#This Row],[Cell]]=DashCell)),tblLabor[[#This Row],[Date]],""))</f>
        <v>46283</v>
      </c>
      <c r="N12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2" s="28" t="s">
        <v>136</v>
      </c>
    </row>
    <row r="123" spans="2:15" x14ac:dyDescent="0.25">
      <c r="B123" s="35">
        <v>46283</v>
      </c>
      <c r="C123" s="28" t="s">
        <v>98</v>
      </c>
      <c r="D123" s="28" t="s">
        <v>114</v>
      </c>
      <c r="E123" s="36">
        <v>148</v>
      </c>
      <c r="F123" s="29">
        <v>56.75</v>
      </c>
      <c r="G123" s="37" t="str">
        <f>IF(tblLabor[[#This Row],[Date]]="","",IFERROR(INDEX(tblOperations[Cell],MATCH(tblLabor[[#This Row],[Operation]],tblOperations[Operation],0)),""))</f>
        <v>Board line A</v>
      </c>
      <c r="H123" s="38">
        <f>IF(tblLabor[[#This Row],[Date]]="","",IFERROR(INDEX(tblOperations[Std (min/unit)],MATCH(tblLabor[[#This Row],[Operation]],tblOperations[Operation],0)),""))</f>
        <v>22</v>
      </c>
      <c r="I123" s="38">
        <f>IF(tblLabor[[#This Row],[Date]]="","",IF(tblLabor[[#This Row],[Std (min/unit)]]="","",tblLabor[[#This Row],[Good units]]*tblLabor[[#This Row],[Std (min/unit)]]/60))</f>
        <v>54.2666666666667</v>
      </c>
      <c r="J123" s="31">
        <f>IF(tblLabor[[#This Row],[Date]]="","",IF(AND(tblLabor[[#This Row],[Actual hours (person-h)]]&gt;0,ISNUMBER(tblLabor[[#This Row],[Earned hours (person-h)]])),tblLabor[[#This Row],[Earned hours (person-h)]]/tblLabor[[#This Row],[Actual hours (person-h)]],""))</f>
        <v>0.956240822320117</v>
      </c>
      <c r="K123" s="39" t="str">
        <f>IF(NOT(ISNUMBER(tblLabor[[#This Row],[Efficiency]])),"",IF(tblLabor[[#This Row],[Efficiency]]&gt;=TargetEff,"On target",IF(tblLabor[[#This Row],[Efficiency]]&gt;=TargetEff*(1-0.05),"Near target","Below target")))</f>
        <v>On target</v>
      </c>
      <c r="L123" s="40">
        <f>IF(tblLabor[[#This Row],[Date]]="","",IF(ISNUMBER(tblLabor[[#This Row],[Earned hours (person-h)]]),tblLabor[[#This Row],[Actual hours (person-h)]]-tblLabor[[#This Row],[Earned hours (person-h)]],""))</f>
        <v>2.48333333333333</v>
      </c>
      <c r="M123" s="41">
        <f>IF(tblLabor[[#This Row],[Date]]="","",IF(AND(tblLabor[[#This Row],[Date]]&gt;=FFrom,tblLabor[[#This Row],[Date]]&lt;=FTo,OR(DashCell="",tblLabor[[#This Row],[Cell]]=DashCell)),tblLabor[[#This Row],[Date]],""))</f>
        <v>46283</v>
      </c>
      <c r="N12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3" s="28" t="s">
        <v>136</v>
      </c>
    </row>
    <row r="124" spans="2:15" x14ac:dyDescent="0.25">
      <c r="B124" s="35">
        <v>46283</v>
      </c>
      <c r="C124" s="28" t="s">
        <v>98</v>
      </c>
      <c r="D124" s="28" t="s">
        <v>116</v>
      </c>
      <c r="E124" s="36">
        <v>873</v>
      </c>
      <c r="F124" s="29">
        <v>48.5</v>
      </c>
      <c r="G124" s="37" t="str">
        <f>IF(tblLabor[[#This Row],[Date]]="","",IFERROR(INDEX(tblOperations[Cell],MATCH(tblLabor[[#This Row],[Operation]],tblOperations[Operation],0)),""))</f>
        <v>Board line B</v>
      </c>
      <c r="H124" s="38">
        <f>IF(tblLabor[[#This Row],[Date]]="","",IFERROR(INDEX(tblOperations[Std (min/unit)],MATCH(tblLabor[[#This Row],[Operation]],tblOperations[Operation],0)),""))</f>
        <v>3.1</v>
      </c>
      <c r="I124" s="38">
        <f>IF(tblLabor[[#This Row],[Date]]="","",IF(tblLabor[[#This Row],[Std (min/unit)]]="","",tblLabor[[#This Row],[Good units]]*tblLabor[[#This Row],[Std (min/unit)]]/60))</f>
        <v>45.105</v>
      </c>
      <c r="J124" s="31">
        <f>IF(tblLabor[[#This Row],[Date]]="","",IF(AND(tblLabor[[#This Row],[Actual hours (person-h)]]&gt;0,ISNUMBER(tblLabor[[#This Row],[Earned hours (person-h)]])),tblLabor[[#This Row],[Earned hours (person-h)]]/tblLabor[[#This Row],[Actual hours (person-h)]],""))</f>
        <v>0.93</v>
      </c>
      <c r="K124" s="39" t="str">
        <f>IF(NOT(ISNUMBER(tblLabor[[#This Row],[Efficiency]])),"",IF(tblLabor[[#This Row],[Efficiency]]&gt;=TargetEff,"On target",IF(tblLabor[[#This Row],[Efficiency]]&gt;=TargetEff*(1-0.05),"Near target","Below target")))</f>
        <v>On target</v>
      </c>
      <c r="L124" s="40">
        <f>IF(tblLabor[[#This Row],[Date]]="","",IF(ISNUMBER(tblLabor[[#This Row],[Earned hours (person-h)]]),tblLabor[[#This Row],[Actual hours (person-h)]]-tblLabor[[#This Row],[Earned hours (person-h)]],""))</f>
        <v>3.395</v>
      </c>
      <c r="M124" s="41">
        <f>IF(tblLabor[[#This Row],[Date]]="","",IF(AND(tblLabor[[#This Row],[Date]]&gt;=FFrom,tblLabor[[#This Row],[Date]]&lt;=FTo,OR(DashCell="",tblLabor[[#This Row],[Cell]]=DashCell)),tblLabor[[#This Row],[Date]],""))</f>
        <v>46283</v>
      </c>
      <c r="N12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4" s="28" t="s">
        <v>136</v>
      </c>
    </row>
    <row r="125" spans="2:15" x14ac:dyDescent="0.25">
      <c r="B125" s="35">
        <v>46283</v>
      </c>
      <c r="C125" s="28" t="s">
        <v>98</v>
      </c>
      <c r="D125" s="28" t="s">
        <v>120</v>
      </c>
      <c r="E125" s="36">
        <v>380</v>
      </c>
      <c r="F125" s="29">
        <v>24</v>
      </c>
      <c r="G125" s="37" t="str">
        <f>IF(tblLabor[[#This Row],[Date]]="","",IFERROR(INDEX(tblOperations[Cell],MATCH(tblLabor[[#This Row],[Operation]],tblOperations[Operation],0)),""))</f>
        <v>Test and pack</v>
      </c>
      <c r="H125" s="38">
        <f>IF(tblLabor[[#This Row],[Date]]="","",IFERROR(INDEX(tblOperations[Std (min/unit)],MATCH(tblLabor[[#This Row],[Operation]],tblOperations[Operation],0)),""))</f>
        <v>3.4</v>
      </c>
      <c r="I125" s="38">
        <f>IF(tblLabor[[#This Row],[Date]]="","",IF(tblLabor[[#This Row],[Std (min/unit)]]="","",tblLabor[[#This Row],[Good units]]*tblLabor[[#This Row],[Std (min/unit)]]/60))</f>
        <v>21.5333333333333</v>
      </c>
      <c r="J125" s="31">
        <f>IF(tblLabor[[#This Row],[Date]]="","",IF(AND(tblLabor[[#This Row],[Actual hours (person-h)]]&gt;0,ISNUMBER(tblLabor[[#This Row],[Earned hours (person-h)]])),tblLabor[[#This Row],[Earned hours (person-h)]]/tblLabor[[#This Row],[Actual hours (person-h)]],""))</f>
        <v>0.897222222222222</v>
      </c>
      <c r="K125" s="39" t="str">
        <f>IF(NOT(ISNUMBER(tblLabor[[#This Row],[Efficiency]])),"",IF(tblLabor[[#This Row],[Efficiency]]&gt;=TargetEff,"On target",IF(tblLabor[[#This Row],[Efficiency]]&gt;=TargetEff*(1-0.05),"Near target","Below target")))</f>
        <v>Near target</v>
      </c>
      <c r="L125" s="40">
        <f>IF(tblLabor[[#This Row],[Date]]="","",IF(ISNUMBER(tblLabor[[#This Row],[Earned hours (person-h)]]),tblLabor[[#This Row],[Actual hours (person-h)]]-tblLabor[[#This Row],[Earned hours (person-h)]],""))</f>
        <v>2.46666666666667</v>
      </c>
      <c r="M125" s="41">
        <f>IF(tblLabor[[#This Row],[Date]]="","",IF(AND(tblLabor[[#This Row],[Date]]&gt;=FFrom,tblLabor[[#This Row],[Date]]&lt;=FTo,OR(DashCell="",tblLabor[[#This Row],[Cell]]=DashCell)),tblLabor[[#This Row],[Date]],""))</f>
        <v>46283</v>
      </c>
      <c r="N12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5" s="28" t="s">
        <v>136</v>
      </c>
    </row>
    <row r="126" spans="2:15" x14ac:dyDescent="0.25">
      <c r="B126" s="35">
        <v>46283</v>
      </c>
      <c r="C126" s="28" t="s">
        <v>101</v>
      </c>
      <c r="D126" s="28" t="s">
        <v>110</v>
      </c>
      <c r="E126" s="36">
        <v>1739</v>
      </c>
      <c r="F126" s="29">
        <v>28</v>
      </c>
      <c r="G126" s="37" t="str">
        <f>IF(tblLabor[[#This Row],[Date]]="","",IFERROR(INDEX(tblOperations[Cell],MATCH(tblLabor[[#This Row],[Operation]],tblOperations[Operation],0)),""))</f>
        <v>Cut and crimp</v>
      </c>
      <c r="H126" s="38">
        <f>IF(tblLabor[[#This Row],[Date]]="","",IFERROR(INDEX(tblOperations[Std (min/unit)],MATCH(tblLabor[[#This Row],[Operation]],tblOperations[Operation],0)),""))</f>
        <v>0.9</v>
      </c>
      <c r="I126" s="38">
        <f>IF(tblLabor[[#This Row],[Date]]="","",IF(tblLabor[[#This Row],[Std (min/unit)]]="","",tblLabor[[#This Row],[Good units]]*tblLabor[[#This Row],[Std (min/unit)]]/60))</f>
        <v>26.085</v>
      </c>
      <c r="J126" s="31">
        <f>IF(tblLabor[[#This Row],[Date]]="","",IF(AND(tblLabor[[#This Row],[Actual hours (person-h)]]&gt;0,ISNUMBER(tblLabor[[#This Row],[Earned hours (person-h)]])),tblLabor[[#This Row],[Earned hours (person-h)]]/tblLabor[[#This Row],[Actual hours (person-h)]],""))</f>
        <v>0.931607142857143</v>
      </c>
      <c r="K126" s="39" t="str">
        <f>IF(NOT(ISNUMBER(tblLabor[[#This Row],[Efficiency]])),"",IF(tblLabor[[#This Row],[Efficiency]]&gt;=TargetEff,"On target",IF(tblLabor[[#This Row],[Efficiency]]&gt;=TargetEff*(1-0.05),"Near target","Below target")))</f>
        <v>On target</v>
      </c>
      <c r="L126" s="40">
        <f>IF(tblLabor[[#This Row],[Date]]="","",IF(ISNUMBER(tblLabor[[#This Row],[Earned hours (person-h)]]),tblLabor[[#This Row],[Actual hours (person-h)]]-tblLabor[[#This Row],[Earned hours (person-h)]],""))</f>
        <v>1.915</v>
      </c>
      <c r="M126" s="41">
        <f>IF(tblLabor[[#This Row],[Date]]="","",IF(AND(tblLabor[[#This Row],[Date]]&gt;=FFrom,tblLabor[[#This Row],[Date]]&lt;=FTo,OR(DashCell="",tblLabor[[#This Row],[Cell]]=DashCell)),tblLabor[[#This Row],[Date]],""))</f>
        <v>46283</v>
      </c>
      <c r="N12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6" s="28" t="s">
        <v>136</v>
      </c>
    </row>
    <row r="127" spans="2:15" x14ac:dyDescent="0.25">
      <c r="B127" s="35">
        <v>46283</v>
      </c>
      <c r="C127" s="28" t="s">
        <v>101</v>
      </c>
      <c r="D127" s="28" t="s">
        <v>114</v>
      </c>
      <c r="E127" s="36">
        <v>126</v>
      </c>
      <c r="F127" s="29">
        <v>49</v>
      </c>
      <c r="G127" s="37" t="str">
        <f>IF(tblLabor[[#This Row],[Date]]="","",IFERROR(INDEX(tblOperations[Cell],MATCH(tblLabor[[#This Row],[Operation]],tblOperations[Operation],0)),""))</f>
        <v>Board line A</v>
      </c>
      <c r="H127" s="38">
        <f>IF(tblLabor[[#This Row],[Date]]="","",IFERROR(INDEX(tblOperations[Std (min/unit)],MATCH(tblLabor[[#This Row],[Operation]],tblOperations[Operation],0)),""))</f>
        <v>22</v>
      </c>
      <c r="I127" s="38">
        <f>IF(tblLabor[[#This Row],[Date]]="","",IF(tblLabor[[#This Row],[Std (min/unit)]]="","",tblLabor[[#This Row],[Good units]]*tblLabor[[#This Row],[Std (min/unit)]]/60))</f>
        <v>46.2</v>
      </c>
      <c r="J127" s="31">
        <f>IF(tblLabor[[#This Row],[Date]]="","",IF(AND(tblLabor[[#This Row],[Actual hours (person-h)]]&gt;0,ISNUMBER(tblLabor[[#This Row],[Earned hours (person-h)]])),tblLabor[[#This Row],[Earned hours (person-h)]]/tblLabor[[#This Row],[Actual hours (person-h)]],""))</f>
        <v>0.942857142857143</v>
      </c>
      <c r="K127" s="39" t="str">
        <f>IF(NOT(ISNUMBER(tblLabor[[#This Row],[Efficiency]])),"",IF(tblLabor[[#This Row],[Efficiency]]&gt;=TargetEff,"On target",IF(tblLabor[[#This Row],[Efficiency]]&gt;=TargetEff*(1-0.05),"Near target","Below target")))</f>
        <v>On target</v>
      </c>
      <c r="L127" s="40">
        <f>IF(tblLabor[[#This Row],[Date]]="","",IF(ISNUMBER(tblLabor[[#This Row],[Earned hours (person-h)]]),tblLabor[[#This Row],[Actual hours (person-h)]]-tblLabor[[#This Row],[Earned hours (person-h)]],""))</f>
        <v>2.8</v>
      </c>
      <c r="M127" s="41">
        <f>IF(tblLabor[[#This Row],[Date]]="","",IF(AND(tblLabor[[#This Row],[Date]]&gt;=FFrom,tblLabor[[#This Row],[Date]]&lt;=FTo,OR(DashCell="",tblLabor[[#This Row],[Cell]]=DashCell)),tblLabor[[#This Row],[Date]],""))</f>
        <v>46283</v>
      </c>
      <c r="N12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7" s="28" t="s">
        <v>136</v>
      </c>
    </row>
    <row r="128" spans="2:15" x14ac:dyDescent="0.25">
      <c r="B128" s="35">
        <v>46283</v>
      </c>
      <c r="C128" s="28" t="s">
        <v>101</v>
      </c>
      <c r="D128" s="28" t="s">
        <v>116</v>
      </c>
      <c r="E128" s="36">
        <v>699</v>
      </c>
      <c r="F128" s="29">
        <v>48</v>
      </c>
      <c r="G128" s="37" t="str">
        <f>IF(tblLabor[[#This Row],[Date]]="","",IFERROR(INDEX(tblOperations[Cell],MATCH(tblLabor[[#This Row],[Operation]],tblOperations[Operation],0)),""))</f>
        <v>Board line B</v>
      </c>
      <c r="H128" s="38">
        <f>IF(tblLabor[[#This Row],[Date]]="","",IFERROR(INDEX(tblOperations[Std (min/unit)],MATCH(tblLabor[[#This Row],[Operation]],tblOperations[Operation],0)),""))</f>
        <v>3.1</v>
      </c>
      <c r="I128" s="38">
        <f>IF(tblLabor[[#This Row],[Date]]="","",IF(tblLabor[[#This Row],[Std (min/unit)]]="","",tblLabor[[#This Row],[Good units]]*tblLabor[[#This Row],[Std (min/unit)]]/60))</f>
        <v>36.115</v>
      </c>
      <c r="J128" s="31">
        <f>IF(tblLabor[[#This Row],[Date]]="","",IF(AND(tblLabor[[#This Row],[Actual hours (person-h)]]&gt;0,ISNUMBER(tblLabor[[#This Row],[Earned hours (person-h)]])),tblLabor[[#This Row],[Earned hours (person-h)]]/tblLabor[[#This Row],[Actual hours (person-h)]],""))</f>
        <v>0.752395833333333</v>
      </c>
      <c r="K128" s="39" t="str">
        <f>IF(NOT(ISNUMBER(tblLabor[[#This Row],[Efficiency]])),"",IF(tblLabor[[#This Row],[Efficiency]]&gt;=TargetEff,"On target",IF(tblLabor[[#This Row],[Efficiency]]&gt;=TargetEff*(1-0.05),"Near target","Below target")))</f>
        <v>Below target</v>
      </c>
      <c r="L128" s="40">
        <f>IF(tblLabor[[#This Row],[Date]]="","",IF(ISNUMBER(tblLabor[[#This Row],[Earned hours (person-h)]]),tblLabor[[#This Row],[Actual hours (person-h)]]-tblLabor[[#This Row],[Earned hours (person-h)]],""))</f>
        <v>11.885</v>
      </c>
      <c r="M128" s="41">
        <f>IF(tblLabor[[#This Row],[Date]]="","",IF(AND(tblLabor[[#This Row],[Date]]&gt;=FFrom,tblLabor[[#This Row],[Date]]&lt;=FTo,OR(DashCell="",tblLabor[[#This Row],[Cell]]=DashCell)),tblLabor[[#This Row],[Date]],""))</f>
        <v>46283</v>
      </c>
      <c r="N12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8" s="28" t="s">
        <v>136</v>
      </c>
    </row>
    <row r="129" spans="2:15" x14ac:dyDescent="0.25">
      <c r="B129" s="35">
        <v>46283</v>
      </c>
      <c r="C129" s="28" t="s">
        <v>101</v>
      </c>
      <c r="D129" s="28" t="s">
        <v>124</v>
      </c>
      <c r="E129" s="36">
        <v>2052</v>
      </c>
      <c r="F129" s="29">
        <v>30.25</v>
      </c>
      <c r="G129" s="37" t="str">
        <f>IF(tblLabor[[#This Row],[Date]]="","",IFERROR(INDEX(tblOperations[Cell],MATCH(tblLabor[[#This Row],[Operation]],tblOperations[Operation],0)),""))</f>
        <v>Test and pack</v>
      </c>
      <c r="H129" s="38">
        <f>IF(tblLabor[[#This Row],[Date]]="","",IFERROR(INDEX(tblOperations[Std (min/unit)],MATCH(tblLabor[[#This Row],[Operation]],tblOperations[Operation],0)),""))</f>
        <v>0.8</v>
      </c>
      <c r="I129" s="38">
        <f>IF(tblLabor[[#This Row],[Date]]="","",IF(tblLabor[[#This Row],[Std (min/unit)]]="","",tblLabor[[#This Row],[Good units]]*tblLabor[[#This Row],[Std (min/unit)]]/60))</f>
        <v>27.36</v>
      </c>
      <c r="J129" s="31">
        <f>IF(tblLabor[[#This Row],[Date]]="","",IF(AND(tblLabor[[#This Row],[Actual hours (person-h)]]&gt;0,ISNUMBER(tblLabor[[#This Row],[Earned hours (person-h)]])),tblLabor[[#This Row],[Earned hours (person-h)]]/tblLabor[[#This Row],[Actual hours (person-h)]],""))</f>
        <v>0.904462809917356</v>
      </c>
      <c r="K129" s="39" t="str">
        <f>IF(NOT(ISNUMBER(tblLabor[[#This Row],[Efficiency]])),"",IF(tblLabor[[#This Row],[Efficiency]]&gt;=TargetEff,"On target",IF(tblLabor[[#This Row],[Efficiency]]&gt;=TargetEff*(1-0.05),"Near target","Below target")))</f>
        <v>On target</v>
      </c>
      <c r="L129" s="40">
        <f>IF(tblLabor[[#This Row],[Date]]="","",IF(ISNUMBER(tblLabor[[#This Row],[Earned hours (person-h)]]),tblLabor[[#This Row],[Actual hours (person-h)]]-tblLabor[[#This Row],[Earned hours (person-h)]],""))</f>
        <v>2.89</v>
      </c>
      <c r="M129" s="41">
        <f>IF(tblLabor[[#This Row],[Date]]="","",IF(AND(tblLabor[[#This Row],[Date]]&gt;=FFrom,tblLabor[[#This Row],[Date]]&lt;=FTo,OR(DashCell="",tblLabor[[#This Row],[Cell]]=DashCell)),tblLabor[[#This Row],[Date]],""))</f>
        <v>46283</v>
      </c>
      <c r="N12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29" s="28" t="s">
        <v>136</v>
      </c>
    </row>
    <row r="130" spans="2:15" x14ac:dyDescent="0.25">
      <c r="B130" s="35">
        <v>46286</v>
      </c>
      <c r="C130" s="28" t="s">
        <v>98</v>
      </c>
      <c r="D130" s="28" t="s">
        <v>104</v>
      </c>
      <c r="E130" s="36">
        <v>391</v>
      </c>
      <c r="F130" s="29">
        <v>25.75</v>
      </c>
      <c r="G130" s="37" t="str">
        <f>IF(tblLabor[[#This Row],[Date]]="","",IFERROR(INDEX(tblOperations[Cell],MATCH(tblLabor[[#This Row],[Operation]],tblOperations[Operation],0)),""))</f>
        <v>Cut and crimp</v>
      </c>
      <c r="H130" s="38">
        <f>IF(tblLabor[[#This Row],[Date]]="","",IFERROR(INDEX(tblOperations[Std (min/unit)],MATCH(tblLabor[[#This Row],[Operation]],tblOperations[Operation],0)),""))</f>
        <v>3.8</v>
      </c>
      <c r="I130" s="38">
        <f>IF(tblLabor[[#This Row],[Date]]="","",IF(tblLabor[[#This Row],[Std (min/unit)]]="","",tblLabor[[#This Row],[Good units]]*tblLabor[[#This Row],[Std (min/unit)]]/60))</f>
        <v>24.7633333333333</v>
      </c>
      <c r="J130" s="31">
        <f>IF(tblLabor[[#This Row],[Date]]="","",IF(AND(tblLabor[[#This Row],[Actual hours (person-h)]]&gt;0,ISNUMBER(tblLabor[[#This Row],[Earned hours (person-h)]])),tblLabor[[#This Row],[Earned hours (person-h)]]/tblLabor[[#This Row],[Actual hours (person-h)]],""))</f>
        <v>0.96168284789644</v>
      </c>
      <c r="K130" s="39" t="str">
        <f>IF(NOT(ISNUMBER(tblLabor[[#This Row],[Efficiency]])),"",IF(tblLabor[[#This Row],[Efficiency]]&gt;=TargetEff,"On target",IF(tblLabor[[#This Row],[Efficiency]]&gt;=TargetEff*(1-0.05),"Near target","Below target")))</f>
        <v>On target</v>
      </c>
      <c r="L130" s="40">
        <f>IF(tblLabor[[#This Row],[Date]]="","",IF(ISNUMBER(tblLabor[[#This Row],[Earned hours (person-h)]]),tblLabor[[#This Row],[Actual hours (person-h)]]-tblLabor[[#This Row],[Earned hours (person-h)]],""))</f>
        <v>0.986666666666668</v>
      </c>
      <c r="M130" s="41">
        <f>IF(tblLabor[[#This Row],[Date]]="","",IF(AND(tblLabor[[#This Row],[Date]]&gt;=FFrom,tblLabor[[#This Row],[Date]]&lt;=FTo,OR(DashCell="",tblLabor[[#This Row],[Cell]]=DashCell)),tblLabor[[#This Row],[Date]],""))</f>
        <v>46286</v>
      </c>
      <c r="N13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0" s="28" t="s">
        <v>136</v>
      </c>
    </row>
    <row r="131" spans="2:15" x14ac:dyDescent="0.25">
      <c r="B131" s="35">
        <v>46286</v>
      </c>
      <c r="C131" s="28" t="s">
        <v>98</v>
      </c>
      <c r="D131" s="28" t="s">
        <v>112</v>
      </c>
      <c r="E131" s="36">
        <v>176</v>
      </c>
      <c r="F131" s="29">
        <v>51.5</v>
      </c>
      <c r="G131" s="37" t="str">
        <f>IF(tblLabor[[#This Row],[Date]]="","",IFERROR(INDEX(tblOperations[Cell],MATCH(tblLabor[[#This Row],[Operation]],tblOperations[Operation],0)),""))</f>
        <v>Board line A</v>
      </c>
      <c r="H131" s="38">
        <f>IF(tblLabor[[#This Row],[Date]]="","",IFERROR(INDEX(tblOperations[Std (min/unit)],MATCH(tblLabor[[#This Row],[Operation]],tblOperations[Operation],0)),""))</f>
        <v>16.5</v>
      </c>
      <c r="I131" s="38">
        <f>IF(tblLabor[[#This Row],[Date]]="","",IF(tblLabor[[#This Row],[Std (min/unit)]]="","",tblLabor[[#This Row],[Good units]]*tblLabor[[#This Row],[Std (min/unit)]]/60))</f>
        <v>48.4</v>
      </c>
      <c r="J131" s="31">
        <f>IF(tblLabor[[#This Row],[Date]]="","",IF(AND(tblLabor[[#This Row],[Actual hours (person-h)]]&gt;0,ISNUMBER(tblLabor[[#This Row],[Earned hours (person-h)]])),tblLabor[[#This Row],[Earned hours (person-h)]]/tblLabor[[#This Row],[Actual hours (person-h)]],""))</f>
        <v>0.939805825242718</v>
      </c>
      <c r="K131" s="39" t="str">
        <f>IF(NOT(ISNUMBER(tblLabor[[#This Row],[Efficiency]])),"",IF(tblLabor[[#This Row],[Efficiency]]&gt;=TargetEff,"On target",IF(tblLabor[[#This Row],[Efficiency]]&gt;=TargetEff*(1-0.05),"Near target","Below target")))</f>
        <v>On target</v>
      </c>
      <c r="L131" s="40">
        <f>IF(tblLabor[[#This Row],[Date]]="","",IF(ISNUMBER(tblLabor[[#This Row],[Earned hours (person-h)]]),tblLabor[[#This Row],[Actual hours (person-h)]]-tblLabor[[#This Row],[Earned hours (person-h)]],""))</f>
        <v>3.1</v>
      </c>
      <c r="M131" s="41">
        <f>IF(tblLabor[[#This Row],[Date]]="","",IF(AND(tblLabor[[#This Row],[Date]]&gt;=FFrom,tblLabor[[#This Row],[Date]]&lt;=FTo,OR(DashCell="",tblLabor[[#This Row],[Cell]]=DashCell)),tblLabor[[#This Row],[Date]],""))</f>
        <v>46286</v>
      </c>
      <c r="N13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1" s="28" t="s">
        <v>136</v>
      </c>
    </row>
    <row r="132" spans="2:15" x14ac:dyDescent="0.25">
      <c r="B132" s="35">
        <v>46286</v>
      </c>
      <c r="C132" s="28" t="s">
        <v>98</v>
      </c>
      <c r="D132" s="28" t="s">
        <v>115</v>
      </c>
      <c r="E132" s="36">
        <v>202</v>
      </c>
      <c r="F132" s="29">
        <v>37.5</v>
      </c>
      <c r="G132" s="37" t="str">
        <f>IF(tblLabor[[#This Row],[Date]]="","",IFERROR(INDEX(tblOperations[Cell],MATCH(tblLabor[[#This Row],[Operation]],tblOperations[Operation],0)),""))</f>
        <v>Board line B</v>
      </c>
      <c r="H132" s="38">
        <f>IF(tblLabor[[#This Row],[Date]]="","",IFERROR(INDEX(tblOperations[Std (min/unit)],MATCH(tblLabor[[#This Row],[Operation]],tblOperations[Operation],0)),""))</f>
        <v>9.8</v>
      </c>
      <c r="I132" s="38">
        <f>IF(tblLabor[[#This Row],[Date]]="","",IF(tblLabor[[#This Row],[Std (min/unit)]]="","",tblLabor[[#This Row],[Good units]]*tblLabor[[#This Row],[Std (min/unit)]]/60))</f>
        <v>32.9933333333333</v>
      </c>
      <c r="J132" s="31">
        <f>IF(tblLabor[[#This Row],[Date]]="","",IF(AND(tblLabor[[#This Row],[Actual hours (person-h)]]&gt;0,ISNUMBER(tblLabor[[#This Row],[Earned hours (person-h)]])),tblLabor[[#This Row],[Earned hours (person-h)]]/tblLabor[[#This Row],[Actual hours (person-h)]],""))</f>
        <v>0.879822222222222</v>
      </c>
      <c r="K132" s="39" t="str">
        <f>IF(NOT(ISNUMBER(tblLabor[[#This Row],[Efficiency]])),"",IF(tblLabor[[#This Row],[Efficiency]]&gt;=TargetEff,"On target",IF(tblLabor[[#This Row],[Efficiency]]&gt;=TargetEff*(1-0.05),"Near target","Below target")))</f>
        <v>Near target</v>
      </c>
      <c r="L132" s="40">
        <f>IF(tblLabor[[#This Row],[Date]]="","",IF(ISNUMBER(tblLabor[[#This Row],[Earned hours (person-h)]]),tblLabor[[#This Row],[Actual hours (person-h)]]-tblLabor[[#This Row],[Earned hours (person-h)]],""))</f>
        <v>4.50666666666667</v>
      </c>
      <c r="M132" s="41">
        <f>IF(tblLabor[[#This Row],[Date]]="","",IF(AND(tblLabor[[#This Row],[Date]]&gt;=FFrom,tblLabor[[#This Row],[Date]]&lt;=FTo,OR(DashCell="",tblLabor[[#This Row],[Cell]]=DashCell)),tblLabor[[#This Row],[Date]],""))</f>
        <v>46286</v>
      </c>
      <c r="N13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2" s="28" t="s">
        <v>136</v>
      </c>
    </row>
    <row r="133" spans="2:15" x14ac:dyDescent="0.25">
      <c r="B133" s="35">
        <v>46286</v>
      </c>
      <c r="C133" s="28" t="s">
        <v>98</v>
      </c>
      <c r="D133" s="28" t="s">
        <v>118</v>
      </c>
      <c r="E133" s="36">
        <v>639</v>
      </c>
      <c r="F133" s="29">
        <v>28.75</v>
      </c>
      <c r="G133" s="37" t="str">
        <f>IF(tblLabor[[#This Row],[Date]]="","",IFERROR(INDEX(tblOperations[Cell],MATCH(tblLabor[[#This Row],[Operation]],tblOperations[Operation],0)),""))</f>
        <v>Test and pack</v>
      </c>
      <c r="H133" s="38">
        <f>IF(tblLabor[[#This Row],[Date]]="","",IFERROR(INDEX(tblOperations[Std (min/unit)],MATCH(tblLabor[[#This Row],[Operation]],tblOperations[Operation],0)),""))</f>
        <v>2.6</v>
      </c>
      <c r="I133" s="38">
        <f>IF(tblLabor[[#This Row],[Date]]="","",IF(tblLabor[[#This Row],[Std (min/unit)]]="","",tblLabor[[#This Row],[Good units]]*tblLabor[[#This Row],[Std (min/unit)]]/60))</f>
        <v>27.69</v>
      </c>
      <c r="J133" s="31">
        <f>IF(tblLabor[[#This Row],[Date]]="","",IF(AND(tblLabor[[#This Row],[Actual hours (person-h)]]&gt;0,ISNUMBER(tblLabor[[#This Row],[Earned hours (person-h)]])),tblLabor[[#This Row],[Earned hours (person-h)]]/tblLabor[[#This Row],[Actual hours (person-h)]],""))</f>
        <v>0.963130434782609</v>
      </c>
      <c r="K133" s="39" t="str">
        <f>IF(NOT(ISNUMBER(tblLabor[[#This Row],[Efficiency]])),"",IF(tblLabor[[#This Row],[Efficiency]]&gt;=TargetEff,"On target",IF(tblLabor[[#This Row],[Efficiency]]&gt;=TargetEff*(1-0.05),"Near target","Below target")))</f>
        <v>On target</v>
      </c>
      <c r="L133" s="40">
        <f>IF(tblLabor[[#This Row],[Date]]="","",IF(ISNUMBER(tblLabor[[#This Row],[Earned hours (person-h)]]),tblLabor[[#This Row],[Actual hours (person-h)]]-tblLabor[[#This Row],[Earned hours (person-h)]],""))</f>
        <v>1.06</v>
      </c>
      <c r="M133" s="41">
        <f>IF(tblLabor[[#This Row],[Date]]="","",IF(AND(tblLabor[[#This Row],[Date]]&gt;=FFrom,tblLabor[[#This Row],[Date]]&lt;=FTo,OR(DashCell="",tblLabor[[#This Row],[Cell]]=DashCell)),tblLabor[[#This Row],[Date]],""))</f>
        <v>46286</v>
      </c>
      <c r="N13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3" s="28" t="s">
        <v>136</v>
      </c>
    </row>
    <row r="134" spans="2:15" x14ac:dyDescent="0.25">
      <c r="B134" s="35">
        <v>46286</v>
      </c>
      <c r="C134" s="28" t="s">
        <v>101</v>
      </c>
      <c r="D134" s="28" t="s">
        <v>108</v>
      </c>
      <c r="E134" s="36">
        <v>622</v>
      </c>
      <c r="F134" s="29">
        <v>26.5</v>
      </c>
      <c r="G134" s="37" t="str">
        <f>IF(tblLabor[[#This Row],[Date]]="","",IFERROR(INDEX(tblOperations[Cell],MATCH(tblLabor[[#This Row],[Operation]],tblOperations[Operation],0)),""))</f>
        <v>Cut and crimp</v>
      </c>
      <c r="H134" s="38">
        <f>IF(tblLabor[[#This Row],[Date]]="","",IFERROR(INDEX(tblOperations[Std (min/unit)],MATCH(tblLabor[[#This Row],[Operation]],tblOperations[Operation],0)),""))</f>
        <v>2.4</v>
      </c>
      <c r="I134" s="38">
        <f>IF(tblLabor[[#This Row],[Date]]="","",IF(tblLabor[[#This Row],[Std (min/unit)]]="","",tblLabor[[#This Row],[Good units]]*tblLabor[[#This Row],[Std (min/unit)]]/60))</f>
        <v>24.88</v>
      </c>
      <c r="J134" s="31">
        <f>IF(tblLabor[[#This Row],[Date]]="","",IF(AND(tblLabor[[#This Row],[Actual hours (person-h)]]&gt;0,ISNUMBER(tblLabor[[#This Row],[Earned hours (person-h)]])),tblLabor[[#This Row],[Earned hours (person-h)]]/tblLabor[[#This Row],[Actual hours (person-h)]],""))</f>
        <v>0.938867924528302</v>
      </c>
      <c r="K134" s="39" t="str">
        <f>IF(NOT(ISNUMBER(tblLabor[[#This Row],[Efficiency]])),"",IF(tblLabor[[#This Row],[Efficiency]]&gt;=TargetEff,"On target",IF(tblLabor[[#This Row],[Efficiency]]&gt;=TargetEff*(1-0.05),"Near target","Below target")))</f>
        <v>On target</v>
      </c>
      <c r="L134" s="40">
        <f>IF(tblLabor[[#This Row],[Date]]="","",IF(ISNUMBER(tblLabor[[#This Row],[Earned hours (person-h)]]),tblLabor[[#This Row],[Actual hours (person-h)]]-tblLabor[[#This Row],[Earned hours (person-h)]],""))</f>
        <v>1.62</v>
      </c>
      <c r="M134" s="41">
        <f>IF(tblLabor[[#This Row],[Date]]="","",IF(AND(tblLabor[[#This Row],[Date]]&gt;=FFrom,tblLabor[[#This Row],[Date]]&lt;=FTo,OR(DashCell="",tblLabor[[#This Row],[Cell]]=DashCell)),tblLabor[[#This Row],[Date]],""))</f>
        <v>46286</v>
      </c>
      <c r="N13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4" s="28" t="s">
        <v>136</v>
      </c>
    </row>
    <row r="135" spans="2:15" x14ac:dyDescent="0.25">
      <c r="B135" s="35">
        <v>46286</v>
      </c>
      <c r="C135" s="28" t="s">
        <v>101</v>
      </c>
      <c r="D135" s="28" t="s">
        <v>112</v>
      </c>
      <c r="E135" s="36">
        <v>163</v>
      </c>
      <c r="F135" s="29">
        <v>51.25</v>
      </c>
      <c r="G135" s="37" t="str">
        <f>IF(tblLabor[[#This Row],[Date]]="","",IFERROR(INDEX(tblOperations[Cell],MATCH(tblLabor[[#This Row],[Operation]],tblOperations[Operation],0)),""))</f>
        <v>Board line A</v>
      </c>
      <c r="H135" s="38">
        <f>IF(tblLabor[[#This Row],[Date]]="","",IFERROR(INDEX(tblOperations[Std (min/unit)],MATCH(tblLabor[[#This Row],[Operation]],tblOperations[Operation],0)),""))</f>
        <v>16.5</v>
      </c>
      <c r="I135" s="38">
        <f>IF(tblLabor[[#This Row],[Date]]="","",IF(tblLabor[[#This Row],[Std (min/unit)]]="","",tblLabor[[#This Row],[Good units]]*tblLabor[[#This Row],[Std (min/unit)]]/60))</f>
        <v>44.825</v>
      </c>
      <c r="J135" s="31">
        <f>IF(tblLabor[[#This Row],[Date]]="","",IF(AND(tblLabor[[#This Row],[Actual hours (person-h)]]&gt;0,ISNUMBER(tblLabor[[#This Row],[Earned hours (person-h)]])),tblLabor[[#This Row],[Earned hours (person-h)]]/tblLabor[[#This Row],[Actual hours (person-h)]],""))</f>
        <v>0.874634146341464</v>
      </c>
      <c r="K135" s="39" t="str">
        <f>IF(NOT(ISNUMBER(tblLabor[[#This Row],[Efficiency]])),"",IF(tblLabor[[#This Row],[Efficiency]]&gt;=TargetEff,"On target",IF(tblLabor[[#This Row],[Efficiency]]&gt;=TargetEff*(1-0.05),"Near target","Below target")))</f>
        <v>Near target</v>
      </c>
      <c r="L135" s="40">
        <f>IF(tblLabor[[#This Row],[Date]]="","",IF(ISNUMBER(tblLabor[[#This Row],[Earned hours (person-h)]]),tblLabor[[#This Row],[Actual hours (person-h)]]-tblLabor[[#This Row],[Earned hours (person-h)]],""))</f>
        <v>6.425</v>
      </c>
      <c r="M135" s="41">
        <f>IF(tblLabor[[#This Row],[Date]]="","",IF(AND(tblLabor[[#This Row],[Date]]&gt;=FFrom,tblLabor[[#This Row],[Date]]&lt;=FTo,OR(DashCell="",tblLabor[[#This Row],[Cell]]=DashCell)),tblLabor[[#This Row],[Date]],""))</f>
        <v>46286</v>
      </c>
      <c r="N13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5" s="28" t="s">
        <v>136</v>
      </c>
    </row>
    <row r="136" spans="2:15" x14ac:dyDescent="0.25">
      <c r="B136" s="35">
        <v>46286</v>
      </c>
      <c r="C136" s="28" t="s">
        <v>101</v>
      </c>
      <c r="D136" s="28" t="s">
        <v>115</v>
      </c>
      <c r="E136" s="36">
        <v>194</v>
      </c>
      <c r="F136" s="29">
        <v>39.25</v>
      </c>
      <c r="G136" s="37" t="str">
        <f>IF(tblLabor[[#This Row],[Date]]="","",IFERROR(INDEX(tblOperations[Cell],MATCH(tblLabor[[#This Row],[Operation]],tblOperations[Operation],0)),""))</f>
        <v>Board line B</v>
      </c>
      <c r="H136" s="38">
        <f>IF(tblLabor[[#This Row],[Date]]="","",IFERROR(INDEX(tblOperations[Std (min/unit)],MATCH(tblLabor[[#This Row],[Operation]],tblOperations[Operation],0)),""))</f>
        <v>9.8</v>
      </c>
      <c r="I136" s="38">
        <f>IF(tblLabor[[#This Row],[Date]]="","",IF(tblLabor[[#This Row],[Std (min/unit)]]="","",tblLabor[[#This Row],[Good units]]*tblLabor[[#This Row],[Std (min/unit)]]/60))</f>
        <v>31.6866666666667</v>
      </c>
      <c r="J136" s="31">
        <f>IF(tblLabor[[#This Row],[Date]]="","",IF(AND(tblLabor[[#This Row],[Actual hours (person-h)]]&gt;0,ISNUMBER(tblLabor[[#This Row],[Earned hours (person-h)]])),tblLabor[[#This Row],[Earned hours (person-h)]]/tblLabor[[#This Row],[Actual hours (person-h)]],""))</f>
        <v>0.807303609341826</v>
      </c>
      <c r="K136" s="39" t="str">
        <f>IF(NOT(ISNUMBER(tblLabor[[#This Row],[Efficiency]])),"",IF(tblLabor[[#This Row],[Efficiency]]&gt;=TargetEff,"On target",IF(tblLabor[[#This Row],[Efficiency]]&gt;=TargetEff*(1-0.05),"Near target","Below target")))</f>
        <v>Below target</v>
      </c>
      <c r="L136" s="40">
        <f>IF(tblLabor[[#This Row],[Date]]="","",IF(ISNUMBER(tblLabor[[#This Row],[Earned hours (person-h)]]),tblLabor[[#This Row],[Actual hours (person-h)]]-tblLabor[[#This Row],[Earned hours (person-h)]],""))</f>
        <v>7.56333333333333</v>
      </c>
      <c r="M136" s="41">
        <f>IF(tblLabor[[#This Row],[Date]]="","",IF(AND(tblLabor[[#This Row],[Date]]&gt;=FFrom,tblLabor[[#This Row],[Date]]&lt;=FTo,OR(DashCell="",tblLabor[[#This Row],[Cell]]=DashCell)),tblLabor[[#This Row],[Date]],""))</f>
        <v>46286</v>
      </c>
      <c r="N13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6" s="28" t="s">
        <v>136</v>
      </c>
    </row>
    <row r="137" spans="2:15" x14ac:dyDescent="0.25">
      <c r="B137" s="35">
        <v>46286</v>
      </c>
      <c r="C137" s="28" t="s">
        <v>101</v>
      </c>
      <c r="D137" s="28" t="s">
        <v>122</v>
      </c>
      <c r="E137" s="36">
        <v>930</v>
      </c>
      <c r="F137" s="29">
        <v>28.5</v>
      </c>
      <c r="G137" s="37" t="str">
        <f>IF(tblLabor[[#This Row],[Date]]="","",IFERROR(INDEX(tblOperations[Cell],MATCH(tblLabor[[#This Row],[Operation]],tblOperations[Operation],0)),""))</f>
        <v>Test and pack</v>
      </c>
      <c r="H137" s="38">
        <f>IF(tblLabor[[#This Row],[Date]]="","",IFERROR(INDEX(tblOperations[Std (min/unit)],MATCH(tblLabor[[#This Row],[Operation]],tblOperations[Operation],0)),""))</f>
        <v>1.7</v>
      </c>
      <c r="I137" s="38">
        <f>IF(tblLabor[[#This Row],[Date]]="","",IF(tblLabor[[#This Row],[Std (min/unit)]]="","",tblLabor[[#This Row],[Good units]]*tblLabor[[#This Row],[Std (min/unit)]]/60))</f>
        <v>26.35</v>
      </c>
      <c r="J137" s="31">
        <f>IF(tblLabor[[#This Row],[Date]]="","",IF(AND(tblLabor[[#This Row],[Actual hours (person-h)]]&gt;0,ISNUMBER(tblLabor[[#This Row],[Earned hours (person-h)]])),tblLabor[[#This Row],[Earned hours (person-h)]]/tblLabor[[#This Row],[Actual hours (person-h)]],""))</f>
        <v>0.924561403508772</v>
      </c>
      <c r="K137" s="39" t="str">
        <f>IF(NOT(ISNUMBER(tblLabor[[#This Row],[Efficiency]])),"",IF(tblLabor[[#This Row],[Efficiency]]&gt;=TargetEff,"On target",IF(tblLabor[[#This Row],[Efficiency]]&gt;=TargetEff*(1-0.05),"Near target","Below target")))</f>
        <v>On target</v>
      </c>
      <c r="L137" s="40">
        <f>IF(tblLabor[[#This Row],[Date]]="","",IF(ISNUMBER(tblLabor[[#This Row],[Earned hours (person-h)]]),tblLabor[[#This Row],[Actual hours (person-h)]]-tblLabor[[#This Row],[Earned hours (person-h)]],""))</f>
        <v>2.15</v>
      </c>
      <c r="M137" s="41">
        <f>IF(tblLabor[[#This Row],[Date]]="","",IF(AND(tblLabor[[#This Row],[Date]]&gt;=FFrom,tblLabor[[#This Row],[Date]]&lt;=FTo,OR(DashCell="",tblLabor[[#This Row],[Cell]]=DashCell)),tblLabor[[#This Row],[Date]],""))</f>
        <v>46286</v>
      </c>
      <c r="N13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7" s="28" t="s">
        <v>136</v>
      </c>
    </row>
    <row r="138" spans="2:15" x14ac:dyDescent="0.25">
      <c r="B138" s="35">
        <v>46287</v>
      </c>
      <c r="C138" s="28" t="s">
        <v>98</v>
      </c>
      <c r="D138" s="28" t="s">
        <v>106</v>
      </c>
      <c r="E138" s="36">
        <v>129</v>
      </c>
      <c r="F138" s="29">
        <v>11.75</v>
      </c>
      <c r="G138" s="37" t="str">
        <f>IF(tblLabor[[#This Row],[Date]]="","",IFERROR(INDEX(tblOperations[Cell],MATCH(tblLabor[[#This Row],[Operation]],tblOperations[Operation],0)),""))</f>
        <v>Cut and crimp</v>
      </c>
      <c r="H138" s="38">
        <f>IF(tblLabor[[#This Row],[Date]]="","",IFERROR(INDEX(tblOperations[Std (min/unit)],MATCH(tblLabor[[#This Row],[Operation]],tblOperations[Operation],0)),""))</f>
        <v>5.2</v>
      </c>
      <c r="I138" s="38">
        <f>IF(tblLabor[[#This Row],[Date]]="","",IF(tblLabor[[#This Row],[Std (min/unit)]]="","",tblLabor[[#This Row],[Good units]]*tblLabor[[#This Row],[Std (min/unit)]]/60))</f>
        <v>11.18</v>
      </c>
      <c r="J138" s="31">
        <f>IF(tblLabor[[#This Row],[Date]]="","",IF(AND(tblLabor[[#This Row],[Actual hours (person-h)]]&gt;0,ISNUMBER(tblLabor[[#This Row],[Earned hours (person-h)]])),tblLabor[[#This Row],[Earned hours (person-h)]]/tblLabor[[#This Row],[Actual hours (person-h)]],""))</f>
        <v>0.951489361702128</v>
      </c>
      <c r="K138" s="39" t="str">
        <f>IF(NOT(ISNUMBER(tblLabor[[#This Row],[Efficiency]])),"",IF(tblLabor[[#This Row],[Efficiency]]&gt;=TargetEff,"On target",IF(tblLabor[[#This Row],[Efficiency]]&gt;=TargetEff*(1-0.05),"Near target","Below target")))</f>
        <v>On target</v>
      </c>
      <c r="L138" s="40">
        <f>IF(tblLabor[[#This Row],[Date]]="","",IF(ISNUMBER(tblLabor[[#This Row],[Earned hours (person-h)]]),tblLabor[[#This Row],[Actual hours (person-h)]]-tblLabor[[#This Row],[Earned hours (person-h)]],""))</f>
        <v>0.569999999999999</v>
      </c>
      <c r="M138" s="41">
        <f>IF(tblLabor[[#This Row],[Date]]="","",IF(AND(tblLabor[[#This Row],[Date]]&gt;=FFrom,tblLabor[[#This Row],[Date]]&lt;=FTo,OR(DashCell="",tblLabor[[#This Row],[Cell]]=DashCell)),tblLabor[[#This Row],[Date]],""))</f>
        <v>46287</v>
      </c>
      <c r="N13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8" s="28" t="s">
        <v>136</v>
      </c>
    </row>
    <row r="139" spans="2:15" x14ac:dyDescent="0.25">
      <c r="B139" s="35">
        <v>46287</v>
      </c>
      <c r="C139" s="28" t="s">
        <v>98</v>
      </c>
      <c r="D139" s="28" t="s">
        <v>108</v>
      </c>
      <c r="E139" s="36">
        <v>244</v>
      </c>
      <c r="F139" s="29">
        <v>9.75</v>
      </c>
      <c r="G139" s="37" t="str">
        <f>IF(tblLabor[[#This Row],[Date]]="","",IFERROR(INDEX(tblOperations[Cell],MATCH(tblLabor[[#This Row],[Operation]],tblOperations[Operation],0)),""))</f>
        <v>Cut and crimp</v>
      </c>
      <c r="H139" s="38">
        <f>IF(tblLabor[[#This Row],[Date]]="","",IFERROR(INDEX(tblOperations[Std (min/unit)],MATCH(tblLabor[[#This Row],[Operation]],tblOperations[Operation],0)),""))</f>
        <v>2.4</v>
      </c>
      <c r="I139" s="38">
        <f>IF(tblLabor[[#This Row],[Date]]="","",IF(tblLabor[[#This Row],[Std (min/unit)]]="","",tblLabor[[#This Row],[Good units]]*tblLabor[[#This Row],[Std (min/unit)]]/60))</f>
        <v>9.76</v>
      </c>
      <c r="J139" s="31">
        <f>IF(tblLabor[[#This Row],[Date]]="","",IF(AND(tblLabor[[#This Row],[Actual hours (person-h)]]&gt;0,ISNUMBER(tblLabor[[#This Row],[Earned hours (person-h)]])),tblLabor[[#This Row],[Earned hours (person-h)]]/tblLabor[[#This Row],[Actual hours (person-h)]],""))</f>
        <v>1.00102564102564</v>
      </c>
      <c r="K139" s="39" t="str">
        <f>IF(NOT(ISNUMBER(tblLabor[[#This Row],[Efficiency]])),"",IF(tblLabor[[#This Row],[Efficiency]]&gt;=TargetEff,"On target",IF(tblLabor[[#This Row],[Efficiency]]&gt;=TargetEff*(1-0.05),"Near target","Below target")))</f>
        <v>On target</v>
      </c>
      <c r="L139" s="40">
        <f>IF(tblLabor[[#This Row],[Date]]="","",IF(ISNUMBER(tblLabor[[#This Row],[Earned hours (person-h)]]),tblLabor[[#This Row],[Actual hours (person-h)]]-tblLabor[[#This Row],[Earned hours (person-h)]],""))</f>
        <v>-0.00999999999999979</v>
      </c>
      <c r="M139" s="41">
        <f>IF(tblLabor[[#This Row],[Date]]="","",IF(AND(tblLabor[[#This Row],[Date]]&gt;=FFrom,tblLabor[[#This Row],[Date]]&lt;=FTo,OR(DashCell="",tblLabor[[#This Row],[Cell]]=DashCell)),tblLabor[[#This Row],[Date]],""))</f>
        <v>46287</v>
      </c>
      <c r="N13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39" s="28" t="s">
        <v>136</v>
      </c>
    </row>
    <row r="140" spans="2:15" x14ac:dyDescent="0.25">
      <c r="B140" s="35">
        <v>46287</v>
      </c>
      <c r="C140" s="28" t="s">
        <v>98</v>
      </c>
      <c r="D140" s="28" t="s">
        <v>112</v>
      </c>
      <c r="E140" s="36">
        <v>184</v>
      </c>
      <c r="F140" s="29">
        <v>56.25</v>
      </c>
      <c r="G140" s="37" t="str">
        <f>IF(tblLabor[[#This Row],[Date]]="","",IFERROR(INDEX(tblOperations[Cell],MATCH(tblLabor[[#This Row],[Operation]],tblOperations[Operation],0)),""))</f>
        <v>Board line A</v>
      </c>
      <c r="H140" s="38">
        <f>IF(tblLabor[[#This Row],[Date]]="","",IFERROR(INDEX(tblOperations[Std (min/unit)],MATCH(tblLabor[[#This Row],[Operation]],tblOperations[Operation],0)),""))</f>
        <v>16.5</v>
      </c>
      <c r="I140" s="38">
        <f>IF(tblLabor[[#This Row],[Date]]="","",IF(tblLabor[[#This Row],[Std (min/unit)]]="","",tblLabor[[#This Row],[Good units]]*tblLabor[[#This Row],[Std (min/unit)]]/60))</f>
        <v>50.6</v>
      </c>
      <c r="J140" s="31">
        <f>IF(tblLabor[[#This Row],[Date]]="","",IF(AND(tblLabor[[#This Row],[Actual hours (person-h)]]&gt;0,ISNUMBER(tblLabor[[#This Row],[Earned hours (person-h)]])),tblLabor[[#This Row],[Earned hours (person-h)]]/tblLabor[[#This Row],[Actual hours (person-h)]],""))</f>
        <v>0.899555555555556</v>
      </c>
      <c r="K140" s="39" t="str">
        <f>IF(NOT(ISNUMBER(tblLabor[[#This Row],[Efficiency]])),"",IF(tblLabor[[#This Row],[Efficiency]]&gt;=TargetEff,"On target",IF(tblLabor[[#This Row],[Efficiency]]&gt;=TargetEff*(1-0.05),"Near target","Below target")))</f>
        <v>Near target</v>
      </c>
      <c r="L140" s="40">
        <f>IF(tblLabor[[#This Row],[Date]]="","",IF(ISNUMBER(tblLabor[[#This Row],[Earned hours (person-h)]]),tblLabor[[#This Row],[Actual hours (person-h)]]-tblLabor[[#This Row],[Earned hours (person-h)]],""))</f>
        <v>5.65</v>
      </c>
      <c r="M140" s="41">
        <f>IF(tblLabor[[#This Row],[Date]]="","",IF(AND(tblLabor[[#This Row],[Date]]&gt;=FFrom,tblLabor[[#This Row],[Date]]&lt;=FTo,OR(DashCell="",tblLabor[[#This Row],[Cell]]=DashCell)),tblLabor[[#This Row],[Date]],""))</f>
        <v>46287</v>
      </c>
      <c r="N14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0" s="28" t="s">
        <v>136</v>
      </c>
    </row>
    <row r="141" spans="2:15" x14ac:dyDescent="0.25">
      <c r="B141" s="35">
        <v>46287</v>
      </c>
      <c r="C141" s="28" t="s">
        <v>98</v>
      </c>
      <c r="D141" s="28" t="s">
        <v>115</v>
      </c>
      <c r="E141" s="36">
        <v>281</v>
      </c>
      <c r="F141" s="29">
        <v>49</v>
      </c>
      <c r="G141" s="37" t="str">
        <f>IF(tblLabor[[#This Row],[Date]]="","",IFERROR(INDEX(tblOperations[Cell],MATCH(tblLabor[[#This Row],[Operation]],tblOperations[Operation],0)),""))</f>
        <v>Board line B</v>
      </c>
      <c r="H141" s="38">
        <f>IF(tblLabor[[#This Row],[Date]]="","",IFERROR(INDEX(tblOperations[Std (min/unit)],MATCH(tblLabor[[#This Row],[Operation]],tblOperations[Operation],0)),""))</f>
        <v>9.8</v>
      </c>
      <c r="I141" s="38">
        <f>IF(tblLabor[[#This Row],[Date]]="","",IF(tblLabor[[#This Row],[Std (min/unit)]]="","",tblLabor[[#This Row],[Good units]]*tblLabor[[#This Row],[Std (min/unit)]]/60))</f>
        <v>45.8966666666667</v>
      </c>
      <c r="J141" s="31">
        <f>IF(tblLabor[[#This Row],[Date]]="","",IF(AND(tblLabor[[#This Row],[Actual hours (person-h)]]&gt;0,ISNUMBER(tblLabor[[#This Row],[Earned hours (person-h)]])),tblLabor[[#This Row],[Earned hours (person-h)]]/tblLabor[[#This Row],[Actual hours (person-h)]],""))</f>
        <v>0.936666666666667</v>
      </c>
      <c r="K141" s="39" t="str">
        <f>IF(NOT(ISNUMBER(tblLabor[[#This Row],[Efficiency]])),"",IF(tblLabor[[#This Row],[Efficiency]]&gt;=TargetEff,"On target",IF(tblLabor[[#This Row],[Efficiency]]&gt;=TargetEff*(1-0.05),"Near target","Below target")))</f>
        <v>On target</v>
      </c>
      <c r="L141" s="40">
        <f>IF(tblLabor[[#This Row],[Date]]="","",IF(ISNUMBER(tblLabor[[#This Row],[Earned hours (person-h)]]),tblLabor[[#This Row],[Actual hours (person-h)]]-tblLabor[[#This Row],[Earned hours (person-h)]],""))</f>
        <v>3.10333333333333</v>
      </c>
      <c r="M141" s="41">
        <f>IF(tblLabor[[#This Row],[Date]]="","",IF(AND(tblLabor[[#This Row],[Date]]&gt;=FFrom,tblLabor[[#This Row],[Date]]&lt;=FTo,OR(DashCell="",tblLabor[[#This Row],[Cell]]=DashCell)),tblLabor[[#This Row],[Date]],""))</f>
        <v>46287</v>
      </c>
      <c r="N14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1" s="28" t="s">
        <v>136</v>
      </c>
    </row>
    <row r="142" spans="2:15" x14ac:dyDescent="0.25">
      <c r="B142" s="35">
        <v>46287</v>
      </c>
      <c r="C142" s="28" t="s">
        <v>98</v>
      </c>
      <c r="D142" s="28" t="s">
        <v>120</v>
      </c>
      <c r="E142" s="36">
        <v>514</v>
      </c>
      <c r="F142" s="29">
        <v>31.5</v>
      </c>
      <c r="G142" s="37" t="str">
        <f>IF(tblLabor[[#This Row],[Date]]="","",IFERROR(INDEX(tblOperations[Cell],MATCH(tblLabor[[#This Row],[Operation]],tblOperations[Operation],0)),""))</f>
        <v>Test and pack</v>
      </c>
      <c r="H142" s="38">
        <f>IF(tblLabor[[#This Row],[Date]]="","",IFERROR(INDEX(tblOperations[Std (min/unit)],MATCH(tblLabor[[#This Row],[Operation]],tblOperations[Operation],0)),""))</f>
        <v>3.4</v>
      </c>
      <c r="I142" s="38">
        <f>IF(tblLabor[[#This Row],[Date]]="","",IF(tblLabor[[#This Row],[Std (min/unit)]]="","",tblLabor[[#This Row],[Good units]]*tblLabor[[#This Row],[Std (min/unit)]]/60))</f>
        <v>29.1266666666667</v>
      </c>
      <c r="J142" s="31">
        <f>IF(tblLabor[[#This Row],[Date]]="","",IF(AND(tblLabor[[#This Row],[Actual hours (person-h)]]&gt;0,ISNUMBER(tblLabor[[#This Row],[Earned hours (person-h)]])),tblLabor[[#This Row],[Earned hours (person-h)]]/tblLabor[[#This Row],[Actual hours (person-h)]],""))</f>
        <v>0.924656084656085</v>
      </c>
      <c r="K142" s="39" t="str">
        <f>IF(NOT(ISNUMBER(tblLabor[[#This Row],[Efficiency]])),"",IF(tblLabor[[#This Row],[Efficiency]]&gt;=TargetEff,"On target",IF(tblLabor[[#This Row],[Efficiency]]&gt;=TargetEff*(1-0.05),"Near target","Below target")))</f>
        <v>On target</v>
      </c>
      <c r="L142" s="40">
        <f>IF(tblLabor[[#This Row],[Date]]="","",IF(ISNUMBER(tblLabor[[#This Row],[Earned hours (person-h)]]),tblLabor[[#This Row],[Actual hours (person-h)]]-tblLabor[[#This Row],[Earned hours (person-h)]],""))</f>
        <v>2.37333333333334</v>
      </c>
      <c r="M142" s="41">
        <f>IF(tblLabor[[#This Row],[Date]]="","",IF(AND(tblLabor[[#This Row],[Date]]&gt;=FFrom,tblLabor[[#This Row],[Date]]&lt;=FTo,OR(DashCell="",tblLabor[[#This Row],[Cell]]=DashCell)),tblLabor[[#This Row],[Date]],""))</f>
        <v>46287</v>
      </c>
      <c r="N14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2" s="28" t="s">
        <v>136</v>
      </c>
    </row>
    <row r="143" spans="2:15" x14ac:dyDescent="0.25">
      <c r="B143" s="35">
        <v>46287</v>
      </c>
      <c r="C143" s="28" t="s">
        <v>101</v>
      </c>
      <c r="D143" s="28" t="s">
        <v>110</v>
      </c>
      <c r="E143" s="36">
        <v>1009</v>
      </c>
      <c r="F143" s="29">
        <v>16.25</v>
      </c>
      <c r="G143" s="37" t="str">
        <f>IF(tblLabor[[#This Row],[Date]]="","",IFERROR(INDEX(tblOperations[Cell],MATCH(tblLabor[[#This Row],[Operation]],tblOperations[Operation],0)),""))</f>
        <v>Cut and crimp</v>
      </c>
      <c r="H143" s="38">
        <f>IF(tblLabor[[#This Row],[Date]]="","",IFERROR(INDEX(tblOperations[Std (min/unit)],MATCH(tblLabor[[#This Row],[Operation]],tblOperations[Operation],0)),""))</f>
        <v>0.9</v>
      </c>
      <c r="I143" s="38">
        <f>IF(tblLabor[[#This Row],[Date]]="","",IF(tblLabor[[#This Row],[Std (min/unit)]]="","",tblLabor[[#This Row],[Good units]]*tblLabor[[#This Row],[Std (min/unit)]]/60))</f>
        <v>15.135</v>
      </c>
      <c r="J143" s="31">
        <f>IF(tblLabor[[#This Row],[Date]]="","",IF(AND(tblLabor[[#This Row],[Actual hours (person-h)]]&gt;0,ISNUMBER(tblLabor[[#This Row],[Earned hours (person-h)]])),tblLabor[[#This Row],[Earned hours (person-h)]]/tblLabor[[#This Row],[Actual hours (person-h)]],""))</f>
        <v>0.931384615384615</v>
      </c>
      <c r="K143" s="39" t="str">
        <f>IF(NOT(ISNUMBER(tblLabor[[#This Row],[Efficiency]])),"",IF(tblLabor[[#This Row],[Efficiency]]&gt;=TargetEff,"On target",IF(tblLabor[[#This Row],[Efficiency]]&gt;=TargetEff*(1-0.05),"Near target","Below target")))</f>
        <v>On target</v>
      </c>
      <c r="L143" s="40">
        <f>IF(tblLabor[[#This Row],[Date]]="","",IF(ISNUMBER(tblLabor[[#This Row],[Earned hours (person-h)]]),tblLabor[[#This Row],[Actual hours (person-h)]]-tblLabor[[#This Row],[Earned hours (person-h)]],""))</f>
        <v>1.115</v>
      </c>
      <c r="M143" s="41">
        <f>IF(tblLabor[[#This Row],[Date]]="","",IF(AND(tblLabor[[#This Row],[Date]]&gt;=FFrom,tblLabor[[#This Row],[Date]]&lt;=FTo,OR(DashCell="",tblLabor[[#This Row],[Cell]]=DashCell)),tblLabor[[#This Row],[Date]],""))</f>
        <v>46287</v>
      </c>
      <c r="N14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3" s="28" t="s">
        <v>136</v>
      </c>
    </row>
    <row r="144" spans="2:15" x14ac:dyDescent="0.25">
      <c r="B144" s="35">
        <v>46287</v>
      </c>
      <c r="C144" s="28" t="s">
        <v>101</v>
      </c>
      <c r="D144" s="28" t="s">
        <v>104</v>
      </c>
      <c r="E144" s="36">
        <v>167</v>
      </c>
      <c r="F144" s="29">
        <v>11</v>
      </c>
      <c r="G144" s="37" t="str">
        <f>IF(tblLabor[[#This Row],[Date]]="","",IFERROR(INDEX(tblOperations[Cell],MATCH(tblLabor[[#This Row],[Operation]],tblOperations[Operation],0)),""))</f>
        <v>Cut and crimp</v>
      </c>
      <c r="H144" s="38">
        <f>IF(tblLabor[[#This Row],[Date]]="","",IFERROR(INDEX(tblOperations[Std (min/unit)],MATCH(tblLabor[[#This Row],[Operation]],tblOperations[Operation],0)),""))</f>
        <v>3.8</v>
      </c>
      <c r="I144" s="38">
        <f>IF(tblLabor[[#This Row],[Date]]="","",IF(tblLabor[[#This Row],[Std (min/unit)]]="","",tblLabor[[#This Row],[Good units]]*tblLabor[[#This Row],[Std (min/unit)]]/60))</f>
        <v>10.5766666666667</v>
      </c>
      <c r="J144" s="31">
        <f>IF(tblLabor[[#This Row],[Date]]="","",IF(AND(tblLabor[[#This Row],[Actual hours (person-h)]]&gt;0,ISNUMBER(tblLabor[[#This Row],[Earned hours (person-h)]])),tblLabor[[#This Row],[Earned hours (person-h)]]/tblLabor[[#This Row],[Actual hours (person-h)]],""))</f>
        <v>0.961515151515151</v>
      </c>
      <c r="K144" s="39" t="str">
        <f>IF(NOT(ISNUMBER(tblLabor[[#This Row],[Efficiency]])),"",IF(tblLabor[[#This Row],[Efficiency]]&gt;=TargetEff,"On target",IF(tblLabor[[#This Row],[Efficiency]]&gt;=TargetEff*(1-0.05),"Near target","Below target")))</f>
        <v>On target</v>
      </c>
      <c r="L144" s="40">
        <f>IF(tblLabor[[#This Row],[Date]]="","",IF(ISNUMBER(tblLabor[[#This Row],[Earned hours (person-h)]]),tblLabor[[#This Row],[Actual hours (person-h)]]-tblLabor[[#This Row],[Earned hours (person-h)]],""))</f>
        <v>0.423333333333334</v>
      </c>
      <c r="M144" s="41">
        <f>IF(tblLabor[[#This Row],[Date]]="","",IF(AND(tblLabor[[#This Row],[Date]]&gt;=FFrom,tblLabor[[#This Row],[Date]]&lt;=FTo,OR(DashCell="",tblLabor[[#This Row],[Cell]]=DashCell)),tblLabor[[#This Row],[Date]],""))</f>
        <v>46287</v>
      </c>
      <c r="N14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4" s="28" t="s">
        <v>136</v>
      </c>
    </row>
    <row r="145" spans="2:15" x14ac:dyDescent="0.25">
      <c r="B145" s="35">
        <v>46287</v>
      </c>
      <c r="C145" s="28" t="s">
        <v>101</v>
      </c>
      <c r="D145" s="28" t="s">
        <v>112</v>
      </c>
      <c r="E145" s="36">
        <v>159</v>
      </c>
      <c r="F145" s="29">
        <v>49.75</v>
      </c>
      <c r="G145" s="37" t="str">
        <f>IF(tblLabor[[#This Row],[Date]]="","",IFERROR(INDEX(tblOperations[Cell],MATCH(tblLabor[[#This Row],[Operation]],tblOperations[Operation],0)),""))</f>
        <v>Board line A</v>
      </c>
      <c r="H145" s="38">
        <f>IF(tblLabor[[#This Row],[Date]]="","",IFERROR(INDEX(tblOperations[Std (min/unit)],MATCH(tblLabor[[#This Row],[Operation]],tblOperations[Operation],0)),""))</f>
        <v>16.5</v>
      </c>
      <c r="I145" s="38">
        <f>IF(tblLabor[[#This Row],[Date]]="","",IF(tblLabor[[#This Row],[Std (min/unit)]]="","",tblLabor[[#This Row],[Good units]]*tblLabor[[#This Row],[Std (min/unit)]]/60))</f>
        <v>43.725</v>
      </c>
      <c r="J145" s="31">
        <f>IF(tblLabor[[#This Row],[Date]]="","",IF(AND(tblLabor[[#This Row],[Actual hours (person-h)]]&gt;0,ISNUMBER(tblLabor[[#This Row],[Earned hours (person-h)]])),tblLabor[[#This Row],[Earned hours (person-h)]]/tblLabor[[#This Row],[Actual hours (person-h)]],""))</f>
        <v>0.878894472361809</v>
      </c>
      <c r="K145" s="39" t="str">
        <f>IF(NOT(ISNUMBER(tblLabor[[#This Row],[Efficiency]])),"",IF(tblLabor[[#This Row],[Efficiency]]&gt;=TargetEff,"On target",IF(tblLabor[[#This Row],[Efficiency]]&gt;=TargetEff*(1-0.05),"Near target","Below target")))</f>
        <v>Near target</v>
      </c>
      <c r="L145" s="40">
        <f>IF(tblLabor[[#This Row],[Date]]="","",IF(ISNUMBER(tblLabor[[#This Row],[Earned hours (person-h)]]),tblLabor[[#This Row],[Actual hours (person-h)]]-tblLabor[[#This Row],[Earned hours (person-h)]],""))</f>
        <v>6.025</v>
      </c>
      <c r="M145" s="41">
        <f>IF(tblLabor[[#This Row],[Date]]="","",IF(AND(tblLabor[[#This Row],[Date]]&gt;=FFrom,tblLabor[[#This Row],[Date]]&lt;=FTo,OR(DashCell="",tblLabor[[#This Row],[Cell]]=DashCell)),tblLabor[[#This Row],[Date]],""))</f>
        <v>46287</v>
      </c>
      <c r="N14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5" s="28" t="s">
        <v>136</v>
      </c>
    </row>
    <row r="146" spans="2:15" x14ac:dyDescent="0.25">
      <c r="B146" s="35">
        <v>46287</v>
      </c>
      <c r="C146" s="28" t="s">
        <v>101</v>
      </c>
      <c r="D146" s="28" t="s">
        <v>115</v>
      </c>
      <c r="E146" s="36">
        <v>214</v>
      </c>
      <c r="F146" s="29">
        <v>41.5</v>
      </c>
      <c r="G146" s="37" t="str">
        <f>IF(tblLabor[[#This Row],[Date]]="","",IFERROR(INDEX(tblOperations[Cell],MATCH(tblLabor[[#This Row],[Operation]],tblOperations[Operation],0)),""))</f>
        <v>Board line B</v>
      </c>
      <c r="H146" s="38">
        <f>IF(tblLabor[[#This Row],[Date]]="","",IFERROR(INDEX(tblOperations[Std (min/unit)],MATCH(tblLabor[[#This Row],[Operation]],tblOperations[Operation],0)),""))</f>
        <v>9.8</v>
      </c>
      <c r="I146" s="38">
        <f>IF(tblLabor[[#This Row],[Date]]="","",IF(tblLabor[[#This Row],[Std (min/unit)]]="","",tblLabor[[#This Row],[Good units]]*tblLabor[[#This Row],[Std (min/unit)]]/60))</f>
        <v>34.9533333333333</v>
      </c>
      <c r="J146" s="31">
        <f>IF(tblLabor[[#This Row],[Date]]="","",IF(AND(tblLabor[[#This Row],[Actual hours (person-h)]]&gt;0,ISNUMBER(tblLabor[[#This Row],[Earned hours (person-h)]])),tblLabor[[#This Row],[Earned hours (person-h)]]/tblLabor[[#This Row],[Actual hours (person-h)]],""))</f>
        <v>0.842248995983936</v>
      </c>
      <c r="K146" s="39" t="str">
        <f>IF(NOT(ISNUMBER(tblLabor[[#This Row],[Efficiency]])),"",IF(tblLabor[[#This Row],[Efficiency]]&gt;=TargetEff,"On target",IF(tblLabor[[#This Row],[Efficiency]]&gt;=TargetEff*(1-0.05),"Near target","Below target")))</f>
        <v>Below target</v>
      </c>
      <c r="L146" s="40">
        <f>IF(tblLabor[[#This Row],[Date]]="","",IF(ISNUMBER(tblLabor[[#This Row],[Earned hours (person-h)]]),tblLabor[[#This Row],[Actual hours (person-h)]]-tblLabor[[#This Row],[Earned hours (person-h)]],""))</f>
        <v>6.54666666666666</v>
      </c>
      <c r="M146" s="41">
        <f>IF(tblLabor[[#This Row],[Date]]="","",IF(AND(tblLabor[[#This Row],[Date]]&gt;=FFrom,tblLabor[[#This Row],[Date]]&lt;=FTo,OR(DashCell="",tblLabor[[#This Row],[Cell]]=DashCell)),tblLabor[[#This Row],[Date]],""))</f>
        <v>46287</v>
      </c>
      <c r="N14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6" s="28" t="s">
        <v>136</v>
      </c>
    </row>
    <row r="147" spans="2:15" x14ac:dyDescent="0.25">
      <c r="B147" s="35">
        <v>46287</v>
      </c>
      <c r="C147" s="28" t="s">
        <v>101</v>
      </c>
      <c r="D147" s="28" t="s">
        <v>124</v>
      </c>
      <c r="E147" s="36">
        <v>2199</v>
      </c>
      <c r="F147" s="29">
        <v>31</v>
      </c>
      <c r="G147" s="37" t="str">
        <f>IF(tblLabor[[#This Row],[Date]]="","",IFERROR(INDEX(tblOperations[Cell],MATCH(tblLabor[[#This Row],[Operation]],tblOperations[Operation],0)),""))</f>
        <v>Test and pack</v>
      </c>
      <c r="H147" s="38">
        <f>IF(tblLabor[[#This Row],[Date]]="","",IFERROR(INDEX(tblOperations[Std (min/unit)],MATCH(tblLabor[[#This Row],[Operation]],tblOperations[Operation],0)),""))</f>
        <v>0.8</v>
      </c>
      <c r="I147" s="38">
        <f>IF(tblLabor[[#This Row],[Date]]="","",IF(tblLabor[[#This Row],[Std (min/unit)]]="","",tblLabor[[#This Row],[Good units]]*tblLabor[[#This Row],[Std (min/unit)]]/60))</f>
        <v>29.32</v>
      </c>
      <c r="J147" s="31">
        <f>IF(tblLabor[[#This Row],[Date]]="","",IF(AND(tblLabor[[#This Row],[Actual hours (person-h)]]&gt;0,ISNUMBER(tblLabor[[#This Row],[Earned hours (person-h)]])),tblLabor[[#This Row],[Earned hours (person-h)]]/tblLabor[[#This Row],[Actual hours (person-h)]],""))</f>
        <v>0.945806451612903</v>
      </c>
      <c r="K147" s="39" t="str">
        <f>IF(NOT(ISNUMBER(tblLabor[[#This Row],[Efficiency]])),"",IF(tblLabor[[#This Row],[Efficiency]]&gt;=TargetEff,"On target",IF(tblLabor[[#This Row],[Efficiency]]&gt;=TargetEff*(1-0.05),"Near target","Below target")))</f>
        <v>On target</v>
      </c>
      <c r="L147" s="40">
        <f>IF(tblLabor[[#This Row],[Date]]="","",IF(ISNUMBER(tblLabor[[#This Row],[Earned hours (person-h)]]),tblLabor[[#This Row],[Actual hours (person-h)]]-tblLabor[[#This Row],[Earned hours (person-h)]],""))</f>
        <v>1.68</v>
      </c>
      <c r="M147" s="41">
        <f>IF(tblLabor[[#This Row],[Date]]="","",IF(AND(tblLabor[[#This Row],[Date]]&gt;=FFrom,tblLabor[[#This Row],[Date]]&lt;=FTo,OR(DashCell="",tblLabor[[#This Row],[Cell]]=DashCell)),tblLabor[[#This Row],[Date]],""))</f>
        <v>46287</v>
      </c>
      <c r="N14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7" s="28" t="s">
        <v>136</v>
      </c>
    </row>
    <row r="148" spans="2:15" x14ac:dyDescent="0.25">
      <c r="B148" s="35">
        <v>46288</v>
      </c>
      <c r="C148" s="28" t="s">
        <v>98</v>
      </c>
      <c r="D148" s="28" t="s">
        <v>108</v>
      </c>
      <c r="E148" s="36">
        <v>523</v>
      </c>
      <c r="F148" s="29">
        <v>21.25</v>
      </c>
      <c r="G148" s="37" t="str">
        <f>IF(tblLabor[[#This Row],[Date]]="","",IFERROR(INDEX(tblOperations[Cell],MATCH(tblLabor[[#This Row],[Operation]],tblOperations[Operation],0)),""))</f>
        <v>Cut and crimp</v>
      </c>
      <c r="H148" s="38">
        <f>IF(tblLabor[[#This Row],[Date]]="","",IFERROR(INDEX(tblOperations[Std (min/unit)],MATCH(tblLabor[[#This Row],[Operation]],tblOperations[Operation],0)),""))</f>
        <v>2.4</v>
      </c>
      <c r="I148" s="38">
        <f>IF(tblLabor[[#This Row],[Date]]="","",IF(tblLabor[[#This Row],[Std (min/unit)]]="","",tblLabor[[#This Row],[Good units]]*tblLabor[[#This Row],[Std (min/unit)]]/60))</f>
        <v>20.92</v>
      </c>
      <c r="J148" s="31">
        <f>IF(tblLabor[[#This Row],[Date]]="","",IF(AND(tblLabor[[#This Row],[Actual hours (person-h)]]&gt;0,ISNUMBER(tblLabor[[#This Row],[Earned hours (person-h)]])),tblLabor[[#This Row],[Earned hours (person-h)]]/tblLabor[[#This Row],[Actual hours (person-h)]],""))</f>
        <v>0.984470588235294</v>
      </c>
      <c r="K148" s="39" t="str">
        <f>IF(NOT(ISNUMBER(tblLabor[[#This Row],[Efficiency]])),"",IF(tblLabor[[#This Row],[Efficiency]]&gt;=TargetEff,"On target",IF(tblLabor[[#This Row],[Efficiency]]&gt;=TargetEff*(1-0.05),"Near target","Below target")))</f>
        <v>On target</v>
      </c>
      <c r="L148" s="40">
        <f>IF(tblLabor[[#This Row],[Date]]="","",IF(ISNUMBER(tblLabor[[#This Row],[Earned hours (person-h)]]),tblLabor[[#This Row],[Actual hours (person-h)]]-tblLabor[[#This Row],[Earned hours (person-h)]],""))</f>
        <v>0.329999999999998</v>
      </c>
      <c r="M148" s="41">
        <f>IF(tblLabor[[#This Row],[Date]]="","",IF(AND(tblLabor[[#This Row],[Date]]&gt;=FFrom,tblLabor[[#This Row],[Date]]&lt;=FTo,OR(DashCell="",tblLabor[[#This Row],[Cell]]=DashCell)),tblLabor[[#This Row],[Date]],""))</f>
        <v>46288</v>
      </c>
      <c r="N14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8" s="28" t="s">
        <v>136</v>
      </c>
    </row>
    <row r="149" spans="2:15" x14ac:dyDescent="0.25">
      <c r="B149" s="35">
        <v>46288</v>
      </c>
      <c r="C149" s="28" t="s">
        <v>98</v>
      </c>
      <c r="D149" s="28" t="s">
        <v>112</v>
      </c>
      <c r="E149" s="36">
        <v>183</v>
      </c>
      <c r="F149" s="29">
        <v>56.25</v>
      </c>
      <c r="G149" s="37" t="str">
        <f>IF(tblLabor[[#This Row],[Date]]="","",IFERROR(INDEX(tblOperations[Cell],MATCH(tblLabor[[#This Row],[Operation]],tblOperations[Operation],0)),""))</f>
        <v>Board line A</v>
      </c>
      <c r="H149" s="38">
        <f>IF(tblLabor[[#This Row],[Date]]="","",IFERROR(INDEX(tblOperations[Std (min/unit)],MATCH(tblLabor[[#This Row],[Operation]],tblOperations[Operation],0)),""))</f>
        <v>16.5</v>
      </c>
      <c r="I149" s="38">
        <f>IF(tblLabor[[#This Row],[Date]]="","",IF(tblLabor[[#This Row],[Std (min/unit)]]="","",tblLabor[[#This Row],[Good units]]*tblLabor[[#This Row],[Std (min/unit)]]/60))</f>
        <v>50.325</v>
      </c>
      <c r="J149" s="31">
        <f>IF(tblLabor[[#This Row],[Date]]="","",IF(AND(tblLabor[[#This Row],[Actual hours (person-h)]]&gt;0,ISNUMBER(tblLabor[[#This Row],[Earned hours (person-h)]])),tblLabor[[#This Row],[Earned hours (person-h)]]/tblLabor[[#This Row],[Actual hours (person-h)]],""))</f>
        <v>0.894666666666667</v>
      </c>
      <c r="K149" s="39" t="str">
        <f>IF(NOT(ISNUMBER(tblLabor[[#This Row],[Efficiency]])),"",IF(tblLabor[[#This Row],[Efficiency]]&gt;=TargetEff,"On target",IF(tblLabor[[#This Row],[Efficiency]]&gt;=TargetEff*(1-0.05),"Near target","Below target")))</f>
        <v>Near target</v>
      </c>
      <c r="L149" s="40">
        <f>IF(tblLabor[[#This Row],[Date]]="","",IF(ISNUMBER(tblLabor[[#This Row],[Earned hours (person-h)]]),tblLabor[[#This Row],[Actual hours (person-h)]]-tblLabor[[#This Row],[Earned hours (person-h)]],""))</f>
        <v>5.925</v>
      </c>
      <c r="M149" s="41">
        <f>IF(tblLabor[[#This Row],[Date]]="","",IF(AND(tblLabor[[#This Row],[Date]]&gt;=FFrom,tblLabor[[#This Row],[Date]]&lt;=FTo,OR(DashCell="",tblLabor[[#This Row],[Cell]]=DashCell)),tblLabor[[#This Row],[Date]],""))</f>
        <v>46288</v>
      </c>
      <c r="N14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49" s="28" t="s">
        <v>136</v>
      </c>
    </row>
    <row r="150" spans="2:15" x14ac:dyDescent="0.25">
      <c r="B150" s="35">
        <v>46288</v>
      </c>
      <c r="C150" s="28" t="s">
        <v>98</v>
      </c>
      <c r="D150" s="28" t="s">
        <v>116</v>
      </c>
      <c r="E150" s="36">
        <v>855</v>
      </c>
      <c r="F150" s="29">
        <v>48</v>
      </c>
      <c r="G150" s="37" t="str">
        <f>IF(tblLabor[[#This Row],[Date]]="","",IFERROR(INDEX(tblOperations[Cell],MATCH(tblLabor[[#This Row],[Operation]],tblOperations[Operation],0)),""))</f>
        <v>Board line B</v>
      </c>
      <c r="H150" s="38">
        <f>IF(tblLabor[[#This Row],[Date]]="","",IFERROR(INDEX(tblOperations[Std (min/unit)],MATCH(tblLabor[[#This Row],[Operation]],tblOperations[Operation],0)),""))</f>
        <v>3.1</v>
      </c>
      <c r="I150" s="38">
        <f>IF(tblLabor[[#This Row],[Date]]="","",IF(tblLabor[[#This Row],[Std (min/unit)]]="","",tblLabor[[#This Row],[Good units]]*tblLabor[[#This Row],[Std (min/unit)]]/60))</f>
        <v>44.175</v>
      </c>
      <c r="J150" s="31">
        <f>IF(tblLabor[[#This Row],[Date]]="","",IF(AND(tblLabor[[#This Row],[Actual hours (person-h)]]&gt;0,ISNUMBER(tblLabor[[#This Row],[Earned hours (person-h)]])),tblLabor[[#This Row],[Earned hours (person-h)]]/tblLabor[[#This Row],[Actual hours (person-h)]],""))</f>
        <v>0.9203125</v>
      </c>
      <c r="K150" s="39" t="str">
        <f>IF(NOT(ISNUMBER(tblLabor[[#This Row],[Efficiency]])),"",IF(tblLabor[[#This Row],[Efficiency]]&gt;=TargetEff,"On target",IF(tblLabor[[#This Row],[Efficiency]]&gt;=TargetEff*(1-0.05),"Near target","Below target")))</f>
        <v>On target</v>
      </c>
      <c r="L150" s="40">
        <f>IF(tblLabor[[#This Row],[Date]]="","",IF(ISNUMBER(tblLabor[[#This Row],[Earned hours (person-h)]]),tblLabor[[#This Row],[Actual hours (person-h)]]-tblLabor[[#This Row],[Earned hours (person-h)]],""))</f>
        <v>3.825</v>
      </c>
      <c r="M150" s="41">
        <f>IF(tblLabor[[#This Row],[Date]]="","",IF(AND(tblLabor[[#This Row],[Date]]&gt;=FFrom,tblLabor[[#This Row],[Date]]&lt;=FTo,OR(DashCell="",tblLabor[[#This Row],[Cell]]=DashCell)),tblLabor[[#This Row],[Date]],""))</f>
        <v>46288</v>
      </c>
      <c r="N15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0" s="28" t="s">
        <v>136</v>
      </c>
    </row>
    <row r="151" spans="2:15" x14ac:dyDescent="0.25">
      <c r="B151" s="35">
        <v>46288</v>
      </c>
      <c r="C151" s="28" t="s">
        <v>98</v>
      </c>
      <c r="D151" s="28" t="s">
        <v>122</v>
      </c>
      <c r="E151" s="36">
        <v>1029</v>
      </c>
      <c r="F151" s="29">
        <v>31.25</v>
      </c>
      <c r="G151" s="37" t="str">
        <f>IF(tblLabor[[#This Row],[Date]]="","",IFERROR(INDEX(tblOperations[Cell],MATCH(tblLabor[[#This Row],[Operation]],tblOperations[Operation],0)),""))</f>
        <v>Test and pack</v>
      </c>
      <c r="H151" s="38">
        <f>IF(tblLabor[[#This Row],[Date]]="","",IFERROR(INDEX(tblOperations[Std (min/unit)],MATCH(tblLabor[[#This Row],[Operation]],tblOperations[Operation],0)),""))</f>
        <v>1.7</v>
      </c>
      <c r="I151" s="38">
        <f>IF(tblLabor[[#This Row],[Date]]="","",IF(tblLabor[[#This Row],[Std (min/unit)]]="","",tblLabor[[#This Row],[Good units]]*tblLabor[[#This Row],[Std (min/unit)]]/60))</f>
        <v>29.155</v>
      </c>
      <c r="J151" s="31">
        <f>IF(tblLabor[[#This Row],[Date]]="","",IF(AND(tblLabor[[#This Row],[Actual hours (person-h)]]&gt;0,ISNUMBER(tblLabor[[#This Row],[Earned hours (person-h)]])),tblLabor[[#This Row],[Earned hours (person-h)]]/tblLabor[[#This Row],[Actual hours (person-h)]],""))</f>
        <v>0.93296</v>
      </c>
      <c r="K151" s="39" t="str">
        <f>IF(NOT(ISNUMBER(tblLabor[[#This Row],[Efficiency]])),"",IF(tblLabor[[#This Row],[Efficiency]]&gt;=TargetEff,"On target",IF(tblLabor[[#This Row],[Efficiency]]&gt;=TargetEff*(1-0.05),"Near target","Below target")))</f>
        <v>On target</v>
      </c>
      <c r="L151" s="40">
        <f>IF(tblLabor[[#This Row],[Date]]="","",IF(ISNUMBER(tblLabor[[#This Row],[Earned hours (person-h)]]),tblLabor[[#This Row],[Actual hours (person-h)]]-tblLabor[[#This Row],[Earned hours (person-h)]],""))</f>
        <v>2.095</v>
      </c>
      <c r="M151" s="41">
        <f>IF(tblLabor[[#This Row],[Date]]="","",IF(AND(tblLabor[[#This Row],[Date]]&gt;=FFrom,tblLabor[[#This Row],[Date]]&lt;=FTo,OR(DashCell="",tblLabor[[#This Row],[Cell]]=DashCell)),tblLabor[[#This Row],[Date]],""))</f>
        <v>46288</v>
      </c>
      <c r="N15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1" s="28" t="s">
        <v>136</v>
      </c>
    </row>
    <row r="152" spans="2:15" x14ac:dyDescent="0.25">
      <c r="B152" s="35">
        <v>46288</v>
      </c>
      <c r="C152" s="28" t="s">
        <v>101</v>
      </c>
      <c r="D152" s="28" t="s">
        <v>104</v>
      </c>
      <c r="E152" s="36">
        <v>424</v>
      </c>
      <c r="F152" s="29">
        <v>27.75</v>
      </c>
      <c r="G152" s="37" t="str">
        <f>IF(tblLabor[[#This Row],[Date]]="","",IFERROR(INDEX(tblOperations[Cell],MATCH(tblLabor[[#This Row],[Operation]],tblOperations[Operation],0)),""))</f>
        <v>Cut and crimp</v>
      </c>
      <c r="H152" s="38">
        <f>IF(tblLabor[[#This Row],[Date]]="","",IFERROR(INDEX(tblOperations[Std (min/unit)],MATCH(tblLabor[[#This Row],[Operation]],tblOperations[Operation],0)),""))</f>
        <v>3.8</v>
      </c>
      <c r="I152" s="38">
        <f>IF(tblLabor[[#This Row],[Date]]="","",IF(tblLabor[[#This Row],[Std (min/unit)]]="","",tblLabor[[#This Row],[Good units]]*tblLabor[[#This Row],[Std (min/unit)]]/60))</f>
        <v>26.8533333333333</v>
      </c>
      <c r="J152" s="31">
        <f>IF(tblLabor[[#This Row],[Date]]="","",IF(AND(tblLabor[[#This Row],[Actual hours (person-h)]]&gt;0,ISNUMBER(tblLabor[[#This Row],[Earned hours (person-h)]])),tblLabor[[#This Row],[Earned hours (person-h)]]/tblLabor[[#This Row],[Actual hours (person-h)]],""))</f>
        <v>0.967687687687688</v>
      </c>
      <c r="K152" s="39" t="str">
        <f>IF(NOT(ISNUMBER(tblLabor[[#This Row],[Efficiency]])),"",IF(tblLabor[[#This Row],[Efficiency]]&gt;=TargetEff,"On target",IF(tblLabor[[#This Row],[Efficiency]]&gt;=TargetEff*(1-0.05),"Near target","Below target")))</f>
        <v>On target</v>
      </c>
      <c r="L152" s="40">
        <f>IF(tblLabor[[#This Row],[Date]]="","",IF(ISNUMBER(tblLabor[[#This Row],[Earned hours (person-h)]]),tblLabor[[#This Row],[Actual hours (person-h)]]-tblLabor[[#This Row],[Earned hours (person-h)]],""))</f>
        <v>0.896666666666668</v>
      </c>
      <c r="M152" s="41">
        <f>IF(tblLabor[[#This Row],[Date]]="","",IF(AND(tblLabor[[#This Row],[Date]]&gt;=FFrom,tblLabor[[#This Row],[Date]]&lt;=FTo,OR(DashCell="",tblLabor[[#This Row],[Cell]]=DashCell)),tblLabor[[#This Row],[Date]],""))</f>
        <v>46288</v>
      </c>
      <c r="N15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2" s="28" t="s">
        <v>136</v>
      </c>
    </row>
    <row r="153" spans="2:15" x14ac:dyDescent="0.25">
      <c r="B153" s="35">
        <v>46288</v>
      </c>
      <c r="C153" s="28" t="s">
        <v>101</v>
      </c>
      <c r="D153" s="28" t="s">
        <v>112</v>
      </c>
      <c r="E153" s="36">
        <v>182</v>
      </c>
      <c r="F153" s="29">
        <v>54.5</v>
      </c>
      <c r="G153" s="37" t="str">
        <f>IF(tblLabor[[#This Row],[Date]]="","",IFERROR(INDEX(tblOperations[Cell],MATCH(tblLabor[[#This Row],[Operation]],tblOperations[Operation],0)),""))</f>
        <v>Board line A</v>
      </c>
      <c r="H153" s="38">
        <f>IF(tblLabor[[#This Row],[Date]]="","",IFERROR(INDEX(tblOperations[Std (min/unit)],MATCH(tblLabor[[#This Row],[Operation]],tblOperations[Operation],0)),""))</f>
        <v>16.5</v>
      </c>
      <c r="I153" s="38">
        <f>IF(tblLabor[[#This Row],[Date]]="","",IF(tblLabor[[#This Row],[Std (min/unit)]]="","",tblLabor[[#This Row],[Good units]]*tblLabor[[#This Row],[Std (min/unit)]]/60))</f>
        <v>50.05</v>
      </c>
      <c r="J153" s="31">
        <f>IF(tblLabor[[#This Row],[Date]]="","",IF(AND(tblLabor[[#This Row],[Actual hours (person-h)]]&gt;0,ISNUMBER(tblLabor[[#This Row],[Earned hours (person-h)]])),tblLabor[[#This Row],[Earned hours (person-h)]]/tblLabor[[#This Row],[Actual hours (person-h)]],""))</f>
        <v>0.918348623853211</v>
      </c>
      <c r="K153" s="39" t="str">
        <f>IF(NOT(ISNUMBER(tblLabor[[#This Row],[Efficiency]])),"",IF(tblLabor[[#This Row],[Efficiency]]&gt;=TargetEff,"On target",IF(tblLabor[[#This Row],[Efficiency]]&gt;=TargetEff*(1-0.05),"Near target","Below target")))</f>
        <v>On target</v>
      </c>
      <c r="L153" s="40">
        <f>IF(tblLabor[[#This Row],[Date]]="","",IF(ISNUMBER(tblLabor[[#This Row],[Earned hours (person-h)]]),tblLabor[[#This Row],[Actual hours (person-h)]]-tblLabor[[#This Row],[Earned hours (person-h)]],""))</f>
        <v>4.45</v>
      </c>
      <c r="M153" s="41">
        <f>IF(tblLabor[[#This Row],[Date]]="","",IF(AND(tblLabor[[#This Row],[Date]]&gt;=FFrom,tblLabor[[#This Row],[Date]]&lt;=FTo,OR(DashCell="",tblLabor[[#This Row],[Cell]]=DashCell)),tblLabor[[#This Row],[Date]],""))</f>
        <v>46288</v>
      </c>
      <c r="N15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3" s="28" t="s">
        <v>136</v>
      </c>
    </row>
    <row r="154" spans="2:15" x14ac:dyDescent="0.25">
      <c r="B154" s="35">
        <v>46288</v>
      </c>
      <c r="C154" s="28" t="s">
        <v>101</v>
      </c>
      <c r="D154" s="28" t="s">
        <v>116</v>
      </c>
      <c r="E154" s="36">
        <v>797</v>
      </c>
      <c r="F154" s="29">
        <v>47.75</v>
      </c>
      <c r="G154" s="37" t="str">
        <f>IF(tblLabor[[#This Row],[Date]]="","",IFERROR(INDEX(tblOperations[Cell],MATCH(tblLabor[[#This Row],[Operation]],tblOperations[Operation],0)),""))</f>
        <v>Board line B</v>
      </c>
      <c r="H154" s="38">
        <f>IF(tblLabor[[#This Row],[Date]]="","",IFERROR(INDEX(tblOperations[Std (min/unit)],MATCH(tblLabor[[#This Row],[Operation]],tblOperations[Operation],0)),""))</f>
        <v>3.1</v>
      </c>
      <c r="I154" s="38">
        <f>IF(tblLabor[[#This Row],[Date]]="","",IF(tblLabor[[#This Row],[Std (min/unit)]]="","",tblLabor[[#This Row],[Good units]]*tblLabor[[#This Row],[Std (min/unit)]]/60))</f>
        <v>41.1783333333333</v>
      </c>
      <c r="J154" s="31">
        <f>IF(tblLabor[[#This Row],[Date]]="","",IF(AND(tblLabor[[#This Row],[Actual hours (person-h)]]&gt;0,ISNUMBER(tblLabor[[#This Row],[Earned hours (person-h)]])),tblLabor[[#This Row],[Earned hours (person-h)]]/tblLabor[[#This Row],[Actual hours (person-h)]],""))</f>
        <v>0.862373472949389</v>
      </c>
      <c r="K154" s="39" t="str">
        <f>IF(NOT(ISNUMBER(tblLabor[[#This Row],[Efficiency]])),"",IF(tblLabor[[#This Row],[Efficiency]]&gt;=TargetEff,"On target",IF(tblLabor[[#This Row],[Efficiency]]&gt;=TargetEff*(1-0.05),"Near target","Below target")))</f>
        <v>Near target</v>
      </c>
      <c r="L154" s="40">
        <f>IF(tblLabor[[#This Row],[Date]]="","",IF(ISNUMBER(tblLabor[[#This Row],[Earned hours (person-h)]]),tblLabor[[#This Row],[Actual hours (person-h)]]-tblLabor[[#This Row],[Earned hours (person-h)]],""))</f>
        <v>6.57166666666667</v>
      </c>
      <c r="M154" s="41">
        <f>IF(tblLabor[[#This Row],[Date]]="","",IF(AND(tblLabor[[#This Row],[Date]]&gt;=FFrom,tblLabor[[#This Row],[Date]]&lt;=FTo,OR(DashCell="",tblLabor[[#This Row],[Cell]]=DashCell)),tblLabor[[#This Row],[Date]],""))</f>
        <v>46288</v>
      </c>
      <c r="N15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4" s="28" t="s">
        <v>136</v>
      </c>
    </row>
    <row r="155" spans="2:15" x14ac:dyDescent="0.25">
      <c r="B155" s="35">
        <v>46288</v>
      </c>
      <c r="C155" s="28" t="s">
        <v>101</v>
      </c>
      <c r="D155" s="28" t="s">
        <v>118</v>
      </c>
      <c r="E155" s="36">
        <v>649</v>
      </c>
      <c r="F155" s="29">
        <v>31.75</v>
      </c>
      <c r="G155" s="37" t="str">
        <f>IF(tblLabor[[#This Row],[Date]]="","",IFERROR(INDEX(tblOperations[Cell],MATCH(tblLabor[[#This Row],[Operation]],tblOperations[Operation],0)),""))</f>
        <v>Test and pack</v>
      </c>
      <c r="H155" s="38">
        <f>IF(tblLabor[[#This Row],[Date]]="","",IFERROR(INDEX(tblOperations[Std (min/unit)],MATCH(tblLabor[[#This Row],[Operation]],tblOperations[Operation],0)),""))</f>
        <v>2.6</v>
      </c>
      <c r="I155" s="38">
        <f>IF(tblLabor[[#This Row],[Date]]="","",IF(tblLabor[[#This Row],[Std (min/unit)]]="","",tblLabor[[#This Row],[Good units]]*tblLabor[[#This Row],[Std (min/unit)]]/60))</f>
        <v>28.1233333333333</v>
      </c>
      <c r="J155" s="31">
        <f>IF(tblLabor[[#This Row],[Date]]="","",IF(AND(tblLabor[[#This Row],[Actual hours (person-h)]]&gt;0,ISNUMBER(tblLabor[[#This Row],[Earned hours (person-h)]])),tblLabor[[#This Row],[Earned hours (person-h)]]/tblLabor[[#This Row],[Actual hours (person-h)]],""))</f>
        <v>0.885774278215223</v>
      </c>
      <c r="K155" s="39" t="str">
        <f>IF(NOT(ISNUMBER(tblLabor[[#This Row],[Efficiency]])),"",IF(tblLabor[[#This Row],[Efficiency]]&gt;=TargetEff,"On target",IF(tblLabor[[#This Row],[Efficiency]]&gt;=TargetEff*(1-0.05),"Near target","Below target")))</f>
        <v>Near target</v>
      </c>
      <c r="L155" s="40">
        <f>IF(tblLabor[[#This Row],[Date]]="","",IF(ISNUMBER(tblLabor[[#This Row],[Earned hours (person-h)]]),tblLabor[[#This Row],[Actual hours (person-h)]]-tblLabor[[#This Row],[Earned hours (person-h)]],""))</f>
        <v>3.62666666666667</v>
      </c>
      <c r="M155" s="41">
        <f>IF(tblLabor[[#This Row],[Date]]="","",IF(AND(tblLabor[[#This Row],[Date]]&gt;=FFrom,tblLabor[[#This Row],[Date]]&lt;=FTo,OR(DashCell="",tblLabor[[#This Row],[Cell]]=DashCell)),tblLabor[[#This Row],[Date]],""))</f>
        <v>46288</v>
      </c>
      <c r="N15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5" s="28" t="s">
        <v>136</v>
      </c>
    </row>
    <row r="156" spans="2:15" x14ac:dyDescent="0.25">
      <c r="B156" s="35">
        <v>46289</v>
      </c>
      <c r="C156" s="28" t="s">
        <v>98</v>
      </c>
      <c r="D156" s="28" t="s">
        <v>110</v>
      </c>
      <c r="E156" s="36">
        <v>1167</v>
      </c>
      <c r="F156" s="29">
        <v>18.5</v>
      </c>
      <c r="G156" s="37" t="str">
        <f>IF(tblLabor[[#This Row],[Date]]="","",IFERROR(INDEX(tblOperations[Cell],MATCH(tblLabor[[#This Row],[Operation]],tblOperations[Operation],0)),""))</f>
        <v>Cut and crimp</v>
      </c>
      <c r="H156" s="38">
        <f>IF(tblLabor[[#This Row],[Date]]="","",IFERROR(INDEX(tblOperations[Std (min/unit)],MATCH(tblLabor[[#This Row],[Operation]],tblOperations[Operation],0)),""))</f>
        <v>0.9</v>
      </c>
      <c r="I156" s="38">
        <f>IF(tblLabor[[#This Row],[Date]]="","",IF(tblLabor[[#This Row],[Std (min/unit)]]="","",tblLabor[[#This Row],[Good units]]*tblLabor[[#This Row],[Std (min/unit)]]/60))</f>
        <v>17.505</v>
      </c>
      <c r="J156" s="31">
        <f>IF(tblLabor[[#This Row],[Date]]="","",IF(AND(tblLabor[[#This Row],[Actual hours (person-h)]]&gt;0,ISNUMBER(tblLabor[[#This Row],[Earned hours (person-h)]])),tblLabor[[#This Row],[Earned hours (person-h)]]/tblLabor[[#This Row],[Actual hours (person-h)]],""))</f>
        <v>0.946216216216216</v>
      </c>
      <c r="K156" s="39" t="str">
        <f>IF(NOT(ISNUMBER(tblLabor[[#This Row],[Efficiency]])),"",IF(tblLabor[[#This Row],[Efficiency]]&gt;=TargetEff,"On target",IF(tblLabor[[#This Row],[Efficiency]]&gt;=TargetEff*(1-0.05),"Near target","Below target")))</f>
        <v>On target</v>
      </c>
      <c r="L156" s="40">
        <f>IF(tblLabor[[#This Row],[Date]]="","",IF(ISNUMBER(tblLabor[[#This Row],[Earned hours (person-h)]]),tblLabor[[#This Row],[Actual hours (person-h)]]-tblLabor[[#This Row],[Earned hours (person-h)]],""))</f>
        <v>0.995000000000001</v>
      </c>
      <c r="M156" s="41">
        <f>IF(tblLabor[[#This Row],[Date]]="","",IF(AND(tblLabor[[#This Row],[Date]]&gt;=FFrom,tblLabor[[#This Row],[Date]]&lt;=FTo,OR(DashCell="",tblLabor[[#This Row],[Cell]]=DashCell)),tblLabor[[#This Row],[Date]],""))</f>
        <v>46289</v>
      </c>
      <c r="N15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6" s="28" t="s">
        <v>136</v>
      </c>
    </row>
    <row r="157" spans="2:15" x14ac:dyDescent="0.25">
      <c r="B157" s="35">
        <v>46289</v>
      </c>
      <c r="C157" s="28" t="s">
        <v>98</v>
      </c>
      <c r="D157" s="28" t="s">
        <v>104</v>
      </c>
      <c r="E157" s="36">
        <v>156</v>
      </c>
      <c r="F157" s="29">
        <v>10</v>
      </c>
      <c r="G157" s="37" t="str">
        <f>IF(tblLabor[[#This Row],[Date]]="","",IFERROR(INDEX(tblOperations[Cell],MATCH(tblLabor[[#This Row],[Operation]],tblOperations[Operation],0)),""))</f>
        <v>Cut and crimp</v>
      </c>
      <c r="H157" s="38">
        <f>IF(tblLabor[[#This Row],[Date]]="","",IFERROR(INDEX(tblOperations[Std (min/unit)],MATCH(tblLabor[[#This Row],[Operation]],tblOperations[Operation],0)),""))</f>
        <v>3.8</v>
      </c>
      <c r="I157" s="38">
        <f>IF(tblLabor[[#This Row],[Date]]="","",IF(tblLabor[[#This Row],[Std (min/unit)]]="","",tblLabor[[#This Row],[Good units]]*tblLabor[[#This Row],[Std (min/unit)]]/60))</f>
        <v>9.88</v>
      </c>
      <c r="J157" s="31">
        <f>IF(tblLabor[[#This Row],[Date]]="","",IF(AND(tblLabor[[#This Row],[Actual hours (person-h)]]&gt;0,ISNUMBER(tblLabor[[#This Row],[Earned hours (person-h)]])),tblLabor[[#This Row],[Earned hours (person-h)]]/tblLabor[[#This Row],[Actual hours (person-h)]],""))</f>
        <v>0.988</v>
      </c>
      <c r="K157" s="39" t="str">
        <f>IF(NOT(ISNUMBER(tblLabor[[#This Row],[Efficiency]])),"",IF(tblLabor[[#This Row],[Efficiency]]&gt;=TargetEff,"On target",IF(tblLabor[[#This Row],[Efficiency]]&gt;=TargetEff*(1-0.05),"Near target","Below target")))</f>
        <v>On target</v>
      </c>
      <c r="L157" s="40">
        <f>IF(tblLabor[[#This Row],[Date]]="","",IF(ISNUMBER(tblLabor[[#This Row],[Earned hours (person-h)]]),tblLabor[[#This Row],[Actual hours (person-h)]]-tblLabor[[#This Row],[Earned hours (person-h)]],""))</f>
        <v>0.120000000000001</v>
      </c>
      <c r="M157" s="41">
        <f>IF(tblLabor[[#This Row],[Date]]="","",IF(AND(tblLabor[[#This Row],[Date]]&gt;=FFrom,tblLabor[[#This Row],[Date]]&lt;=FTo,OR(DashCell="",tblLabor[[#This Row],[Cell]]=DashCell)),tblLabor[[#This Row],[Date]],""))</f>
        <v>46289</v>
      </c>
      <c r="N15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7" s="28" t="s">
        <v>136</v>
      </c>
    </row>
    <row r="158" spans="2:15" x14ac:dyDescent="0.25">
      <c r="B158" s="35">
        <v>46289</v>
      </c>
      <c r="C158" s="28" t="s">
        <v>98</v>
      </c>
      <c r="D158" s="28" t="s">
        <v>114</v>
      </c>
      <c r="E158" s="36">
        <v>139</v>
      </c>
      <c r="F158" s="29">
        <v>55.5</v>
      </c>
      <c r="G158" s="37" t="str">
        <f>IF(tblLabor[[#This Row],[Date]]="","",IFERROR(INDEX(tblOperations[Cell],MATCH(tblLabor[[#This Row],[Operation]],tblOperations[Operation],0)),""))</f>
        <v>Board line A</v>
      </c>
      <c r="H158" s="38">
        <f>IF(tblLabor[[#This Row],[Date]]="","",IFERROR(INDEX(tblOperations[Std (min/unit)],MATCH(tblLabor[[#This Row],[Operation]],tblOperations[Operation],0)),""))</f>
        <v>22</v>
      </c>
      <c r="I158" s="38">
        <f>IF(tblLabor[[#This Row],[Date]]="","",IF(tblLabor[[#This Row],[Std (min/unit)]]="","",tblLabor[[#This Row],[Good units]]*tblLabor[[#This Row],[Std (min/unit)]]/60))</f>
        <v>50.9666666666667</v>
      </c>
      <c r="J158" s="31">
        <f>IF(tblLabor[[#This Row],[Date]]="","",IF(AND(tblLabor[[#This Row],[Actual hours (person-h)]]&gt;0,ISNUMBER(tblLabor[[#This Row],[Earned hours (person-h)]])),tblLabor[[#This Row],[Earned hours (person-h)]]/tblLabor[[#This Row],[Actual hours (person-h)]],""))</f>
        <v>0.918318318318318</v>
      </c>
      <c r="K158" s="39" t="str">
        <f>IF(NOT(ISNUMBER(tblLabor[[#This Row],[Efficiency]])),"",IF(tblLabor[[#This Row],[Efficiency]]&gt;=TargetEff,"On target",IF(tblLabor[[#This Row],[Efficiency]]&gt;=TargetEff*(1-0.05),"Near target","Below target")))</f>
        <v>On target</v>
      </c>
      <c r="L158" s="40">
        <f>IF(tblLabor[[#This Row],[Date]]="","",IF(ISNUMBER(tblLabor[[#This Row],[Earned hours (person-h)]]),tblLabor[[#This Row],[Actual hours (person-h)]]-tblLabor[[#This Row],[Earned hours (person-h)]],""))</f>
        <v>4.53333333333333</v>
      </c>
      <c r="M158" s="41">
        <f>IF(tblLabor[[#This Row],[Date]]="","",IF(AND(tblLabor[[#This Row],[Date]]&gt;=FFrom,tblLabor[[#This Row],[Date]]&lt;=FTo,OR(DashCell="",tblLabor[[#This Row],[Cell]]=DashCell)),tblLabor[[#This Row],[Date]],""))</f>
        <v>46289</v>
      </c>
      <c r="N15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8" s="28" t="s">
        <v>136</v>
      </c>
    </row>
    <row r="159" spans="2:15" x14ac:dyDescent="0.25">
      <c r="B159" s="35">
        <v>46289</v>
      </c>
      <c r="C159" s="28" t="s">
        <v>98</v>
      </c>
      <c r="D159" s="28" t="s">
        <v>115</v>
      </c>
      <c r="E159" s="36">
        <v>267</v>
      </c>
      <c r="F159" s="29">
        <v>48</v>
      </c>
      <c r="G159" s="37" t="str">
        <f>IF(tblLabor[[#This Row],[Date]]="","",IFERROR(INDEX(tblOperations[Cell],MATCH(tblLabor[[#This Row],[Operation]],tblOperations[Operation],0)),""))</f>
        <v>Board line B</v>
      </c>
      <c r="H159" s="38">
        <f>IF(tblLabor[[#This Row],[Date]]="","",IFERROR(INDEX(tblOperations[Std (min/unit)],MATCH(tblLabor[[#This Row],[Operation]],tblOperations[Operation],0)),""))</f>
        <v>9.8</v>
      </c>
      <c r="I159" s="38">
        <f>IF(tblLabor[[#This Row],[Date]]="","",IF(tblLabor[[#This Row],[Std (min/unit)]]="","",tblLabor[[#This Row],[Good units]]*tblLabor[[#This Row],[Std (min/unit)]]/60))</f>
        <v>43.61</v>
      </c>
      <c r="J159" s="31">
        <f>IF(tblLabor[[#This Row],[Date]]="","",IF(AND(tblLabor[[#This Row],[Actual hours (person-h)]]&gt;0,ISNUMBER(tblLabor[[#This Row],[Earned hours (person-h)]])),tblLabor[[#This Row],[Earned hours (person-h)]]/tblLabor[[#This Row],[Actual hours (person-h)]],""))</f>
        <v>0.908541666666667</v>
      </c>
      <c r="K159" s="39" t="str">
        <f>IF(NOT(ISNUMBER(tblLabor[[#This Row],[Efficiency]])),"",IF(tblLabor[[#This Row],[Efficiency]]&gt;=TargetEff,"On target",IF(tblLabor[[#This Row],[Efficiency]]&gt;=TargetEff*(1-0.05),"Near target","Below target")))</f>
        <v>On target</v>
      </c>
      <c r="L159" s="40">
        <f>IF(tblLabor[[#This Row],[Date]]="","",IF(ISNUMBER(tblLabor[[#This Row],[Earned hours (person-h)]]),tblLabor[[#This Row],[Actual hours (person-h)]]-tblLabor[[#This Row],[Earned hours (person-h)]],""))</f>
        <v>4.38999999999999</v>
      </c>
      <c r="M159" s="41">
        <f>IF(tblLabor[[#This Row],[Date]]="","",IF(AND(tblLabor[[#This Row],[Date]]&gt;=FFrom,tblLabor[[#This Row],[Date]]&lt;=FTo,OR(DashCell="",tblLabor[[#This Row],[Cell]]=DashCell)),tblLabor[[#This Row],[Date]],""))</f>
        <v>46289</v>
      </c>
      <c r="N15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59" s="28" t="s">
        <v>136</v>
      </c>
    </row>
    <row r="160" spans="2:15" x14ac:dyDescent="0.25">
      <c r="B160" s="35">
        <v>46289</v>
      </c>
      <c r="C160" s="28" t="s">
        <v>98</v>
      </c>
      <c r="D160" s="28" t="s">
        <v>124</v>
      </c>
      <c r="E160" s="36">
        <v>2064</v>
      </c>
      <c r="F160" s="29">
        <v>30.5</v>
      </c>
      <c r="G160" s="37" t="str">
        <f>IF(tblLabor[[#This Row],[Date]]="","",IFERROR(INDEX(tblOperations[Cell],MATCH(tblLabor[[#This Row],[Operation]],tblOperations[Operation],0)),""))</f>
        <v>Test and pack</v>
      </c>
      <c r="H160" s="38">
        <f>IF(tblLabor[[#This Row],[Date]]="","",IFERROR(INDEX(tblOperations[Std (min/unit)],MATCH(tblLabor[[#This Row],[Operation]],tblOperations[Operation],0)),""))</f>
        <v>0.8</v>
      </c>
      <c r="I160" s="38">
        <f>IF(tblLabor[[#This Row],[Date]]="","",IF(tblLabor[[#This Row],[Std (min/unit)]]="","",tblLabor[[#This Row],[Good units]]*tblLabor[[#This Row],[Std (min/unit)]]/60))</f>
        <v>27.52</v>
      </c>
      <c r="J160" s="31">
        <f>IF(tblLabor[[#This Row],[Date]]="","",IF(AND(tblLabor[[#This Row],[Actual hours (person-h)]]&gt;0,ISNUMBER(tblLabor[[#This Row],[Earned hours (person-h)]])),tblLabor[[#This Row],[Earned hours (person-h)]]/tblLabor[[#This Row],[Actual hours (person-h)]],""))</f>
        <v>0.902295081967213</v>
      </c>
      <c r="K160" s="39" t="str">
        <f>IF(NOT(ISNUMBER(tblLabor[[#This Row],[Efficiency]])),"",IF(tblLabor[[#This Row],[Efficiency]]&gt;=TargetEff,"On target",IF(tblLabor[[#This Row],[Efficiency]]&gt;=TargetEff*(1-0.05),"Near target","Below target")))</f>
        <v>On target</v>
      </c>
      <c r="L160" s="40">
        <f>IF(tblLabor[[#This Row],[Date]]="","",IF(ISNUMBER(tblLabor[[#This Row],[Earned hours (person-h)]]),tblLabor[[#This Row],[Actual hours (person-h)]]-tblLabor[[#This Row],[Earned hours (person-h)]],""))</f>
        <v>2.98</v>
      </c>
      <c r="M160" s="41">
        <f>IF(tblLabor[[#This Row],[Date]]="","",IF(AND(tblLabor[[#This Row],[Date]]&gt;=FFrom,tblLabor[[#This Row],[Date]]&lt;=FTo,OR(DashCell="",tblLabor[[#This Row],[Cell]]=DashCell)),tblLabor[[#This Row],[Date]],""))</f>
        <v>46289</v>
      </c>
      <c r="N16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0" s="28" t="s">
        <v>136</v>
      </c>
    </row>
    <row r="161" spans="2:15" x14ac:dyDescent="0.25">
      <c r="B161" s="35">
        <v>46289</v>
      </c>
      <c r="C161" s="28" t="s">
        <v>101</v>
      </c>
      <c r="D161" s="28" t="s">
        <v>106</v>
      </c>
      <c r="E161" s="36">
        <v>165</v>
      </c>
      <c r="F161" s="29">
        <v>14.5</v>
      </c>
      <c r="G161" s="37" t="str">
        <f>IF(tblLabor[[#This Row],[Date]]="","",IFERROR(INDEX(tblOperations[Cell],MATCH(tblLabor[[#This Row],[Operation]],tblOperations[Operation],0)),""))</f>
        <v>Cut and crimp</v>
      </c>
      <c r="H161" s="38">
        <f>IF(tblLabor[[#This Row],[Date]]="","",IFERROR(INDEX(tblOperations[Std (min/unit)],MATCH(tblLabor[[#This Row],[Operation]],tblOperations[Operation],0)),""))</f>
        <v>5.2</v>
      </c>
      <c r="I161" s="38">
        <f>IF(tblLabor[[#This Row],[Date]]="","",IF(tblLabor[[#This Row],[Std (min/unit)]]="","",tblLabor[[#This Row],[Good units]]*tblLabor[[#This Row],[Std (min/unit)]]/60))</f>
        <v>14.3</v>
      </c>
      <c r="J161" s="31">
        <f>IF(tblLabor[[#This Row],[Date]]="","",IF(AND(tblLabor[[#This Row],[Actual hours (person-h)]]&gt;0,ISNUMBER(tblLabor[[#This Row],[Earned hours (person-h)]])),tblLabor[[#This Row],[Earned hours (person-h)]]/tblLabor[[#This Row],[Actual hours (person-h)]],""))</f>
        <v>0.986206896551724</v>
      </c>
      <c r="K161" s="39" t="str">
        <f>IF(NOT(ISNUMBER(tblLabor[[#This Row],[Efficiency]])),"",IF(tblLabor[[#This Row],[Efficiency]]&gt;=TargetEff,"On target",IF(tblLabor[[#This Row],[Efficiency]]&gt;=TargetEff*(1-0.05),"Near target","Below target")))</f>
        <v>On target</v>
      </c>
      <c r="L161" s="40">
        <f>IF(tblLabor[[#This Row],[Date]]="","",IF(ISNUMBER(tblLabor[[#This Row],[Earned hours (person-h)]]),tblLabor[[#This Row],[Actual hours (person-h)]]-tblLabor[[#This Row],[Earned hours (person-h)]],""))</f>
        <v>0.199999999999999</v>
      </c>
      <c r="M161" s="41">
        <f>IF(tblLabor[[#This Row],[Date]]="","",IF(AND(tblLabor[[#This Row],[Date]]&gt;=FFrom,tblLabor[[#This Row],[Date]]&lt;=FTo,OR(DashCell="",tblLabor[[#This Row],[Cell]]=DashCell)),tblLabor[[#This Row],[Date]],""))</f>
        <v>46289</v>
      </c>
      <c r="N16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1" s="28" t="s">
        <v>136</v>
      </c>
    </row>
    <row r="162" spans="2:15" x14ac:dyDescent="0.25">
      <c r="B162" s="35">
        <v>46289</v>
      </c>
      <c r="C162" s="28" t="s">
        <v>101</v>
      </c>
      <c r="D162" s="28" t="s">
        <v>108</v>
      </c>
      <c r="E162" s="36">
        <v>334</v>
      </c>
      <c r="F162" s="29">
        <v>14.25</v>
      </c>
      <c r="G162" s="37" t="str">
        <f>IF(tblLabor[[#This Row],[Date]]="","",IFERROR(INDEX(tblOperations[Cell],MATCH(tblLabor[[#This Row],[Operation]],tblOperations[Operation],0)),""))</f>
        <v>Cut and crimp</v>
      </c>
      <c r="H162" s="38">
        <f>IF(tblLabor[[#This Row],[Date]]="","",IFERROR(INDEX(tblOperations[Std (min/unit)],MATCH(tblLabor[[#This Row],[Operation]],tblOperations[Operation],0)),""))</f>
        <v>2.4</v>
      </c>
      <c r="I162" s="38">
        <f>IF(tblLabor[[#This Row],[Date]]="","",IF(tblLabor[[#This Row],[Std (min/unit)]]="","",tblLabor[[#This Row],[Good units]]*tblLabor[[#This Row],[Std (min/unit)]]/60))</f>
        <v>13.36</v>
      </c>
      <c r="J162" s="31">
        <f>IF(tblLabor[[#This Row],[Date]]="","",IF(AND(tblLabor[[#This Row],[Actual hours (person-h)]]&gt;0,ISNUMBER(tblLabor[[#This Row],[Earned hours (person-h)]])),tblLabor[[#This Row],[Earned hours (person-h)]]/tblLabor[[#This Row],[Actual hours (person-h)]],""))</f>
        <v>0.937543859649123</v>
      </c>
      <c r="K162" s="39" t="str">
        <f>IF(NOT(ISNUMBER(tblLabor[[#This Row],[Efficiency]])),"",IF(tblLabor[[#This Row],[Efficiency]]&gt;=TargetEff,"On target",IF(tblLabor[[#This Row],[Efficiency]]&gt;=TargetEff*(1-0.05),"Near target","Below target")))</f>
        <v>On target</v>
      </c>
      <c r="L162" s="40">
        <f>IF(tblLabor[[#This Row],[Date]]="","",IF(ISNUMBER(tblLabor[[#This Row],[Earned hours (person-h)]]),tblLabor[[#This Row],[Actual hours (person-h)]]-tblLabor[[#This Row],[Earned hours (person-h)]],""))</f>
        <v>0.889999999999999</v>
      </c>
      <c r="M162" s="41">
        <f>IF(tblLabor[[#This Row],[Date]]="","",IF(AND(tblLabor[[#This Row],[Date]]&gt;=FFrom,tblLabor[[#This Row],[Date]]&lt;=FTo,OR(DashCell="",tblLabor[[#This Row],[Cell]]=DashCell)),tblLabor[[#This Row],[Date]],""))</f>
        <v>46289</v>
      </c>
      <c r="N16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2" s="28" t="s">
        <v>136</v>
      </c>
    </row>
    <row r="163" spans="2:15" x14ac:dyDescent="0.25">
      <c r="B163" s="35">
        <v>46289</v>
      </c>
      <c r="C163" s="28" t="s">
        <v>101</v>
      </c>
      <c r="D163" s="28" t="s">
        <v>114</v>
      </c>
      <c r="E163" s="36">
        <v>135</v>
      </c>
      <c r="F163" s="29">
        <v>56</v>
      </c>
      <c r="G163" s="37" t="str">
        <f>IF(tblLabor[[#This Row],[Date]]="","",IFERROR(INDEX(tblOperations[Cell],MATCH(tblLabor[[#This Row],[Operation]],tblOperations[Operation],0)),""))</f>
        <v>Board line A</v>
      </c>
      <c r="H163" s="38">
        <f>IF(tblLabor[[#This Row],[Date]]="","",IFERROR(INDEX(tblOperations[Std (min/unit)],MATCH(tblLabor[[#This Row],[Operation]],tblOperations[Operation],0)),""))</f>
        <v>22</v>
      </c>
      <c r="I163" s="38">
        <f>IF(tblLabor[[#This Row],[Date]]="","",IF(tblLabor[[#This Row],[Std (min/unit)]]="","",tblLabor[[#This Row],[Good units]]*tblLabor[[#This Row],[Std (min/unit)]]/60))</f>
        <v>49.5</v>
      </c>
      <c r="J163" s="31">
        <f>IF(tblLabor[[#This Row],[Date]]="","",IF(AND(tblLabor[[#This Row],[Actual hours (person-h)]]&gt;0,ISNUMBER(tblLabor[[#This Row],[Earned hours (person-h)]])),tblLabor[[#This Row],[Earned hours (person-h)]]/tblLabor[[#This Row],[Actual hours (person-h)]],""))</f>
        <v>0.883928571428571</v>
      </c>
      <c r="K163" s="39" t="str">
        <f>IF(NOT(ISNUMBER(tblLabor[[#This Row],[Efficiency]])),"",IF(tblLabor[[#This Row],[Efficiency]]&gt;=TargetEff,"On target",IF(tblLabor[[#This Row],[Efficiency]]&gt;=TargetEff*(1-0.05),"Near target","Below target")))</f>
        <v>Near target</v>
      </c>
      <c r="L163" s="40">
        <f>IF(tblLabor[[#This Row],[Date]]="","",IF(ISNUMBER(tblLabor[[#This Row],[Earned hours (person-h)]]),tblLabor[[#This Row],[Actual hours (person-h)]]-tblLabor[[#This Row],[Earned hours (person-h)]],""))</f>
        <v>6.5</v>
      </c>
      <c r="M163" s="41">
        <f>IF(tblLabor[[#This Row],[Date]]="","",IF(AND(tblLabor[[#This Row],[Date]]&gt;=FFrom,tblLabor[[#This Row],[Date]]&lt;=FTo,OR(DashCell="",tblLabor[[#This Row],[Cell]]=DashCell)),tblLabor[[#This Row],[Date]],""))</f>
        <v>46289</v>
      </c>
      <c r="N16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3" s="28" t="s">
        <v>136</v>
      </c>
    </row>
    <row r="164" spans="2:15" x14ac:dyDescent="0.25">
      <c r="B164" s="35">
        <v>46289</v>
      </c>
      <c r="C164" s="28" t="s">
        <v>101</v>
      </c>
      <c r="D164" s="28" t="s">
        <v>115</v>
      </c>
      <c r="E164" s="36">
        <v>230</v>
      </c>
      <c r="F164" s="29">
        <v>47</v>
      </c>
      <c r="G164" s="37" t="str">
        <f>IF(tblLabor[[#This Row],[Date]]="","",IFERROR(INDEX(tblOperations[Cell],MATCH(tblLabor[[#This Row],[Operation]],tblOperations[Operation],0)),""))</f>
        <v>Board line B</v>
      </c>
      <c r="H164" s="38">
        <f>IF(tblLabor[[#This Row],[Date]]="","",IFERROR(INDEX(tblOperations[Std (min/unit)],MATCH(tblLabor[[#This Row],[Operation]],tblOperations[Operation],0)),""))</f>
        <v>9.8</v>
      </c>
      <c r="I164" s="38">
        <f>IF(tblLabor[[#This Row],[Date]]="","",IF(tblLabor[[#This Row],[Std (min/unit)]]="","",tblLabor[[#This Row],[Good units]]*tblLabor[[#This Row],[Std (min/unit)]]/60))</f>
        <v>37.5666666666667</v>
      </c>
      <c r="J164" s="31">
        <f>IF(tblLabor[[#This Row],[Date]]="","",IF(AND(tblLabor[[#This Row],[Actual hours (person-h)]]&gt;0,ISNUMBER(tblLabor[[#This Row],[Earned hours (person-h)]])),tblLabor[[#This Row],[Earned hours (person-h)]]/tblLabor[[#This Row],[Actual hours (person-h)]],""))</f>
        <v>0.799290780141844</v>
      </c>
      <c r="K164" s="39" t="str">
        <f>IF(NOT(ISNUMBER(tblLabor[[#This Row],[Efficiency]])),"",IF(tblLabor[[#This Row],[Efficiency]]&gt;=TargetEff,"On target",IF(tblLabor[[#This Row],[Efficiency]]&gt;=TargetEff*(1-0.05),"Near target","Below target")))</f>
        <v>Below target</v>
      </c>
      <c r="L164" s="40">
        <f>IF(tblLabor[[#This Row],[Date]]="","",IF(ISNUMBER(tblLabor[[#This Row],[Earned hours (person-h)]]),tblLabor[[#This Row],[Actual hours (person-h)]]-tblLabor[[#This Row],[Earned hours (person-h)]],""))</f>
        <v>9.43333333333333</v>
      </c>
      <c r="M164" s="41">
        <f>IF(tblLabor[[#This Row],[Date]]="","",IF(AND(tblLabor[[#This Row],[Date]]&gt;=FFrom,tblLabor[[#This Row],[Date]]&lt;=FTo,OR(DashCell="",tblLabor[[#This Row],[Cell]]=DashCell)),tblLabor[[#This Row],[Date]],""))</f>
        <v>46289</v>
      </c>
      <c r="N164"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4" s="28" t="s">
        <v>136</v>
      </c>
    </row>
    <row r="165" spans="2:15" x14ac:dyDescent="0.25">
      <c r="B165" s="35">
        <v>46289</v>
      </c>
      <c r="C165" s="28" t="s">
        <v>101</v>
      </c>
      <c r="D165" s="28" t="s">
        <v>120</v>
      </c>
      <c r="E165" s="36">
        <v>511</v>
      </c>
      <c r="F165" s="29">
        <v>30.75</v>
      </c>
      <c r="G165" s="37" t="str">
        <f>IF(tblLabor[[#This Row],[Date]]="","",IFERROR(INDEX(tblOperations[Cell],MATCH(tblLabor[[#This Row],[Operation]],tblOperations[Operation],0)),""))</f>
        <v>Test and pack</v>
      </c>
      <c r="H165" s="38">
        <f>IF(tblLabor[[#This Row],[Date]]="","",IFERROR(INDEX(tblOperations[Std (min/unit)],MATCH(tblLabor[[#This Row],[Operation]],tblOperations[Operation],0)),""))</f>
        <v>3.4</v>
      </c>
      <c r="I165" s="38">
        <f>IF(tblLabor[[#This Row],[Date]]="","",IF(tblLabor[[#This Row],[Std (min/unit)]]="","",tblLabor[[#This Row],[Good units]]*tblLabor[[#This Row],[Std (min/unit)]]/60))</f>
        <v>28.9566666666667</v>
      </c>
      <c r="J165" s="31">
        <f>IF(tblLabor[[#This Row],[Date]]="","",IF(AND(tblLabor[[#This Row],[Actual hours (person-h)]]&gt;0,ISNUMBER(tblLabor[[#This Row],[Earned hours (person-h)]])),tblLabor[[#This Row],[Earned hours (person-h)]]/tblLabor[[#This Row],[Actual hours (person-h)]],""))</f>
        <v>0.941680216802168</v>
      </c>
      <c r="K165" s="39" t="str">
        <f>IF(NOT(ISNUMBER(tblLabor[[#This Row],[Efficiency]])),"",IF(tblLabor[[#This Row],[Efficiency]]&gt;=TargetEff,"On target",IF(tblLabor[[#This Row],[Efficiency]]&gt;=TargetEff*(1-0.05),"Near target","Below target")))</f>
        <v>On target</v>
      </c>
      <c r="L165" s="40">
        <f>IF(tblLabor[[#This Row],[Date]]="","",IF(ISNUMBER(tblLabor[[#This Row],[Earned hours (person-h)]]),tblLabor[[#This Row],[Actual hours (person-h)]]-tblLabor[[#This Row],[Earned hours (person-h)]],""))</f>
        <v>1.79333333333334</v>
      </c>
      <c r="M165" s="41">
        <f>IF(tblLabor[[#This Row],[Date]]="","",IF(AND(tblLabor[[#This Row],[Date]]&gt;=FFrom,tblLabor[[#This Row],[Date]]&lt;=FTo,OR(DashCell="",tblLabor[[#This Row],[Cell]]=DashCell)),tblLabor[[#This Row],[Date]],""))</f>
        <v>46289</v>
      </c>
      <c r="N165"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5" s="28" t="s">
        <v>136</v>
      </c>
    </row>
    <row r="166" spans="2:15" x14ac:dyDescent="0.25">
      <c r="B166" s="35">
        <v>46290</v>
      </c>
      <c r="C166" s="28" t="s">
        <v>98</v>
      </c>
      <c r="D166" s="28" t="s">
        <v>104</v>
      </c>
      <c r="E166" s="36">
        <v>411</v>
      </c>
      <c r="F166" s="29">
        <v>28</v>
      </c>
      <c r="G166" s="37" t="str">
        <f>IF(tblLabor[[#This Row],[Date]]="","",IFERROR(INDEX(tblOperations[Cell],MATCH(tblLabor[[#This Row],[Operation]],tblOperations[Operation],0)),""))</f>
        <v>Cut and crimp</v>
      </c>
      <c r="H166" s="38">
        <f>IF(tblLabor[[#This Row],[Date]]="","",IFERROR(INDEX(tblOperations[Std (min/unit)],MATCH(tblLabor[[#This Row],[Operation]],tblOperations[Operation],0)),""))</f>
        <v>3.8</v>
      </c>
      <c r="I166" s="38">
        <f>IF(tblLabor[[#This Row],[Date]]="","",IF(tblLabor[[#This Row],[Std (min/unit)]]="","",tblLabor[[#This Row],[Good units]]*tblLabor[[#This Row],[Std (min/unit)]]/60))</f>
        <v>26.03</v>
      </c>
      <c r="J166" s="31">
        <f>IF(tblLabor[[#This Row],[Date]]="","",IF(AND(tblLabor[[#This Row],[Actual hours (person-h)]]&gt;0,ISNUMBER(tblLabor[[#This Row],[Earned hours (person-h)]])),tblLabor[[#This Row],[Earned hours (person-h)]]/tblLabor[[#This Row],[Actual hours (person-h)]],""))</f>
        <v>0.929642857142857</v>
      </c>
      <c r="K166" s="39" t="str">
        <f>IF(NOT(ISNUMBER(tblLabor[[#This Row],[Efficiency]])),"",IF(tblLabor[[#This Row],[Efficiency]]&gt;=TargetEff,"On target",IF(tblLabor[[#This Row],[Efficiency]]&gt;=TargetEff*(1-0.05),"Near target","Below target")))</f>
        <v>On target</v>
      </c>
      <c r="L166" s="40">
        <f>IF(tblLabor[[#This Row],[Date]]="","",IF(ISNUMBER(tblLabor[[#This Row],[Earned hours (person-h)]]),tblLabor[[#This Row],[Actual hours (person-h)]]-tblLabor[[#This Row],[Earned hours (person-h)]],""))</f>
        <v>1.97</v>
      </c>
      <c r="M166" s="41">
        <f>IF(tblLabor[[#This Row],[Date]]="","",IF(AND(tblLabor[[#This Row],[Date]]&gt;=FFrom,tblLabor[[#This Row],[Date]]&lt;=FTo,OR(DashCell="",tblLabor[[#This Row],[Cell]]=DashCell)),tblLabor[[#This Row],[Date]],""))</f>
        <v>46290</v>
      </c>
      <c r="N166"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6" s="28" t="s">
        <v>136</v>
      </c>
    </row>
    <row r="167" spans="2:15" x14ac:dyDescent="0.25">
      <c r="B167" s="35">
        <v>46290</v>
      </c>
      <c r="C167" s="28" t="s">
        <v>98</v>
      </c>
      <c r="D167" s="28" t="s">
        <v>114</v>
      </c>
      <c r="E167" s="36">
        <v>140</v>
      </c>
      <c r="F167" s="29">
        <v>54.25</v>
      </c>
      <c r="G167" s="37" t="str">
        <f>IF(tblLabor[[#This Row],[Date]]="","",IFERROR(INDEX(tblOperations[Cell],MATCH(tblLabor[[#This Row],[Operation]],tblOperations[Operation],0)),""))</f>
        <v>Board line A</v>
      </c>
      <c r="H167" s="38">
        <f>IF(tblLabor[[#This Row],[Date]]="","",IFERROR(INDEX(tblOperations[Std (min/unit)],MATCH(tblLabor[[#This Row],[Operation]],tblOperations[Operation],0)),""))</f>
        <v>22</v>
      </c>
      <c r="I167" s="38">
        <f>IF(tblLabor[[#This Row],[Date]]="","",IF(tblLabor[[#This Row],[Std (min/unit)]]="","",tblLabor[[#This Row],[Good units]]*tblLabor[[#This Row],[Std (min/unit)]]/60))</f>
        <v>51.3333333333333</v>
      </c>
      <c r="J167" s="31">
        <f>IF(tblLabor[[#This Row],[Date]]="","",IF(AND(tblLabor[[#This Row],[Actual hours (person-h)]]&gt;0,ISNUMBER(tblLabor[[#This Row],[Earned hours (person-h)]])),tblLabor[[#This Row],[Earned hours (person-h)]]/tblLabor[[#This Row],[Actual hours (person-h)]],""))</f>
        <v>0.946236559139785</v>
      </c>
      <c r="K167" s="39" t="str">
        <f>IF(NOT(ISNUMBER(tblLabor[[#This Row],[Efficiency]])),"",IF(tblLabor[[#This Row],[Efficiency]]&gt;=TargetEff,"On target",IF(tblLabor[[#This Row],[Efficiency]]&gt;=TargetEff*(1-0.05),"Near target","Below target")))</f>
        <v>On target</v>
      </c>
      <c r="L167" s="40">
        <f>IF(tblLabor[[#This Row],[Date]]="","",IF(ISNUMBER(tblLabor[[#This Row],[Earned hours (person-h)]]),tblLabor[[#This Row],[Actual hours (person-h)]]-tblLabor[[#This Row],[Earned hours (person-h)]],""))</f>
        <v>2.91666666666666</v>
      </c>
      <c r="M167" s="41">
        <f>IF(tblLabor[[#This Row],[Date]]="","",IF(AND(tblLabor[[#This Row],[Date]]&gt;=FFrom,tblLabor[[#This Row],[Date]]&lt;=FTo,OR(DashCell="",tblLabor[[#This Row],[Cell]]=DashCell)),tblLabor[[#This Row],[Date]],""))</f>
        <v>46290</v>
      </c>
      <c r="N167"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7" s="28" t="s">
        <v>136</v>
      </c>
    </row>
    <row r="168" spans="2:15" x14ac:dyDescent="0.25">
      <c r="B168" s="35">
        <v>46290</v>
      </c>
      <c r="C168" s="28" t="s">
        <v>98</v>
      </c>
      <c r="D168" s="28" t="s">
        <v>116</v>
      </c>
      <c r="E168" s="36">
        <v>837</v>
      </c>
      <c r="F168" s="29">
        <v>49.25</v>
      </c>
      <c r="G168" s="37" t="str">
        <f>IF(tblLabor[[#This Row],[Date]]="","",IFERROR(INDEX(tblOperations[Cell],MATCH(tblLabor[[#This Row],[Operation]],tblOperations[Operation],0)),""))</f>
        <v>Board line B</v>
      </c>
      <c r="H168" s="38">
        <f>IF(tblLabor[[#This Row],[Date]]="","",IFERROR(INDEX(tblOperations[Std (min/unit)],MATCH(tblLabor[[#This Row],[Operation]],tblOperations[Operation],0)),""))</f>
        <v>3.1</v>
      </c>
      <c r="I168" s="38">
        <f>IF(tblLabor[[#This Row],[Date]]="","",IF(tblLabor[[#This Row],[Std (min/unit)]]="","",tblLabor[[#This Row],[Good units]]*tblLabor[[#This Row],[Std (min/unit)]]/60))</f>
        <v>43.245</v>
      </c>
      <c r="J168" s="31">
        <f>IF(tblLabor[[#This Row],[Date]]="","",IF(AND(tblLabor[[#This Row],[Actual hours (person-h)]]&gt;0,ISNUMBER(tblLabor[[#This Row],[Earned hours (person-h)]])),tblLabor[[#This Row],[Earned hours (person-h)]]/tblLabor[[#This Row],[Actual hours (person-h)]],""))</f>
        <v>0.878071065989848</v>
      </c>
      <c r="K168" s="39" t="str">
        <f>IF(NOT(ISNUMBER(tblLabor[[#This Row],[Efficiency]])),"",IF(tblLabor[[#This Row],[Efficiency]]&gt;=TargetEff,"On target",IF(tblLabor[[#This Row],[Efficiency]]&gt;=TargetEff*(1-0.05),"Near target","Below target")))</f>
        <v>Near target</v>
      </c>
      <c r="L168" s="40">
        <f>IF(tblLabor[[#This Row],[Date]]="","",IF(ISNUMBER(tblLabor[[#This Row],[Earned hours (person-h)]]),tblLabor[[#This Row],[Actual hours (person-h)]]-tblLabor[[#This Row],[Earned hours (person-h)]],""))</f>
        <v>6.005</v>
      </c>
      <c r="M168" s="41">
        <f>IF(tblLabor[[#This Row],[Date]]="","",IF(AND(tblLabor[[#This Row],[Date]]&gt;=FFrom,tblLabor[[#This Row],[Date]]&lt;=FTo,OR(DashCell="",tblLabor[[#This Row],[Cell]]=DashCell)),tblLabor[[#This Row],[Date]],""))</f>
        <v>46290</v>
      </c>
      <c r="N168"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8" s="28" t="s">
        <v>136</v>
      </c>
    </row>
    <row r="169" spans="2:15" x14ac:dyDescent="0.25">
      <c r="B169" s="35">
        <v>46290</v>
      </c>
      <c r="C169" s="28" t="s">
        <v>98</v>
      </c>
      <c r="D169" s="28" t="s">
        <v>118</v>
      </c>
      <c r="E169" s="36">
        <v>655</v>
      </c>
      <c r="F169" s="29">
        <v>30.5</v>
      </c>
      <c r="G169" s="37" t="str">
        <f>IF(tblLabor[[#This Row],[Date]]="","",IFERROR(INDEX(tblOperations[Cell],MATCH(tblLabor[[#This Row],[Operation]],tblOperations[Operation],0)),""))</f>
        <v>Test and pack</v>
      </c>
      <c r="H169" s="38">
        <f>IF(tblLabor[[#This Row],[Date]]="","",IFERROR(INDEX(tblOperations[Std (min/unit)],MATCH(tblLabor[[#This Row],[Operation]],tblOperations[Operation],0)),""))</f>
        <v>2.6</v>
      </c>
      <c r="I169" s="38">
        <f>IF(tblLabor[[#This Row],[Date]]="","",IF(tblLabor[[#This Row],[Std (min/unit)]]="","",tblLabor[[#This Row],[Good units]]*tblLabor[[#This Row],[Std (min/unit)]]/60))</f>
        <v>28.3833333333333</v>
      </c>
      <c r="J169" s="31">
        <f>IF(tblLabor[[#This Row],[Date]]="","",IF(AND(tblLabor[[#This Row],[Actual hours (person-h)]]&gt;0,ISNUMBER(tblLabor[[#This Row],[Earned hours (person-h)]])),tblLabor[[#This Row],[Earned hours (person-h)]]/tblLabor[[#This Row],[Actual hours (person-h)]],""))</f>
        <v>0.930601092896175</v>
      </c>
      <c r="K169" s="39" t="str">
        <f>IF(NOT(ISNUMBER(tblLabor[[#This Row],[Efficiency]])),"",IF(tblLabor[[#This Row],[Efficiency]]&gt;=TargetEff,"On target",IF(tblLabor[[#This Row],[Efficiency]]&gt;=TargetEff*(1-0.05),"Near target","Below target")))</f>
        <v>On target</v>
      </c>
      <c r="L169" s="40">
        <f>IF(tblLabor[[#This Row],[Date]]="","",IF(ISNUMBER(tblLabor[[#This Row],[Earned hours (person-h)]]),tblLabor[[#This Row],[Actual hours (person-h)]]-tblLabor[[#This Row],[Earned hours (person-h)]],""))</f>
        <v>2.11666666666667</v>
      </c>
      <c r="M169" s="41">
        <f>IF(tblLabor[[#This Row],[Date]]="","",IF(AND(tblLabor[[#This Row],[Date]]&gt;=FFrom,tblLabor[[#This Row],[Date]]&lt;=FTo,OR(DashCell="",tblLabor[[#This Row],[Cell]]=DashCell)),tblLabor[[#This Row],[Date]],""))</f>
        <v>46290</v>
      </c>
      <c r="N169"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69" s="28" t="s">
        <v>136</v>
      </c>
    </row>
    <row r="170" spans="2:15" x14ac:dyDescent="0.25">
      <c r="B170" s="35">
        <v>46290</v>
      </c>
      <c r="C170" s="28" t="s">
        <v>101</v>
      </c>
      <c r="D170" s="28" t="s">
        <v>108</v>
      </c>
      <c r="E170" s="36">
        <v>681</v>
      </c>
      <c r="F170" s="29">
        <v>28</v>
      </c>
      <c r="G170" s="37" t="str">
        <f>IF(tblLabor[[#This Row],[Date]]="","",IFERROR(INDEX(tblOperations[Cell],MATCH(tblLabor[[#This Row],[Operation]],tblOperations[Operation],0)),""))</f>
        <v>Cut and crimp</v>
      </c>
      <c r="H170" s="38">
        <f>IF(tblLabor[[#This Row],[Date]]="","",IFERROR(INDEX(tblOperations[Std (min/unit)],MATCH(tblLabor[[#This Row],[Operation]],tblOperations[Operation],0)),""))</f>
        <v>2.4</v>
      </c>
      <c r="I170" s="38">
        <f>IF(tblLabor[[#This Row],[Date]]="","",IF(tblLabor[[#This Row],[Std (min/unit)]]="","",tblLabor[[#This Row],[Good units]]*tblLabor[[#This Row],[Std (min/unit)]]/60))</f>
        <v>27.24</v>
      </c>
      <c r="J170" s="31">
        <f>IF(tblLabor[[#This Row],[Date]]="","",IF(AND(tblLabor[[#This Row],[Actual hours (person-h)]]&gt;0,ISNUMBER(tblLabor[[#This Row],[Earned hours (person-h)]])),tblLabor[[#This Row],[Earned hours (person-h)]]/tblLabor[[#This Row],[Actual hours (person-h)]],""))</f>
        <v>0.972857142857143</v>
      </c>
      <c r="K170" s="39" t="str">
        <f>IF(NOT(ISNUMBER(tblLabor[[#This Row],[Efficiency]])),"",IF(tblLabor[[#This Row],[Efficiency]]&gt;=TargetEff,"On target",IF(tblLabor[[#This Row],[Efficiency]]&gt;=TargetEff*(1-0.05),"Near target","Below target")))</f>
        <v>On target</v>
      </c>
      <c r="L170" s="40">
        <f>IF(tblLabor[[#This Row],[Date]]="","",IF(ISNUMBER(tblLabor[[#This Row],[Earned hours (person-h)]]),tblLabor[[#This Row],[Actual hours (person-h)]]-tblLabor[[#This Row],[Earned hours (person-h)]],""))</f>
        <v>0.760000000000002</v>
      </c>
      <c r="M170" s="41">
        <f>IF(tblLabor[[#This Row],[Date]]="","",IF(AND(tblLabor[[#This Row],[Date]]&gt;=FFrom,tblLabor[[#This Row],[Date]]&lt;=FTo,OR(DashCell="",tblLabor[[#This Row],[Cell]]=DashCell)),tblLabor[[#This Row],[Date]],""))</f>
        <v>46290</v>
      </c>
      <c r="N170"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70" s="28" t="s">
        <v>136</v>
      </c>
    </row>
    <row r="171" spans="2:15" x14ac:dyDescent="0.25">
      <c r="B171" s="35">
        <v>46290</v>
      </c>
      <c r="C171" s="28" t="s">
        <v>101</v>
      </c>
      <c r="D171" s="28" t="s">
        <v>114</v>
      </c>
      <c r="E171" s="36">
        <v>145</v>
      </c>
      <c r="F171" s="29">
        <v>56.75</v>
      </c>
      <c r="G171" s="37" t="str">
        <f>IF(tblLabor[[#This Row],[Date]]="","",IFERROR(INDEX(tblOperations[Cell],MATCH(tblLabor[[#This Row],[Operation]],tblOperations[Operation],0)),""))</f>
        <v>Board line A</v>
      </c>
      <c r="H171" s="38">
        <f>IF(tblLabor[[#This Row],[Date]]="","",IFERROR(INDEX(tblOperations[Std (min/unit)],MATCH(tblLabor[[#This Row],[Operation]],tblOperations[Operation],0)),""))</f>
        <v>22</v>
      </c>
      <c r="I171" s="38">
        <f>IF(tblLabor[[#This Row],[Date]]="","",IF(tblLabor[[#This Row],[Std (min/unit)]]="","",tblLabor[[#This Row],[Good units]]*tblLabor[[#This Row],[Std (min/unit)]]/60))</f>
        <v>53.1666666666667</v>
      </c>
      <c r="J171" s="31">
        <f>IF(tblLabor[[#This Row],[Date]]="","",IF(AND(tblLabor[[#This Row],[Actual hours (person-h)]]&gt;0,ISNUMBER(tblLabor[[#This Row],[Earned hours (person-h)]])),tblLabor[[#This Row],[Earned hours (person-h)]]/tblLabor[[#This Row],[Actual hours (person-h)]],""))</f>
        <v>0.936857562408223</v>
      </c>
      <c r="K171" s="39" t="str">
        <f>IF(NOT(ISNUMBER(tblLabor[[#This Row],[Efficiency]])),"",IF(tblLabor[[#This Row],[Efficiency]]&gt;=TargetEff,"On target",IF(tblLabor[[#This Row],[Efficiency]]&gt;=TargetEff*(1-0.05),"Near target","Below target")))</f>
        <v>On target</v>
      </c>
      <c r="L171" s="40">
        <f>IF(tblLabor[[#This Row],[Date]]="","",IF(ISNUMBER(tblLabor[[#This Row],[Earned hours (person-h)]]),tblLabor[[#This Row],[Actual hours (person-h)]]-tblLabor[[#This Row],[Earned hours (person-h)]],""))</f>
        <v>3.58333333333334</v>
      </c>
      <c r="M171" s="41">
        <f>IF(tblLabor[[#This Row],[Date]]="","",IF(AND(tblLabor[[#This Row],[Date]]&gt;=FFrom,tblLabor[[#This Row],[Date]]&lt;=FTo,OR(DashCell="",tblLabor[[#This Row],[Cell]]=DashCell)),tblLabor[[#This Row],[Date]],""))</f>
        <v>46290</v>
      </c>
      <c r="N171"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71" s="28" t="s">
        <v>136</v>
      </c>
    </row>
    <row r="172" spans="2:15" x14ac:dyDescent="0.25">
      <c r="B172" s="35">
        <v>46290</v>
      </c>
      <c r="C172" s="28" t="s">
        <v>101</v>
      </c>
      <c r="D172" s="28" t="s">
        <v>116</v>
      </c>
      <c r="E172" s="36">
        <v>790</v>
      </c>
      <c r="F172" s="29">
        <v>48</v>
      </c>
      <c r="G172" s="37" t="str">
        <f>IF(tblLabor[[#This Row],[Date]]="","",IFERROR(INDEX(tblOperations[Cell],MATCH(tblLabor[[#This Row],[Operation]],tblOperations[Operation],0)),""))</f>
        <v>Board line B</v>
      </c>
      <c r="H172" s="38">
        <f>IF(tblLabor[[#This Row],[Date]]="","",IFERROR(INDEX(tblOperations[Std (min/unit)],MATCH(tblLabor[[#This Row],[Operation]],tblOperations[Operation],0)),""))</f>
        <v>3.1</v>
      </c>
      <c r="I172" s="38">
        <f>IF(tblLabor[[#This Row],[Date]]="","",IF(tblLabor[[#This Row],[Std (min/unit)]]="","",tblLabor[[#This Row],[Good units]]*tblLabor[[#This Row],[Std (min/unit)]]/60))</f>
        <v>40.8166666666667</v>
      </c>
      <c r="J172" s="31">
        <f>IF(tblLabor[[#This Row],[Date]]="","",IF(AND(tblLabor[[#This Row],[Actual hours (person-h)]]&gt;0,ISNUMBER(tblLabor[[#This Row],[Earned hours (person-h)]])),tblLabor[[#This Row],[Earned hours (person-h)]]/tblLabor[[#This Row],[Actual hours (person-h)]],""))</f>
        <v>0.850347222222222</v>
      </c>
      <c r="K172" s="39" t="str">
        <f>IF(NOT(ISNUMBER(tblLabor[[#This Row],[Efficiency]])),"",IF(tblLabor[[#This Row],[Efficiency]]&gt;=TargetEff,"On target",IF(tblLabor[[#This Row],[Efficiency]]&gt;=TargetEff*(1-0.05),"Near target","Below target")))</f>
        <v>Below target</v>
      </c>
      <c r="L172" s="40">
        <f>IF(tblLabor[[#This Row],[Date]]="","",IF(ISNUMBER(tblLabor[[#This Row],[Earned hours (person-h)]]),tblLabor[[#This Row],[Actual hours (person-h)]]-tblLabor[[#This Row],[Earned hours (person-h)]],""))</f>
        <v>7.18333333333333</v>
      </c>
      <c r="M172" s="41">
        <f>IF(tblLabor[[#This Row],[Date]]="","",IF(AND(tblLabor[[#This Row],[Date]]&gt;=FFrom,tblLabor[[#This Row],[Date]]&lt;=FTo,OR(DashCell="",tblLabor[[#This Row],[Cell]]=DashCell)),tblLabor[[#This Row],[Date]],""))</f>
        <v>46290</v>
      </c>
      <c r="N172"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72" s="28" t="s">
        <v>136</v>
      </c>
    </row>
    <row r="173" spans="2:15" x14ac:dyDescent="0.25">
      <c r="B173" s="35">
        <v>46290</v>
      </c>
      <c r="C173" s="28" t="s">
        <v>101</v>
      </c>
      <c r="D173" s="28" t="s">
        <v>122</v>
      </c>
      <c r="E173" s="36">
        <v>989</v>
      </c>
      <c r="F173" s="29">
        <v>31.25</v>
      </c>
      <c r="G173" s="37" t="str">
        <f>IF(tblLabor[[#This Row],[Date]]="","",IFERROR(INDEX(tblOperations[Cell],MATCH(tblLabor[[#This Row],[Operation]],tblOperations[Operation],0)),""))</f>
        <v>Test and pack</v>
      </c>
      <c r="H173" s="38">
        <f>IF(tblLabor[[#This Row],[Date]]="","",IFERROR(INDEX(tblOperations[Std (min/unit)],MATCH(tblLabor[[#This Row],[Operation]],tblOperations[Operation],0)),""))</f>
        <v>1.7</v>
      </c>
      <c r="I173" s="38">
        <f>IF(tblLabor[[#This Row],[Date]]="","",IF(tblLabor[[#This Row],[Std (min/unit)]]="","",tblLabor[[#This Row],[Good units]]*tblLabor[[#This Row],[Std (min/unit)]]/60))</f>
        <v>28.0216666666667</v>
      </c>
      <c r="J173" s="31">
        <f>IF(tblLabor[[#This Row],[Date]]="","",IF(AND(tblLabor[[#This Row],[Actual hours (person-h)]]&gt;0,ISNUMBER(tblLabor[[#This Row],[Earned hours (person-h)]])),tblLabor[[#This Row],[Earned hours (person-h)]]/tblLabor[[#This Row],[Actual hours (person-h)]],""))</f>
        <v>0.896693333333333</v>
      </c>
      <c r="K173" s="39" t="str">
        <f>IF(NOT(ISNUMBER(tblLabor[[#This Row],[Efficiency]])),"",IF(tblLabor[[#This Row],[Efficiency]]&gt;=TargetEff,"On target",IF(tblLabor[[#This Row],[Efficiency]]&gt;=TargetEff*(1-0.05),"Near target","Below target")))</f>
        <v>Near target</v>
      </c>
      <c r="L173" s="40">
        <f>IF(tblLabor[[#This Row],[Date]]="","",IF(ISNUMBER(tblLabor[[#This Row],[Earned hours (person-h)]]),tblLabor[[#This Row],[Actual hours (person-h)]]-tblLabor[[#This Row],[Earned hours (person-h)]],""))</f>
        <v>3.22833333333334</v>
      </c>
      <c r="M173" s="41">
        <f>IF(tblLabor[[#This Row],[Date]]="","",IF(AND(tblLabor[[#This Row],[Date]]&gt;=FFrom,tblLabor[[#This Row],[Date]]&lt;=FTo,OR(DashCell="",tblLabor[[#This Row],[Cell]]=DashCell)),tblLabor[[#This Row],[Date]],""))</f>
        <v>46290</v>
      </c>
      <c r="N173" s="42" t="str">
        <f>IF(tblLabor[[#This Row],[Date]]="","",IF(tblLabor[[#This Row],[Shift]]="","Missing shift",IF(tblLabor[[#This Row],[Operation]]="","Missing operation",IF(tblLabor[[#This Row],[Good units]]="","Missing good units",IF(tblLabor[[#This Row],[Actual hours (person-h)]]="","Missing actual hours",IF(tblLabor[[#This Row],[Cell]]="","Operation not on Setup list",IF(AND(tblLabor[[#This Row],[Actual hours (person-h)]]=0,tblLabor[[#This Row],[Good units]]&gt;0),"Units with no hours",IF(AND(ISNUMBER(tblLabor[[#This Row],[Efficiency]]),tblLabor[[#This Row],[Efficiency]]&gt;HighEff),"Above high-efficiency flag",IF(COUNTIFS(tblLabor[Date],tblLabor[[#This Row],[Date]],tblLabor[Shift],tblLabor[[#This Row],[Shift]],tblLabor[Operation],tblLabor[[#This Row],[Operation]])&gt;1,"Duplicate row",IF(AND(COUNT(tblPaid[Paid hours (person-h)])&gt;0,COUNTIFS(tblPaid[Date],tblLabor[[#This Row],[Date]],tblPaid[Shift],tblLabor[[#This Row],[Shift]],tblPaid[Cell],tblLabor[[#This Row],[Cell]])=0),"No matching Paid Hours row","OK"))))))))))</f>
        <v>OK</v>
      </c>
      <c r="O173" s="28" t="s">
        <v>136</v>
      </c>
    </row>
  </sheetData>
  <mergeCells count="3">
    <mergeCell ref="A1:O1"/>
    <mergeCell ref="B2:N2"/>
    <mergeCell ref="B4:O4"/>
  </mergeCells>
  <conditionalFormatting sqref="J6:J673">
    <cfRule type="expression" dxfId="3" priority="1" stopIfTrue="1">
      <formula>AND(ISNUMBER(J6),J6&gt;=(TargetEff))</formula>
    </cfRule>
    <cfRule type="expression" dxfId="4" priority="2" stopIfTrue="1">
      <formula>AND(ISNUMBER(J6),J6&gt;=(TargetEff)*(1-0.05))</formula>
    </cfRule>
    <cfRule type="expression" dxfId="5" priority="3">
      <formula>ISNUMBER(J6)</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K6:K673">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N6:N673">
    <cfRule type="expression" dxfId="3" priority="25">
      <formula>$N6="OK"</formula>
    </cfRule>
    <cfRule type="expression" dxfId="1" priority="26">
      <formula>AND($N6&lt;&gt;"",$N6&lt;&gt;"OK")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6:B673">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673">
      <formula1>ShiftList</formula1>
    </dataValidation>
    <dataValidation type="list" allowBlank="1" showInputMessage="1" showErrorMessage="1" errorTitle="Check this entry" error="Pick from the list (edit the list on Setup: Operations)." promptTitle="Operation" prompt="Pick from the list (edit the list on Setup: Operations)." sqref="D6:D673">
      <formula1>Operations</formula1>
    </dataValidation>
    <dataValidation type="whole" allowBlank="1" showInputMessage="1" showErrorMessage="1" errorTitle="Check this entry" error="Enter a whole number from 0 to 10,000,000." promptTitle="Good units" prompt="Good units completed at this operation in the shift. Scrapped units earn no standard hours. Enter a whole number from 0 to 10,000,000." sqref="E6:E673">
      <formula1>0</formula1>
      <formula2>10000000</formula2>
    </dataValidation>
    <dataValidation type="decimal" allowBlank="1" showInputMessage="1" showErrorMessage="1" errorTitle="Check this entry" error="Enter a number from 0 to 10,000." promptTitle="Actual hours (person-h)" prompt="Person-hours worked on this operation: people x hours on it. Leave out meetings, training and waiting; they are indirect time. Enter a number from 0 to 10,000." sqref="F6:F673">
      <formula1>0</formula1>
      <formula2>10000</formula2>
    </dataValidation>
    <dataValidation type="textLength" allowBlank="1" showInputMessage="1" showErrorMessage="1" errorTitle="Check this entry" error="Text up to 255 characters." promptTitle="Notes" prompt="Text up to 255 characters." sqref="O6:O673">
      <formula1>0</formula1>
      <formula2>255</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Labor Efficiency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J6:J673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N157"/>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2.7109375" customWidth="1"/>
    <col min="2" max="2" width="12.28515625" customWidth="1"/>
    <col min="3" max="3" width="7.7109375" customWidth="1"/>
    <col min="4" max="4" width="13.7109375" customWidth="1"/>
    <col min="5" max="9" width="10.7109375" customWidth="1"/>
    <col min="10" max="10" width="11.28515625" customWidth="1"/>
    <col min="11" max="12" width="12.28515625" customWidth="1"/>
    <col min="13" max="13" width="25.7109375" customWidth="1"/>
    <col min="14" max="14" width="28.7109375" customWidth="1"/>
  </cols>
  <sheetData>
    <row r="1" spans="1:14" ht="30" customHeight="1" x14ac:dyDescent="0.25">
      <c r="A1" s="1" t="s">
        <v>0</v>
      </c>
      <c r="B1" s="1"/>
      <c r="C1" s="1"/>
      <c r="D1" s="1"/>
      <c r="E1" s="1"/>
      <c r="F1" s="1"/>
      <c r="G1" s="1"/>
      <c r="H1" s="1"/>
      <c r="I1" s="1"/>
      <c r="J1" s="1"/>
      <c r="K1" s="1"/>
      <c r="L1" s="1"/>
      <c r="M1" s="1"/>
      <c r="N1" s="1"/>
    </row>
    <row r="2" spans="1:14" ht="21" customHeight="1" x14ac:dyDescent="0.25">
      <c r="B2" s="2" t="s">
        <v>24</v>
      </c>
      <c r="C2" s="2"/>
      <c r="D2" s="2"/>
      <c r="E2" s="2"/>
      <c r="F2" s="2"/>
      <c r="G2" s="2"/>
      <c r="H2" s="2"/>
      <c r="I2" s="2"/>
      <c r="J2" s="2"/>
      <c r="K2" s="2"/>
      <c r="L2" s="2"/>
      <c r="M2" s="2"/>
      <c r="N2" s="3" t="s">
        <v>2</v>
      </c>
    </row>
    <row r="3" spans="1:14" ht="6" customHeight="1" x14ac:dyDescent="0.25"/>
    <row r="4" spans="1:14" ht="29.76" customHeight="1" x14ac:dyDescent="0.25">
      <c r="B4" s="34" t="s">
        <v>143</v>
      </c>
      <c r="C4" s="34"/>
      <c r="D4" s="34"/>
      <c r="E4" s="34"/>
      <c r="F4" s="34"/>
      <c r="G4" s="34"/>
      <c r="H4" s="34"/>
      <c r="I4" s="34"/>
      <c r="J4" s="34"/>
      <c r="K4" s="34"/>
      <c r="L4" s="34"/>
      <c r="M4" s="34"/>
      <c r="N4" s="34"/>
    </row>
    <row r="5" spans="1:14" ht="45.5" customHeight="1" x14ac:dyDescent="0.25">
      <c r="B5" s="33" t="s">
        <v>126</v>
      </c>
      <c r="C5" s="33" t="s">
        <v>67</v>
      </c>
      <c r="D5" s="33" t="s">
        <v>64</v>
      </c>
      <c r="E5" s="33" t="s">
        <v>137</v>
      </c>
      <c r="F5" s="33" t="s">
        <v>138</v>
      </c>
      <c r="G5" s="33" t="s">
        <v>129</v>
      </c>
      <c r="H5" s="33" t="s">
        <v>139</v>
      </c>
      <c r="I5" s="33" t="s">
        <v>140</v>
      </c>
      <c r="J5" s="33" t="s">
        <v>141</v>
      </c>
      <c r="K5" s="33" t="s">
        <v>142</v>
      </c>
      <c r="L5" s="33" t="s">
        <v>133</v>
      </c>
      <c r="M5" s="33" t="s">
        <v>134</v>
      </c>
      <c r="N5" s="33" t="s">
        <v>69</v>
      </c>
    </row>
    <row r="6" spans="1:14" x14ac:dyDescent="0.25">
      <c r="B6" s="35">
        <v>46265</v>
      </c>
      <c r="C6" s="28" t="s">
        <v>98</v>
      </c>
      <c r="D6" s="28" t="s">
        <v>86</v>
      </c>
      <c r="E6" s="29">
        <v>30</v>
      </c>
      <c r="F6" s="38">
        <f>IF(tblPaid[[#This Row],[Date]]="","",SUMIFS(tblLabor[Actual hours (person-h)],tblLabor[Date],tblPaid[[#This Row],[Date]],tblLabor[Shift],tblPaid[[#This Row],[Shift]],tblLabor[Cell],tblPaid[[#This Row],[Cell]]))</f>
        <v>26.5</v>
      </c>
      <c r="G6" s="38">
        <f>IF(tblPaid[[#This Row],[Date]]="","",SUMIFS(tblLabor[Earned hours (person-h)],tblLabor[Date],tblPaid[[#This Row],[Date]],tblLabor[Shift],tblPaid[[#This Row],[Shift]],tblLabor[Cell],tblPaid[[#This Row],[Cell]]))</f>
        <v>25.725</v>
      </c>
      <c r="H6" s="38">
        <f>IF(tblPaid[[#This Row],[Date]]="","",tblPaid[[#This Row],[Paid hours (person-h)]]-tblPaid[[#This Row],[Direct hours (person-h)]])</f>
        <v>3.5</v>
      </c>
      <c r="I6" s="31">
        <f>IF(tblPaid[[#This Row],[Date]]="","",IF(tblPaid[[#This Row],[Paid hours (person-h)]]&gt;0,tblPaid[[#This Row],[Direct hours (person-h)]]/tblPaid[[#This Row],[Paid hours (person-h)]],""))</f>
        <v>0.883333333333333</v>
      </c>
      <c r="J6" s="31">
        <f>IF(tblPaid[[#This Row],[Date]]="","",IF(tblPaid[[#This Row],[Paid hours (person-h)]]&gt;0,tblPaid[[#This Row],[Earned hours (person-h)]]/tblPaid[[#This Row],[Paid hours (person-h)]],""))</f>
        <v>0.8575</v>
      </c>
      <c r="K6" s="39" t="str">
        <f>IF(NOT(ISNUMBER(tblPaid[[#This Row],[Utilization]])),"",IF(tblPaid[[#This Row],[Utilization]]&gt;=TargetUtil,"On target",IF(tblPaid[[#This Row],[Utilization]]&gt;=TargetUtil*(1-0.05),"Near target","Below target")))</f>
        <v>On target</v>
      </c>
      <c r="L6" s="41">
        <f>IF(tblPaid[[#This Row],[Date]]="","",IF(AND(tblPaid[[#This Row],[Date]]&gt;=FFrom,tblPaid[[#This Row],[Date]]&lt;=FTo,OR(DashCell="",tblPaid[[#This Row],[Cell]]=DashCell)),tblPaid[[#This Row],[Date]],""))</f>
        <v>46265</v>
      </c>
      <c r="M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 s="28" t="s">
        <v>144</v>
      </c>
    </row>
    <row r="7" spans="1:14" x14ac:dyDescent="0.25">
      <c r="B7" s="35">
        <v>46265</v>
      </c>
      <c r="C7" s="28" t="s">
        <v>98</v>
      </c>
      <c r="D7" s="28" t="s">
        <v>89</v>
      </c>
      <c r="E7" s="29">
        <v>60</v>
      </c>
      <c r="F7" s="38">
        <f>IF(tblPaid[[#This Row],[Date]]="","",SUMIFS(tblLabor[Actual hours (person-h)],tblLabor[Date],tblPaid[[#This Row],[Date]],tblLabor[Shift],tblPaid[[#This Row],[Shift]],tblLabor[Cell],tblPaid[[#This Row],[Cell]]))</f>
        <v>52.75</v>
      </c>
      <c r="G7" s="38">
        <f>IF(tblPaid[[#This Row],[Date]]="","",SUMIFS(tblLabor[Earned hours (person-h)],tblLabor[Date],tblPaid[[#This Row],[Date]],tblLabor[Shift],tblPaid[[#This Row],[Shift]],tblLabor[Cell],tblPaid[[#This Row],[Cell]]))</f>
        <v>48.675</v>
      </c>
      <c r="H7" s="38">
        <f>IF(tblPaid[[#This Row],[Date]]="","",tblPaid[[#This Row],[Paid hours (person-h)]]-tblPaid[[#This Row],[Direct hours (person-h)]])</f>
        <v>7.25</v>
      </c>
      <c r="I7" s="31">
        <f>IF(tblPaid[[#This Row],[Date]]="","",IF(tblPaid[[#This Row],[Paid hours (person-h)]]&gt;0,tblPaid[[#This Row],[Direct hours (person-h)]]/tblPaid[[#This Row],[Paid hours (person-h)]],""))</f>
        <v>0.879166666666667</v>
      </c>
      <c r="J7" s="31">
        <f>IF(tblPaid[[#This Row],[Date]]="","",IF(tblPaid[[#This Row],[Paid hours (person-h)]]&gt;0,tblPaid[[#This Row],[Earned hours (person-h)]]/tblPaid[[#This Row],[Paid hours (person-h)]],""))</f>
        <v>0.81125</v>
      </c>
      <c r="K7" s="39" t="str">
        <f>IF(NOT(ISNUMBER(tblPaid[[#This Row],[Utilization]])),"",IF(tblPaid[[#This Row],[Utilization]]&gt;=TargetUtil,"On target",IF(tblPaid[[#This Row],[Utilization]]&gt;=TargetUtil*(1-0.05),"Near target","Below target")))</f>
        <v>On target</v>
      </c>
      <c r="L7" s="41">
        <f>IF(tblPaid[[#This Row],[Date]]="","",IF(AND(tblPaid[[#This Row],[Date]]&gt;=FFrom,tblPaid[[#This Row],[Date]]&lt;=FTo,OR(DashCell="",tblPaid[[#This Row],[Cell]]=DashCell)),tblPaid[[#This Row],[Date]],""))</f>
        <v>46265</v>
      </c>
      <c r="M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 s="28" t="s">
        <v>144</v>
      </c>
    </row>
    <row r="8" spans="1:14" x14ac:dyDescent="0.25">
      <c r="B8" s="35">
        <v>46265</v>
      </c>
      <c r="C8" s="28" t="s">
        <v>98</v>
      </c>
      <c r="D8" s="28" t="s">
        <v>92</v>
      </c>
      <c r="E8" s="29">
        <v>52.5</v>
      </c>
      <c r="F8" s="38">
        <f>IF(tblPaid[[#This Row],[Date]]="","",SUMIFS(tblLabor[Actual hours (person-h)],tblLabor[Date],tblPaid[[#This Row],[Date]],tblLabor[Shift],tblPaid[[#This Row],[Shift]],tblLabor[Cell],tblPaid[[#This Row],[Cell]]))</f>
        <v>44</v>
      </c>
      <c r="G8" s="38">
        <f>IF(tblPaid[[#This Row],[Date]]="","",SUMIFS(tblLabor[Earned hours (person-h)],tblLabor[Date],tblPaid[[#This Row],[Date]],tblLabor[Shift],tblPaid[[#This Row],[Shift]],tblLabor[Cell],tblPaid[[#This Row],[Cell]]))</f>
        <v>40.18</v>
      </c>
      <c r="H8" s="38">
        <f>IF(tblPaid[[#This Row],[Date]]="","",tblPaid[[#This Row],[Paid hours (person-h)]]-tblPaid[[#This Row],[Direct hours (person-h)]])</f>
        <v>8.5</v>
      </c>
      <c r="I8" s="31">
        <f>IF(tblPaid[[#This Row],[Date]]="","",IF(tblPaid[[#This Row],[Paid hours (person-h)]]&gt;0,tblPaid[[#This Row],[Direct hours (person-h)]]/tblPaid[[#This Row],[Paid hours (person-h)]],""))</f>
        <v>0.838095238095238</v>
      </c>
      <c r="J8" s="31">
        <f>IF(tblPaid[[#This Row],[Date]]="","",IF(tblPaid[[#This Row],[Paid hours (person-h)]]&gt;0,tblPaid[[#This Row],[Earned hours (person-h)]]/tblPaid[[#This Row],[Paid hours (person-h)]],""))</f>
        <v>0.765333333333333</v>
      </c>
      <c r="K8" s="39" t="str">
        <f>IF(NOT(ISNUMBER(tblPaid[[#This Row],[Utilization]])),"",IF(tblPaid[[#This Row],[Utilization]]&gt;=TargetUtil,"On target",IF(tblPaid[[#This Row],[Utilization]]&gt;=TargetUtil*(1-0.05),"Near target","Below target")))</f>
        <v>Near target</v>
      </c>
      <c r="L8" s="41">
        <f>IF(tblPaid[[#This Row],[Date]]="","",IF(AND(tblPaid[[#This Row],[Date]]&gt;=FFrom,tblPaid[[#This Row],[Date]]&lt;=FTo,OR(DashCell="",tblPaid[[#This Row],[Cell]]=DashCell)),tblPaid[[#This Row],[Date]],""))</f>
        <v>46265</v>
      </c>
      <c r="M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 s="28" t="s">
        <v>144</v>
      </c>
    </row>
    <row r="9" spans="1:14" x14ac:dyDescent="0.25">
      <c r="B9" s="35">
        <v>46265</v>
      </c>
      <c r="C9" s="28" t="s">
        <v>98</v>
      </c>
      <c r="D9" s="28" t="s">
        <v>94</v>
      </c>
      <c r="E9" s="29">
        <v>37.5</v>
      </c>
      <c r="F9" s="38">
        <f>IF(tblPaid[[#This Row],[Date]]="","",SUMIFS(tblLabor[Actual hours (person-h)],tblLabor[Date],tblPaid[[#This Row],[Date]],tblLabor[Shift],tblPaid[[#This Row],[Shift]],tblLabor[Cell],tblPaid[[#This Row],[Cell]]))</f>
        <v>28</v>
      </c>
      <c r="G9" s="38">
        <f>IF(tblPaid[[#This Row],[Date]]="","",SUMIFS(tblLabor[Earned hours (person-h)],tblLabor[Date],tblPaid[[#This Row],[Date]],tblLabor[Shift],tblPaid[[#This Row],[Shift]],tblLabor[Cell],tblPaid[[#This Row],[Cell]]))</f>
        <v>25.1066666666667</v>
      </c>
      <c r="H9" s="38">
        <f>IF(tblPaid[[#This Row],[Date]]="","",tblPaid[[#This Row],[Paid hours (person-h)]]-tblPaid[[#This Row],[Direct hours (person-h)]])</f>
        <v>9.5</v>
      </c>
      <c r="I9" s="31">
        <f>IF(tblPaid[[#This Row],[Date]]="","",IF(tblPaid[[#This Row],[Paid hours (person-h)]]&gt;0,tblPaid[[#This Row],[Direct hours (person-h)]]/tblPaid[[#This Row],[Paid hours (person-h)]],""))</f>
        <v>0.746666666666667</v>
      </c>
      <c r="J9" s="31">
        <f>IF(tblPaid[[#This Row],[Date]]="","",IF(tblPaid[[#This Row],[Paid hours (person-h)]]&gt;0,tblPaid[[#This Row],[Earned hours (person-h)]]/tblPaid[[#This Row],[Paid hours (person-h)]],""))</f>
        <v>0.669511111111111</v>
      </c>
      <c r="K9" s="39" t="str">
        <f>IF(NOT(ISNUMBER(tblPaid[[#This Row],[Utilization]])),"",IF(tblPaid[[#This Row],[Utilization]]&gt;=TargetUtil,"On target",IF(tblPaid[[#This Row],[Utilization]]&gt;=TargetUtil*(1-0.05),"Near target","Below target")))</f>
        <v>Below target</v>
      </c>
      <c r="L9" s="41">
        <f>IF(tblPaid[[#This Row],[Date]]="","",IF(AND(tblPaid[[#This Row],[Date]]&gt;=FFrom,tblPaid[[#This Row],[Date]]&lt;=FTo,OR(DashCell="",tblPaid[[#This Row],[Cell]]=DashCell)),tblPaid[[#This Row],[Date]],""))</f>
        <v>46265</v>
      </c>
      <c r="M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 s="28" t="s">
        <v>144</v>
      </c>
    </row>
    <row r="10" spans="1:14" x14ac:dyDescent="0.25">
      <c r="B10" s="35">
        <v>46265</v>
      </c>
      <c r="C10" s="28" t="s">
        <v>101</v>
      </c>
      <c r="D10" s="28" t="s">
        <v>86</v>
      </c>
      <c r="E10" s="29">
        <v>30</v>
      </c>
      <c r="F10" s="38">
        <f>IF(tblPaid[[#This Row],[Date]]="","",SUMIFS(tblLabor[Actual hours (person-h)],tblLabor[Date],tblPaid[[#This Row],[Date]],tblLabor[Shift],tblPaid[[#This Row],[Shift]],tblLabor[Cell],tblPaid[[#This Row],[Cell]]))</f>
        <v>25.5</v>
      </c>
      <c r="G10" s="38">
        <f>IF(tblPaid[[#This Row],[Date]]="","",SUMIFS(tblLabor[Earned hours (person-h)],tblLabor[Date],tblPaid[[#This Row],[Date]],tblLabor[Shift],tblPaid[[#This Row],[Shift]],tblLabor[Cell],tblPaid[[#This Row],[Cell]]))</f>
        <v>24.7866666666667</v>
      </c>
      <c r="H10" s="38">
        <f>IF(tblPaid[[#This Row],[Date]]="","",tblPaid[[#This Row],[Paid hours (person-h)]]-tblPaid[[#This Row],[Direct hours (person-h)]])</f>
        <v>4.5</v>
      </c>
      <c r="I10" s="31">
        <f>IF(tblPaid[[#This Row],[Date]]="","",IF(tblPaid[[#This Row],[Paid hours (person-h)]]&gt;0,tblPaid[[#This Row],[Direct hours (person-h)]]/tblPaid[[#This Row],[Paid hours (person-h)]],""))</f>
        <v>0.85</v>
      </c>
      <c r="J10" s="31">
        <f>IF(tblPaid[[#This Row],[Date]]="","",IF(tblPaid[[#This Row],[Paid hours (person-h)]]&gt;0,tblPaid[[#This Row],[Earned hours (person-h)]]/tblPaid[[#This Row],[Paid hours (person-h)]],""))</f>
        <v>0.826222222222222</v>
      </c>
      <c r="K10" s="39" t="str">
        <f>IF(NOT(ISNUMBER(tblPaid[[#This Row],[Utilization]])),"",IF(tblPaid[[#This Row],[Utilization]]&gt;=TargetUtil,"On target",IF(tblPaid[[#This Row],[Utilization]]&gt;=TargetUtil*(1-0.05),"Near target","Below target")))</f>
        <v>On target</v>
      </c>
      <c r="L10" s="41">
        <f>IF(tblPaid[[#This Row],[Date]]="","",IF(AND(tblPaid[[#This Row],[Date]]&gt;=FFrom,tblPaid[[#This Row],[Date]]&lt;=FTo,OR(DashCell="",tblPaid[[#This Row],[Cell]]=DashCell)),tblPaid[[#This Row],[Date]],""))</f>
        <v>46265</v>
      </c>
      <c r="M1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 s="28" t="s">
        <v>144</v>
      </c>
    </row>
    <row r="11" spans="1:14" x14ac:dyDescent="0.25">
      <c r="B11" s="35">
        <v>46265</v>
      </c>
      <c r="C11" s="28" t="s">
        <v>101</v>
      </c>
      <c r="D11" s="28" t="s">
        <v>89</v>
      </c>
      <c r="E11" s="29">
        <v>60</v>
      </c>
      <c r="F11" s="38">
        <f>IF(tblPaid[[#This Row],[Date]]="","",SUMIFS(tblLabor[Actual hours (person-h)],tblLabor[Date],tblPaid[[#This Row],[Date]],tblLabor[Shift],tblPaid[[#This Row],[Shift]],tblLabor[Cell],tblPaid[[#This Row],[Cell]]))</f>
        <v>52</v>
      </c>
      <c r="G11" s="38">
        <f>IF(tblPaid[[#This Row],[Date]]="","",SUMIFS(tblLabor[Earned hours (person-h)],tblLabor[Date],tblPaid[[#This Row],[Date]],tblLabor[Shift],tblPaid[[#This Row],[Shift]],tblLabor[Cell],tblPaid[[#This Row],[Cell]]))</f>
        <v>45.925</v>
      </c>
      <c r="H11" s="38">
        <f>IF(tblPaid[[#This Row],[Date]]="","",tblPaid[[#This Row],[Paid hours (person-h)]]-tblPaid[[#This Row],[Direct hours (person-h)]])</f>
        <v>8</v>
      </c>
      <c r="I11" s="31">
        <f>IF(tblPaid[[#This Row],[Date]]="","",IF(tblPaid[[#This Row],[Paid hours (person-h)]]&gt;0,tblPaid[[#This Row],[Direct hours (person-h)]]/tblPaid[[#This Row],[Paid hours (person-h)]],""))</f>
        <v>0.866666666666667</v>
      </c>
      <c r="J11" s="31">
        <f>IF(tblPaid[[#This Row],[Date]]="","",IF(tblPaid[[#This Row],[Paid hours (person-h)]]&gt;0,tblPaid[[#This Row],[Earned hours (person-h)]]/tblPaid[[#This Row],[Paid hours (person-h)]],""))</f>
        <v>0.765416666666667</v>
      </c>
      <c r="K11" s="39" t="str">
        <f>IF(NOT(ISNUMBER(tblPaid[[#This Row],[Utilization]])),"",IF(tblPaid[[#This Row],[Utilization]]&gt;=TargetUtil,"On target",IF(tblPaid[[#This Row],[Utilization]]&gt;=TargetUtil*(1-0.05),"Near target","Below target")))</f>
        <v>On target</v>
      </c>
      <c r="L11" s="41">
        <f>IF(tblPaid[[#This Row],[Date]]="","",IF(AND(tblPaid[[#This Row],[Date]]&gt;=FFrom,tblPaid[[#This Row],[Date]]&lt;=FTo,OR(DashCell="",tblPaid[[#This Row],[Cell]]=DashCell)),tblPaid[[#This Row],[Date]],""))</f>
        <v>46265</v>
      </c>
      <c r="M1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 s="28" t="s">
        <v>144</v>
      </c>
    </row>
    <row r="12" spans="1:14" x14ac:dyDescent="0.25">
      <c r="B12" s="35">
        <v>46265</v>
      </c>
      <c r="C12" s="28" t="s">
        <v>101</v>
      </c>
      <c r="D12" s="28" t="s">
        <v>92</v>
      </c>
      <c r="E12" s="29">
        <v>52.5</v>
      </c>
      <c r="F12" s="38">
        <f>IF(tblPaid[[#This Row],[Date]]="","",SUMIFS(tblLabor[Actual hours (person-h)],tblLabor[Date],tblPaid[[#This Row],[Date]],tblLabor[Shift],tblPaid[[#This Row],[Shift]],tblLabor[Cell],tblPaid[[#This Row],[Cell]]))</f>
        <v>45.25</v>
      </c>
      <c r="G12" s="38">
        <f>IF(tblPaid[[#This Row],[Date]]="","",SUMIFS(tblLabor[Earned hours (person-h)],tblLabor[Date],tblPaid[[#This Row],[Date]],tblLabor[Shift],tblPaid[[#This Row],[Shift]],tblLabor[Cell],tblPaid[[#This Row],[Cell]]))</f>
        <v>30.2166666666667</v>
      </c>
      <c r="H12" s="38">
        <f>IF(tblPaid[[#This Row],[Date]]="","",tblPaid[[#This Row],[Paid hours (person-h)]]-tblPaid[[#This Row],[Direct hours (person-h)]])</f>
        <v>7.25</v>
      </c>
      <c r="I12" s="31">
        <f>IF(tblPaid[[#This Row],[Date]]="","",IF(tblPaid[[#This Row],[Paid hours (person-h)]]&gt;0,tblPaid[[#This Row],[Direct hours (person-h)]]/tblPaid[[#This Row],[Paid hours (person-h)]],""))</f>
        <v>0.861904761904762</v>
      </c>
      <c r="J12" s="31">
        <f>IF(tblPaid[[#This Row],[Date]]="","",IF(tblPaid[[#This Row],[Paid hours (person-h)]]&gt;0,tblPaid[[#This Row],[Earned hours (person-h)]]/tblPaid[[#This Row],[Paid hours (person-h)]],""))</f>
        <v>0.575555555555556</v>
      </c>
      <c r="K12" s="39" t="str">
        <f>IF(NOT(ISNUMBER(tblPaid[[#This Row],[Utilization]])),"",IF(tblPaid[[#This Row],[Utilization]]&gt;=TargetUtil,"On target",IF(tblPaid[[#This Row],[Utilization]]&gt;=TargetUtil*(1-0.05),"Near target","Below target")))</f>
        <v>On target</v>
      </c>
      <c r="L12" s="41">
        <f>IF(tblPaid[[#This Row],[Date]]="","",IF(AND(tblPaid[[#This Row],[Date]]&gt;=FFrom,tblPaid[[#This Row],[Date]]&lt;=FTo,OR(DashCell="",tblPaid[[#This Row],[Cell]]=DashCell)),tblPaid[[#This Row],[Date]],""))</f>
        <v>46265</v>
      </c>
      <c r="M1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 s="28" t="s">
        <v>144</v>
      </c>
    </row>
    <row r="13" spans="1:14" x14ac:dyDescent="0.25">
      <c r="B13" s="35">
        <v>46265</v>
      </c>
      <c r="C13" s="28" t="s">
        <v>101</v>
      </c>
      <c r="D13" s="28" t="s">
        <v>94</v>
      </c>
      <c r="E13" s="29">
        <v>30</v>
      </c>
      <c r="F13" s="38">
        <f>IF(tblPaid[[#This Row],[Date]]="","",SUMIFS(tblLabor[Actual hours (person-h)],tblLabor[Date],tblPaid[[#This Row],[Date]],tblLabor[Shift],tblPaid[[#This Row],[Shift]],tblLabor[Cell],tblPaid[[#This Row],[Cell]]))</f>
        <v>22.5</v>
      </c>
      <c r="G13" s="38">
        <f>IF(tblPaid[[#This Row],[Date]]="","",SUMIFS(tblLabor[Earned hours (person-h)],tblLabor[Date],tblPaid[[#This Row],[Date]],tblLabor[Shift],tblPaid[[#This Row],[Shift]],tblLabor[Cell],tblPaid[[#This Row],[Cell]]))</f>
        <v>20.3433333333333</v>
      </c>
      <c r="H13" s="38">
        <f>IF(tblPaid[[#This Row],[Date]]="","",tblPaid[[#This Row],[Paid hours (person-h)]]-tblPaid[[#This Row],[Direct hours (person-h)]])</f>
        <v>7.5</v>
      </c>
      <c r="I13" s="31">
        <f>IF(tblPaid[[#This Row],[Date]]="","",IF(tblPaid[[#This Row],[Paid hours (person-h)]]&gt;0,tblPaid[[#This Row],[Direct hours (person-h)]]/tblPaid[[#This Row],[Paid hours (person-h)]],""))</f>
        <v>0.75</v>
      </c>
      <c r="J13" s="31">
        <f>IF(tblPaid[[#This Row],[Date]]="","",IF(tblPaid[[#This Row],[Paid hours (person-h)]]&gt;0,tblPaid[[#This Row],[Earned hours (person-h)]]/tblPaid[[#This Row],[Paid hours (person-h)]],""))</f>
        <v>0.678111111111111</v>
      </c>
      <c r="K13" s="39" t="str">
        <f>IF(NOT(ISNUMBER(tblPaid[[#This Row],[Utilization]])),"",IF(tblPaid[[#This Row],[Utilization]]&gt;=TargetUtil,"On target",IF(tblPaid[[#This Row],[Utilization]]&gt;=TargetUtil*(1-0.05),"Near target","Below target")))</f>
        <v>Below target</v>
      </c>
      <c r="L13" s="41">
        <f>IF(tblPaid[[#This Row],[Date]]="","",IF(AND(tblPaid[[#This Row],[Date]]&gt;=FFrom,tblPaid[[#This Row],[Date]]&lt;=FTo,OR(DashCell="",tblPaid[[#This Row],[Cell]]=DashCell)),tblPaid[[#This Row],[Date]],""))</f>
        <v>46265</v>
      </c>
      <c r="M1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 s="28" t="s">
        <v>145</v>
      </c>
    </row>
    <row r="14" spans="1:14" x14ac:dyDescent="0.25">
      <c r="B14" s="35">
        <v>46266</v>
      </c>
      <c r="C14" s="28" t="s">
        <v>98</v>
      </c>
      <c r="D14" s="28" t="s">
        <v>86</v>
      </c>
      <c r="E14" s="29">
        <v>22.5</v>
      </c>
      <c r="F14" s="38">
        <f>IF(tblPaid[[#This Row],[Date]]="","",SUMIFS(tblLabor[Actual hours (person-h)],tblLabor[Date],tblPaid[[#This Row],[Date]],tblLabor[Shift],tblPaid[[#This Row],[Shift]],tblLabor[Cell],tblPaid[[#This Row],[Cell]]))</f>
        <v>20.75</v>
      </c>
      <c r="G14" s="38">
        <f>IF(tblPaid[[#This Row],[Date]]="","",SUMIFS(tblLabor[Earned hours (person-h)],tblLabor[Date],tblPaid[[#This Row],[Date]],tblLabor[Shift],tblPaid[[#This Row],[Shift]],tblLabor[Cell],tblPaid[[#This Row],[Cell]]))</f>
        <v>19.98</v>
      </c>
      <c r="H14" s="38">
        <f>IF(tblPaid[[#This Row],[Date]]="","",tblPaid[[#This Row],[Paid hours (person-h)]]-tblPaid[[#This Row],[Direct hours (person-h)]])</f>
        <v>1.75</v>
      </c>
      <c r="I14" s="31">
        <f>IF(tblPaid[[#This Row],[Date]]="","",IF(tblPaid[[#This Row],[Paid hours (person-h)]]&gt;0,tblPaid[[#This Row],[Direct hours (person-h)]]/tblPaid[[#This Row],[Paid hours (person-h)]],""))</f>
        <v>0.922222222222222</v>
      </c>
      <c r="J14" s="31">
        <f>IF(tblPaid[[#This Row],[Date]]="","",IF(tblPaid[[#This Row],[Paid hours (person-h)]]&gt;0,tblPaid[[#This Row],[Earned hours (person-h)]]/tblPaid[[#This Row],[Paid hours (person-h)]],""))</f>
        <v>0.888</v>
      </c>
      <c r="K14" s="39" t="str">
        <f>IF(NOT(ISNUMBER(tblPaid[[#This Row],[Utilization]])),"",IF(tblPaid[[#This Row],[Utilization]]&gt;=TargetUtil,"On target",IF(tblPaid[[#This Row],[Utilization]]&gt;=TargetUtil*(1-0.05),"Near target","Below target")))</f>
        <v>On target</v>
      </c>
      <c r="L14" s="41">
        <f>IF(tblPaid[[#This Row],[Date]]="","",IF(AND(tblPaid[[#This Row],[Date]]&gt;=FFrom,tblPaid[[#This Row],[Date]]&lt;=FTo,OR(DashCell="",tblPaid[[#This Row],[Cell]]=DashCell)),tblPaid[[#This Row],[Date]],""))</f>
        <v>46266</v>
      </c>
      <c r="M1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 s="28" t="s">
        <v>146</v>
      </c>
    </row>
    <row r="15" spans="1:14" x14ac:dyDescent="0.25">
      <c r="B15" s="35">
        <v>46266</v>
      </c>
      <c r="C15" s="28" t="s">
        <v>98</v>
      </c>
      <c r="D15" s="28" t="s">
        <v>89</v>
      </c>
      <c r="E15" s="29">
        <v>60</v>
      </c>
      <c r="F15" s="38">
        <f>IF(tblPaid[[#This Row],[Date]]="","",SUMIFS(tblLabor[Actual hours (person-h)],tblLabor[Date],tblPaid[[#This Row],[Date]],tblLabor[Shift],tblPaid[[#This Row],[Shift]],tblLabor[Cell],tblPaid[[#This Row],[Cell]]))</f>
        <v>55</v>
      </c>
      <c r="G15" s="38">
        <f>IF(tblPaid[[#This Row],[Date]]="","",SUMIFS(tblLabor[Earned hours (person-h)],tblLabor[Date],tblPaid[[#This Row],[Date]],tblLabor[Shift],tblPaid[[#This Row],[Shift]],tblLabor[Cell],tblPaid[[#This Row],[Cell]]))</f>
        <v>51.7</v>
      </c>
      <c r="H15" s="38">
        <f>IF(tblPaid[[#This Row],[Date]]="","",tblPaid[[#This Row],[Paid hours (person-h)]]-tblPaid[[#This Row],[Direct hours (person-h)]])</f>
        <v>5</v>
      </c>
      <c r="I15" s="31">
        <f>IF(tblPaid[[#This Row],[Date]]="","",IF(tblPaid[[#This Row],[Paid hours (person-h)]]&gt;0,tblPaid[[#This Row],[Direct hours (person-h)]]/tblPaid[[#This Row],[Paid hours (person-h)]],""))</f>
        <v>0.916666666666667</v>
      </c>
      <c r="J15" s="31">
        <f>IF(tblPaid[[#This Row],[Date]]="","",IF(tblPaid[[#This Row],[Paid hours (person-h)]]&gt;0,tblPaid[[#This Row],[Earned hours (person-h)]]/tblPaid[[#This Row],[Paid hours (person-h)]],""))</f>
        <v>0.861666666666667</v>
      </c>
      <c r="K15" s="39" t="str">
        <f>IF(NOT(ISNUMBER(tblPaid[[#This Row],[Utilization]])),"",IF(tblPaid[[#This Row],[Utilization]]&gt;=TargetUtil,"On target",IF(tblPaid[[#This Row],[Utilization]]&gt;=TargetUtil*(1-0.05),"Near target","Below target")))</f>
        <v>On target</v>
      </c>
      <c r="L15" s="41">
        <f>IF(tblPaid[[#This Row],[Date]]="","",IF(AND(tblPaid[[#This Row],[Date]]&gt;=FFrom,tblPaid[[#This Row],[Date]]&lt;=FTo,OR(DashCell="",tblPaid[[#This Row],[Cell]]=DashCell)),tblPaid[[#This Row],[Date]],""))</f>
        <v>46266</v>
      </c>
      <c r="M1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 s="28" t="s">
        <v>136</v>
      </c>
    </row>
    <row r="16" spans="1:14" x14ac:dyDescent="0.25">
      <c r="B16" s="35">
        <v>46266</v>
      </c>
      <c r="C16" s="28" t="s">
        <v>98</v>
      </c>
      <c r="D16" s="28" t="s">
        <v>92</v>
      </c>
      <c r="E16" s="29">
        <v>52.5</v>
      </c>
      <c r="F16" s="38">
        <f>IF(tblPaid[[#This Row],[Date]]="","",SUMIFS(tblLabor[Actual hours (person-h)],tblLabor[Date],tblPaid[[#This Row],[Date]],tblLabor[Shift],tblPaid[[#This Row],[Shift]],tblLabor[Cell],tblPaid[[#This Row],[Cell]]))</f>
        <v>47.5</v>
      </c>
      <c r="G16" s="38">
        <f>IF(tblPaid[[#This Row],[Date]]="","",SUMIFS(tblLabor[Earned hours (person-h)],tblLabor[Date],tblPaid[[#This Row],[Date]],tblLabor[Shift],tblPaid[[#This Row],[Shift]],tblLabor[Cell],tblPaid[[#This Row],[Cell]]))</f>
        <v>44.1</v>
      </c>
      <c r="H16" s="38">
        <f>IF(tblPaid[[#This Row],[Date]]="","",tblPaid[[#This Row],[Paid hours (person-h)]]-tblPaid[[#This Row],[Direct hours (person-h)]])</f>
        <v>5</v>
      </c>
      <c r="I16" s="31">
        <f>IF(tblPaid[[#This Row],[Date]]="","",IF(tblPaid[[#This Row],[Paid hours (person-h)]]&gt;0,tblPaid[[#This Row],[Direct hours (person-h)]]/tblPaid[[#This Row],[Paid hours (person-h)]],""))</f>
        <v>0.904761904761905</v>
      </c>
      <c r="J16" s="31">
        <f>IF(tblPaid[[#This Row],[Date]]="","",IF(tblPaid[[#This Row],[Paid hours (person-h)]]&gt;0,tblPaid[[#This Row],[Earned hours (person-h)]]/tblPaid[[#This Row],[Paid hours (person-h)]],""))</f>
        <v>0.84</v>
      </c>
      <c r="K16" s="39" t="str">
        <f>IF(NOT(ISNUMBER(tblPaid[[#This Row],[Utilization]])),"",IF(tblPaid[[#This Row],[Utilization]]&gt;=TargetUtil,"On target",IF(tblPaid[[#This Row],[Utilization]]&gt;=TargetUtil*(1-0.05),"Near target","Below target")))</f>
        <v>On target</v>
      </c>
      <c r="L16" s="41">
        <f>IF(tblPaid[[#This Row],[Date]]="","",IF(AND(tblPaid[[#This Row],[Date]]&gt;=FFrom,tblPaid[[#This Row],[Date]]&lt;=FTo,OR(DashCell="",tblPaid[[#This Row],[Cell]]=DashCell)),tblPaid[[#This Row],[Date]],""))</f>
        <v>46266</v>
      </c>
      <c r="M1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6" s="28" t="s">
        <v>136</v>
      </c>
    </row>
    <row r="17" spans="2:14" x14ac:dyDescent="0.25">
      <c r="B17" s="35">
        <v>46266</v>
      </c>
      <c r="C17" s="28" t="s">
        <v>98</v>
      </c>
      <c r="D17" s="28" t="s">
        <v>94</v>
      </c>
      <c r="E17" s="29">
        <v>30</v>
      </c>
      <c r="F17" s="38">
        <f>IF(tblPaid[[#This Row],[Date]]="","",SUMIFS(tblLabor[Actual hours (person-h)],tblLabor[Date],tblPaid[[#This Row],[Date]],tblLabor[Shift],tblPaid[[#This Row],[Shift]],tblLabor[Cell],tblPaid[[#This Row],[Cell]]))</f>
        <v>24.25</v>
      </c>
      <c r="G17" s="38">
        <f>IF(tblPaid[[#This Row],[Date]]="","",SUMIFS(tblLabor[Earned hours (person-h)],tblLabor[Date],tblPaid[[#This Row],[Date]],tblLabor[Shift],tblPaid[[#This Row],[Shift]],tblLabor[Cell],tblPaid[[#This Row],[Cell]]))</f>
        <v>23.1833333333333</v>
      </c>
      <c r="H17" s="38">
        <f>IF(tblPaid[[#This Row],[Date]]="","",tblPaid[[#This Row],[Paid hours (person-h)]]-tblPaid[[#This Row],[Direct hours (person-h)]])</f>
        <v>5.75</v>
      </c>
      <c r="I17" s="31">
        <f>IF(tblPaid[[#This Row],[Date]]="","",IF(tblPaid[[#This Row],[Paid hours (person-h)]]&gt;0,tblPaid[[#This Row],[Direct hours (person-h)]]/tblPaid[[#This Row],[Paid hours (person-h)]],""))</f>
        <v>0.808333333333333</v>
      </c>
      <c r="J17" s="31">
        <f>IF(tblPaid[[#This Row],[Date]]="","",IF(tblPaid[[#This Row],[Paid hours (person-h)]]&gt;0,tblPaid[[#This Row],[Earned hours (person-h)]]/tblPaid[[#This Row],[Paid hours (person-h)]],""))</f>
        <v>0.772777777777778</v>
      </c>
      <c r="K17" s="39" t="str">
        <f>IF(NOT(ISNUMBER(tblPaid[[#This Row],[Utilization]])),"",IF(tblPaid[[#This Row],[Utilization]]&gt;=TargetUtil,"On target",IF(tblPaid[[#This Row],[Utilization]]&gt;=TargetUtil*(1-0.05),"Near target","Below target")))</f>
        <v>Near target</v>
      </c>
      <c r="L17" s="41">
        <f>IF(tblPaid[[#This Row],[Date]]="","",IF(AND(tblPaid[[#This Row],[Date]]&gt;=FFrom,tblPaid[[#This Row],[Date]]&lt;=FTo,OR(DashCell="",tblPaid[[#This Row],[Cell]]=DashCell)),tblPaid[[#This Row],[Date]],""))</f>
        <v>46266</v>
      </c>
      <c r="M1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7" s="28" t="s">
        <v>146</v>
      </c>
    </row>
    <row r="18" spans="2:14" x14ac:dyDescent="0.25">
      <c r="B18" s="35">
        <v>46266</v>
      </c>
      <c r="C18" s="28" t="s">
        <v>101</v>
      </c>
      <c r="D18" s="28" t="s">
        <v>86</v>
      </c>
      <c r="E18" s="29">
        <v>22.5</v>
      </c>
      <c r="F18" s="38">
        <f>IF(tblPaid[[#This Row],[Date]]="","",SUMIFS(tblLabor[Actual hours (person-h)],tblLabor[Date],tblPaid[[#This Row],[Date]],tblLabor[Shift],tblPaid[[#This Row],[Shift]],tblLabor[Cell],tblPaid[[#This Row],[Cell]]))</f>
        <v>21.25</v>
      </c>
      <c r="G18" s="38">
        <f>IF(tblPaid[[#This Row],[Date]]="","",SUMIFS(tblLabor[Earned hours (person-h)],tblLabor[Date],tblPaid[[#This Row],[Date]],tblLabor[Shift],tblPaid[[#This Row],[Shift]],tblLabor[Cell],tblPaid[[#This Row],[Cell]]))</f>
        <v>19.985</v>
      </c>
      <c r="H18" s="38">
        <f>IF(tblPaid[[#This Row],[Date]]="","",tblPaid[[#This Row],[Paid hours (person-h)]]-tblPaid[[#This Row],[Direct hours (person-h)]])</f>
        <v>1.25</v>
      </c>
      <c r="I18" s="31">
        <f>IF(tblPaid[[#This Row],[Date]]="","",IF(tblPaid[[#This Row],[Paid hours (person-h)]]&gt;0,tblPaid[[#This Row],[Direct hours (person-h)]]/tblPaid[[#This Row],[Paid hours (person-h)]],""))</f>
        <v>0.944444444444444</v>
      </c>
      <c r="J18" s="31">
        <f>IF(tblPaid[[#This Row],[Date]]="","",IF(tblPaid[[#This Row],[Paid hours (person-h)]]&gt;0,tblPaid[[#This Row],[Earned hours (person-h)]]/tblPaid[[#This Row],[Paid hours (person-h)]],""))</f>
        <v>0.888222222222222</v>
      </c>
      <c r="K18" s="39" t="str">
        <f>IF(NOT(ISNUMBER(tblPaid[[#This Row],[Utilization]])),"",IF(tblPaid[[#This Row],[Utilization]]&gt;=TargetUtil,"On target",IF(tblPaid[[#This Row],[Utilization]]&gt;=TargetUtil*(1-0.05),"Near target","Below target")))</f>
        <v>On target</v>
      </c>
      <c r="L18" s="41">
        <f>IF(tblPaid[[#This Row],[Date]]="","",IF(AND(tblPaid[[#This Row],[Date]]&gt;=FFrom,tblPaid[[#This Row],[Date]]&lt;=FTo,OR(DashCell="",tblPaid[[#This Row],[Cell]]=DashCell)),tblPaid[[#This Row],[Date]],""))</f>
        <v>46266</v>
      </c>
      <c r="M1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8" s="28" t="s">
        <v>146</v>
      </c>
    </row>
    <row r="19" spans="2:14" x14ac:dyDescent="0.25">
      <c r="B19" s="35">
        <v>46266</v>
      </c>
      <c r="C19" s="28" t="s">
        <v>101</v>
      </c>
      <c r="D19" s="28" t="s">
        <v>89</v>
      </c>
      <c r="E19" s="29">
        <v>60</v>
      </c>
      <c r="F19" s="38">
        <f>IF(tblPaid[[#This Row],[Date]]="","",SUMIFS(tblLabor[Actual hours (person-h)],tblLabor[Date],tblPaid[[#This Row],[Date]],tblLabor[Shift],tblPaid[[#This Row],[Shift]],tblLabor[Cell],tblPaid[[#This Row],[Cell]]))</f>
        <v>56</v>
      </c>
      <c r="G19" s="38">
        <f>IF(tblPaid[[#This Row],[Date]]="","",SUMIFS(tblLabor[Earned hours (person-h)],tblLabor[Date],tblPaid[[#This Row],[Date]],tblLabor[Shift],tblPaid[[#This Row],[Shift]],tblLabor[Cell],tblPaid[[#This Row],[Cell]]))</f>
        <v>52.525</v>
      </c>
      <c r="H19" s="38">
        <f>IF(tblPaid[[#This Row],[Date]]="","",tblPaid[[#This Row],[Paid hours (person-h)]]-tblPaid[[#This Row],[Direct hours (person-h)]])</f>
        <v>4</v>
      </c>
      <c r="I19" s="31">
        <f>IF(tblPaid[[#This Row],[Date]]="","",IF(tblPaid[[#This Row],[Paid hours (person-h)]]&gt;0,tblPaid[[#This Row],[Direct hours (person-h)]]/tblPaid[[#This Row],[Paid hours (person-h)]],""))</f>
        <v>0.933333333333333</v>
      </c>
      <c r="J19" s="31">
        <f>IF(tblPaid[[#This Row],[Date]]="","",IF(tblPaid[[#This Row],[Paid hours (person-h)]]&gt;0,tblPaid[[#This Row],[Earned hours (person-h)]]/tblPaid[[#This Row],[Paid hours (person-h)]],""))</f>
        <v>0.875416666666667</v>
      </c>
      <c r="K19" s="39" t="str">
        <f>IF(NOT(ISNUMBER(tblPaid[[#This Row],[Utilization]])),"",IF(tblPaid[[#This Row],[Utilization]]&gt;=TargetUtil,"On target",IF(tblPaid[[#This Row],[Utilization]]&gt;=TargetUtil*(1-0.05),"Near target","Below target")))</f>
        <v>On target</v>
      </c>
      <c r="L19" s="41">
        <f>IF(tblPaid[[#This Row],[Date]]="","",IF(AND(tblPaid[[#This Row],[Date]]&gt;=FFrom,tblPaid[[#This Row],[Date]]&lt;=FTo,OR(DashCell="",tblPaid[[#This Row],[Cell]]=DashCell)),tblPaid[[#This Row],[Date]],""))</f>
        <v>46266</v>
      </c>
      <c r="M1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9" s="28" t="s">
        <v>136</v>
      </c>
    </row>
    <row r="20" spans="2:14" x14ac:dyDescent="0.25">
      <c r="B20" s="35">
        <v>46266</v>
      </c>
      <c r="C20" s="28" t="s">
        <v>101</v>
      </c>
      <c r="D20" s="28" t="s">
        <v>92</v>
      </c>
      <c r="E20" s="29">
        <v>52.5</v>
      </c>
      <c r="F20" s="38">
        <f>IF(tblPaid[[#This Row],[Date]]="","",SUMIFS(tblLabor[Actual hours (person-h)],tblLabor[Date],tblPaid[[#This Row],[Date]],tblLabor[Shift],tblPaid[[#This Row],[Shift]],tblLabor[Cell],tblPaid[[#This Row],[Cell]]))</f>
        <v>47.75</v>
      </c>
      <c r="G20" s="38">
        <f>IF(tblPaid[[#This Row],[Date]]="","",SUMIFS(tblLabor[Earned hours (person-h)],tblLabor[Date],tblPaid[[#This Row],[Date]],tblLabor[Shift],tblPaid[[#This Row],[Shift]],tblLabor[Cell],tblPaid[[#This Row],[Cell]]))</f>
        <v>31.1966666666667</v>
      </c>
      <c r="H20" s="38">
        <f>IF(tblPaid[[#This Row],[Date]]="","",tblPaid[[#This Row],[Paid hours (person-h)]]-tblPaid[[#This Row],[Direct hours (person-h)]])</f>
        <v>4.75</v>
      </c>
      <c r="I20" s="31">
        <f>IF(tblPaid[[#This Row],[Date]]="","",IF(tblPaid[[#This Row],[Paid hours (person-h)]]&gt;0,tblPaid[[#This Row],[Direct hours (person-h)]]/tblPaid[[#This Row],[Paid hours (person-h)]],""))</f>
        <v>0.90952380952381</v>
      </c>
      <c r="J20" s="31">
        <f>IF(tblPaid[[#This Row],[Date]]="","",IF(tblPaid[[#This Row],[Paid hours (person-h)]]&gt;0,tblPaid[[#This Row],[Earned hours (person-h)]]/tblPaid[[#This Row],[Paid hours (person-h)]],""))</f>
        <v>0.594222222222222</v>
      </c>
      <c r="K20" s="39" t="str">
        <f>IF(NOT(ISNUMBER(tblPaid[[#This Row],[Utilization]])),"",IF(tblPaid[[#This Row],[Utilization]]&gt;=TargetUtil,"On target",IF(tblPaid[[#This Row],[Utilization]]&gt;=TargetUtil*(1-0.05),"Near target","Below target")))</f>
        <v>On target</v>
      </c>
      <c r="L20" s="41">
        <f>IF(tblPaid[[#This Row],[Date]]="","",IF(AND(tblPaid[[#This Row],[Date]]&gt;=FFrom,tblPaid[[#This Row],[Date]]&lt;=FTo,OR(DashCell="",tblPaid[[#This Row],[Cell]]=DashCell)),tblPaid[[#This Row],[Date]],""))</f>
        <v>46266</v>
      </c>
      <c r="M2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0" s="28" t="s">
        <v>136</v>
      </c>
    </row>
    <row r="21" spans="2:14" x14ac:dyDescent="0.25">
      <c r="B21" s="35">
        <v>46266</v>
      </c>
      <c r="C21" s="28" t="s">
        <v>101</v>
      </c>
      <c r="D21" s="28" t="s">
        <v>94</v>
      </c>
      <c r="E21" s="29">
        <v>37.5</v>
      </c>
      <c r="F21" s="38">
        <f>IF(tblPaid[[#This Row],[Date]]="","",SUMIFS(tblLabor[Actual hours (person-h)],tblLabor[Date],tblPaid[[#This Row],[Date]],tblLabor[Shift],tblPaid[[#This Row],[Shift]],tblLabor[Cell],tblPaid[[#This Row],[Cell]]))</f>
        <v>30</v>
      </c>
      <c r="G21" s="38">
        <f>IF(tblPaid[[#This Row],[Date]]="","",SUMIFS(tblLabor[Earned hours (person-h)],tblLabor[Date],tblPaid[[#This Row],[Date]],tblLabor[Shift],tblPaid[[#This Row],[Shift]],tblLabor[Cell],tblPaid[[#This Row],[Cell]]))</f>
        <v>26.5766666666667</v>
      </c>
      <c r="H21" s="38">
        <f>IF(tblPaid[[#This Row],[Date]]="","",tblPaid[[#This Row],[Paid hours (person-h)]]-tblPaid[[#This Row],[Direct hours (person-h)]])</f>
        <v>7.5</v>
      </c>
      <c r="I21" s="31">
        <f>IF(tblPaid[[#This Row],[Date]]="","",IF(tblPaid[[#This Row],[Paid hours (person-h)]]&gt;0,tblPaid[[#This Row],[Direct hours (person-h)]]/tblPaid[[#This Row],[Paid hours (person-h)]],""))</f>
        <v>0.8</v>
      </c>
      <c r="J21" s="31">
        <f>IF(tblPaid[[#This Row],[Date]]="","",IF(tblPaid[[#This Row],[Paid hours (person-h)]]&gt;0,tblPaid[[#This Row],[Earned hours (person-h)]]/tblPaid[[#This Row],[Paid hours (person-h)]],""))</f>
        <v>0.708711111111111</v>
      </c>
      <c r="K21" s="39" t="str">
        <f>IF(NOT(ISNUMBER(tblPaid[[#This Row],[Utilization]])),"",IF(tblPaid[[#This Row],[Utilization]]&gt;=TargetUtil,"On target",IF(tblPaid[[#This Row],[Utilization]]&gt;=TargetUtil*(1-0.05),"Near target","Below target")))</f>
        <v>Below target</v>
      </c>
      <c r="L21" s="41">
        <f>IF(tblPaid[[#This Row],[Date]]="","",IF(AND(tblPaid[[#This Row],[Date]]&gt;=FFrom,tblPaid[[#This Row],[Date]]&lt;=FTo,OR(DashCell="",tblPaid[[#This Row],[Cell]]=DashCell)),tblPaid[[#This Row],[Date]],""))</f>
        <v>46266</v>
      </c>
      <c r="M2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1" s="28" t="s">
        <v>136</v>
      </c>
    </row>
    <row r="22" spans="2:14" x14ac:dyDescent="0.25">
      <c r="B22" s="35">
        <v>46267</v>
      </c>
      <c r="C22" s="28" t="s">
        <v>98</v>
      </c>
      <c r="D22" s="28" t="s">
        <v>86</v>
      </c>
      <c r="E22" s="29">
        <v>30</v>
      </c>
      <c r="F22" s="38">
        <f>IF(tblPaid[[#This Row],[Date]]="","",SUMIFS(tblLabor[Actual hours (person-h)],tblLabor[Date],tblPaid[[#This Row],[Date]],tblLabor[Shift],tblPaid[[#This Row],[Shift]],tblLabor[Cell],tblPaid[[#This Row],[Cell]]))</f>
        <v>27.5</v>
      </c>
      <c r="G22" s="38">
        <f>IF(tblPaid[[#This Row],[Date]]="","",SUMIFS(tblLabor[Earned hours (person-h)],tblLabor[Date],tblPaid[[#This Row],[Date]],tblLabor[Shift],tblPaid[[#This Row],[Shift]],tblLabor[Cell],tblPaid[[#This Row],[Cell]]))</f>
        <v>25.74</v>
      </c>
      <c r="H22" s="38">
        <f>IF(tblPaid[[#This Row],[Date]]="","",tblPaid[[#This Row],[Paid hours (person-h)]]-tblPaid[[#This Row],[Direct hours (person-h)]])</f>
        <v>2.5</v>
      </c>
      <c r="I22" s="31">
        <f>IF(tblPaid[[#This Row],[Date]]="","",IF(tblPaid[[#This Row],[Paid hours (person-h)]]&gt;0,tblPaid[[#This Row],[Direct hours (person-h)]]/tblPaid[[#This Row],[Paid hours (person-h)]],""))</f>
        <v>0.916666666666667</v>
      </c>
      <c r="J22" s="31">
        <f>IF(tblPaid[[#This Row],[Date]]="","",IF(tblPaid[[#This Row],[Paid hours (person-h)]]&gt;0,tblPaid[[#This Row],[Earned hours (person-h)]]/tblPaid[[#This Row],[Paid hours (person-h)]],""))</f>
        <v>0.858</v>
      </c>
      <c r="K22" s="39" t="str">
        <f>IF(NOT(ISNUMBER(tblPaid[[#This Row],[Utilization]])),"",IF(tblPaid[[#This Row],[Utilization]]&gt;=TargetUtil,"On target",IF(tblPaid[[#This Row],[Utilization]]&gt;=TargetUtil*(1-0.05),"Near target","Below target")))</f>
        <v>On target</v>
      </c>
      <c r="L22" s="41">
        <f>IF(tblPaid[[#This Row],[Date]]="","",IF(AND(tblPaid[[#This Row],[Date]]&gt;=FFrom,tblPaid[[#This Row],[Date]]&lt;=FTo,OR(DashCell="",tblPaid[[#This Row],[Cell]]=DashCell)),tblPaid[[#This Row],[Date]],""))</f>
        <v>46267</v>
      </c>
      <c r="M2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2" s="28" t="s">
        <v>136</v>
      </c>
    </row>
    <row r="23" spans="2:14" x14ac:dyDescent="0.25">
      <c r="B23" s="35">
        <v>46267</v>
      </c>
      <c r="C23" s="28" t="s">
        <v>98</v>
      </c>
      <c r="D23" s="28" t="s">
        <v>89</v>
      </c>
      <c r="E23" s="29">
        <v>52.5</v>
      </c>
      <c r="F23" s="38">
        <f>IF(tblPaid[[#This Row],[Date]]="","",SUMIFS(tblLabor[Actual hours (person-h)],tblLabor[Date],tblPaid[[#This Row],[Date]],tblLabor[Shift],tblPaid[[#This Row],[Shift]],tblLabor[Cell],tblPaid[[#This Row],[Cell]]))</f>
        <v>49</v>
      </c>
      <c r="G23" s="38">
        <f>IF(tblPaid[[#This Row],[Date]]="","",SUMIFS(tblLabor[Earned hours (person-h)],tblLabor[Date],tblPaid[[#This Row],[Date]],tblLabor[Shift],tblPaid[[#This Row],[Shift]],tblLabor[Cell],tblPaid[[#This Row],[Cell]]))</f>
        <v>44.55</v>
      </c>
      <c r="H23" s="38">
        <f>IF(tblPaid[[#This Row],[Date]]="","",tblPaid[[#This Row],[Paid hours (person-h)]]-tblPaid[[#This Row],[Direct hours (person-h)]])</f>
        <v>3.5</v>
      </c>
      <c r="I23" s="31">
        <f>IF(tblPaid[[#This Row],[Date]]="","",IF(tblPaid[[#This Row],[Paid hours (person-h)]]&gt;0,tblPaid[[#This Row],[Direct hours (person-h)]]/tblPaid[[#This Row],[Paid hours (person-h)]],""))</f>
        <v>0.933333333333333</v>
      </c>
      <c r="J23" s="31">
        <f>IF(tblPaid[[#This Row],[Date]]="","",IF(tblPaid[[#This Row],[Paid hours (person-h)]]&gt;0,tblPaid[[#This Row],[Earned hours (person-h)]]/tblPaid[[#This Row],[Paid hours (person-h)]],""))</f>
        <v>0.848571428571429</v>
      </c>
      <c r="K23" s="39" t="str">
        <f>IF(NOT(ISNUMBER(tblPaid[[#This Row],[Utilization]])),"",IF(tblPaid[[#This Row],[Utilization]]&gt;=TargetUtil,"On target",IF(tblPaid[[#This Row],[Utilization]]&gt;=TargetUtil*(1-0.05),"Near target","Below target")))</f>
        <v>On target</v>
      </c>
      <c r="L23" s="41">
        <f>IF(tblPaid[[#This Row],[Date]]="","",IF(AND(tblPaid[[#This Row],[Date]]&gt;=FFrom,tblPaid[[#This Row],[Date]]&lt;=FTo,OR(DashCell="",tblPaid[[#This Row],[Cell]]=DashCell)),tblPaid[[#This Row],[Date]],""))</f>
        <v>46267</v>
      </c>
      <c r="M2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3" s="28" t="s">
        <v>146</v>
      </c>
    </row>
    <row r="24" spans="2:14" x14ac:dyDescent="0.25">
      <c r="B24" s="35">
        <v>46267</v>
      </c>
      <c r="C24" s="28" t="s">
        <v>98</v>
      </c>
      <c r="D24" s="28" t="s">
        <v>92</v>
      </c>
      <c r="E24" s="29">
        <v>45</v>
      </c>
      <c r="F24" s="38">
        <f>IF(tblPaid[[#This Row],[Date]]="","",SUMIFS(tblLabor[Actual hours (person-h)],tblLabor[Date],tblPaid[[#This Row],[Date]],tblLabor[Shift],tblPaid[[#This Row],[Shift]],tblLabor[Cell],tblPaid[[#This Row],[Cell]]))</f>
        <v>41.25</v>
      </c>
      <c r="G24" s="38">
        <f>IF(tblPaid[[#This Row],[Date]]="","",SUMIFS(tblLabor[Earned hours (person-h)],tblLabor[Date],tblPaid[[#This Row],[Date]],tblLabor[Shift],tblPaid[[#This Row],[Shift]],tblLabor[Cell],tblPaid[[#This Row],[Cell]]))</f>
        <v>38.8533333333333</v>
      </c>
      <c r="H24" s="38">
        <f>IF(tblPaid[[#This Row],[Date]]="","",tblPaid[[#This Row],[Paid hours (person-h)]]-tblPaid[[#This Row],[Direct hours (person-h)]])</f>
        <v>3.75</v>
      </c>
      <c r="I24" s="31">
        <f>IF(tblPaid[[#This Row],[Date]]="","",IF(tblPaid[[#This Row],[Paid hours (person-h)]]&gt;0,tblPaid[[#This Row],[Direct hours (person-h)]]/tblPaid[[#This Row],[Paid hours (person-h)]],""))</f>
        <v>0.916666666666667</v>
      </c>
      <c r="J24" s="31">
        <f>IF(tblPaid[[#This Row],[Date]]="","",IF(tblPaid[[#This Row],[Paid hours (person-h)]]&gt;0,tblPaid[[#This Row],[Earned hours (person-h)]]/tblPaid[[#This Row],[Paid hours (person-h)]],""))</f>
        <v>0.863407407407408</v>
      </c>
      <c r="K24" s="39" t="str">
        <f>IF(NOT(ISNUMBER(tblPaid[[#This Row],[Utilization]])),"",IF(tblPaid[[#This Row],[Utilization]]&gt;=TargetUtil,"On target",IF(tblPaid[[#This Row],[Utilization]]&gt;=TargetUtil*(1-0.05),"Near target","Below target")))</f>
        <v>On target</v>
      </c>
      <c r="L24" s="41">
        <f>IF(tblPaid[[#This Row],[Date]]="","",IF(AND(tblPaid[[#This Row],[Date]]&gt;=FFrom,tblPaid[[#This Row],[Date]]&lt;=FTo,OR(DashCell="",tblPaid[[#This Row],[Cell]]=DashCell)),tblPaid[[#This Row],[Date]],""))</f>
        <v>46267</v>
      </c>
      <c r="M2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4" s="28" t="s">
        <v>146</v>
      </c>
    </row>
    <row r="25" spans="2:14" x14ac:dyDescent="0.25">
      <c r="B25" s="35">
        <v>46267</v>
      </c>
      <c r="C25" s="28" t="s">
        <v>98</v>
      </c>
      <c r="D25" s="28" t="s">
        <v>94</v>
      </c>
      <c r="E25" s="29">
        <v>37.5</v>
      </c>
      <c r="F25" s="38">
        <f>IF(tblPaid[[#This Row],[Date]]="","",SUMIFS(tblLabor[Actual hours (person-h)],tblLabor[Date],tblPaid[[#This Row],[Date]],tblLabor[Shift],tblPaid[[#This Row],[Shift]],tblLabor[Cell],tblPaid[[#This Row],[Cell]]))</f>
        <v>31.5</v>
      </c>
      <c r="G25" s="38">
        <f>IF(tblPaid[[#This Row],[Date]]="","",SUMIFS(tblLabor[Earned hours (person-h)],tblLabor[Date],tblPaid[[#This Row],[Date]],tblLabor[Shift],tblPaid[[#This Row],[Shift]],tblLabor[Cell],tblPaid[[#This Row],[Cell]]))</f>
        <v>29.41</v>
      </c>
      <c r="H25" s="38">
        <f>IF(tblPaid[[#This Row],[Date]]="","",tblPaid[[#This Row],[Paid hours (person-h)]]-tblPaid[[#This Row],[Direct hours (person-h)]])</f>
        <v>6</v>
      </c>
      <c r="I25" s="31">
        <f>IF(tblPaid[[#This Row],[Date]]="","",IF(tblPaid[[#This Row],[Paid hours (person-h)]]&gt;0,tblPaid[[#This Row],[Direct hours (person-h)]]/tblPaid[[#This Row],[Paid hours (person-h)]],""))</f>
        <v>0.84</v>
      </c>
      <c r="J25" s="31">
        <f>IF(tblPaid[[#This Row],[Date]]="","",IF(tblPaid[[#This Row],[Paid hours (person-h)]]&gt;0,tblPaid[[#This Row],[Earned hours (person-h)]]/tblPaid[[#This Row],[Paid hours (person-h)]],""))</f>
        <v>0.784266666666667</v>
      </c>
      <c r="K25" s="39" t="str">
        <f>IF(NOT(ISNUMBER(tblPaid[[#This Row],[Utilization]])),"",IF(tblPaid[[#This Row],[Utilization]]&gt;=TargetUtil,"On target",IF(tblPaid[[#This Row],[Utilization]]&gt;=TargetUtil*(1-0.05),"Near target","Below target")))</f>
        <v>Near target</v>
      </c>
      <c r="L25" s="41">
        <f>IF(tblPaid[[#This Row],[Date]]="","",IF(AND(tblPaid[[#This Row],[Date]]&gt;=FFrom,tblPaid[[#This Row],[Date]]&lt;=FTo,OR(DashCell="",tblPaid[[#This Row],[Cell]]=DashCell)),tblPaid[[#This Row],[Date]],""))</f>
        <v>46267</v>
      </c>
      <c r="M2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5" s="28" t="s">
        <v>136</v>
      </c>
    </row>
    <row r="26" spans="2:14" x14ac:dyDescent="0.25">
      <c r="B26" s="35">
        <v>46267</v>
      </c>
      <c r="C26" s="28" t="s">
        <v>101</v>
      </c>
      <c r="D26" s="28" t="s">
        <v>86</v>
      </c>
      <c r="E26" s="29">
        <v>22.5</v>
      </c>
      <c r="F26" s="38">
        <f>IF(tblPaid[[#This Row],[Date]]="","",SUMIFS(tblLabor[Actual hours (person-h)],tblLabor[Date],tblPaid[[#This Row],[Date]],tblLabor[Shift],tblPaid[[#This Row],[Shift]],tblLabor[Cell],tblPaid[[#This Row],[Cell]]))</f>
        <v>20.5</v>
      </c>
      <c r="G26" s="38">
        <f>IF(tblPaid[[#This Row],[Date]]="","",SUMIFS(tblLabor[Earned hours (person-h)],tblLabor[Date],tblPaid[[#This Row],[Date]],tblLabor[Shift],tblPaid[[#This Row],[Shift]],tblLabor[Cell],tblPaid[[#This Row],[Cell]]))</f>
        <v>19.605</v>
      </c>
      <c r="H26" s="38">
        <f>IF(tblPaid[[#This Row],[Date]]="","",tblPaid[[#This Row],[Paid hours (person-h)]]-tblPaid[[#This Row],[Direct hours (person-h)]])</f>
        <v>2</v>
      </c>
      <c r="I26" s="31">
        <f>IF(tblPaid[[#This Row],[Date]]="","",IF(tblPaid[[#This Row],[Paid hours (person-h)]]&gt;0,tblPaid[[#This Row],[Direct hours (person-h)]]/tblPaid[[#This Row],[Paid hours (person-h)]],""))</f>
        <v>0.911111111111111</v>
      </c>
      <c r="J26" s="31">
        <f>IF(tblPaid[[#This Row],[Date]]="","",IF(tblPaid[[#This Row],[Paid hours (person-h)]]&gt;0,tblPaid[[#This Row],[Earned hours (person-h)]]/tblPaid[[#This Row],[Paid hours (person-h)]],""))</f>
        <v>0.871333333333333</v>
      </c>
      <c r="K26" s="39" t="str">
        <f>IF(NOT(ISNUMBER(tblPaid[[#This Row],[Utilization]])),"",IF(tblPaid[[#This Row],[Utilization]]&gt;=TargetUtil,"On target",IF(tblPaid[[#This Row],[Utilization]]&gt;=TargetUtil*(1-0.05),"Near target","Below target")))</f>
        <v>On target</v>
      </c>
      <c r="L26" s="41">
        <f>IF(tblPaid[[#This Row],[Date]]="","",IF(AND(tblPaid[[#This Row],[Date]]&gt;=FFrom,tblPaid[[#This Row],[Date]]&lt;=FTo,OR(DashCell="",tblPaid[[#This Row],[Cell]]=DashCell)),tblPaid[[#This Row],[Date]],""))</f>
        <v>46267</v>
      </c>
      <c r="M2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6" s="28" t="s">
        <v>146</v>
      </c>
    </row>
    <row r="27" spans="2:14" x14ac:dyDescent="0.25">
      <c r="B27" s="35">
        <v>46267</v>
      </c>
      <c r="C27" s="28" t="s">
        <v>101</v>
      </c>
      <c r="D27" s="28" t="s">
        <v>89</v>
      </c>
      <c r="E27" s="29">
        <v>60</v>
      </c>
      <c r="F27" s="38">
        <f>IF(tblPaid[[#This Row],[Date]]="","",SUMIFS(tblLabor[Actual hours (person-h)],tblLabor[Date],tblPaid[[#This Row],[Date]],tblLabor[Shift],tblPaid[[#This Row],[Shift]],tblLabor[Cell],tblPaid[[#This Row],[Cell]]))</f>
        <v>55.75</v>
      </c>
      <c r="G27" s="38">
        <f>IF(tblPaid[[#This Row],[Date]]="","",SUMIFS(tblLabor[Earned hours (person-h)],tblLabor[Date],tblPaid[[#This Row],[Date]],tblLabor[Shift],tblPaid[[#This Row],[Shift]],tblLabor[Cell],tblPaid[[#This Row],[Cell]]))</f>
        <v>49.775</v>
      </c>
      <c r="H27" s="38">
        <f>IF(tblPaid[[#This Row],[Date]]="","",tblPaid[[#This Row],[Paid hours (person-h)]]-tblPaid[[#This Row],[Direct hours (person-h)]])</f>
        <v>4.25</v>
      </c>
      <c r="I27" s="31">
        <f>IF(tblPaid[[#This Row],[Date]]="","",IF(tblPaid[[#This Row],[Paid hours (person-h)]]&gt;0,tblPaid[[#This Row],[Direct hours (person-h)]]/tblPaid[[#This Row],[Paid hours (person-h)]],""))</f>
        <v>0.929166666666667</v>
      </c>
      <c r="J27" s="31">
        <f>IF(tblPaid[[#This Row],[Date]]="","",IF(tblPaid[[#This Row],[Paid hours (person-h)]]&gt;0,tblPaid[[#This Row],[Earned hours (person-h)]]/tblPaid[[#This Row],[Paid hours (person-h)]],""))</f>
        <v>0.829583333333333</v>
      </c>
      <c r="K27" s="39" t="str">
        <f>IF(NOT(ISNUMBER(tblPaid[[#This Row],[Utilization]])),"",IF(tblPaid[[#This Row],[Utilization]]&gt;=TargetUtil,"On target",IF(tblPaid[[#This Row],[Utilization]]&gt;=TargetUtil*(1-0.05),"Near target","Below target")))</f>
        <v>On target</v>
      </c>
      <c r="L27" s="41">
        <f>IF(tblPaid[[#This Row],[Date]]="","",IF(AND(tblPaid[[#This Row],[Date]]&gt;=FFrom,tblPaid[[#This Row],[Date]]&lt;=FTo,OR(DashCell="",tblPaid[[#This Row],[Cell]]=DashCell)),tblPaid[[#This Row],[Date]],""))</f>
        <v>46267</v>
      </c>
      <c r="M2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7" s="28" t="s">
        <v>136</v>
      </c>
    </row>
    <row r="28" spans="2:14" x14ac:dyDescent="0.25">
      <c r="B28" s="35">
        <v>46267</v>
      </c>
      <c r="C28" s="28" t="s">
        <v>101</v>
      </c>
      <c r="D28" s="28" t="s">
        <v>92</v>
      </c>
      <c r="E28" s="29">
        <v>52.5</v>
      </c>
      <c r="F28" s="38">
        <f>IF(tblPaid[[#This Row],[Date]]="","",SUMIFS(tblLabor[Actual hours (person-h)],tblLabor[Date],tblPaid[[#This Row],[Date]],tblLabor[Shift],tblPaid[[#This Row],[Shift]],tblLabor[Cell],tblPaid[[#This Row],[Cell]]))</f>
        <v>48.5</v>
      </c>
      <c r="G28" s="38">
        <f>IF(tblPaid[[#This Row],[Date]]="","",SUMIFS(tblLabor[Earned hours (person-h)],tblLabor[Date],tblPaid[[#This Row],[Date]],tblLabor[Shift],tblPaid[[#This Row],[Shift]],tblLabor[Cell],tblPaid[[#This Row],[Cell]]))</f>
        <v>31.6716666666667</v>
      </c>
      <c r="H28" s="38">
        <f>IF(tblPaid[[#This Row],[Date]]="","",tblPaid[[#This Row],[Paid hours (person-h)]]-tblPaid[[#This Row],[Direct hours (person-h)]])</f>
        <v>4</v>
      </c>
      <c r="I28" s="31">
        <f>IF(tblPaid[[#This Row],[Date]]="","",IF(tblPaid[[#This Row],[Paid hours (person-h)]]&gt;0,tblPaid[[#This Row],[Direct hours (person-h)]]/tblPaid[[#This Row],[Paid hours (person-h)]],""))</f>
        <v>0.923809523809524</v>
      </c>
      <c r="J28" s="31">
        <f>IF(tblPaid[[#This Row],[Date]]="","",IF(tblPaid[[#This Row],[Paid hours (person-h)]]&gt;0,tblPaid[[#This Row],[Earned hours (person-h)]]/tblPaid[[#This Row],[Paid hours (person-h)]],""))</f>
        <v>0.603269841269841</v>
      </c>
      <c r="K28" s="39" t="str">
        <f>IF(NOT(ISNUMBER(tblPaid[[#This Row],[Utilization]])),"",IF(tblPaid[[#This Row],[Utilization]]&gt;=TargetUtil,"On target",IF(tblPaid[[#This Row],[Utilization]]&gt;=TargetUtil*(1-0.05),"Near target","Below target")))</f>
        <v>On target</v>
      </c>
      <c r="L28" s="41">
        <f>IF(tblPaid[[#This Row],[Date]]="","",IF(AND(tblPaid[[#This Row],[Date]]&gt;=FFrom,tblPaid[[#This Row],[Date]]&lt;=FTo,OR(DashCell="",tblPaid[[#This Row],[Cell]]=DashCell)),tblPaid[[#This Row],[Date]],""))</f>
        <v>46267</v>
      </c>
      <c r="M2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8" s="28" t="s">
        <v>136</v>
      </c>
    </row>
    <row r="29" spans="2:14" x14ac:dyDescent="0.25">
      <c r="B29" s="35">
        <v>46267</v>
      </c>
      <c r="C29" s="28" t="s">
        <v>101</v>
      </c>
      <c r="D29" s="28" t="s">
        <v>94</v>
      </c>
      <c r="E29" s="29">
        <v>37.5</v>
      </c>
      <c r="F29" s="38">
        <f>IF(tblPaid[[#This Row],[Date]]="","",SUMIFS(tblLabor[Actual hours (person-h)],tblLabor[Date],tblPaid[[#This Row],[Date]],tblLabor[Shift],tblPaid[[#This Row],[Shift]],tblLabor[Cell],tblPaid[[#This Row],[Cell]]))</f>
        <v>31</v>
      </c>
      <c r="G29" s="38">
        <f>IF(tblPaid[[#This Row],[Date]]="","",SUMIFS(tblLabor[Earned hours (person-h)],tblLabor[Date],tblPaid[[#This Row],[Date]],tblLabor[Shift],tblPaid[[#This Row],[Shift]],tblLabor[Cell],tblPaid[[#This Row],[Cell]]))</f>
        <v>28.92</v>
      </c>
      <c r="H29" s="38">
        <f>IF(tblPaid[[#This Row],[Date]]="","",tblPaid[[#This Row],[Paid hours (person-h)]]-tblPaid[[#This Row],[Direct hours (person-h)]])</f>
        <v>6.5</v>
      </c>
      <c r="I29" s="31">
        <f>IF(tblPaid[[#This Row],[Date]]="","",IF(tblPaid[[#This Row],[Paid hours (person-h)]]&gt;0,tblPaid[[#This Row],[Direct hours (person-h)]]/tblPaid[[#This Row],[Paid hours (person-h)]],""))</f>
        <v>0.826666666666667</v>
      </c>
      <c r="J29" s="31">
        <f>IF(tblPaid[[#This Row],[Date]]="","",IF(tblPaid[[#This Row],[Paid hours (person-h)]]&gt;0,tblPaid[[#This Row],[Earned hours (person-h)]]/tblPaid[[#This Row],[Paid hours (person-h)]],""))</f>
        <v>0.7712</v>
      </c>
      <c r="K29" s="39" t="str">
        <f>IF(NOT(ISNUMBER(tblPaid[[#This Row],[Utilization]])),"",IF(tblPaid[[#This Row],[Utilization]]&gt;=TargetUtil,"On target",IF(tblPaid[[#This Row],[Utilization]]&gt;=TargetUtil*(1-0.05),"Near target","Below target")))</f>
        <v>Near target</v>
      </c>
      <c r="L29" s="41">
        <f>IF(tblPaid[[#This Row],[Date]]="","",IF(AND(tblPaid[[#This Row],[Date]]&gt;=FFrom,tblPaid[[#This Row],[Date]]&lt;=FTo,OR(DashCell="",tblPaid[[#This Row],[Cell]]=DashCell)),tblPaid[[#This Row],[Date]],""))</f>
        <v>46267</v>
      </c>
      <c r="M2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29" s="28" t="s">
        <v>136</v>
      </c>
    </row>
    <row r="30" spans="2:14" x14ac:dyDescent="0.25">
      <c r="B30" s="35">
        <v>46268</v>
      </c>
      <c r="C30" s="28" t="s">
        <v>98</v>
      </c>
      <c r="D30" s="28" t="s">
        <v>86</v>
      </c>
      <c r="E30" s="29">
        <v>30</v>
      </c>
      <c r="F30" s="38">
        <f>IF(tblPaid[[#This Row],[Date]]="","",SUMIFS(tblLabor[Actual hours (person-h)],tblLabor[Date],tblPaid[[#This Row],[Date]],tblLabor[Shift],tblPaid[[#This Row],[Shift]],tblLabor[Cell],tblPaid[[#This Row],[Cell]]))</f>
        <v>27.75</v>
      </c>
      <c r="G30" s="38">
        <f>IF(tblPaid[[#This Row],[Date]]="","",SUMIFS(tblLabor[Earned hours (person-h)],tblLabor[Date],tblPaid[[#This Row],[Date]],tblLabor[Shift],tblPaid[[#This Row],[Shift]],tblLabor[Cell],tblPaid[[#This Row],[Cell]]))</f>
        <v>26.77</v>
      </c>
      <c r="H30" s="38">
        <f>IF(tblPaid[[#This Row],[Date]]="","",tblPaid[[#This Row],[Paid hours (person-h)]]-tblPaid[[#This Row],[Direct hours (person-h)]])</f>
        <v>2.25</v>
      </c>
      <c r="I30" s="31">
        <f>IF(tblPaid[[#This Row],[Date]]="","",IF(tblPaid[[#This Row],[Paid hours (person-h)]]&gt;0,tblPaid[[#This Row],[Direct hours (person-h)]]/tblPaid[[#This Row],[Paid hours (person-h)]],""))</f>
        <v>0.925</v>
      </c>
      <c r="J30" s="31">
        <f>IF(tblPaid[[#This Row],[Date]]="","",IF(tblPaid[[#This Row],[Paid hours (person-h)]]&gt;0,tblPaid[[#This Row],[Earned hours (person-h)]]/tblPaid[[#This Row],[Paid hours (person-h)]],""))</f>
        <v>0.892333333333333</v>
      </c>
      <c r="K30" s="39" t="str">
        <f>IF(NOT(ISNUMBER(tblPaid[[#This Row],[Utilization]])),"",IF(tblPaid[[#This Row],[Utilization]]&gt;=TargetUtil,"On target",IF(tblPaid[[#This Row],[Utilization]]&gt;=TargetUtil*(1-0.05),"Near target","Below target")))</f>
        <v>On target</v>
      </c>
      <c r="L30" s="41">
        <f>IF(tblPaid[[#This Row],[Date]]="","",IF(AND(tblPaid[[#This Row],[Date]]&gt;=FFrom,tblPaid[[#This Row],[Date]]&lt;=FTo,OR(DashCell="",tblPaid[[#This Row],[Cell]]=DashCell)),tblPaid[[#This Row],[Date]],""))</f>
        <v>46268</v>
      </c>
      <c r="M3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0" s="28" t="s">
        <v>136</v>
      </c>
    </row>
    <row r="31" spans="2:14" x14ac:dyDescent="0.25">
      <c r="B31" s="35">
        <v>46268</v>
      </c>
      <c r="C31" s="28" t="s">
        <v>98</v>
      </c>
      <c r="D31" s="28" t="s">
        <v>89</v>
      </c>
      <c r="E31" s="29">
        <v>52.5</v>
      </c>
      <c r="F31" s="38">
        <f>IF(tblPaid[[#This Row],[Date]]="","",SUMIFS(tblLabor[Actual hours (person-h)],tblLabor[Date],tblPaid[[#This Row],[Date]],tblLabor[Shift],tblPaid[[#This Row],[Shift]],tblLabor[Cell],tblPaid[[#This Row],[Cell]]))</f>
        <v>47.75</v>
      </c>
      <c r="G31" s="38">
        <f>IF(tblPaid[[#This Row],[Date]]="","",SUMIFS(tblLabor[Earned hours (person-h)],tblLabor[Date],tblPaid[[#This Row],[Date]],tblLabor[Shift],tblPaid[[#This Row],[Shift]],tblLabor[Cell],tblPaid[[#This Row],[Cell]]))</f>
        <v>43.6333333333333</v>
      </c>
      <c r="H31" s="38">
        <f>IF(tblPaid[[#This Row],[Date]]="","",tblPaid[[#This Row],[Paid hours (person-h)]]-tblPaid[[#This Row],[Direct hours (person-h)]])</f>
        <v>4.75</v>
      </c>
      <c r="I31" s="31">
        <f>IF(tblPaid[[#This Row],[Date]]="","",IF(tblPaid[[#This Row],[Paid hours (person-h)]]&gt;0,tblPaid[[#This Row],[Direct hours (person-h)]]/tblPaid[[#This Row],[Paid hours (person-h)]],""))</f>
        <v>0.90952380952381</v>
      </c>
      <c r="J31" s="31">
        <f>IF(tblPaid[[#This Row],[Date]]="","",IF(tblPaid[[#This Row],[Paid hours (person-h)]]&gt;0,tblPaid[[#This Row],[Earned hours (person-h)]]/tblPaid[[#This Row],[Paid hours (person-h)]],""))</f>
        <v>0.831111111111111</v>
      </c>
      <c r="K31" s="39" t="str">
        <f>IF(NOT(ISNUMBER(tblPaid[[#This Row],[Utilization]])),"",IF(tblPaid[[#This Row],[Utilization]]&gt;=TargetUtil,"On target",IF(tblPaid[[#This Row],[Utilization]]&gt;=TargetUtil*(1-0.05),"Near target","Below target")))</f>
        <v>On target</v>
      </c>
      <c r="L31" s="41">
        <f>IF(tblPaid[[#This Row],[Date]]="","",IF(AND(tblPaid[[#This Row],[Date]]&gt;=FFrom,tblPaid[[#This Row],[Date]]&lt;=FTo,OR(DashCell="",tblPaid[[#This Row],[Cell]]=DashCell)),tblPaid[[#This Row],[Date]],""))</f>
        <v>46268</v>
      </c>
      <c r="M3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1" s="28" t="s">
        <v>146</v>
      </c>
    </row>
    <row r="32" spans="2:14" x14ac:dyDescent="0.25">
      <c r="B32" s="35">
        <v>46268</v>
      </c>
      <c r="C32" s="28" t="s">
        <v>98</v>
      </c>
      <c r="D32" s="28" t="s">
        <v>92</v>
      </c>
      <c r="E32" s="29">
        <v>52.5</v>
      </c>
      <c r="F32" s="38">
        <f>IF(tblPaid[[#This Row],[Date]]="","",SUMIFS(tblLabor[Actual hours (person-h)],tblLabor[Date],tblPaid[[#This Row],[Date]],tblLabor[Shift],tblPaid[[#This Row],[Shift]],tblLabor[Cell],tblPaid[[#This Row],[Cell]]))</f>
        <v>48.75</v>
      </c>
      <c r="G32" s="38">
        <f>IF(tblPaid[[#This Row],[Date]]="","",SUMIFS(tblLabor[Earned hours (person-h)],tblLabor[Date],tblPaid[[#This Row],[Date]],tblLabor[Shift],tblPaid[[#This Row],[Shift]],tblLabor[Cell],tblPaid[[#This Row],[Cell]]))</f>
        <v>44.7533333333333</v>
      </c>
      <c r="H32" s="38">
        <f>IF(tblPaid[[#This Row],[Date]]="","",tblPaid[[#This Row],[Paid hours (person-h)]]-tblPaid[[#This Row],[Direct hours (person-h)]])</f>
        <v>3.75</v>
      </c>
      <c r="I32" s="31">
        <f>IF(tblPaid[[#This Row],[Date]]="","",IF(tblPaid[[#This Row],[Paid hours (person-h)]]&gt;0,tblPaid[[#This Row],[Direct hours (person-h)]]/tblPaid[[#This Row],[Paid hours (person-h)]],""))</f>
        <v>0.928571428571429</v>
      </c>
      <c r="J32" s="31">
        <f>IF(tblPaid[[#This Row],[Date]]="","",IF(tblPaid[[#This Row],[Paid hours (person-h)]]&gt;0,tblPaid[[#This Row],[Earned hours (person-h)]]/tblPaid[[#This Row],[Paid hours (person-h)]],""))</f>
        <v>0.852444444444445</v>
      </c>
      <c r="K32" s="39" t="str">
        <f>IF(NOT(ISNUMBER(tblPaid[[#This Row],[Utilization]])),"",IF(tblPaid[[#This Row],[Utilization]]&gt;=TargetUtil,"On target",IF(tblPaid[[#This Row],[Utilization]]&gt;=TargetUtil*(1-0.05),"Near target","Below target")))</f>
        <v>On target</v>
      </c>
      <c r="L32" s="41">
        <f>IF(tblPaid[[#This Row],[Date]]="","",IF(AND(tblPaid[[#This Row],[Date]]&gt;=FFrom,tblPaid[[#This Row],[Date]]&lt;=FTo,OR(DashCell="",tblPaid[[#This Row],[Cell]]=DashCell)),tblPaid[[#This Row],[Date]],""))</f>
        <v>46268</v>
      </c>
      <c r="M3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2" s="28" t="s">
        <v>136</v>
      </c>
    </row>
    <row r="33" spans="2:14" x14ac:dyDescent="0.25">
      <c r="B33" s="35">
        <v>46268</v>
      </c>
      <c r="C33" s="28" t="s">
        <v>98</v>
      </c>
      <c r="D33" s="28" t="s">
        <v>94</v>
      </c>
      <c r="E33" s="29">
        <v>37.5</v>
      </c>
      <c r="F33" s="38">
        <f>IF(tblPaid[[#This Row],[Date]]="","",SUMIFS(tblLabor[Actual hours (person-h)],tblLabor[Date],tblPaid[[#This Row],[Date]],tblLabor[Shift],tblPaid[[#This Row],[Shift]],tblLabor[Cell],tblPaid[[#This Row],[Cell]]))</f>
        <v>30.25</v>
      </c>
      <c r="G33" s="38">
        <f>IF(tblPaid[[#This Row],[Date]]="","",SUMIFS(tblLabor[Earned hours (person-h)],tblLabor[Date],tblPaid[[#This Row],[Date]],tblLabor[Shift],tblPaid[[#This Row],[Shift]],tblLabor[Cell],tblPaid[[#This Row],[Cell]]))</f>
        <v>27.7383333333333</v>
      </c>
      <c r="H33" s="38">
        <f>IF(tblPaid[[#This Row],[Date]]="","",tblPaid[[#This Row],[Paid hours (person-h)]]-tblPaid[[#This Row],[Direct hours (person-h)]])</f>
        <v>7.25</v>
      </c>
      <c r="I33" s="31">
        <f>IF(tblPaid[[#This Row],[Date]]="","",IF(tblPaid[[#This Row],[Paid hours (person-h)]]&gt;0,tblPaid[[#This Row],[Direct hours (person-h)]]/tblPaid[[#This Row],[Paid hours (person-h)]],""))</f>
        <v>0.806666666666667</v>
      </c>
      <c r="J33" s="31">
        <f>IF(tblPaid[[#This Row],[Date]]="","",IF(tblPaid[[#This Row],[Paid hours (person-h)]]&gt;0,tblPaid[[#This Row],[Earned hours (person-h)]]/tblPaid[[#This Row],[Paid hours (person-h)]],""))</f>
        <v>0.739688888888889</v>
      </c>
      <c r="K33" s="39" t="str">
        <f>IF(NOT(ISNUMBER(tblPaid[[#This Row],[Utilization]])),"",IF(tblPaid[[#This Row],[Utilization]]&gt;=TargetUtil,"On target",IF(tblPaid[[#This Row],[Utilization]]&gt;=TargetUtil*(1-0.05),"Near target","Below target")))</f>
        <v>Below target</v>
      </c>
      <c r="L33" s="41">
        <f>IF(tblPaid[[#This Row],[Date]]="","",IF(AND(tblPaid[[#This Row],[Date]]&gt;=FFrom,tblPaid[[#This Row],[Date]]&lt;=FTo,OR(DashCell="",tblPaid[[#This Row],[Cell]]=DashCell)),tblPaid[[#This Row],[Date]],""))</f>
        <v>46268</v>
      </c>
      <c r="M3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3" s="28" t="s">
        <v>136</v>
      </c>
    </row>
    <row r="34" spans="2:14" x14ac:dyDescent="0.25">
      <c r="B34" s="35">
        <v>46268</v>
      </c>
      <c r="C34" s="28" t="s">
        <v>101</v>
      </c>
      <c r="D34" s="28" t="s">
        <v>86</v>
      </c>
      <c r="E34" s="29">
        <v>22.5</v>
      </c>
      <c r="F34" s="38">
        <f>IF(tblPaid[[#This Row],[Date]]="","",SUMIFS(tblLabor[Actual hours (person-h)],tblLabor[Date],tblPaid[[#This Row],[Date]],tblLabor[Shift],tblPaid[[#This Row],[Shift]],tblLabor[Cell],tblPaid[[#This Row],[Cell]]))</f>
        <v>20.75</v>
      </c>
      <c r="G34" s="38">
        <f>IF(tblPaid[[#This Row],[Date]]="","",SUMIFS(tblLabor[Earned hours (person-h)],tblLabor[Date],tblPaid[[#This Row],[Date]],tblLabor[Shift],tblPaid[[#This Row],[Shift]],tblLabor[Cell],tblPaid[[#This Row],[Cell]]))</f>
        <v>19.99</v>
      </c>
      <c r="H34" s="38">
        <f>IF(tblPaid[[#This Row],[Date]]="","",tblPaid[[#This Row],[Paid hours (person-h)]]-tblPaid[[#This Row],[Direct hours (person-h)]])</f>
        <v>1.75</v>
      </c>
      <c r="I34" s="31">
        <f>IF(tblPaid[[#This Row],[Date]]="","",IF(tblPaid[[#This Row],[Paid hours (person-h)]]&gt;0,tblPaid[[#This Row],[Direct hours (person-h)]]/tblPaid[[#This Row],[Paid hours (person-h)]],""))</f>
        <v>0.922222222222222</v>
      </c>
      <c r="J34" s="31">
        <f>IF(tblPaid[[#This Row],[Date]]="","",IF(tblPaid[[#This Row],[Paid hours (person-h)]]&gt;0,tblPaid[[#This Row],[Earned hours (person-h)]]/tblPaid[[#This Row],[Paid hours (person-h)]],""))</f>
        <v>0.888444444444444</v>
      </c>
      <c r="K34" s="39" t="str">
        <f>IF(NOT(ISNUMBER(tblPaid[[#This Row],[Utilization]])),"",IF(tblPaid[[#This Row],[Utilization]]&gt;=TargetUtil,"On target",IF(tblPaid[[#This Row],[Utilization]]&gt;=TargetUtil*(1-0.05),"Near target","Below target")))</f>
        <v>On target</v>
      </c>
      <c r="L34" s="41">
        <f>IF(tblPaid[[#This Row],[Date]]="","",IF(AND(tblPaid[[#This Row],[Date]]&gt;=FFrom,tblPaid[[#This Row],[Date]]&lt;=FTo,OR(DashCell="",tblPaid[[#This Row],[Cell]]=DashCell)),tblPaid[[#This Row],[Date]],""))</f>
        <v>46268</v>
      </c>
      <c r="M3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4" s="28" t="s">
        <v>146</v>
      </c>
    </row>
    <row r="35" spans="2:14" x14ac:dyDescent="0.25">
      <c r="B35" s="35">
        <v>46268</v>
      </c>
      <c r="C35" s="28" t="s">
        <v>101</v>
      </c>
      <c r="D35" s="28" t="s">
        <v>89</v>
      </c>
      <c r="E35" s="29">
        <v>60</v>
      </c>
      <c r="F35" s="38">
        <f>IF(tblPaid[[#This Row],[Date]]="","",SUMIFS(tblLabor[Actual hours (person-h)],tblLabor[Date],tblPaid[[#This Row],[Date]],tblLabor[Shift],tblPaid[[#This Row],[Shift]],tblLabor[Cell],tblPaid[[#This Row],[Cell]]))</f>
        <v>54.5</v>
      </c>
      <c r="G35" s="38">
        <f>IF(tblPaid[[#This Row],[Date]]="","",SUMIFS(tblLabor[Earned hours (person-h)],tblLabor[Date],tblPaid[[#This Row],[Date]],tblLabor[Shift],tblPaid[[#This Row],[Shift]],tblLabor[Cell],tblPaid[[#This Row],[Cell]]))</f>
        <v>49.5</v>
      </c>
      <c r="H35" s="38">
        <f>IF(tblPaid[[#This Row],[Date]]="","",tblPaid[[#This Row],[Paid hours (person-h)]]-tblPaid[[#This Row],[Direct hours (person-h)]])</f>
        <v>5.5</v>
      </c>
      <c r="I35" s="31">
        <f>IF(tblPaid[[#This Row],[Date]]="","",IF(tblPaid[[#This Row],[Paid hours (person-h)]]&gt;0,tblPaid[[#This Row],[Direct hours (person-h)]]/tblPaid[[#This Row],[Paid hours (person-h)]],""))</f>
        <v>0.908333333333333</v>
      </c>
      <c r="J35" s="31">
        <f>IF(tblPaid[[#This Row],[Date]]="","",IF(tblPaid[[#This Row],[Paid hours (person-h)]]&gt;0,tblPaid[[#This Row],[Earned hours (person-h)]]/tblPaid[[#This Row],[Paid hours (person-h)]],""))</f>
        <v>0.825</v>
      </c>
      <c r="K35" s="39" t="str">
        <f>IF(NOT(ISNUMBER(tblPaid[[#This Row],[Utilization]])),"",IF(tblPaid[[#This Row],[Utilization]]&gt;=TargetUtil,"On target",IF(tblPaid[[#This Row],[Utilization]]&gt;=TargetUtil*(1-0.05),"Near target","Below target")))</f>
        <v>On target</v>
      </c>
      <c r="L35" s="41">
        <f>IF(tblPaid[[#This Row],[Date]]="","",IF(AND(tblPaid[[#This Row],[Date]]&gt;=FFrom,tblPaid[[#This Row],[Date]]&lt;=FTo,OR(DashCell="",tblPaid[[#This Row],[Cell]]=DashCell)),tblPaid[[#This Row],[Date]],""))</f>
        <v>46268</v>
      </c>
      <c r="M3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5" s="28" t="s">
        <v>136</v>
      </c>
    </row>
    <row r="36" spans="2:14" x14ac:dyDescent="0.25">
      <c r="B36" s="35">
        <v>46268</v>
      </c>
      <c r="C36" s="28" t="s">
        <v>101</v>
      </c>
      <c r="D36" s="28" t="s">
        <v>92</v>
      </c>
      <c r="E36" s="29">
        <v>45</v>
      </c>
      <c r="F36" s="38">
        <f>IF(tblPaid[[#This Row],[Date]]="","",SUMIFS(tblLabor[Actual hours (person-h)],tblLabor[Date],tblPaid[[#This Row],[Date]],tblLabor[Shift],tblPaid[[#This Row],[Shift]],tblLabor[Cell],tblPaid[[#This Row],[Cell]]))</f>
        <v>42</v>
      </c>
      <c r="G36" s="38">
        <f>IF(tblPaid[[#This Row],[Date]]="","",SUMIFS(tblLabor[Earned hours (person-h)],tblLabor[Date],tblPaid[[#This Row],[Date]],tblLabor[Shift],tblPaid[[#This Row],[Shift]],tblLabor[Cell],tblPaid[[#This Row],[Cell]]))</f>
        <v>28.5833333333333</v>
      </c>
      <c r="H36" s="38">
        <f>IF(tblPaid[[#This Row],[Date]]="","",tblPaid[[#This Row],[Paid hours (person-h)]]-tblPaid[[#This Row],[Direct hours (person-h)]])</f>
        <v>3</v>
      </c>
      <c r="I36" s="31">
        <f>IF(tblPaid[[#This Row],[Date]]="","",IF(tblPaid[[#This Row],[Paid hours (person-h)]]&gt;0,tblPaid[[#This Row],[Direct hours (person-h)]]/tblPaid[[#This Row],[Paid hours (person-h)]],""))</f>
        <v>0.933333333333333</v>
      </c>
      <c r="J36" s="31">
        <f>IF(tblPaid[[#This Row],[Date]]="","",IF(tblPaid[[#This Row],[Paid hours (person-h)]]&gt;0,tblPaid[[#This Row],[Earned hours (person-h)]]/tblPaid[[#This Row],[Paid hours (person-h)]],""))</f>
        <v>0.635185185185185</v>
      </c>
      <c r="K36" s="39" t="str">
        <f>IF(NOT(ISNUMBER(tblPaid[[#This Row],[Utilization]])),"",IF(tblPaid[[#This Row],[Utilization]]&gt;=TargetUtil,"On target",IF(tblPaid[[#This Row],[Utilization]]&gt;=TargetUtil*(1-0.05),"Near target","Below target")))</f>
        <v>On target</v>
      </c>
      <c r="L36" s="41">
        <f>IF(tblPaid[[#This Row],[Date]]="","",IF(AND(tblPaid[[#This Row],[Date]]&gt;=FFrom,tblPaid[[#This Row],[Date]]&lt;=FTo,OR(DashCell="",tblPaid[[#This Row],[Cell]]=DashCell)),tblPaid[[#This Row],[Date]],""))</f>
        <v>46268</v>
      </c>
      <c r="M3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6" s="28" t="s">
        <v>146</v>
      </c>
    </row>
    <row r="37" spans="2:14" x14ac:dyDescent="0.25">
      <c r="B37" s="35">
        <v>46268</v>
      </c>
      <c r="C37" s="28" t="s">
        <v>101</v>
      </c>
      <c r="D37" s="28" t="s">
        <v>94</v>
      </c>
      <c r="E37" s="29">
        <v>37.5</v>
      </c>
      <c r="F37" s="38">
        <f>IF(tblPaid[[#This Row],[Date]]="","",SUMIFS(tblLabor[Actual hours (person-h)],tblLabor[Date],tblPaid[[#This Row],[Date]],tblLabor[Shift],tblPaid[[#This Row],[Shift]],tblLabor[Cell],tblPaid[[#This Row],[Cell]]))</f>
        <v>31.5</v>
      </c>
      <c r="G37" s="38">
        <f>IF(tblPaid[[#This Row],[Date]]="","",SUMIFS(tblLabor[Earned hours (person-h)],tblLabor[Date],tblPaid[[#This Row],[Date]],tblLabor[Shift],tblPaid[[#This Row],[Shift]],tblLabor[Cell],tblPaid[[#This Row],[Cell]]))</f>
        <v>28.0366666666667</v>
      </c>
      <c r="H37" s="38">
        <f>IF(tblPaid[[#This Row],[Date]]="","",tblPaid[[#This Row],[Paid hours (person-h)]]-tblPaid[[#This Row],[Direct hours (person-h)]])</f>
        <v>6</v>
      </c>
      <c r="I37" s="31">
        <f>IF(tblPaid[[#This Row],[Date]]="","",IF(tblPaid[[#This Row],[Paid hours (person-h)]]&gt;0,tblPaid[[#This Row],[Direct hours (person-h)]]/tblPaid[[#This Row],[Paid hours (person-h)]],""))</f>
        <v>0.84</v>
      </c>
      <c r="J37" s="31">
        <f>IF(tblPaid[[#This Row],[Date]]="","",IF(tblPaid[[#This Row],[Paid hours (person-h)]]&gt;0,tblPaid[[#This Row],[Earned hours (person-h)]]/tblPaid[[#This Row],[Paid hours (person-h)]],""))</f>
        <v>0.747644444444445</v>
      </c>
      <c r="K37" s="39" t="str">
        <f>IF(NOT(ISNUMBER(tblPaid[[#This Row],[Utilization]])),"",IF(tblPaid[[#This Row],[Utilization]]&gt;=TargetUtil,"On target",IF(tblPaid[[#This Row],[Utilization]]&gt;=TargetUtil*(1-0.05),"Near target","Below target")))</f>
        <v>Near target</v>
      </c>
      <c r="L37" s="41">
        <f>IF(tblPaid[[#This Row],[Date]]="","",IF(AND(tblPaid[[#This Row],[Date]]&gt;=FFrom,tblPaid[[#This Row],[Date]]&lt;=FTo,OR(DashCell="",tblPaid[[#This Row],[Cell]]=DashCell)),tblPaid[[#This Row],[Date]],""))</f>
        <v>46268</v>
      </c>
      <c r="M3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7" s="28" t="s">
        <v>136</v>
      </c>
    </row>
    <row r="38" spans="2:14" x14ac:dyDescent="0.25">
      <c r="B38" s="35">
        <v>46269</v>
      </c>
      <c r="C38" s="28" t="s">
        <v>98</v>
      </c>
      <c r="D38" s="28" t="s">
        <v>86</v>
      </c>
      <c r="E38" s="29">
        <v>30</v>
      </c>
      <c r="F38" s="38">
        <f>IF(tblPaid[[#This Row],[Date]]="","",SUMIFS(tblLabor[Actual hours (person-h)],tblLabor[Date],tblPaid[[#This Row],[Date]],tblLabor[Shift],tblPaid[[#This Row],[Shift]],tblLabor[Cell],tblPaid[[#This Row],[Cell]]))</f>
        <v>27.75</v>
      </c>
      <c r="G38" s="38">
        <f>IF(tblPaid[[#This Row],[Date]]="","",SUMIFS(tblLabor[Earned hours (person-h)],tblLabor[Date],tblPaid[[#This Row],[Date]],tblLabor[Shift],tblPaid[[#This Row],[Shift]],tblLabor[Cell],tblPaid[[#This Row],[Cell]]))</f>
        <v>27.12</v>
      </c>
      <c r="H38" s="38">
        <f>IF(tblPaid[[#This Row],[Date]]="","",tblPaid[[#This Row],[Paid hours (person-h)]]-tblPaid[[#This Row],[Direct hours (person-h)]])</f>
        <v>2.25</v>
      </c>
      <c r="I38" s="31">
        <f>IF(tblPaid[[#This Row],[Date]]="","",IF(tblPaid[[#This Row],[Paid hours (person-h)]]&gt;0,tblPaid[[#This Row],[Direct hours (person-h)]]/tblPaid[[#This Row],[Paid hours (person-h)]],""))</f>
        <v>0.925</v>
      </c>
      <c r="J38" s="31">
        <f>IF(tblPaid[[#This Row],[Date]]="","",IF(tblPaid[[#This Row],[Paid hours (person-h)]]&gt;0,tblPaid[[#This Row],[Earned hours (person-h)]]/tblPaid[[#This Row],[Paid hours (person-h)]],""))</f>
        <v>0.904</v>
      </c>
      <c r="K38" s="39" t="str">
        <f>IF(NOT(ISNUMBER(tblPaid[[#This Row],[Utilization]])),"",IF(tblPaid[[#This Row],[Utilization]]&gt;=TargetUtil,"On target",IF(tblPaid[[#This Row],[Utilization]]&gt;=TargetUtil*(1-0.05),"Near target","Below target")))</f>
        <v>On target</v>
      </c>
      <c r="L38" s="41">
        <f>IF(tblPaid[[#This Row],[Date]]="","",IF(AND(tblPaid[[#This Row],[Date]]&gt;=FFrom,tblPaid[[#This Row],[Date]]&lt;=FTo,OR(DashCell="",tblPaid[[#This Row],[Cell]]=DashCell)),tblPaid[[#This Row],[Date]],""))</f>
        <v>46269</v>
      </c>
      <c r="M3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8" s="28" t="s">
        <v>136</v>
      </c>
    </row>
    <row r="39" spans="2:14" x14ac:dyDescent="0.25">
      <c r="B39" s="35">
        <v>46269</v>
      </c>
      <c r="C39" s="28" t="s">
        <v>98</v>
      </c>
      <c r="D39" s="28" t="s">
        <v>89</v>
      </c>
      <c r="E39" s="29">
        <v>60</v>
      </c>
      <c r="F39" s="38">
        <f>IF(tblPaid[[#This Row],[Date]]="","",SUMIFS(tblLabor[Actual hours (person-h)],tblLabor[Date],tblPaid[[#This Row],[Date]],tblLabor[Shift],tblPaid[[#This Row],[Shift]],tblLabor[Cell],tblPaid[[#This Row],[Cell]]))</f>
        <v>55</v>
      </c>
      <c r="G39" s="38">
        <f>IF(tblPaid[[#This Row],[Date]]="","",SUMIFS(tblLabor[Earned hours (person-h)],tblLabor[Date],tblPaid[[#This Row],[Date]],tblLabor[Shift],tblPaid[[#This Row],[Shift]],tblLabor[Cell],tblPaid[[#This Row],[Cell]]))</f>
        <v>49.8666666666667</v>
      </c>
      <c r="H39" s="38">
        <f>IF(tblPaid[[#This Row],[Date]]="","",tblPaid[[#This Row],[Paid hours (person-h)]]-tblPaid[[#This Row],[Direct hours (person-h)]])</f>
        <v>5</v>
      </c>
      <c r="I39" s="31">
        <f>IF(tblPaid[[#This Row],[Date]]="","",IF(tblPaid[[#This Row],[Paid hours (person-h)]]&gt;0,tblPaid[[#This Row],[Direct hours (person-h)]]/tblPaid[[#This Row],[Paid hours (person-h)]],""))</f>
        <v>0.916666666666667</v>
      </c>
      <c r="J39" s="31">
        <f>IF(tblPaid[[#This Row],[Date]]="","",IF(tblPaid[[#This Row],[Paid hours (person-h)]]&gt;0,tblPaid[[#This Row],[Earned hours (person-h)]]/tblPaid[[#This Row],[Paid hours (person-h)]],""))</f>
        <v>0.831111111111111</v>
      </c>
      <c r="K39" s="39" t="str">
        <f>IF(NOT(ISNUMBER(tblPaid[[#This Row],[Utilization]])),"",IF(tblPaid[[#This Row],[Utilization]]&gt;=TargetUtil,"On target",IF(tblPaid[[#This Row],[Utilization]]&gt;=TargetUtil*(1-0.05),"Near target","Below target")))</f>
        <v>On target</v>
      </c>
      <c r="L39" s="41">
        <f>IF(tblPaid[[#This Row],[Date]]="","",IF(AND(tblPaid[[#This Row],[Date]]&gt;=FFrom,tblPaid[[#This Row],[Date]]&lt;=FTo,OR(DashCell="",tblPaid[[#This Row],[Cell]]=DashCell)),tblPaid[[#This Row],[Date]],""))</f>
        <v>46269</v>
      </c>
      <c r="M3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39" s="28" t="s">
        <v>136</v>
      </c>
    </row>
    <row r="40" spans="2:14" x14ac:dyDescent="0.25">
      <c r="B40" s="35">
        <v>46269</v>
      </c>
      <c r="C40" s="28" t="s">
        <v>98</v>
      </c>
      <c r="D40" s="28" t="s">
        <v>92</v>
      </c>
      <c r="E40" s="29">
        <v>52.5</v>
      </c>
      <c r="F40" s="38">
        <f>IF(tblPaid[[#This Row],[Date]]="","",SUMIFS(tblLabor[Actual hours (person-h)],tblLabor[Date],tblPaid[[#This Row],[Date]],tblLabor[Shift],tblPaid[[#This Row],[Shift]],tblLabor[Cell],tblPaid[[#This Row],[Cell]]))</f>
        <v>48.25</v>
      </c>
      <c r="G40" s="38">
        <f>IF(tblPaid[[#This Row],[Date]]="","",SUMIFS(tblLabor[Earned hours (person-h)],tblLabor[Date],tblPaid[[#This Row],[Date]],tblLabor[Shift],tblPaid[[#This Row],[Shift]],tblLabor[Cell],tblPaid[[#This Row],[Cell]]))</f>
        <v>45.7766666666667</v>
      </c>
      <c r="H40" s="38">
        <f>IF(tblPaid[[#This Row],[Date]]="","",tblPaid[[#This Row],[Paid hours (person-h)]]-tblPaid[[#This Row],[Direct hours (person-h)]])</f>
        <v>4.25</v>
      </c>
      <c r="I40" s="31">
        <f>IF(tblPaid[[#This Row],[Date]]="","",IF(tblPaid[[#This Row],[Paid hours (person-h)]]&gt;0,tblPaid[[#This Row],[Direct hours (person-h)]]/tblPaid[[#This Row],[Paid hours (person-h)]],""))</f>
        <v>0.919047619047619</v>
      </c>
      <c r="J40" s="31">
        <f>IF(tblPaid[[#This Row],[Date]]="","",IF(tblPaid[[#This Row],[Paid hours (person-h)]]&gt;0,tblPaid[[#This Row],[Earned hours (person-h)]]/tblPaid[[#This Row],[Paid hours (person-h)]],""))</f>
        <v>0.871936507936508</v>
      </c>
      <c r="K40" s="39" t="str">
        <f>IF(NOT(ISNUMBER(tblPaid[[#This Row],[Utilization]])),"",IF(tblPaid[[#This Row],[Utilization]]&gt;=TargetUtil,"On target",IF(tblPaid[[#This Row],[Utilization]]&gt;=TargetUtil*(1-0.05),"Near target","Below target")))</f>
        <v>On target</v>
      </c>
      <c r="L40" s="41">
        <f>IF(tblPaid[[#This Row],[Date]]="","",IF(AND(tblPaid[[#This Row],[Date]]&gt;=FFrom,tblPaid[[#This Row],[Date]]&lt;=FTo,OR(DashCell="",tblPaid[[#This Row],[Cell]]=DashCell)),tblPaid[[#This Row],[Date]],""))</f>
        <v>46269</v>
      </c>
      <c r="M4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0" s="28" t="s">
        <v>136</v>
      </c>
    </row>
    <row r="41" spans="2:14" x14ac:dyDescent="0.25">
      <c r="B41" s="35">
        <v>46269</v>
      </c>
      <c r="C41" s="28" t="s">
        <v>98</v>
      </c>
      <c r="D41" s="28" t="s">
        <v>94</v>
      </c>
      <c r="E41" s="29">
        <v>37.5</v>
      </c>
      <c r="F41" s="38">
        <f>IF(tblPaid[[#This Row],[Date]]="","",SUMIFS(tblLabor[Actual hours (person-h)],tblLabor[Date],tblPaid[[#This Row],[Date]],tblLabor[Shift],tblPaid[[#This Row],[Shift]],tblLabor[Cell],tblPaid[[#This Row],[Cell]]))</f>
        <v>30.25</v>
      </c>
      <c r="G41" s="38">
        <f>IF(tblPaid[[#This Row],[Date]]="","",SUMIFS(tblLabor[Earned hours (person-h)],tblLabor[Date],tblPaid[[#This Row],[Date]],tblLabor[Shift],tblPaid[[#This Row],[Shift]],tblLabor[Cell],tblPaid[[#This Row],[Cell]]))</f>
        <v>27.8933333333333</v>
      </c>
      <c r="H41" s="38">
        <f>IF(tblPaid[[#This Row],[Date]]="","",tblPaid[[#This Row],[Paid hours (person-h)]]-tblPaid[[#This Row],[Direct hours (person-h)]])</f>
        <v>7.25</v>
      </c>
      <c r="I41" s="31">
        <f>IF(tblPaid[[#This Row],[Date]]="","",IF(tblPaid[[#This Row],[Paid hours (person-h)]]&gt;0,tblPaid[[#This Row],[Direct hours (person-h)]]/tblPaid[[#This Row],[Paid hours (person-h)]],""))</f>
        <v>0.806666666666667</v>
      </c>
      <c r="J41" s="31">
        <f>IF(tblPaid[[#This Row],[Date]]="","",IF(tblPaid[[#This Row],[Paid hours (person-h)]]&gt;0,tblPaid[[#This Row],[Earned hours (person-h)]]/tblPaid[[#This Row],[Paid hours (person-h)]],""))</f>
        <v>0.743822222222222</v>
      </c>
      <c r="K41" s="39" t="str">
        <f>IF(NOT(ISNUMBER(tblPaid[[#This Row],[Utilization]])),"",IF(tblPaid[[#This Row],[Utilization]]&gt;=TargetUtil,"On target",IF(tblPaid[[#This Row],[Utilization]]&gt;=TargetUtil*(1-0.05),"Near target","Below target")))</f>
        <v>Below target</v>
      </c>
      <c r="L41" s="41">
        <f>IF(tblPaid[[#This Row],[Date]]="","",IF(AND(tblPaid[[#This Row],[Date]]&gt;=FFrom,tblPaid[[#This Row],[Date]]&lt;=FTo,OR(DashCell="",tblPaid[[#This Row],[Cell]]=DashCell)),tblPaid[[#This Row],[Date]],""))</f>
        <v>46269</v>
      </c>
      <c r="M4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1" s="28" t="s">
        <v>136</v>
      </c>
    </row>
    <row r="42" spans="2:14" x14ac:dyDescent="0.25">
      <c r="B42" s="35">
        <v>46269</v>
      </c>
      <c r="C42" s="28" t="s">
        <v>101</v>
      </c>
      <c r="D42" s="28" t="s">
        <v>86</v>
      </c>
      <c r="E42" s="29">
        <v>30</v>
      </c>
      <c r="F42" s="38">
        <f>IF(tblPaid[[#This Row],[Date]]="","",SUMIFS(tblLabor[Actual hours (person-h)],tblLabor[Date],tblPaid[[#This Row],[Date]],tblLabor[Shift],tblPaid[[#This Row],[Shift]],tblLabor[Cell],tblPaid[[#This Row],[Cell]]))</f>
        <v>28.25</v>
      </c>
      <c r="G42" s="38">
        <f>IF(tblPaid[[#This Row],[Date]]="","",SUMIFS(tblLabor[Earned hours (person-h)],tblLabor[Date],tblPaid[[#This Row],[Date]],tblLabor[Shift],tblPaid[[#This Row],[Shift]],tblLabor[Cell],tblPaid[[#This Row],[Cell]]))</f>
        <v>27.7333333333333</v>
      </c>
      <c r="H42" s="38">
        <f>IF(tblPaid[[#This Row],[Date]]="","",tblPaid[[#This Row],[Paid hours (person-h)]]-tblPaid[[#This Row],[Direct hours (person-h)]])</f>
        <v>1.75</v>
      </c>
      <c r="I42" s="31">
        <f>IF(tblPaid[[#This Row],[Date]]="","",IF(tblPaid[[#This Row],[Paid hours (person-h)]]&gt;0,tblPaid[[#This Row],[Direct hours (person-h)]]/tblPaid[[#This Row],[Paid hours (person-h)]],""))</f>
        <v>0.941666666666667</v>
      </c>
      <c r="J42" s="31">
        <f>IF(tblPaid[[#This Row],[Date]]="","",IF(tblPaid[[#This Row],[Paid hours (person-h)]]&gt;0,tblPaid[[#This Row],[Earned hours (person-h)]]/tblPaid[[#This Row],[Paid hours (person-h)]],""))</f>
        <v>0.924444444444445</v>
      </c>
      <c r="K42" s="39" t="str">
        <f>IF(NOT(ISNUMBER(tblPaid[[#This Row],[Utilization]])),"",IF(tblPaid[[#This Row],[Utilization]]&gt;=TargetUtil,"On target",IF(tblPaid[[#This Row],[Utilization]]&gt;=TargetUtil*(1-0.05),"Near target","Below target")))</f>
        <v>On target</v>
      </c>
      <c r="L42" s="41">
        <f>IF(tblPaid[[#This Row],[Date]]="","",IF(AND(tblPaid[[#This Row],[Date]]&gt;=FFrom,tblPaid[[#This Row],[Date]]&lt;=FTo,OR(DashCell="",tblPaid[[#This Row],[Cell]]=DashCell)),tblPaid[[#This Row],[Date]],""))</f>
        <v>46269</v>
      </c>
      <c r="M4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2" s="28" t="s">
        <v>136</v>
      </c>
    </row>
    <row r="43" spans="2:14" x14ac:dyDescent="0.25">
      <c r="B43" s="35">
        <v>46269</v>
      </c>
      <c r="C43" s="28" t="s">
        <v>101</v>
      </c>
      <c r="D43" s="28" t="s">
        <v>89</v>
      </c>
      <c r="E43" s="29">
        <v>60</v>
      </c>
      <c r="F43" s="38">
        <f>IF(tblPaid[[#This Row],[Date]]="","",SUMIFS(tblLabor[Actual hours (person-h)],tblLabor[Date],tblPaid[[#This Row],[Date]],tblLabor[Shift],tblPaid[[#This Row],[Shift]],tblLabor[Cell],tblPaid[[#This Row],[Cell]]))</f>
        <v>56.5</v>
      </c>
      <c r="G43" s="38">
        <f>IF(tblPaid[[#This Row],[Date]]="","",SUMIFS(tblLabor[Earned hours (person-h)],tblLabor[Date],tblPaid[[#This Row],[Date]],tblLabor[Shift],tblPaid[[#This Row],[Shift]],tblLabor[Cell],tblPaid[[#This Row],[Cell]]))</f>
        <v>50.9666666666667</v>
      </c>
      <c r="H43" s="38">
        <f>IF(tblPaid[[#This Row],[Date]]="","",tblPaid[[#This Row],[Paid hours (person-h)]]-tblPaid[[#This Row],[Direct hours (person-h)]])</f>
        <v>3.5</v>
      </c>
      <c r="I43" s="31">
        <f>IF(tblPaid[[#This Row],[Date]]="","",IF(tblPaid[[#This Row],[Paid hours (person-h)]]&gt;0,tblPaid[[#This Row],[Direct hours (person-h)]]/tblPaid[[#This Row],[Paid hours (person-h)]],""))</f>
        <v>0.941666666666667</v>
      </c>
      <c r="J43" s="31">
        <f>IF(tblPaid[[#This Row],[Date]]="","",IF(tblPaid[[#This Row],[Paid hours (person-h)]]&gt;0,tblPaid[[#This Row],[Earned hours (person-h)]]/tblPaid[[#This Row],[Paid hours (person-h)]],""))</f>
        <v>0.849444444444444</v>
      </c>
      <c r="K43" s="39" t="str">
        <f>IF(NOT(ISNUMBER(tblPaid[[#This Row],[Utilization]])),"",IF(tblPaid[[#This Row],[Utilization]]&gt;=TargetUtil,"On target",IF(tblPaid[[#This Row],[Utilization]]&gt;=TargetUtil*(1-0.05),"Near target","Below target")))</f>
        <v>On target</v>
      </c>
      <c r="L43" s="41">
        <f>IF(tblPaid[[#This Row],[Date]]="","",IF(AND(tblPaid[[#This Row],[Date]]&gt;=FFrom,tblPaid[[#This Row],[Date]]&lt;=FTo,OR(DashCell="",tblPaid[[#This Row],[Cell]]=DashCell)),tblPaid[[#This Row],[Date]],""))</f>
        <v>46269</v>
      </c>
      <c r="M4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3" s="28" t="s">
        <v>136</v>
      </c>
    </row>
    <row r="44" spans="2:14" x14ac:dyDescent="0.25">
      <c r="B44" s="35">
        <v>46269</v>
      </c>
      <c r="C44" s="28" t="s">
        <v>101</v>
      </c>
      <c r="D44" s="28" t="s">
        <v>92</v>
      </c>
      <c r="E44" s="29">
        <v>45</v>
      </c>
      <c r="F44" s="38">
        <f>IF(tblPaid[[#This Row],[Date]]="","",SUMIFS(tblLabor[Actual hours (person-h)],tblLabor[Date],tblPaid[[#This Row],[Date]],tblLabor[Shift],tblPaid[[#This Row],[Shift]],tblLabor[Cell],tblPaid[[#This Row],[Cell]]))</f>
        <v>40.5</v>
      </c>
      <c r="G44" s="38">
        <f>IF(tblPaid[[#This Row],[Date]]="","",SUMIFS(tblLabor[Earned hours (person-h)],tblLabor[Date],tblPaid[[#This Row],[Date]],tblLabor[Shift],tblPaid[[#This Row],[Shift]],tblLabor[Cell],tblPaid[[#This Row],[Cell]]))</f>
        <v>26.66</v>
      </c>
      <c r="H44" s="38">
        <f>IF(tblPaid[[#This Row],[Date]]="","",tblPaid[[#This Row],[Paid hours (person-h)]]-tblPaid[[#This Row],[Direct hours (person-h)]])</f>
        <v>4.5</v>
      </c>
      <c r="I44" s="31">
        <f>IF(tblPaid[[#This Row],[Date]]="","",IF(tblPaid[[#This Row],[Paid hours (person-h)]]&gt;0,tblPaid[[#This Row],[Direct hours (person-h)]]/tblPaid[[#This Row],[Paid hours (person-h)]],""))</f>
        <v>0.9</v>
      </c>
      <c r="J44" s="31">
        <f>IF(tblPaid[[#This Row],[Date]]="","",IF(tblPaid[[#This Row],[Paid hours (person-h)]]&gt;0,tblPaid[[#This Row],[Earned hours (person-h)]]/tblPaid[[#This Row],[Paid hours (person-h)]],""))</f>
        <v>0.592444444444445</v>
      </c>
      <c r="K44" s="39" t="str">
        <f>IF(NOT(ISNUMBER(tblPaid[[#This Row],[Utilization]])),"",IF(tblPaid[[#This Row],[Utilization]]&gt;=TargetUtil,"On target",IF(tblPaid[[#This Row],[Utilization]]&gt;=TargetUtil*(1-0.05),"Near target","Below target")))</f>
        <v>On target</v>
      </c>
      <c r="L44" s="41">
        <f>IF(tblPaid[[#This Row],[Date]]="","",IF(AND(tblPaid[[#This Row],[Date]]&gt;=FFrom,tblPaid[[#This Row],[Date]]&lt;=FTo,OR(DashCell="",tblPaid[[#This Row],[Cell]]=DashCell)),tblPaid[[#This Row],[Date]],""))</f>
        <v>46269</v>
      </c>
      <c r="M4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4" s="28" t="s">
        <v>146</v>
      </c>
    </row>
    <row r="45" spans="2:14" x14ac:dyDescent="0.25">
      <c r="B45" s="35">
        <v>46269</v>
      </c>
      <c r="C45" s="28" t="s">
        <v>101</v>
      </c>
      <c r="D45" s="28" t="s">
        <v>94</v>
      </c>
      <c r="E45" s="29">
        <v>37.5</v>
      </c>
      <c r="F45" s="38">
        <f>IF(tblPaid[[#This Row],[Date]]="","",SUMIFS(tblLabor[Actual hours (person-h)],tblLabor[Date],tblPaid[[#This Row],[Date]],tblLabor[Shift],tblPaid[[#This Row],[Shift]],tblLabor[Cell],tblPaid[[#This Row],[Cell]]))</f>
        <v>31</v>
      </c>
      <c r="G45" s="38">
        <f>IF(tblPaid[[#This Row],[Date]]="","",SUMIFS(tblLabor[Earned hours (person-h)],tblLabor[Date],tblPaid[[#This Row],[Date]],tblLabor[Shift],tblPaid[[#This Row],[Shift]],tblLabor[Cell],tblPaid[[#This Row],[Cell]]))</f>
        <v>27.3133333333333</v>
      </c>
      <c r="H45" s="38">
        <f>IF(tblPaid[[#This Row],[Date]]="","",tblPaid[[#This Row],[Paid hours (person-h)]]-tblPaid[[#This Row],[Direct hours (person-h)]])</f>
        <v>6.5</v>
      </c>
      <c r="I45" s="31">
        <f>IF(tblPaid[[#This Row],[Date]]="","",IF(tblPaid[[#This Row],[Paid hours (person-h)]]&gt;0,tblPaid[[#This Row],[Direct hours (person-h)]]/tblPaid[[#This Row],[Paid hours (person-h)]],""))</f>
        <v>0.826666666666667</v>
      </c>
      <c r="J45" s="31">
        <f>IF(tblPaid[[#This Row],[Date]]="","",IF(tblPaid[[#This Row],[Paid hours (person-h)]]&gt;0,tblPaid[[#This Row],[Earned hours (person-h)]]/tblPaid[[#This Row],[Paid hours (person-h)]],""))</f>
        <v>0.728355555555556</v>
      </c>
      <c r="K45" s="39" t="str">
        <f>IF(NOT(ISNUMBER(tblPaid[[#This Row],[Utilization]])),"",IF(tblPaid[[#This Row],[Utilization]]&gt;=TargetUtil,"On target",IF(tblPaid[[#This Row],[Utilization]]&gt;=TargetUtil*(1-0.05),"Near target","Below target")))</f>
        <v>Near target</v>
      </c>
      <c r="L45" s="41">
        <f>IF(tblPaid[[#This Row],[Date]]="","",IF(AND(tblPaid[[#This Row],[Date]]&gt;=FFrom,tblPaid[[#This Row],[Date]]&lt;=FTo,OR(DashCell="",tblPaid[[#This Row],[Cell]]=DashCell)),tblPaid[[#This Row],[Date]],""))</f>
        <v>46269</v>
      </c>
      <c r="M4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5" s="28" t="s">
        <v>136</v>
      </c>
    </row>
    <row r="46" spans="2:14" x14ac:dyDescent="0.25">
      <c r="B46" s="35">
        <v>46272</v>
      </c>
      <c r="C46" s="28" t="s">
        <v>98</v>
      </c>
      <c r="D46" s="28" t="s">
        <v>86</v>
      </c>
      <c r="E46" s="29">
        <v>30</v>
      </c>
      <c r="F46" s="38">
        <f>IF(tblPaid[[#This Row],[Date]]="","",SUMIFS(tblLabor[Actual hours (person-h)],tblLabor[Date],tblPaid[[#This Row],[Date]],tblLabor[Shift],tblPaid[[#This Row],[Shift]],tblLabor[Cell],tblPaid[[#This Row],[Cell]]))</f>
        <v>26.25</v>
      </c>
      <c r="G46" s="38">
        <f>IF(tblPaid[[#This Row],[Date]]="","",SUMIFS(tblLabor[Earned hours (person-h)],tblLabor[Date],tblPaid[[#This Row],[Date]],tblLabor[Shift],tblPaid[[#This Row],[Shift]],tblLabor[Cell],tblPaid[[#This Row],[Cell]]))</f>
        <v>24.52</v>
      </c>
      <c r="H46" s="38">
        <f>IF(tblPaid[[#This Row],[Date]]="","",tblPaid[[#This Row],[Paid hours (person-h)]]-tblPaid[[#This Row],[Direct hours (person-h)]])</f>
        <v>3.75</v>
      </c>
      <c r="I46" s="31">
        <f>IF(tblPaid[[#This Row],[Date]]="","",IF(tblPaid[[#This Row],[Paid hours (person-h)]]&gt;0,tblPaid[[#This Row],[Direct hours (person-h)]]/tblPaid[[#This Row],[Paid hours (person-h)]],""))</f>
        <v>0.875</v>
      </c>
      <c r="J46" s="31">
        <f>IF(tblPaid[[#This Row],[Date]]="","",IF(tblPaid[[#This Row],[Paid hours (person-h)]]&gt;0,tblPaid[[#This Row],[Earned hours (person-h)]]/tblPaid[[#This Row],[Paid hours (person-h)]],""))</f>
        <v>0.817333333333333</v>
      </c>
      <c r="K46" s="39" t="str">
        <f>IF(NOT(ISNUMBER(tblPaid[[#This Row],[Utilization]])),"",IF(tblPaid[[#This Row],[Utilization]]&gt;=TargetUtil,"On target",IF(tblPaid[[#This Row],[Utilization]]&gt;=TargetUtil*(1-0.05),"Near target","Below target")))</f>
        <v>On target</v>
      </c>
      <c r="L46" s="41">
        <f>IF(tblPaid[[#This Row],[Date]]="","",IF(AND(tblPaid[[#This Row],[Date]]&gt;=FFrom,tblPaid[[#This Row],[Date]]&lt;=FTo,OR(DashCell="",tblPaid[[#This Row],[Cell]]=DashCell)),tblPaid[[#This Row],[Date]],""))</f>
        <v>46272</v>
      </c>
      <c r="M4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6" s="28" t="s">
        <v>144</v>
      </c>
    </row>
    <row r="47" spans="2:14" x14ac:dyDescent="0.25">
      <c r="B47" s="35">
        <v>46272</v>
      </c>
      <c r="C47" s="28" t="s">
        <v>98</v>
      </c>
      <c r="D47" s="28" t="s">
        <v>89</v>
      </c>
      <c r="E47" s="29">
        <v>60</v>
      </c>
      <c r="F47" s="38">
        <f>IF(tblPaid[[#This Row],[Date]]="","",SUMIFS(tblLabor[Actual hours (person-h)],tblLabor[Date],tblPaid[[#This Row],[Date]],tblLabor[Shift],tblPaid[[#This Row],[Shift]],tblLabor[Cell],tblPaid[[#This Row],[Cell]]))</f>
        <v>50.25</v>
      </c>
      <c r="G47" s="38">
        <f>IF(tblPaid[[#This Row],[Date]]="","",SUMIFS(tblLabor[Earned hours (person-h)],tblLabor[Date],tblPaid[[#This Row],[Date]],tblLabor[Shift],tblPaid[[#This Row],[Shift]],tblLabor[Cell],tblPaid[[#This Row],[Cell]]))</f>
        <v>47.3</v>
      </c>
      <c r="H47" s="38">
        <f>IF(tblPaid[[#This Row],[Date]]="","",tblPaid[[#This Row],[Paid hours (person-h)]]-tblPaid[[#This Row],[Direct hours (person-h)]])</f>
        <v>9.75</v>
      </c>
      <c r="I47" s="31">
        <f>IF(tblPaid[[#This Row],[Date]]="","",IF(tblPaid[[#This Row],[Paid hours (person-h)]]&gt;0,tblPaid[[#This Row],[Direct hours (person-h)]]/tblPaid[[#This Row],[Paid hours (person-h)]],""))</f>
        <v>0.8375</v>
      </c>
      <c r="J47" s="31">
        <f>IF(tblPaid[[#This Row],[Date]]="","",IF(tblPaid[[#This Row],[Paid hours (person-h)]]&gt;0,tblPaid[[#This Row],[Earned hours (person-h)]]/tblPaid[[#This Row],[Paid hours (person-h)]],""))</f>
        <v>0.788333333333333</v>
      </c>
      <c r="K47" s="39" t="str">
        <f>IF(NOT(ISNUMBER(tblPaid[[#This Row],[Utilization]])),"",IF(tblPaid[[#This Row],[Utilization]]&gt;=TargetUtil,"On target",IF(tblPaid[[#This Row],[Utilization]]&gt;=TargetUtil*(1-0.05),"Near target","Below target")))</f>
        <v>Near target</v>
      </c>
      <c r="L47" s="41">
        <f>IF(tblPaid[[#This Row],[Date]]="","",IF(AND(tblPaid[[#This Row],[Date]]&gt;=FFrom,tblPaid[[#This Row],[Date]]&lt;=FTo,OR(DashCell="",tblPaid[[#This Row],[Cell]]=DashCell)),tblPaid[[#This Row],[Date]],""))</f>
        <v>46272</v>
      </c>
      <c r="M4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7" s="28" t="s">
        <v>144</v>
      </c>
    </row>
    <row r="48" spans="2:14" x14ac:dyDescent="0.25">
      <c r="B48" s="35">
        <v>46272</v>
      </c>
      <c r="C48" s="28" t="s">
        <v>98</v>
      </c>
      <c r="D48" s="28" t="s">
        <v>92</v>
      </c>
      <c r="E48" s="29">
        <v>52.5</v>
      </c>
      <c r="F48" s="38">
        <f>IF(tblPaid[[#This Row],[Date]]="","",SUMIFS(tblLabor[Actual hours (person-h)],tblLabor[Date],tblPaid[[#This Row],[Date]],tblLabor[Shift],tblPaid[[#This Row],[Shift]],tblLabor[Cell],tblPaid[[#This Row],[Cell]]))</f>
        <v>43.25</v>
      </c>
      <c r="G48" s="38">
        <f>IF(tblPaid[[#This Row],[Date]]="","",SUMIFS(tblLabor[Earned hours (person-h)],tblLabor[Date],tblPaid[[#This Row],[Date]],tblLabor[Shift],tblPaid[[#This Row],[Shift]],tblLabor[Cell],tblPaid[[#This Row],[Cell]]))</f>
        <v>37.5666666666667</v>
      </c>
      <c r="H48" s="38">
        <f>IF(tblPaid[[#This Row],[Date]]="","",tblPaid[[#This Row],[Paid hours (person-h)]]-tblPaid[[#This Row],[Direct hours (person-h)]])</f>
        <v>9.25</v>
      </c>
      <c r="I48" s="31">
        <f>IF(tblPaid[[#This Row],[Date]]="","",IF(tblPaid[[#This Row],[Paid hours (person-h)]]&gt;0,tblPaid[[#This Row],[Direct hours (person-h)]]/tblPaid[[#This Row],[Paid hours (person-h)]],""))</f>
        <v>0.823809523809524</v>
      </c>
      <c r="J48" s="31">
        <f>IF(tblPaid[[#This Row],[Date]]="","",IF(tblPaid[[#This Row],[Paid hours (person-h)]]&gt;0,tblPaid[[#This Row],[Earned hours (person-h)]]/tblPaid[[#This Row],[Paid hours (person-h)]],""))</f>
        <v>0.715555555555556</v>
      </c>
      <c r="K48" s="39" t="str">
        <f>IF(NOT(ISNUMBER(tblPaid[[#This Row],[Utilization]])),"",IF(tblPaid[[#This Row],[Utilization]]&gt;=TargetUtil,"On target",IF(tblPaid[[#This Row],[Utilization]]&gt;=TargetUtil*(1-0.05),"Near target","Below target")))</f>
        <v>Near target</v>
      </c>
      <c r="L48" s="41">
        <f>IF(tblPaid[[#This Row],[Date]]="","",IF(AND(tblPaid[[#This Row],[Date]]&gt;=FFrom,tblPaid[[#This Row],[Date]]&lt;=FTo,OR(DashCell="",tblPaid[[#This Row],[Cell]]=DashCell)),tblPaid[[#This Row],[Date]],""))</f>
        <v>46272</v>
      </c>
      <c r="M4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8" s="28" t="s">
        <v>144</v>
      </c>
    </row>
    <row r="49" spans="2:14" x14ac:dyDescent="0.25">
      <c r="B49" s="35">
        <v>46272</v>
      </c>
      <c r="C49" s="28" t="s">
        <v>98</v>
      </c>
      <c r="D49" s="28" t="s">
        <v>94</v>
      </c>
      <c r="E49" s="29">
        <v>30</v>
      </c>
      <c r="F49" s="38">
        <f>IF(tblPaid[[#This Row],[Date]]="","",SUMIFS(tblLabor[Actual hours (person-h)],tblLabor[Date],tblPaid[[#This Row],[Date]],tblLabor[Shift],tblPaid[[#This Row],[Shift]],tblLabor[Cell],tblPaid[[#This Row],[Cell]]))</f>
        <v>23.5</v>
      </c>
      <c r="G49" s="38">
        <f>IF(tblPaid[[#This Row],[Date]]="","",SUMIFS(tblLabor[Earned hours (person-h)],tblLabor[Date],tblPaid[[#This Row],[Date]],tblLabor[Shift],tblPaid[[#This Row],[Shift]],tblLabor[Cell],tblPaid[[#This Row],[Cell]]))</f>
        <v>21.6183333333333</v>
      </c>
      <c r="H49" s="38">
        <f>IF(tblPaid[[#This Row],[Date]]="","",tblPaid[[#This Row],[Paid hours (person-h)]]-tblPaid[[#This Row],[Direct hours (person-h)]])</f>
        <v>6.5</v>
      </c>
      <c r="I49" s="31">
        <f>IF(tblPaid[[#This Row],[Date]]="","",IF(tblPaid[[#This Row],[Paid hours (person-h)]]&gt;0,tblPaid[[#This Row],[Direct hours (person-h)]]/tblPaid[[#This Row],[Paid hours (person-h)]],""))</f>
        <v>0.783333333333333</v>
      </c>
      <c r="J49" s="31">
        <f>IF(tblPaid[[#This Row],[Date]]="","",IF(tblPaid[[#This Row],[Paid hours (person-h)]]&gt;0,tblPaid[[#This Row],[Earned hours (person-h)]]/tblPaid[[#This Row],[Paid hours (person-h)]],""))</f>
        <v>0.720611111111111</v>
      </c>
      <c r="K49" s="39" t="str">
        <f>IF(NOT(ISNUMBER(tblPaid[[#This Row],[Utilization]])),"",IF(tblPaid[[#This Row],[Utilization]]&gt;=TargetUtil,"On target",IF(tblPaid[[#This Row],[Utilization]]&gt;=TargetUtil*(1-0.05),"Near target","Below target")))</f>
        <v>Below target</v>
      </c>
      <c r="L49" s="41">
        <f>IF(tblPaid[[#This Row],[Date]]="","",IF(AND(tblPaid[[#This Row],[Date]]&gt;=FFrom,tblPaid[[#This Row],[Date]]&lt;=FTo,OR(DashCell="",tblPaid[[#This Row],[Cell]]=DashCell)),tblPaid[[#This Row],[Date]],""))</f>
        <v>46272</v>
      </c>
      <c r="M4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49" s="28" t="s">
        <v>145</v>
      </c>
    </row>
    <row r="50" spans="2:14" x14ac:dyDescent="0.25">
      <c r="B50" s="35">
        <v>46272</v>
      </c>
      <c r="C50" s="28" t="s">
        <v>101</v>
      </c>
      <c r="D50" s="28" t="s">
        <v>86</v>
      </c>
      <c r="E50" s="29">
        <v>30</v>
      </c>
      <c r="F50" s="38">
        <f>IF(tblPaid[[#This Row],[Date]]="","",SUMIFS(tblLabor[Actual hours (person-h)],tblLabor[Date],tblPaid[[#This Row],[Date]],tblLabor[Shift],tblPaid[[#This Row],[Shift]],tblLabor[Cell],tblPaid[[#This Row],[Cell]]))</f>
        <v>26</v>
      </c>
      <c r="G50" s="38">
        <f>IF(tblPaid[[#This Row],[Date]]="","",SUMIFS(tblLabor[Earned hours (person-h)],tblLabor[Date],tblPaid[[#This Row],[Date]],tblLabor[Shift],tblPaid[[#This Row],[Shift]],tblLabor[Cell],tblPaid[[#This Row],[Cell]]))</f>
        <v>25.46</v>
      </c>
      <c r="H50" s="38">
        <f>IF(tblPaid[[#This Row],[Date]]="","",tblPaid[[#This Row],[Paid hours (person-h)]]-tblPaid[[#This Row],[Direct hours (person-h)]])</f>
        <v>4</v>
      </c>
      <c r="I50" s="31">
        <f>IF(tblPaid[[#This Row],[Date]]="","",IF(tblPaid[[#This Row],[Paid hours (person-h)]]&gt;0,tblPaid[[#This Row],[Direct hours (person-h)]]/tblPaid[[#This Row],[Paid hours (person-h)]],""))</f>
        <v>0.866666666666667</v>
      </c>
      <c r="J50" s="31">
        <f>IF(tblPaid[[#This Row],[Date]]="","",IF(tblPaid[[#This Row],[Paid hours (person-h)]]&gt;0,tblPaid[[#This Row],[Earned hours (person-h)]]/tblPaid[[#This Row],[Paid hours (person-h)]],""))</f>
        <v>0.848666666666667</v>
      </c>
      <c r="K50" s="39" t="str">
        <f>IF(NOT(ISNUMBER(tblPaid[[#This Row],[Utilization]])),"",IF(tblPaid[[#This Row],[Utilization]]&gt;=TargetUtil,"On target",IF(tblPaid[[#This Row],[Utilization]]&gt;=TargetUtil*(1-0.05),"Near target","Below target")))</f>
        <v>On target</v>
      </c>
      <c r="L50" s="41">
        <f>IF(tblPaid[[#This Row],[Date]]="","",IF(AND(tblPaid[[#This Row],[Date]]&gt;=FFrom,tblPaid[[#This Row],[Date]]&lt;=FTo,OR(DashCell="",tblPaid[[#This Row],[Cell]]=DashCell)),tblPaid[[#This Row],[Date]],""))</f>
        <v>46272</v>
      </c>
      <c r="M5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0" s="28" t="s">
        <v>144</v>
      </c>
    </row>
    <row r="51" spans="2:14" x14ac:dyDescent="0.25">
      <c r="B51" s="35">
        <v>46272</v>
      </c>
      <c r="C51" s="28" t="s">
        <v>101</v>
      </c>
      <c r="D51" s="28" t="s">
        <v>89</v>
      </c>
      <c r="E51" s="29">
        <v>52.5</v>
      </c>
      <c r="F51" s="38">
        <f>IF(tblPaid[[#This Row],[Date]]="","",SUMIFS(tblLabor[Actual hours (person-h)],tblLabor[Date],tblPaid[[#This Row],[Date]],tblLabor[Shift],tblPaid[[#This Row],[Shift]],tblLabor[Cell],tblPaid[[#This Row],[Cell]]))</f>
        <v>46</v>
      </c>
      <c r="G51" s="38">
        <f>IF(tblPaid[[#This Row],[Date]]="","",SUMIFS(tblLabor[Earned hours (person-h)],tblLabor[Date],tblPaid[[#This Row],[Date]],tblLabor[Shift],tblPaid[[#This Row],[Shift]],tblLabor[Cell],tblPaid[[#This Row],[Cell]]))</f>
        <v>41.8</v>
      </c>
      <c r="H51" s="38">
        <f>IF(tblPaid[[#This Row],[Date]]="","",tblPaid[[#This Row],[Paid hours (person-h)]]-tblPaid[[#This Row],[Direct hours (person-h)]])</f>
        <v>6.5</v>
      </c>
      <c r="I51" s="31">
        <f>IF(tblPaid[[#This Row],[Date]]="","",IF(tblPaid[[#This Row],[Paid hours (person-h)]]&gt;0,tblPaid[[#This Row],[Direct hours (person-h)]]/tblPaid[[#This Row],[Paid hours (person-h)]],""))</f>
        <v>0.876190476190476</v>
      </c>
      <c r="J51" s="31">
        <f>IF(tblPaid[[#This Row],[Date]]="","",IF(tblPaid[[#This Row],[Paid hours (person-h)]]&gt;0,tblPaid[[#This Row],[Earned hours (person-h)]]/tblPaid[[#This Row],[Paid hours (person-h)]],""))</f>
        <v>0.796190476190476</v>
      </c>
      <c r="K51" s="39" t="str">
        <f>IF(NOT(ISNUMBER(tblPaid[[#This Row],[Utilization]])),"",IF(tblPaid[[#This Row],[Utilization]]&gt;=TargetUtil,"On target",IF(tblPaid[[#This Row],[Utilization]]&gt;=TargetUtil*(1-0.05),"Near target","Below target")))</f>
        <v>On target</v>
      </c>
      <c r="L51" s="41">
        <f>IF(tblPaid[[#This Row],[Date]]="","",IF(AND(tblPaid[[#This Row],[Date]]&gt;=FFrom,tblPaid[[#This Row],[Date]]&lt;=FTo,OR(DashCell="",tblPaid[[#This Row],[Cell]]=DashCell)),tblPaid[[#This Row],[Date]],""))</f>
        <v>46272</v>
      </c>
      <c r="M5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1" s="28" t="s">
        <v>145</v>
      </c>
    </row>
    <row r="52" spans="2:14" x14ac:dyDescent="0.25">
      <c r="B52" s="35">
        <v>46272</v>
      </c>
      <c r="C52" s="28" t="s">
        <v>101</v>
      </c>
      <c r="D52" s="28" t="s">
        <v>92</v>
      </c>
      <c r="E52" s="29">
        <v>52.5</v>
      </c>
      <c r="F52" s="38">
        <f>IF(tblPaid[[#This Row],[Date]]="","",SUMIFS(tblLabor[Actual hours (person-h)],tblLabor[Date],tblPaid[[#This Row],[Date]],tblLabor[Shift],tblPaid[[#This Row],[Shift]],tblLabor[Cell],tblPaid[[#This Row],[Cell]]))</f>
        <v>45</v>
      </c>
      <c r="G52" s="38">
        <f>IF(tblPaid[[#This Row],[Date]]="","",SUMIFS(tblLabor[Earned hours (person-h)],tblLabor[Date],tblPaid[[#This Row],[Date]],tblLabor[Shift],tblPaid[[#This Row],[Shift]],tblLabor[Cell],tblPaid[[#This Row],[Cell]]))</f>
        <v>33.9733333333333</v>
      </c>
      <c r="H52" s="38">
        <f>IF(tblPaid[[#This Row],[Date]]="","",tblPaid[[#This Row],[Paid hours (person-h)]]-tblPaid[[#This Row],[Direct hours (person-h)]])</f>
        <v>7.5</v>
      </c>
      <c r="I52" s="31">
        <f>IF(tblPaid[[#This Row],[Date]]="","",IF(tblPaid[[#This Row],[Paid hours (person-h)]]&gt;0,tblPaid[[#This Row],[Direct hours (person-h)]]/tblPaid[[#This Row],[Paid hours (person-h)]],""))</f>
        <v>0.857142857142857</v>
      </c>
      <c r="J52" s="31">
        <f>IF(tblPaid[[#This Row],[Date]]="","",IF(tblPaid[[#This Row],[Paid hours (person-h)]]&gt;0,tblPaid[[#This Row],[Earned hours (person-h)]]/tblPaid[[#This Row],[Paid hours (person-h)]],""))</f>
        <v>0.647111111111111</v>
      </c>
      <c r="K52" s="39" t="str">
        <f>IF(NOT(ISNUMBER(tblPaid[[#This Row],[Utilization]])),"",IF(tblPaid[[#This Row],[Utilization]]&gt;=TargetUtil,"On target",IF(tblPaid[[#This Row],[Utilization]]&gt;=TargetUtil*(1-0.05),"Near target","Below target")))</f>
        <v>On target</v>
      </c>
      <c r="L52" s="41">
        <f>IF(tblPaid[[#This Row],[Date]]="","",IF(AND(tblPaid[[#This Row],[Date]]&gt;=FFrom,tblPaid[[#This Row],[Date]]&lt;=FTo,OR(DashCell="",tblPaid[[#This Row],[Cell]]=DashCell)),tblPaid[[#This Row],[Date]],""))</f>
        <v>46272</v>
      </c>
      <c r="M5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2" s="28" t="s">
        <v>144</v>
      </c>
    </row>
    <row r="53" spans="2:14" x14ac:dyDescent="0.25">
      <c r="B53" s="35">
        <v>46272</v>
      </c>
      <c r="C53" s="28" t="s">
        <v>101</v>
      </c>
      <c r="D53" s="28" t="s">
        <v>94</v>
      </c>
      <c r="E53" s="29">
        <v>37.5</v>
      </c>
      <c r="F53" s="38">
        <f>IF(tblPaid[[#This Row],[Date]]="","",SUMIFS(tblLabor[Actual hours (person-h)],tblLabor[Date],tblPaid[[#This Row],[Date]],tblLabor[Shift],tblPaid[[#This Row],[Shift]],tblLabor[Cell],tblPaid[[#This Row],[Cell]]))</f>
        <v>27.75</v>
      </c>
      <c r="G53" s="38">
        <f>IF(tblPaid[[#This Row],[Date]]="","",SUMIFS(tblLabor[Earned hours (person-h)],tblLabor[Date],tblPaid[[#This Row],[Date]],tblLabor[Shift],tblPaid[[#This Row],[Shift]],tblLabor[Cell],tblPaid[[#This Row],[Cell]]))</f>
        <v>25.5233333333333</v>
      </c>
      <c r="H53" s="38">
        <f>IF(tblPaid[[#This Row],[Date]]="","",tblPaid[[#This Row],[Paid hours (person-h)]]-tblPaid[[#This Row],[Direct hours (person-h)]])</f>
        <v>9.75</v>
      </c>
      <c r="I53" s="31">
        <f>IF(tblPaid[[#This Row],[Date]]="","",IF(tblPaid[[#This Row],[Paid hours (person-h)]]&gt;0,tblPaid[[#This Row],[Direct hours (person-h)]]/tblPaid[[#This Row],[Paid hours (person-h)]],""))</f>
        <v>0.74</v>
      </c>
      <c r="J53" s="31">
        <f>IF(tblPaid[[#This Row],[Date]]="","",IF(tblPaid[[#This Row],[Paid hours (person-h)]]&gt;0,tblPaid[[#This Row],[Earned hours (person-h)]]/tblPaid[[#This Row],[Paid hours (person-h)]],""))</f>
        <v>0.680622222222222</v>
      </c>
      <c r="K53" s="39" t="str">
        <f>IF(NOT(ISNUMBER(tblPaid[[#This Row],[Utilization]])),"",IF(tblPaid[[#This Row],[Utilization]]&gt;=TargetUtil,"On target",IF(tblPaid[[#This Row],[Utilization]]&gt;=TargetUtil*(1-0.05),"Near target","Below target")))</f>
        <v>Below target</v>
      </c>
      <c r="L53" s="41">
        <f>IF(tblPaid[[#This Row],[Date]]="","",IF(AND(tblPaid[[#This Row],[Date]]&gt;=FFrom,tblPaid[[#This Row],[Date]]&lt;=FTo,OR(DashCell="",tblPaid[[#This Row],[Cell]]=DashCell)),tblPaid[[#This Row],[Date]],""))</f>
        <v>46272</v>
      </c>
      <c r="M5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3" s="28" t="s">
        <v>144</v>
      </c>
    </row>
    <row r="54" spans="2:14" x14ac:dyDescent="0.25">
      <c r="B54" s="35">
        <v>46273</v>
      </c>
      <c r="C54" s="28" t="s">
        <v>98</v>
      </c>
      <c r="D54" s="28" t="s">
        <v>86</v>
      </c>
      <c r="E54" s="29">
        <v>30</v>
      </c>
      <c r="F54" s="38">
        <f>IF(tblPaid[[#This Row],[Date]]="","",SUMIFS(tblLabor[Actual hours (person-h)],tblLabor[Date],tblPaid[[#This Row],[Date]],tblLabor[Shift],tblPaid[[#This Row],[Shift]],tblLabor[Cell],tblPaid[[#This Row],[Cell]]))</f>
        <v>27.5</v>
      </c>
      <c r="G54" s="38">
        <f>IF(tblPaid[[#This Row],[Date]]="","",SUMIFS(tblLabor[Earned hours (person-h)],tblLabor[Date],tblPaid[[#This Row],[Date]],tblLabor[Shift],tblPaid[[#This Row],[Shift]],tblLabor[Cell],tblPaid[[#This Row],[Cell]]))</f>
        <v>26.3516666666667</v>
      </c>
      <c r="H54" s="38">
        <f>IF(tblPaid[[#This Row],[Date]]="","",tblPaid[[#This Row],[Paid hours (person-h)]]-tblPaid[[#This Row],[Direct hours (person-h)]])</f>
        <v>2.5</v>
      </c>
      <c r="I54" s="31">
        <f>IF(tblPaid[[#This Row],[Date]]="","",IF(tblPaid[[#This Row],[Paid hours (person-h)]]&gt;0,tblPaid[[#This Row],[Direct hours (person-h)]]/tblPaid[[#This Row],[Paid hours (person-h)]],""))</f>
        <v>0.916666666666667</v>
      </c>
      <c r="J54" s="31">
        <f>IF(tblPaid[[#This Row],[Date]]="","",IF(tblPaid[[#This Row],[Paid hours (person-h)]]&gt;0,tblPaid[[#This Row],[Earned hours (person-h)]]/tblPaid[[#This Row],[Paid hours (person-h)]],""))</f>
        <v>0.878388888888889</v>
      </c>
      <c r="K54" s="39" t="str">
        <f>IF(NOT(ISNUMBER(tblPaid[[#This Row],[Utilization]])),"",IF(tblPaid[[#This Row],[Utilization]]&gt;=TargetUtil,"On target",IF(tblPaid[[#This Row],[Utilization]]&gt;=TargetUtil*(1-0.05),"Near target","Below target")))</f>
        <v>On target</v>
      </c>
      <c r="L54" s="41">
        <f>IF(tblPaid[[#This Row],[Date]]="","",IF(AND(tblPaid[[#This Row],[Date]]&gt;=FFrom,tblPaid[[#This Row],[Date]]&lt;=FTo,OR(DashCell="",tblPaid[[#This Row],[Cell]]=DashCell)),tblPaid[[#This Row],[Date]],""))</f>
        <v>46273</v>
      </c>
      <c r="M5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4" s="28" t="s">
        <v>136</v>
      </c>
    </row>
    <row r="55" spans="2:14" x14ac:dyDescent="0.25">
      <c r="B55" s="35">
        <v>46273</v>
      </c>
      <c r="C55" s="28" t="s">
        <v>98</v>
      </c>
      <c r="D55" s="28" t="s">
        <v>89</v>
      </c>
      <c r="E55" s="29">
        <v>60</v>
      </c>
      <c r="F55" s="38">
        <f>IF(tblPaid[[#This Row],[Date]]="","",SUMIFS(tblLabor[Actual hours (person-h)],tblLabor[Date],tblPaid[[#This Row],[Date]],tblLabor[Shift],tblPaid[[#This Row],[Shift]],tblLabor[Cell],tblPaid[[#This Row],[Cell]]))</f>
        <v>56.5</v>
      </c>
      <c r="G55" s="38">
        <f>IF(tblPaid[[#This Row],[Date]]="","",SUMIFS(tblLabor[Earned hours (person-h)],tblLabor[Date],tblPaid[[#This Row],[Date]],tblLabor[Shift],tblPaid[[#This Row],[Shift]],tblLabor[Cell],tblPaid[[#This Row],[Cell]]))</f>
        <v>51.15</v>
      </c>
      <c r="H55" s="38">
        <f>IF(tblPaid[[#This Row],[Date]]="","",tblPaid[[#This Row],[Paid hours (person-h)]]-tblPaid[[#This Row],[Direct hours (person-h)]])</f>
        <v>3.5</v>
      </c>
      <c r="I55" s="31">
        <f>IF(tblPaid[[#This Row],[Date]]="","",IF(tblPaid[[#This Row],[Paid hours (person-h)]]&gt;0,tblPaid[[#This Row],[Direct hours (person-h)]]/tblPaid[[#This Row],[Paid hours (person-h)]],""))</f>
        <v>0.941666666666667</v>
      </c>
      <c r="J55" s="31">
        <f>IF(tblPaid[[#This Row],[Date]]="","",IF(tblPaid[[#This Row],[Paid hours (person-h)]]&gt;0,tblPaid[[#This Row],[Earned hours (person-h)]]/tblPaid[[#This Row],[Paid hours (person-h)]],""))</f>
        <v>0.8525</v>
      </c>
      <c r="K55" s="39" t="str">
        <f>IF(NOT(ISNUMBER(tblPaid[[#This Row],[Utilization]])),"",IF(tblPaid[[#This Row],[Utilization]]&gt;=TargetUtil,"On target",IF(tblPaid[[#This Row],[Utilization]]&gt;=TargetUtil*(1-0.05),"Near target","Below target")))</f>
        <v>On target</v>
      </c>
      <c r="L55" s="41">
        <f>IF(tblPaid[[#This Row],[Date]]="","",IF(AND(tblPaid[[#This Row],[Date]]&gt;=FFrom,tblPaid[[#This Row],[Date]]&lt;=FTo,OR(DashCell="",tblPaid[[#This Row],[Cell]]=DashCell)),tblPaid[[#This Row],[Date]],""))</f>
        <v>46273</v>
      </c>
      <c r="M5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5" s="28" t="s">
        <v>136</v>
      </c>
    </row>
    <row r="56" spans="2:14" x14ac:dyDescent="0.25">
      <c r="B56" s="35">
        <v>46273</v>
      </c>
      <c r="C56" s="28" t="s">
        <v>98</v>
      </c>
      <c r="D56" s="28" t="s">
        <v>92</v>
      </c>
      <c r="E56" s="29">
        <v>52.5</v>
      </c>
      <c r="F56" s="38">
        <f>IF(tblPaid[[#This Row],[Date]]="","",SUMIFS(tblLabor[Actual hours (person-h)],tblLabor[Date],tblPaid[[#This Row],[Date]],tblLabor[Shift],tblPaid[[#This Row],[Shift]],tblLabor[Cell],tblPaid[[#This Row],[Cell]]))</f>
        <v>47.25</v>
      </c>
      <c r="G56" s="38">
        <f>IF(tblPaid[[#This Row],[Date]]="","",SUMIFS(tblLabor[Earned hours (person-h)],tblLabor[Date],tblPaid[[#This Row],[Date]],tblLabor[Shift],tblPaid[[#This Row],[Shift]],tblLabor[Cell],tblPaid[[#This Row],[Cell]]))</f>
        <v>44.7533333333333</v>
      </c>
      <c r="H56" s="38">
        <f>IF(tblPaid[[#This Row],[Date]]="","",tblPaid[[#This Row],[Paid hours (person-h)]]-tblPaid[[#This Row],[Direct hours (person-h)]])</f>
        <v>5.25</v>
      </c>
      <c r="I56" s="31">
        <f>IF(tblPaid[[#This Row],[Date]]="","",IF(tblPaid[[#This Row],[Paid hours (person-h)]]&gt;0,tblPaid[[#This Row],[Direct hours (person-h)]]/tblPaid[[#This Row],[Paid hours (person-h)]],""))</f>
        <v>0.9</v>
      </c>
      <c r="J56" s="31">
        <f>IF(tblPaid[[#This Row],[Date]]="","",IF(tblPaid[[#This Row],[Paid hours (person-h)]]&gt;0,tblPaid[[#This Row],[Earned hours (person-h)]]/tblPaid[[#This Row],[Paid hours (person-h)]],""))</f>
        <v>0.852444444444445</v>
      </c>
      <c r="K56" s="39" t="str">
        <f>IF(NOT(ISNUMBER(tblPaid[[#This Row],[Utilization]])),"",IF(tblPaid[[#This Row],[Utilization]]&gt;=TargetUtil,"On target",IF(tblPaid[[#This Row],[Utilization]]&gt;=TargetUtil*(1-0.05),"Near target","Below target")))</f>
        <v>On target</v>
      </c>
      <c r="L56" s="41">
        <f>IF(tblPaid[[#This Row],[Date]]="","",IF(AND(tblPaid[[#This Row],[Date]]&gt;=FFrom,tblPaid[[#This Row],[Date]]&lt;=FTo,OR(DashCell="",tblPaid[[#This Row],[Cell]]=DashCell)),tblPaid[[#This Row],[Date]],""))</f>
        <v>46273</v>
      </c>
      <c r="M5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6" s="28" t="s">
        <v>136</v>
      </c>
    </row>
    <row r="57" spans="2:14" x14ac:dyDescent="0.25">
      <c r="B57" s="35">
        <v>46273</v>
      </c>
      <c r="C57" s="28" t="s">
        <v>98</v>
      </c>
      <c r="D57" s="28" t="s">
        <v>94</v>
      </c>
      <c r="E57" s="29">
        <v>37.5</v>
      </c>
      <c r="F57" s="38">
        <f>IF(tblPaid[[#This Row],[Date]]="","",SUMIFS(tblLabor[Actual hours (person-h)],tblLabor[Date],tblPaid[[#This Row],[Date]],tblLabor[Shift],tblPaid[[#This Row],[Shift]],tblLabor[Cell],tblPaid[[#This Row],[Cell]]))</f>
        <v>30.5</v>
      </c>
      <c r="G57" s="38">
        <f>IF(tblPaid[[#This Row],[Date]]="","",SUMIFS(tblLabor[Earned hours (person-h)],tblLabor[Date],tblPaid[[#This Row],[Date]],tblLabor[Shift],tblPaid[[#This Row],[Shift]],tblLabor[Cell],tblPaid[[#This Row],[Cell]]))</f>
        <v>28.1733333333333</v>
      </c>
      <c r="H57" s="38">
        <f>IF(tblPaid[[#This Row],[Date]]="","",tblPaid[[#This Row],[Paid hours (person-h)]]-tblPaid[[#This Row],[Direct hours (person-h)]])</f>
        <v>7</v>
      </c>
      <c r="I57" s="31">
        <f>IF(tblPaid[[#This Row],[Date]]="","",IF(tblPaid[[#This Row],[Paid hours (person-h)]]&gt;0,tblPaid[[#This Row],[Direct hours (person-h)]]/tblPaid[[#This Row],[Paid hours (person-h)]],""))</f>
        <v>0.813333333333333</v>
      </c>
      <c r="J57" s="31">
        <f>IF(tblPaid[[#This Row],[Date]]="","",IF(tblPaid[[#This Row],[Paid hours (person-h)]]&gt;0,tblPaid[[#This Row],[Earned hours (person-h)]]/tblPaid[[#This Row],[Paid hours (person-h)]],""))</f>
        <v>0.751288888888889</v>
      </c>
      <c r="K57" s="39" t="str">
        <f>IF(NOT(ISNUMBER(tblPaid[[#This Row],[Utilization]])),"",IF(tblPaid[[#This Row],[Utilization]]&gt;=TargetUtil,"On target",IF(tblPaid[[#This Row],[Utilization]]&gt;=TargetUtil*(1-0.05),"Near target","Below target")))</f>
        <v>Near target</v>
      </c>
      <c r="L57" s="41">
        <f>IF(tblPaid[[#This Row],[Date]]="","",IF(AND(tblPaid[[#This Row],[Date]]&gt;=FFrom,tblPaid[[#This Row],[Date]]&lt;=FTo,OR(DashCell="",tblPaid[[#This Row],[Cell]]=DashCell)),tblPaid[[#This Row],[Date]],""))</f>
        <v>46273</v>
      </c>
      <c r="M5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7" s="28" t="s">
        <v>136</v>
      </c>
    </row>
    <row r="58" spans="2:14" x14ac:dyDescent="0.25">
      <c r="B58" s="35">
        <v>46273</v>
      </c>
      <c r="C58" s="28" t="s">
        <v>101</v>
      </c>
      <c r="D58" s="28" t="s">
        <v>86</v>
      </c>
      <c r="E58" s="29">
        <v>22.5</v>
      </c>
      <c r="F58" s="38">
        <f>IF(tblPaid[[#This Row],[Date]]="","",SUMIFS(tblLabor[Actual hours (person-h)],tblLabor[Date],tblPaid[[#This Row],[Date]],tblLabor[Shift],tblPaid[[#This Row],[Shift]],tblLabor[Cell],tblPaid[[#This Row],[Cell]]))</f>
        <v>21.5</v>
      </c>
      <c r="G58" s="38">
        <f>IF(tblPaid[[#This Row],[Date]]="","",SUMIFS(tblLabor[Earned hours (person-h)],tblLabor[Date],tblPaid[[#This Row],[Date]],tblLabor[Shift],tblPaid[[#This Row],[Shift]],tblLabor[Cell],tblPaid[[#This Row],[Cell]]))</f>
        <v>20.5666666666667</v>
      </c>
      <c r="H58" s="38">
        <f>IF(tblPaid[[#This Row],[Date]]="","",tblPaid[[#This Row],[Paid hours (person-h)]]-tblPaid[[#This Row],[Direct hours (person-h)]])</f>
        <v>1</v>
      </c>
      <c r="I58" s="31">
        <f>IF(tblPaid[[#This Row],[Date]]="","",IF(tblPaid[[#This Row],[Paid hours (person-h)]]&gt;0,tblPaid[[#This Row],[Direct hours (person-h)]]/tblPaid[[#This Row],[Paid hours (person-h)]],""))</f>
        <v>0.955555555555556</v>
      </c>
      <c r="J58" s="31">
        <f>IF(tblPaid[[#This Row],[Date]]="","",IF(tblPaid[[#This Row],[Paid hours (person-h)]]&gt;0,tblPaid[[#This Row],[Earned hours (person-h)]]/tblPaid[[#This Row],[Paid hours (person-h)]],""))</f>
        <v>0.914074074074074</v>
      </c>
      <c r="K58" s="39" t="str">
        <f>IF(NOT(ISNUMBER(tblPaid[[#This Row],[Utilization]])),"",IF(tblPaid[[#This Row],[Utilization]]&gt;=TargetUtil,"On target",IF(tblPaid[[#This Row],[Utilization]]&gt;=TargetUtil*(1-0.05),"Near target","Below target")))</f>
        <v>On target</v>
      </c>
      <c r="L58" s="41">
        <f>IF(tblPaid[[#This Row],[Date]]="","",IF(AND(tblPaid[[#This Row],[Date]]&gt;=FFrom,tblPaid[[#This Row],[Date]]&lt;=FTo,OR(DashCell="",tblPaid[[#This Row],[Cell]]=DashCell)),tblPaid[[#This Row],[Date]],""))</f>
        <v>46273</v>
      </c>
      <c r="M5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8" s="28" t="s">
        <v>146</v>
      </c>
    </row>
    <row r="59" spans="2:14" x14ac:dyDescent="0.25">
      <c r="B59" s="35">
        <v>46273</v>
      </c>
      <c r="C59" s="28" t="s">
        <v>101</v>
      </c>
      <c r="D59" s="28" t="s">
        <v>89</v>
      </c>
      <c r="E59" s="29">
        <v>60</v>
      </c>
      <c r="F59" s="38">
        <f>IF(tblPaid[[#This Row],[Date]]="","",SUMIFS(tblLabor[Actual hours (person-h)],tblLabor[Date],tblPaid[[#This Row],[Date]],tblLabor[Shift],tblPaid[[#This Row],[Shift]],tblLabor[Cell],tblPaid[[#This Row],[Cell]]))</f>
        <v>55</v>
      </c>
      <c r="G59" s="38">
        <f>IF(tblPaid[[#This Row],[Date]]="","",SUMIFS(tblLabor[Earned hours (person-h)],tblLabor[Date],tblPaid[[#This Row],[Date]],tblLabor[Shift],tblPaid[[#This Row],[Shift]],tblLabor[Cell],tblPaid[[#This Row],[Cell]]))</f>
        <v>48.4</v>
      </c>
      <c r="H59" s="38">
        <f>IF(tblPaid[[#This Row],[Date]]="","",tblPaid[[#This Row],[Paid hours (person-h)]]-tblPaid[[#This Row],[Direct hours (person-h)]])</f>
        <v>5</v>
      </c>
      <c r="I59" s="31">
        <f>IF(tblPaid[[#This Row],[Date]]="","",IF(tblPaid[[#This Row],[Paid hours (person-h)]]&gt;0,tblPaid[[#This Row],[Direct hours (person-h)]]/tblPaid[[#This Row],[Paid hours (person-h)]],""))</f>
        <v>0.916666666666667</v>
      </c>
      <c r="J59" s="31">
        <f>IF(tblPaid[[#This Row],[Date]]="","",IF(tblPaid[[#This Row],[Paid hours (person-h)]]&gt;0,tblPaid[[#This Row],[Earned hours (person-h)]]/tblPaid[[#This Row],[Paid hours (person-h)]],""))</f>
        <v>0.806666666666667</v>
      </c>
      <c r="K59" s="39" t="str">
        <f>IF(NOT(ISNUMBER(tblPaid[[#This Row],[Utilization]])),"",IF(tblPaid[[#This Row],[Utilization]]&gt;=TargetUtil,"On target",IF(tblPaid[[#This Row],[Utilization]]&gt;=TargetUtil*(1-0.05),"Near target","Below target")))</f>
        <v>On target</v>
      </c>
      <c r="L59" s="41">
        <f>IF(tblPaid[[#This Row],[Date]]="","",IF(AND(tblPaid[[#This Row],[Date]]&gt;=FFrom,tblPaid[[#This Row],[Date]]&lt;=FTo,OR(DashCell="",tblPaid[[#This Row],[Cell]]=DashCell)),tblPaid[[#This Row],[Date]],""))</f>
        <v>46273</v>
      </c>
      <c r="M5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59" s="28" t="s">
        <v>136</v>
      </c>
    </row>
    <row r="60" spans="2:14" x14ac:dyDescent="0.25">
      <c r="B60" s="35">
        <v>46273</v>
      </c>
      <c r="C60" s="28" t="s">
        <v>101</v>
      </c>
      <c r="D60" s="28" t="s">
        <v>92</v>
      </c>
      <c r="E60" s="29">
        <v>52.5</v>
      </c>
      <c r="F60" s="38">
        <f>IF(tblPaid[[#This Row],[Date]]="","",SUMIFS(tblLabor[Actual hours (person-h)],tblLabor[Date],tblPaid[[#This Row],[Date]],tblLabor[Shift],tblPaid[[#This Row],[Shift]],tblLabor[Cell],tblPaid[[#This Row],[Cell]]))</f>
        <v>47.5</v>
      </c>
      <c r="G60" s="38">
        <f>IF(tblPaid[[#This Row],[Date]]="","",SUMIFS(tblLabor[Earned hours (person-h)],tblLabor[Date],tblPaid[[#This Row],[Date]],tblLabor[Shift],tblPaid[[#This Row],[Shift]],tblLabor[Cell],tblPaid[[#This Row],[Cell]]))</f>
        <v>32.83</v>
      </c>
      <c r="H60" s="38">
        <f>IF(tblPaid[[#This Row],[Date]]="","",tblPaid[[#This Row],[Paid hours (person-h)]]-tblPaid[[#This Row],[Direct hours (person-h)]])</f>
        <v>5</v>
      </c>
      <c r="I60" s="31">
        <f>IF(tblPaid[[#This Row],[Date]]="","",IF(tblPaid[[#This Row],[Paid hours (person-h)]]&gt;0,tblPaid[[#This Row],[Direct hours (person-h)]]/tblPaid[[#This Row],[Paid hours (person-h)]],""))</f>
        <v>0.904761904761905</v>
      </c>
      <c r="J60" s="31">
        <f>IF(tblPaid[[#This Row],[Date]]="","",IF(tblPaid[[#This Row],[Paid hours (person-h)]]&gt;0,tblPaid[[#This Row],[Earned hours (person-h)]]/tblPaid[[#This Row],[Paid hours (person-h)]],""))</f>
        <v>0.625333333333333</v>
      </c>
      <c r="K60" s="39" t="str">
        <f>IF(NOT(ISNUMBER(tblPaid[[#This Row],[Utilization]])),"",IF(tblPaid[[#This Row],[Utilization]]&gt;=TargetUtil,"On target",IF(tblPaid[[#This Row],[Utilization]]&gt;=TargetUtil*(1-0.05),"Near target","Below target")))</f>
        <v>On target</v>
      </c>
      <c r="L60" s="41">
        <f>IF(tblPaid[[#This Row],[Date]]="","",IF(AND(tblPaid[[#This Row],[Date]]&gt;=FFrom,tblPaid[[#This Row],[Date]]&lt;=FTo,OR(DashCell="",tblPaid[[#This Row],[Cell]]=DashCell)),tblPaid[[#This Row],[Date]],""))</f>
        <v>46273</v>
      </c>
      <c r="M6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0" s="28" t="s">
        <v>136</v>
      </c>
    </row>
    <row r="61" spans="2:14" x14ac:dyDescent="0.25">
      <c r="B61" s="35">
        <v>46273</v>
      </c>
      <c r="C61" s="28" t="s">
        <v>101</v>
      </c>
      <c r="D61" s="28" t="s">
        <v>94</v>
      </c>
      <c r="E61" s="29">
        <v>37.5</v>
      </c>
      <c r="F61" s="38">
        <f>IF(tblPaid[[#This Row],[Date]]="","",SUMIFS(tblLabor[Actual hours (person-h)],tblLabor[Date],tblPaid[[#This Row],[Date]],tblLabor[Shift],tblPaid[[#This Row],[Shift]],tblLabor[Cell],tblPaid[[#This Row],[Cell]]))</f>
        <v>31.25</v>
      </c>
      <c r="G61" s="38">
        <f>IF(tblPaid[[#This Row],[Date]]="","",SUMIFS(tblLabor[Earned hours (person-h)],tblLabor[Date],tblPaid[[#This Row],[Date]],tblLabor[Shift],tblPaid[[#This Row],[Shift]],tblLabor[Cell],tblPaid[[#This Row],[Cell]]))</f>
        <v>29.6366666666667</v>
      </c>
      <c r="H61" s="38">
        <f>IF(tblPaid[[#This Row],[Date]]="","",tblPaid[[#This Row],[Paid hours (person-h)]]-tblPaid[[#This Row],[Direct hours (person-h)]])</f>
        <v>6.25</v>
      </c>
      <c r="I61" s="31">
        <f>IF(tblPaid[[#This Row],[Date]]="","",IF(tblPaid[[#This Row],[Paid hours (person-h)]]&gt;0,tblPaid[[#This Row],[Direct hours (person-h)]]/tblPaid[[#This Row],[Paid hours (person-h)]],""))</f>
        <v>0.833333333333333</v>
      </c>
      <c r="J61" s="31">
        <f>IF(tblPaid[[#This Row],[Date]]="","",IF(tblPaid[[#This Row],[Paid hours (person-h)]]&gt;0,tblPaid[[#This Row],[Earned hours (person-h)]]/tblPaid[[#This Row],[Paid hours (person-h)]],""))</f>
        <v>0.790311111111111</v>
      </c>
      <c r="K61" s="39" t="str">
        <f>IF(NOT(ISNUMBER(tblPaid[[#This Row],[Utilization]])),"",IF(tblPaid[[#This Row],[Utilization]]&gt;=TargetUtil,"On target",IF(tblPaid[[#This Row],[Utilization]]&gt;=TargetUtil*(1-0.05),"Near target","Below target")))</f>
        <v>Near target</v>
      </c>
      <c r="L61" s="41">
        <f>IF(tblPaid[[#This Row],[Date]]="","",IF(AND(tblPaid[[#This Row],[Date]]&gt;=FFrom,tblPaid[[#This Row],[Date]]&lt;=FTo,OR(DashCell="",tblPaid[[#This Row],[Cell]]=DashCell)),tblPaid[[#This Row],[Date]],""))</f>
        <v>46273</v>
      </c>
      <c r="M6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1" s="28" t="s">
        <v>136</v>
      </c>
    </row>
    <row r="62" spans="2:14" x14ac:dyDescent="0.25">
      <c r="B62" s="35">
        <v>46274</v>
      </c>
      <c r="C62" s="28" t="s">
        <v>98</v>
      </c>
      <c r="D62" s="28" t="s">
        <v>86</v>
      </c>
      <c r="E62" s="29">
        <v>30</v>
      </c>
      <c r="F62" s="38">
        <f>IF(tblPaid[[#This Row],[Date]]="","",SUMIFS(tblLabor[Actual hours (person-h)],tblLabor[Date],tblPaid[[#This Row],[Date]],tblLabor[Shift],tblPaid[[#This Row],[Shift]],tblLabor[Cell],tblPaid[[#This Row],[Cell]]))</f>
        <v>28.25</v>
      </c>
      <c r="G62" s="38">
        <f>IF(tblPaid[[#This Row],[Date]]="","",SUMIFS(tblLabor[Earned hours (person-h)],tblLabor[Date],tblPaid[[#This Row],[Date]],tblLabor[Shift],tblPaid[[#This Row],[Shift]],tblLabor[Cell],tblPaid[[#This Row],[Cell]]))</f>
        <v>28.2466666666667</v>
      </c>
      <c r="H62" s="38">
        <f>IF(tblPaid[[#This Row],[Date]]="","",tblPaid[[#This Row],[Paid hours (person-h)]]-tblPaid[[#This Row],[Direct hours (person-h)]])</f>
        <v>1.75</v>
      </c>
      <c r="I62" s="31">
        <f>IF(tblPaid[[#This Row],[Date]]="","",IF(tblPaid[[#This Row],[Paid hours (person-h)]]&gt;0,tblPaid[[#This Row],[Direct hours (person-h)]]/tblPaid[[#This Row],[Paid hours (person-h)]],""))</f>
        <v>0.941666666666667</v>
      </c>
      <c r="J62" s="31">
        <f>IF(tblPaid[[#This Row],[Date]]="","",IF(tblPaid[[#This Row],[Paid hours (person-h)]]&gt;0,tblPaid[[#This Row],[Earned hours (person-h)]]/tblPaid[[#This Row],[Paid hours (person-h)]],""))</f>
        <v>0.941555555555556</v>
      </c>
      <c r="K62" s="39" t="str">
        <f>IF(NOT(ISNUMBER(tblPaid[[#This Row],[Utilization]])),"",IF(tblPaid[[#This Row],[Utilization]]&gt;=TargetUtil,"On target",IF(tblPaid[[#This Row],[Utilization]]&gt;=TargetUtil*(1-0.05),"Near target","Below target")))</f>
        <v>On target</v>
      </c>
      <c r="L62" s="41">
        <f>IF(tblPaid[[#This Row],[Date]]="","",IF(AND(tblPaid[[#This Row],[Date]]&gt;=FFrom,tblPaid[[#This Row],[Date]]&lt;=FTo,OR(DashCell="",tblPaid[[#This Row],[Cell]]=DashCell)),tblPaid[[#This Row],[Date]],""))</f>
        <v>46274</v>
      </c>
      <c r="M6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2" s="28" t="s">
        <v>136</v>
      </c>
    </row>
    <row r="63" spans="2:14" x14ac:dyDescent="0.25">
      <c r="B63" s="35">
        <v>46274</v>
      </c>
      <c r="C63" s="28" t="s">
        <v>98</v>
      </c>
      <c r="D63" s="28" t="s">
        <v>89</v>
      </c>
      <c r="E63" s="29">
        <v>52.5</v>
      </c>
      <c r="F63" s="38">
        <f>IF(tblPaid[[#This Row],[Date]]="","",SUMIFS(tblLabor[Actual hours (person-h)],tblLabor[Date],tblPaid[[#This Row],[Date]],tblLabor[Shift],tblPaid[[#This Row],[Shift]],tblLabor[Cell],tblPaid[[#This Row],[Cell]]))</f>
        <v>47.5</v>
      </c>
      <c r="G63" s="38">
        <f>IF(tblPaid[[#This Row],[Date]]="","",SUMIFS(tblLabor[Earned hours (person-h)],tblLabor[Date],tblPaid[[#This Row],[Date]],tblLabor[Shift],tblPaid[[#This Row],[Shift]],tblLabor[Cell],tblPaid[[#This Row],[Cell]]))</f>
        <v>42.9</v>
      </c>
      <c r="H63" s="38">
        <f>IF(tblPaid[[#This Row],[Date]]="","",tblPaid[[#This Row],[Paid hours (person-h)]]-tblPaid[[#This Row],[Direct hours (person-h)]])</f>
        <v>5</v>
      </c>
      <c r="I63" s="31">
        <f>IF(tblPaid[[#This Row],[Date]]="","",IF(tblPaid[[#This Row],[Paid hours (person-h)]]&gt;0,tblPaid[[#This Row],[Direct hours (person-h)]]/tblPaid[[#This Row],[Paid hours (person-h)]],""))</f>
        <v>0.904761904761905</v>
      </c>
      <c r="J63" s="31">
        <f>IF(tblPaid[[#This Row],[Date]]="","",IF(tblPaid[[#This Row],[Paid hours (person-h)]]&gt;0,tblPaid[[#This Row],[Earned hours (person-h)]]/tblPaid[[#This Row],[Paid hours (person-h)]],""))</f>
        <v>0.817142857142857</v>
      </c>
      <c r="K63" s="39" t="str">
        <f>IF(NOT(ISNUMBER(tblPaid[[#This Row],[Utilization]])),"",IF(tblPaid[[#This Row],[Utilization]]&gt;=TargetUtil,"On target",IF(tblPaid[[#This Row],[Utilization]]&gt;=TargetUtil*(1-0.05),"Near target","Below target")))</f>
        <v>On target</v>
      </c>
      <c r="L63" s="41">
        <f>IF(tblPaid[[#This Row],[Date]]="","",IF(AND(tblPaid[[#This Row],[Date]]&gt;=FFrom,tblPaid[[#This Row],[Date]]&lt;=FTo,OR(DashCell="",tblPaid[[#This Row],[Cell]]=DashCell)),tblPaid[[#This Row],[Date]],""))</f>
        <v>46274</v>
      </c>
      <c r="M6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3" s="28" t="s">
        <v>146</v>
      </c>
    </row>
    <row r="64" spans="2:14" x14ac:dyDescent="0.25">
      <c r="B64" s="35">
        <v>46274</v>
      </c>
      <c r="C64" s="28" t="s">
        <v>98</v>
      </c>
      <c r="D64" s="28" t="s">
        <v>92</v>
      </c>
      <c r="E64" s="29">
        <v>45</v>
      </c>
      <c r="F64" s="38">
        <f>IF(tblPaid[[#This Row],[Date]]="","",SUMIFS(tblLabor[Actual hours (person-h)],tblLabor[Date],tblPaid[[#This Row],[Date]],tblLabor[Shift],tblPaid[[#This Row],[Shift]],tblLabor[Cell],tblPaid[[#This Row],[Cell]]))</f>
        <v>42.25</v>
      </c>
      <c r="G64" s="38">
        <f>IF(tblPaid[[#This Row],[Date]]="","",SUMIFS(tblLabor[Earned hours (person-h)],tblLabor[Date],tblPaid[[#This Row],[Date]],tblLabor[Shift],tblPaid[[#This Row],[Shift]],tblLabor[Cell],tblPaid[[#This Row],[Cell]]))</f>
        <v>36.735</v>
      </c>
      <c r="H64" s="38">
        <f>IF(tblPaid[[#This Row],[Date]]="","",tblPaid[[#This Row],[Paid hours (person-h)]]-tblPaid[[#This Row],[Direct hours (person-h)]])</f>
        <v>2.75</v>
      </c>
      <c r="I64" s="31">
        <f>IF(tblPaid[[#This Row],[Date]]="","",IF(tblPaid[[#This Row],[Paid hours (person-h)]]&gt;0,tblPaid[[#This Row],[Direct hours (person-h)]]/tblPaid[[#This Row],[Paid hours (person-h)]],""))</f>
        <v>0.938888888888889</v>
      </c>
      <c r="J64" s="31">
        <f>IF(tblPaid[[#This Row],[Date]]="","",IF(tblPaid[[#This Row],[Paid hours (person-h)]]&gt;0,tblPaid[[#This Row],[Earned hours (person-h)]]/tblPaid[[#This Row],[Paid hours (person-h)]],""))</f>
        <v>0.816333333333333</v>
      </c>
      <c r="K64" s="39" t="str">
        <f>IF(NOT(ISNUMBER(tblPaid[[#This Row],[Utilization]])),"",IF(tblPaid[[#This Row],[Utilization]]&gt;=TargetUtil,"On target",IF(tblPaid[[#This Row],[Utilization]]&gt;=TargetUtil*(1-0.05),"Near target","Below target")))</f>
        <v>On target</v>
      </c>
      <c r="L64" s="41">
        <f>IF(tblPaid[[#This Row],[Date]]="","",IF(AND(tblPaid[[#This Row],[Date]]&gt;=FFrom,tblPaid[[#This Row],[Date]]&lt;=FTo,OR(DashCell="",tblPaid[[#This Row],[Cell]]=DashCell)),tblPaid[[#This Row],[Date]],""))</f>
        <v>46274</v>
      </c>
      <c r="M6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4" s="28" t="s">
        <v>146</v>
      </c>
    </row>
    <row r="65" spans="2:14" x14ac:dyDescent="0.25">
      <c r="B65" s="35">
        <v>46274</v>
      </c>
      <c r="C65" s="28" t="s">
        <v>98</v>
      </c>
      <c r="D65" s="28" t="s">
        <v>94</v>
      </c>
      <c r="E65" s="29">
        <v>37.5</v>
      </c>
      <c r="F65" s="38">
        <f>IF(tblPaid[[#This Row],[Date]]="","",SUMIFS(tblLabor[Actual hours (person-h)],tblLabor[Date],tblPaid[[#This Row],[Date]],tblLabor[Shift],tblPaid[[#This Row],[Shift]],tblLabor[Cell],tblPaid[[#This Row],[Cell]]))</f>
        <v>31.25</v>
      </c>
      <c r="G65" s="38">
        <f>IF(tblPaid[[#This Row],[Date]]="","",SUMIFS(tblLabor[Earned hours (person-h)],tblLabor[Date],tblPaid[[#This Row],[Date]],tblLabor[Shift],tblPaid[[#This Row],[Shift]],tblLabor[Cell],tblPaid[[#This Row],[Cell]]))</f>
        <v>28.6</v>
      </c>
      <c r="H65" s="38">
        <f>IF(tblPaid[[#This Row],[Date]]="","",tblPaid[[#This Row],[Paid hours (person-h)]]-tblPaid[[#This Row],[Direct hours (person-h)]])</f>
        <v>6.25</v>
      </c>
      <c r="I65" s="31">
        <f>IF(tblPaid[[#This Row],[Date]]="","",IF(tblPaid[[#This Row],[Paid hours (person-h)]]&gt;0,tblPaid[[#This Row],[Direct hours (person-h)]]/tblPaid[[#This Row],[Paid hours (person-h)]],""))</f>
        <v>0.833333333333333</v>
      </c>
      <c r="J65" s="31">
        <f>IF(tblPaid[[#This Row],[Date]]="","",IF(tblPaid[[#This Row],[Paid hours (person-h)]]&gt;0,tblPaid[[#This Row],[Earned hours (person-h)]]/tblPaid[[#This Row],[Paid hours (person-h)]],""))</f>
        <v>0.762666666666667</v>
      </c>
      <c r="K65" s="39" t="str">
        <f>IF(NOT(ISNUMBER(tblPaid[[#This Row],[Utilization]])),"",IF(tblPaid[[#This Row],[Utilization]]&gt;=TargetUtil,"On target",IF(tblPaid[[#This Row],[Utilization]]&gt;=TargetUtil*(1-0.05),"Near target","Below target")))</f>
        <v>Near target</v>
      </c>
      <c r="L65" s="41">
        <f>IF(tblPaid[[#This Row],[Date]]="","",IF(AND(tblPaid[[#This Row],[Date]]&gt;=FFrom,tblPaid[[#This Row],[Date]]&lt;=FTo,OR(DashCell="",tblPaid[[#This Row],[Cell]]=DashCell)),tblPaid[[#This Row],[Date]],""))</f>
        <v>46274</v>
      </c>
      <c r="M6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5" s="28" t="s">
        <v>136</v>
      </c>
    </row>
    <row r="66" spans="2:14" x14ac:dyDescent="0.25">
      <c r="B66" s="35">
        <v>46274</v>
      </c>
      <c r="C66" s="28" t="s">
        <v>101</v>
      </c>
      <c r="D66" s="28" t="s">
        <v>86</v>
      </c>
      <c r="E66" s="29">
        <v>30</v>
      </c>
      <c r="F66" s="38">
        <f>IF(tblPaid[[#This Row],[Date]]="","",SUMIFS(tblLabor[Actual hours (person-h)],tblLabor[Date],tblPaid[[#This Row],[Date]],tblLabor[Shift],tblPaid[[#This Row],[Shift]],tblLabor[Cell],tblPaid[[#This Row],[Cell]]))</f>
        <v>27.5</v>
      </c>
      <c r="G66" s="38">
        <f>IF(tblPaid[[#This Row],[Date]]="","",SUMIFS(tblLabor[Earned hours (person-h)],tblLabor[Date],tblPaid[[#This Row],[Date]],tblLabor[Shift],tblPaid[[#This Row],[Shift]],tblLabor[Cell],tblPaid[[#This Row],[Cell]]))</f>
        <v>27</v>
      </c>
      <c r="H66" s="38">
        <f>IF(tblPaid[[#This Row],[Date]]="","",tblPaid[[#This Row],[Paid hours (person-h)]]-tblPaid[[#This Row],[Direct hours (person-h)]])</f>
        <v>2.5</v>
      </c>
      <c r="I66" s="31">
        <f>IF(tblPaid[[#This Row],[Date]]="","",IF(tblPaid[[#This Row],[Paid hours (person-h)]]&gt;0,tblPaid[[#This Row],[Direct hours (person-h)]]/tblPaid[[#This Row],[Paid hours (person-h)]],""))</f>
        <v>0.916666666666667</v>
      </c>
      <c r="J66" s="31">
        <f>IF(tblPaid[[#This Row],[Date]]="","",IF(tblPaid[[#This Row],[Paid hours (person-h)]]&gt;0,tblPaid[[#This Row],[Earned hours (person-h)]]/tblPaid[[#This Row],[Paid hours (person-h)]],""))</f>
        <v>0.9</v>
      </c>
      <c r="K66" s="39" t="str">
        <f>IF(NOT(ISNUMBER(tblPaid[[#This Row],[Utilization]])),"",IF(tblPaid[[#This Row],[Utilization]]&gt;=TargetUtil,"On target",IF(tblPaid[[#This Row],[Utilization]]&gt;=TargetUtil*(1-0.05),"Near target","Below target")))</f>
        <v>On target</v>
      </c>
      <c r="L66" s="41">
        <f>IF(tblPaid[[#This Row],[Date]]="","",IF(AND(tblPaid[[#This Row],[Date]]&gt;=FFrom,tblPaid[[#This Row],[Date]]&lt;=FTo,OR(DashCell="",tblPaid[[#This Row],[Cell]]=DashCell)),tblPaid[[#This Row],[Date]],""))</f>
        <v>46274</v>
      </c>
      <c r="M6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6" s="28" t="s">
        <v>136</v>
      </c>
    </row>
    <row r="67" spans="2:14" x14ac:dyDescent="0.25">
      <c r="B67" s="35">
        <v>46274</v>
      </c>
      <c r="C67" s="28" t="s">
        <v>101</v>
      </c>
      <c r="D67" s="28" t="s">
        <v>89</v>
      </c>
      <c r="E67" s="29">
        <v>52.5</v>
      </c>
      <c r="F67" s="38">
        <f>IF(tblPaid[[#This Row],[Date]]="","",SUMIFS(tblLabor[Actual hours (person-h)],tblLabor[Date],tblPaid[[#This Row],[Date]],tblLabor[Shift],tblPaid[[#This Row],[Shift]],tblLabor[Cell],tblPaid[[#This Row],[Cell]]))</f>
        <v>49.25</v>
      </c>
      <c r="G67" s="38">
        <f>IF(tblPaid[[#This Row],[Date]]="","",SUMIFS(tblLabor[Earned hours (person-h)],tblLabor[Date],tblPaid[[#This Row],[Date]],tblLabor[Shift],tblPaid[[#This Row],[Shift]],tblLabor[Cell],tblPaid[[#This Row],[Cell]]))</f>
        <v>45.65</v>
      </c>
      <c r="H67" s="38">
        <f>IF(tblPaid[[#This Row],[Date]]="","",tblPaid[[#This Row],[Paid hours (person-h)]]-tblPaid[[#This Row],[Direct hours (person-h)]])</f>
        <v>3.25</v>
      </c>
      <c r="I67" s="31">
        <f>IF(tblPaid[[#This Row],[Date]]="","",IF(tblPaid[[#This Row],[Paid hours (person-h)]]&gt;0,tblPaid[[#This Row],[Direct hours (person-h)]]/tblPaid[[#This Row],[Paid hours (person-h)]],""))</f>
        <v>0.938095238095238</v>
      </c>
      <c r="J67" s="31">
        <f>IF(tblPaid[[#This Row],[Date]]="","",IF(tblPaid[[#This Row],[Paid hours (person-h)]]&gt;0,tblPaid[[#This Row],[Earned hours (person-h)]]/tblPaid[[#This Row],[Paid hours (person-h)]],""))</f>
        <v>0.86952380952381</v>
      </c>
      <c r="K67" s="39" t="str">
        <f>IF(NOT(ISNUMBER(tblPaid[[#This Row],[Utilization]])),"",IF(tblPaid[[#This Row],[Utilization]]&gt;=TargetUtil,"On target",IF(tblPaid[[#This Row],[Utilization]]&gt;=TargetUtil*(1-0.05),"Near target","Below target")))</f>
        <v>On target</v>
      </c>
      <c r="L67" s="41">
        <f>IF(tblPaid[[#This Row],[Date]]="","",IF(AND(tblPaid[[#This Row],[Date]]&gt;=FFrom,tblPaid[[#This Row],[Date]]&lt;=FTo,OR(DashCell="",tblPaid[[#This Row],[Cell]]=DashCell)),tblPaid[[#This Row],[Date]],""))</f>
        <v>46274</v>
      </c>
      <c r="M6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7" s="28" t="s">
        <v>146</v>
      </c>
    </row>
    <row r="68" spans="2:14" x14ac:dyDescent="0.25">
      <c r="B68" s="35">
        <v>46274</v>
      </c>
      <c r="C68" s="28" t="s">
        <v>101</v>
      </c>
      <c r="D68" s="28" t="s">
        <v>92</v>
      </c>
      <c r="E68" s="29">
        <v>52.5</v>
      </c>
      <c r="F68" s="38">
        <f>IF(tblPaid[[#This Row],[Date]]="","",SUMIFS(tblLabor[Actual hours (person-h)],tblLabor[Date],tblPaid[[#This Row],[Date]],tblLabor[Shift],tblPaid[[#This Row],[Shift]],tblLabor[Cell],tblPaid[[#This Row],[Cell]]))</f>
        <v>49</v>
      </c>
      <c r="G68" s="38">
        <f>IF(tblPaid[[#This Row],[Date]]="","",SUMIFS(tblLabor[Earned hours (person-h)],tblLabor[Date],tblPaid[[#This Row],[Date]],tblLabor[Shift],tblPaid[[#This Row],[Shift]],tblLabor[Cell],tblPaid[[#This Row],[Cell]]))</f>
        <v>34.1516666666667</v>
      </c>
      <c r="H68" s="38">
        <f>IF(tblPaid[[#This Row],[Date]]="","",tblPaid[[#This Row],[Paid hours (person-h)]]-tblPaid[[#This Row],[Direct hours (person-h)]])</f>
        <v>3.5</v>
      </c>
      <c r="I68" s="31">
        <f>IF(tblPaid[[#This Row],[Date]]="","",IF(tblPaid[[#This Row],[Paid hours (person-h)]]&gt;0,tblPaid[[#This Row],[Direct hours (person-h)]]/tblPaid[[#This Row],[Paid hours (person-h)]],""))</f>
        <v>0.933333333333333</v>
      </c>
      <c r="J68" s="31">
        <f>IF(tblPaid[[#This Row],[Date]]="","",IF(tblPaid[[#This Row],[Paid hours (person-h)]]&gt;0,tblPaid[[#This Row],[Earned hours (person-h)]]/tblPaid[[#This Row],[Paid hours (person-h)]],""))</f>
        <v>0.650507936507937</v>
      </c>
      <c r="K68" s="39" t="str">
        <f>IF(NOT(ISNUMBER(tblPaid[[#This Row],[Utilization]])),"",IF(tblPaid[[#This Row],[Utilization]]&gt;=TargetUtil,"On target",IF(tblPaid[[#This Row],[Utilization]]&gt;=TargetUtil*(1-0.05),"Near target","Below target")))</f>
        <v>On target</v>
      </c>
      <c r="L68" s="41">
        <f>IF(tblPaid[[#This Row],[Date]]="","",IF(AND(tblPaid[[#This Row],[Date]]&gt;=FFrom,tblPaid[[#This Row],[Date]]&lt;=FTo,OR(DashCell="",tblPaid[[#This Row],[Cell]]=DashCell)),tblPaid[[#This Row],[Date]],""))</f>
        <v>46274</v>
      </c>
      <c r="M6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8" s="28" t="s">
        <v>136</v>
      </c>
    </row>
    <row r="69" spans="2:14" x14ac:dyDescent="0.25">
      <c r="B69" s="35">
        <v>46274</v>
      </c>
      <c r="C69" s="28" t="s">
        <v>101</v>
      </c>
      <c r="D69" s="28" t="s">
        <v>94</v>
      </c>
      <c r="E69" s="29">
        <v>37.5</v>
      </c>
      <c r="F69" s="38">
        <f>IF(tblPaid[[#This Row],[Date]]="","",SUMIFS(tblLabor[Actual hours (person-h)],tblLabor[Date],tblPaid[[#This Row],[Date]],tblLabor[Shift],tblPaid[[#This Row],[Shift]],tblLabor[Cell],tblPaid[[#This Row],[Cell]]))</f>
        <v>31.25</v>
      </c>
      <c r="G69" s="38">
        <f>IF(tblPaid[[#This Row],[Date]]="","",SUMIFS(tblLabor[Earned hours (person-h)],tblLabor[Date],tblPaid[[#This Row],[Date]],tblLabor[Shift],tblPaid[[#This Row],[Shift]],tblLabor[Cell],tblPaid[[#This Row],[Cell]]))</f>
        <v>27.7383333333333</v>
      </c>
      <c r="H69" s="38">
        <f>IF(tblPaid[[#This Row],[Date]]="","",tblPaid[[#This Row],[Paid hours (person-h)]]-tblPaid[[#This Row],[Direct hours (person-h)]])</f>
        <v>6.25</v>
      </c>
      <c r="I69" s="31">
        <f>IF(tblPaid[[#This Row],[Date]]="","",IF(tblPaid[[#This Row],[Paid hours (person-h)]]&gt;0,tblPaid[[#This Row],[Direct hours (person-h)]]/tblPaid[[#This Row],[Paid hours (person-h)]],""))</f>
        <v>0.833333333333333</v>
      </c>
      <c r="J69" s="31">
        <f>IF(tblPaid[[#This Row],[Date]]="","",IF(tblPaid[[#This Row],[Paid hours (person-h)]]&gt;0,tblPaid[[#This Row],[Earned hours (person-h)]]/tblPaid[[#This Row],[Paid hours (person-h)]],""))</f>
        <v>0.739688888888889</v>
      </c>
      <c r="K69" s="39" t="str">
        <f>IF(NOT(ISNUMBER(tblPaid[[#This Row],[Utilization]])),"",IF(tblPaid[[#This Row],[Utilization]]&gt;=TargetUtil,"On target",IF(tblPaid[[#This Row],[Utilization]]&gt;=TargetUtil*(1-0.05),"Near target","Below target")))</f>
        <v>Near target</v>
      </c>
      <c r="L69" s="41">
        <f>IF(tblPaid[[#This Row],[Date]]="","",IF(AND(tblPaid[[#This Row],[Date]]&gt;=FFrom,tblPaid[[#This Row],[Date]]&lt;=FTo,OR(DashCell="",tblPaid[[#This Row],[Cell]]=DashCell)),tblPaid[[#This Row],[Date]],""))</f>
        <v>46274</v>
      </c>
      <c r="M6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69" s="28" t="s">
        <v>136</v>
      </c>
    </row>
    <row r="70" spans="2:14" x14ac:dyDescent="0.25">
      <c r="B70" s="35">
        <v>46275</v>
      </c>
      <c r="C70" s="28" t="s">
        <v>98</v>
      </c>
      <c r="D70" s="28" t="s">
        <v>86</v>
      </c>
      <c r="E70" s="29">
        <v>22.5</v>
      </c>
      <c r="F70" s="38">
        <f>IF(tblPaid[[#This Row],[Date]]="","",SUMIFS(tblLabor[Actual hours (person-h)],tblLabor[Date],tblPaid[[#This Row],[Date]],tblLabor[Shift],tblPaid[[#This Row],[Shift]],tblLabor[Cell],tblPaid[[#This Row],[Cell]]))</f>
        <v>21.25</v>
      </c>
      <c r="G70" s="38">
        <f>IF(tblPaid[[#This Row],[Date]]="","",SUMIFS(tblLabor[Earned hours (person-h)],tblLabor[Date],tblPaid[[#This Row],[Date]],tblLabor[Shift],tblPaid[[#This Row],[Shift]],tblLabor[Cell],tblPaid[[#This Row],[Cell]]))</f>
        <v>20.3666666666667</v>
      </c>
      <c r="H70" s="38">
        <f>IF(tblPaid[[#This Row],[Date]]="","",tblPaid[[#This Row],[Paid hours (person-h)]]-tblPaid[[#This Row],[Direct hours (person-h)]])</f>
        <v>1.25</v>
      </c>
      <c r="I70" s="31">
        <f>IF(tblPaid[[#This Row],[Date]]="","",IF(tblPaid[[#This Row],[Paid hours (person-h)]]&gt;0,tblPaid[[#This Row],[Direct hours (person-h)]]/tblPaid[[#This Row],[Paid hours (person-h)]],""))</f>
        <v>0.944444444444444</v>
      </c>
      <c r="J70" s="31">
        <f>IF(tblPaid[[#This Row],[Date]]="","",IF(tblPaid[[#This Row],[Paid hours (person-h)]]&gt;0,tblPaid[[#This Row],[Earned hours (person-h)]]/tblPaid[[#This Row],[Paid hours (person-h)]],""))</f>
        <v>0.905185185185185</v>
      </c>
      <c r="K70" s="39" t="str">
        <f>IF(NOT(ISNUMBER(tblPaid[[#This Row],[Utilization]])),"",IF(tblPaid[[#This Row],[Utilization]]&gt;=TargetUtil,"On target",IF(tblPaid[[#This Row],[Utilization]]&gt;=TargetUtil*(1-0.05),"Near target","Below target")))</f>
        <v>On target</v>
      </c>
      <c r="L70" s="41">
        <f>IF(tblPaid[[#This Row],[Date]]="","",IF(AND(tblPaid[[#This Row],[Date]]&gt;=FFrom,tblPaid[[#This Row],[Date]]&lt;=FTo,OR(DashCell="",tblPaid[[#This Row],[Cell]]=DashCell)),tblPaid[[#This Row],[Date]],""))</f>
        <v>46275</v>
      </c>
      <c r="M7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0" s="28" t="s">
        <v>146</v>
      </c>
    </row>
    <row r="71" spans="2:14" x14ac:dyDescent="0.25">
      <c r="B71" s="35">
        <v>46275</v>
      </c>
      <c r="C71" s="28" t="s">
        <v>98</v>
      </c>
      <c r="D71" s="28" t="s">
        <v>89</v>
      </c>
      <c r="E71" s="29">
        <v>60</v>
      </c>
      <c r="F71" s="38">
        <f>IF(tblPaid[[#This Row],[Date]]="","",SUMIFS(tblLabor[Actual hours (person-h)],tblLabor[Date],tblPaid[[#This Row],[Date]],tblLabor[Shift],tblPaid[[#This Row],[Shift]],tblLabor[Cell],tblPaid[[#This Row],[Cell]]))</f>
        <v>55.25</v>
      </c>
      <c r="G71" s="38">
        <f>IF(tblPaid[[#This Row],[Date]]="","",SUMIFS(tblLabor[Earned hours (person-h)],tblLabor[Date],tblPaid[[#This Row],[Date]],tblLabor[Shift],tblPaid[[#This Row],[Shift]],tblLabor[Cell],tblPaid[[#This Row],[Cell]]))</f>
        <v>52.0666666666667</v>
      </c>
      <c r="H71" s="38">
        <f>IF(tblPaid[[#This Row],[Date]]="","",tblPaid[[#This Row],[Paid hours (person-h)]]-tblPaid[[#This Row],[Direct hours (person-h)]])</f>
        <v>4.75</v>
      </c>
      <c r="I71" s="31">
        <f>IF(tblPaid[[#This Row],[Date]]="","",IF(tblPaid[[#This Row],[Paid hours (person-h)]]&gt;0,tblPaid[[#This Row],[Direct hours (person-h)]]/tblPaid[[#This Row],[Paid hours (person-h)]],""))</f>
        <v>0.920833333333333</v>
      </c>
      <c r="J71" s="31">
        <f>IF(tblPaid[[#This Row],[Date]]="","",IF(tblPaid[[#This Row],[Paid hours (person-h)]]&gt;0,tblPaid[[#This Row],[Earned hours (person-h)]]/tblPaid[[#This Row],[Paid hours (person-h)]],""))</f>
        <v>0.867777777777778</v>
      </c>
      <c r="K71" s="39" t="str">
        <f>IF(NOT(ISNUMBER(tblPaid[[#This Row],[Utilization]])),"",IF(tblPaid[[#This Row],[Utilization]]&gt;=TargetUtil,"On target",IF(tblPaid[[#This Row],[Utilization]]&gt;=TargetUtil*(1-0.05),"Near target","Below target")))</f>
        <v>On target</v>
      </c>
      <c r="L71" s="41">
        <f>IF(tblPaid[[#This Row],[Date]]="","",IF(AND(tblPaid[[#This Row],[Date]]&gt;=FFrom,tblPaid[[#This Row],[Date]]&lt;=FTo,OR(DashCell="",tblPaid[[#This Row],[Cell]]=DashCell)),tblPaid[[#This Row],[Date]],""))</f>
        <v>46275</v>
      </c>
      <c r="M7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1" s="28" t="s">
        <v>136</v>
      </c>
    </row>
    <row r="72" spans="2:14" x14ac:dyDescent="0.25">
      <c r="B72" s="35">
        <v>46275</v>
      </c>
      <c r="C72" s="28" t="s">
        <v>98</v>
      </c>
      <c r="D72" s="28" t="s">
        <v>92</v>
      </c>
      <c r="E72" s="29">
        <v>45</v>
      </c>
      <c r="F72" s="38">
        <f>IF(tblPaid[[#This Row],[Date]]="","",SUMIFS(tblLabor[Actual hours (person-h)],tblLabor[Date],tblPaid[[#This Row],[Date]],tblLabor[Shift],tblPaid[[#This Row],[Shift]],tblLabor[Cell],tblPaid[[#This Row],[Cell]]))</f>
        <v>40.25</v>
      </c>
      <c r="G72" s="38">
        <f>IF(tblPaid[[#This Row],[Date]]="","",SUMIFS(tblLabor[Earned hours (person-h)],tblLabor[Date],tblPaid[[#This Row],[Date]],tblLabor[Shift],tblPaid[[#This Row],[Shift]],tblLabor[Cell],tblPaid[[#This Row],[Cell]]))</f>
        <v>36.75</v>
      </c>
      <c r="H72" s="38">
        <f>IF(tblPaid[[#This Row],[Date]]="","",tblPaid[[#This Row],[Paid hours (person-h)]]-tblPaid[[#This Row],[Direct hours (person-h)]])</f>
        <v>4.75</v>
      </c>
      <c r="I72" s="31">
        <f>IF(tblPaid[[#This Row],[Date]]="","",IF(tblPaid[[#This Row],[Paid hours (person-h)]]&gt;0,tblPaid[[#This Row],[Direct hours (person-h)]]/tblPaid[[#This Row],[Paid hours (person-h)]],""))</f>
        <v>0.894444444444445</v>
      </c>
      <c r="J72" s="31">
        <f>IF(tblPaid[[#This Row],[Date]]="","",IF(tblPaid[[#This Row],[Paid hours (person-h)]]&gt;0,tblPaid[[#This Row],[Earned hours (person-h)]]/tblPaid[[#This Row],[Paid hours (person-h)]],""))</f>
        <v>0.816666666666667</v>
      </c>
      <c r="K72" s="39" t="str">
        <f>IF(NOT(ISNUMBER(tblPaid[[#This Row],[Utilization]])),"",IF(tblPaid[[#This Row],[Utilization]]&gt;=TargetUtil,"On target",IF(tblPaid[[#This Row],[Utilization]]&gt;=TargetUtil*(1-0.05),"Near target","Below target")))</f>
        <v>On target</v>
      </c>
      <c r="L72" s="41">
        <f>IF(tblPaid[[#This Row],[Date]]="","",IF(AND(tblPaid[[#This Row],[Date]]&gt;=FFrom,tblPaid[[#This Row],[Date]]&lt;=FTo,OR(DashCell="",tblPaid[[#This Row],[Cell]]=DashCell)),tblPaid[[#This Row],[Date]],""))</f>
        <v>46275</v>
      </c>
      <c r="M7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2" s="28" t="s">
        <v>146</v>
      </c>
    </row>
    <row r="73" spans="2:14" x14ac:dyDescent="0.25">
      <c r="B73" s="35">
        <v>46275</v>
      </c>
      <c r="C73" s="28" t="s">
        <v>98</v>
      </c>
      <c r="D73" s="28" t="s">
        <v>94</v>
      </c>
      <c r="E73" s="29">
        <v>37.5</v>
      </c>
      <c r="F73" s="38">
        <f>IF(tblPaid[[#This Row],[Date]]="","",SUMIFS(tblLabor[Actual hours (person-h)],tblLabor[Date],tblPaid[[#This Row],[Date]],tblLabor[Shift],tblPaid[[#This Row],[Shift]],tblLabor[Cell],tblPaid[[#This Row],[Cell]]))</f>
        <v>30.75</v>
      </c>
      <c r="G73" s="38">
        <f>IF(tblPaid[[#This Row],[Date]]="","",SUMIFS(tblLabor[Earned hours (person-h)],tblLabor[Date],tblPaid[[#This Row],[Date]],tblLabor[Shift],tblPaid[[#This Row],[Shift]],tblLabor[Cell],tblPaid[[#This Row],[Cell]]))</f>
        <v>28.7866666666667</v>
      </c>
      <c r="H73" s="38">
        <f>IF(tblPaid[[#This Row],[Date]]="","",tblPaid[[#This Row],[Paid hours (person-h)]]-tblPaid[[#This Row],[Direct hours (person-h)]])</f>
        <v>6.75</v>
      </c>
      <c r="I73" s="31">
        <f>IF(tblPaid[[#This Row],[Date]]="","",IF(tblPaid[[#This Row],[Paid hours (person-h)]]&gt;0,tblPaid[[#This Row],[Direct hours (person-h)]]/tblPaid[[#This Row],[Paid hours (person-h)]],""))</f>
        <v>0.82</v>
      </c>
      <c r="J73" s="31">
        <f>IF(tblPaid[[#This Row],[Date]]="","",IF(tblPaid[[#This Row],[Paid hours (person-h)]]&gt;0,tblPaid[[#This Row],[Earned hours (person-h)]]/tblPaid[[#This Row],[Paid hours (person-h)]],""))</f>
        <v>0.767644444444445</v>
      </c>
      <c r="K73" s="39" t="str">
        <f>IF(NOT(ISNUMBER(tblPaid[[#This Row],[Utilization]])),"",IF(tblPaid[[#This Row],[Utilization]]&gt;=TargetUtil,"On target",IF(tblPaid[[#This Row],[Utilization]]&gt;=TargetUtil*(1-0.05),"Near target","Below target")))</f>
        <v>Near target</v>
      </c>
      <c r="L73" s="41">
        <f>IF(tblPaid[[#This Row],[Date]]="","",IF(AND(tblPaid[[#This Row],[Date]]&gt;=FFrom,tblPaid[[#This Row],[Date]]&lt;=FTo,OR(DashCell="",tblPaid[[#This Row],[Cell]]=DashCell)),tblPaid[[#This Row],[Date]],""))</f>
        <v>46275</v>
      </c>
      <c r="M7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3" s="28" t="s">
        <v>136</v>
      </c>
    </row>
    <row r="74" spans="2:14" x14ac:dyDescent="0.25">
      <c r="B74" s="35">
        <v>46275</v>
      </c>
      <c r="C74" s="28" t="s">
        <v>101</v>
      </c>
      <c r="D74" s="28" t="s">
        <v>86</v>
      </c>
      <c r="E74" s="29">
        <v>30</v>
      </c>
      <c r="F74" s="38">
        <f>IF(tblPaid[[#This Row],[Date]]="","",SUMIFS(tblLabor[Actual hours (person-h)],tblLabor[Date],tblPaid[[#This Row],[Date]],tblLabor[Shift],tblPaid[[#This Row],[Shift]],tblLabor[Cell],tblPaid[[#This Row],[Cell]]))</f>
        <v>27.5</v>
      </c>
      <c r="G74" s="38">
        <f>IF(tblPaid[[#This Row],[Date]]="","",SUMIFS(tblLabor[Earned hours (person-h)],tblLabor[Date],tblPaid[[#This Row],[Date]],tblLabor[Shift],tblPaid[[#This Row],[Shift]],tblLabor[Cell],tblPaid[[#This Row],[Cell]]))</f>
        <v>26.1583333333333</v>
      </c>
      <c r="H74" s="38">
        <f>IF(tblPaid[[#This Row],[Date]]="","",tblPaid[[#This Row],[Paid hours (person-h)]]-tblPaid[[#This Row],[Direct hours (person-h)]])</f>
        <v>2.5</v>
      </c>
      <c r="I74" s="31">
        <f>IF(tblPaid[[#This Row],[Date]]="","",IF(tblPaid[[#This Row],[Paid hours (person-h)]]&gt;0,tblPaid[[#This Row],[Direct hours (person-h)]]/tblPaid[[#This Row],[Paid hours (person-h)]],""))</f>
        <v>0.916666666666667</v>
      </c>
      <c r="J74" s="31">
        <f>IF(tblPaid[[#This Row],[Date]]="","",IF(tblPaid[[#This Row],[Paid hours (person-h)]]&gt;0,tblPaid[[#This Row],[Earned hours (person-h)]]/tblPaid[[#This Row],[Paid hours (person-h)]],""))</f>
        <v>0.871944444444444</v>
      </c>
      <c r="K74" s="39" t="str">
        <f>IF(NOT(ISNUMBER(tblPaid[[#This Row],[Utilization]])),"",IF(tblPaid[[#This Row],[Utilization]]&gt;=TargetUtil,"On target",IF(tblPaid[[#This Row],[Utilization]]&gt;=TargetUtil*(1-0.05),"Near target","Below target")))</f>
        <v>On target</v>
      </c>
      <c r="L74" s="41">
        <f>IF(tblPaid[[#This Row],[Date]]="","",IF(AND(tblPaid[[#This Row],[Date]]&gt;=FFrom,tblPaid[[#This Row],[Date]]&lt;=FTo,OR(DashCell="",tblPaid[[#This Row],[Cell]]=DashCell)),tblPaid[[#This Row],[Date]],""))</f>
        <v>46275</v>
      </c>
      <c r="M7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4" s="28" t="s">
        <v>136</v>
      </c>
    </row>
    <row r="75" spans="2:14" x14ac:dyDescent="0.25">
      <c r="B75" s="35">
        <v>46275</v>
      </c>
      <c r="C75" s="28" t="s">
        <v>101</v>
      </c>
      <c r="D75" s="28" t="s">
        <v>89</v>
      </c>
      <c r="E75" s="29">
        <v>52.5</v>
      </c>
      <c r="F75" s="38">
        <f>IF(tblPaid[[#This Row],[Date]]="","",SUMIFS(tblLabor[Actual hours (person-h)],tblLabor[Date],tblPaid[[#This Row],[Date]],tblLabor[Shift],tblPaid[[#This Row],[Shift]],tblLabor[Cell],tblPaid[[#This Row],[Cell]]))</f>
        <v>48.75</v>
      </c>
      <c r="G75" s="38">
        <f>IF(tblPaid[[#This Row],[Date]]="","",SUMIFS(tblLabor[Earned hours (person-h)],tblLabor[Date],tblPaid[[#This Row],[Date]],tblLabor[Shift],tblPaid[[#This Row],[Shift]],tblLabor[Cell],tblPaid[[#This Row],[Cell]]))</f>
        <v>43.2666666666667</v>
      </c>
      <c r="H75" s="38">
        <f>IF(tblPaid[[#This Row],[Date]]="","",tblPaid[[#This Row],[Paid hours (person-h)]]-tblPaid[[#This Row],[Direct hours (person-h)]])</f>
        <v>3.75</v>
      </c>
      <c r="I75" s="31">
        <f>IF(tblPaid[[#This Row],[Date]]="","",IF(tblPaid[[#This Row],[Paid hours (person-h)]]&gt;0,tblPaid[[#This Row],[Direct hours (person-h)]]/tblPaid[[#This Row],[Paid hours (person-h)]],""))</f>
        <v>0.928571428571429</v>
      </c>
      <c r="J75" s="31">
        <f>IF(tblPaid[[#This Row],[Date]]="","",IF(tblPaid[[#This Row],[Paid hours (person-h)]]&gt;0,tblPaid[[#This Row],[Earned hours (person-h)]]/tblPaid[[#This Row],[Paid hours (person-h)]],""))</f>
        <v>0.824126984126984</v>
      </c>
      <c r="K75" s="39" t="str">
        <f>IF(NOT(ISNUMBER(tblPaid[[#This Row],[Utilization]])),"",IF(tblPaid[[#This Row],[Utilization]]&gt;=TargetUtil,"On target",IF(tblPaid[[#This Row],[Utilization]]&gt;=TargetUtil*(1-0.05),"Near target","Below target")))</f>
        <v>On target</v>
      </c>
      <c r="L75" s="41">
        <f>IF(tblPaid[[#This Row],[Date]]="","",IF(AND(tblPaid[[#This Row],[Date]]&gt;=FFrom,tblPaid[[#This Row],[Date]]&lt;=FTo,OR(DashCell="",tblPaid[[#This Row],[Cell]]=DashCell)),tblPaid[[#This Row],[Date]],""))</f>
        <v>46275</v>
      </c>
      <c r="M7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5" s="28" t="s">
        <v>146</v>
      </c>
    </row>
    <row r="76" spans="2:14" x14ac:dyDescent="0.25">
      <c r="B76" s="35">
        <v>46275</v>
      </c>
      <c r="C76" s="28" t="s">
        <v>101</v>
      </c>
      <c r="D76" s="28" t="s">
        <v>92</v>
      </c>
      <c r="E76" s="29">
        <v>52.5</v>
      </c>
      <c r="F76" s="38">
        <f>IF(tblPaid[[#This Row],[Date]]="","",SUMIFS(tblLabor[Actual hours (person-h)],tblLabor[Date],tblPaid[[#This Row],[Date]],tblLabor[Shift],tblPaid[[#This Row],[Shift]],tblLabor[Cell],tblPaid[[#This Row],[Cell]]))</f>
        <v>49.25</v>
      </c>
      <c r="G76" s="38">
        <f>IF(tblPaid[[#This Row],[Date]]="","",SUMIFS(tblLabor[Earned hours (person-h)],tblLabor[Date],tblPaid[[#This Row],[Date]],tblLabor[Shift],tblPaid[[#This Row],[Shift]],tblLabor[Cell],tblPaid[[#This Row],[Cell]]))</f>
        <v>33.6466666666667</v>
      </c>
      <c r="H76" s="38">
        <f>IF(tblPaid[[#This Row],[Date]]="","",tblPaid[[#This Row],[Paid hours (person-h)]]-tblPaid[[#This Row],[Direct hours (person-h)]])</f>
        <v>3.25</v>
      </c>
      <c r="I76" s="31">
        <f>IF(tblPaid[[#This Row],[Date]]="","",IF(tblPaid[[#This Row],[Paid hours (person-h)]]&gt;0,tblPaid[[#This Row],[Direct hours (person-h)]]/tblPaid[[#This Row],[Paid hours (person-h)]],""))</f>
        <v>0.938095238095238</v>
      </c>
      <c r="J76" s="31">
        <f>IF(tblPaid[[#This Row],[Date]]="","",IF(tblPaid[[#This Row],[Paid hours (person-h)]]&gt;0,tblPaid[[#This Row],[Earned hours (person-h)]]/tblPaid[[#This Row],[Paid hours (person-h)]],""))</f>
        <v>0.640888888888889</v>
      </c>
      <c r="K76" s="39" t="str">
        <f>IF(NOT(ISNUMBER(tblPaid[[#This Row],[Utilization]])),"",IF(tblPaid[[#This Row],[Utilization]]&gt;=TargetUtil,"On target",IF(tblPaid[[#This Row],[Utilization]]&gt;=TargetUtil*(1-0.05),"Near target","Below target")))</f>
        <v>On target</v>
      </c>
      <c r="L76" s="41">
        <f>IF(tblPaid[[#This Row],[Date]]="","",IF(AND(tblPaid[[#This Row],[Date]]&gt;=FFrom,tblPaid[[#This Row],[Date]]&lt;=FTo,OR(DashCell="",tblPaid[[#This Row],[Cell]]=DashCell)),tblPaid[[#This Row],[Date]],""))</f>
        <v>46275</v>
      </c>
      <c r="M7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6" s="28" t="s">
        <v>136</v>
      </c>
    </row>
    <row r="77" spans="2:14" x14ac:dyDescent="0.25">
      <c r="B77" s="35">
        <v>46275</v>
      </c>
      <c r="C77" s="28" t="s">
        <v>101</v>
      </c>
      <c r="D77" s="28" t="s">
        <v>94</v>
      </c>
      <c r="E77" s="29">
        <v>37.5</v>
      </c>
      <c r="F77" s="38">
        <f>IF(tblPaid[[#This Row],[Date]]="","",SUMIFS(tblLabor[Actual hours (person-h)],tblLabor[Date],tblPaid[[#This Row],[Date]],tblLabor[Shift],tblPaid[[#This Row],[Shift]],tblLabor[Cell],tblPaid[[#This Row],[Cell]]))</f>
        <v>31.5</v>
      </c>
      <c r="G77" s="38">
        <f>IF(tblPaid[[#This Row],[Date]]="","",SUMIFS(tblLabor[Earned hours (person-h)],tblLabor[Date],tblPaid[[#This Row],[Date]],tblLabor[Shift],tblPaid[[#This Row],[Shift]],tblLabor[Cell],tblPaid[[#This Row],[Cell]]))</f>
        <v>28.52</v>
      </c>
      <c r="H77" s="38">
        <f>IF(tblPaid[[#This Row],[Date]]="","",tblPaid[[#This Row],[Paid hours (person-h)]]-tblPaid[[#This Row],[Direct hours (person-h)]])</f>
        <v>6</v>
      </c>
      <c r="I77" s="31">
        <f>IF(tblPaid[[#This Row],[Date]]="","",IF(tblPaid[[#This Row],[Paid hours (person-h)]]&gt;0,tblPaid[[#This Row],[Direct hours (person-h)]]/tblPaid[[#This Row],[Paid hours (person-h)]],""))</f>
        <v>0.84</v>
      </c>
      <c r="J77" s="31">
        <f>IF(tblPaid[[#This Row],[Date]]="","",IF(tblPaid[[#This Row],[Paid hours (person-h)]]&gt;0,tblPaid[[#This Row],[Earned hours (person-h)]]/tblPaid[[#This Row],[Paid hours (person-h)]],""))</f>
        <v>0.760533333333333</v>
      </c>
      <c r="K77" s="39" t="str">
        <f>IF(NOT(ISNUMBER(tblPaid[[#This Row],[Utilization]])),"",IF(tblPaid[[#This Row],[Utilization]]&gt;=TargetUtil,"On target",IF(tblPaid[[#This Row],[Utilization]]&gt;=TargetUtil*(1-0.05),"Near target","Below target")))</f>
        <v>Near target</v>
      </c>
      <c r="L77" s="41">
        <f>IF(tblPaid[[#This Row],[Date]]="","",IF(AND(tblPaid[[#This Row],[Date]]&gt;=FFrom,tblPaid[[#This Row],[Date]]&lt;=FTo,OR(DashCell="",tblPaid[[#This Row],[Cell]]=DashCell)),tblPaid[[#This Row],[Date]],""))</f>
        <v>46275</v>
      </c>
      <c r="M7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7" s="28" t="s">
        <v>136</v>
      </c>
    </row>
    <row r="78" spans="2:14" x14ac:dyDescent="0.25">
      <c r="B78" s="35">
        <v>46276</v>
      </c>
      <c r="C78" s="28" t="s">
        <v>98</v>
      </c>
      <c r="D78" s="28" t="s">
        <v>86</v>
      </c>
      <c r="E78" s="29">
        <v>30</v>
      </c>
      <c r="F78" s="38">
        <f>IF(tblPaid[[#This Row],[Date]]="","",SUMIFS(tblLabor[Actual hours (person-h)],tblLabor[Date],tblPaid[[#This Row],[Date]],tblLabor[Shift],tblPaid[[#This Row],[Shift]],tblLabor[Cell],tblPaid[[#This Row],[Cell]]))</f>
        <v>27.75</v>
      </c>
      <c r="G78" s="38">
        <f>IF(tblPaid[[#This Row],[Date]]="","",SUMIFS(tblLabor[Earned hours (person-h)],tblLabor[Date],tblPaid[[#This Row],[Date]],tblLabor[Shift],tblPaid[[#This Row],[Shift]],tblLabor[Cell],tblPaid[[#This Row],[Cell]]))</f>
        <v>27.84</v>
      </c>
      <c r="H78" s="38">
        <f>IF(tblPaid[[#This Row],[Date]]="","",tblPaid[[#This Row],[Paid hours (person-h)]]-tblPaid[[#This Row],[Direct hours (person-h)]])</f>
        <v>2.25</v>
      </c>
      <c r="I78" s="31">
        <f>IF(tblPaid[[#This Row],[Date]]="","",IF(tblPaid[[#This Row],[Paid hours (person-h)]]&gt;0,tblPaid[[#This Row],[Direct hours (person-h)]]/tblPaid[[#This Row],[Paid hours (person-h)]],""))</f>
        <v>0.925</v>
      </c>
      <c r="J78" s="31">
        <f>IF(tblPaid[[#This Row],[Date]]="","",IF(tblPaid[[#This Row],[Paid hours (person-h)]]&gt;0,tblPaid[[#This Row],[Earned hours (person-h)]]/tblPaid[[#This Row],[Paid hours (person-h)]],""))</f>
        <v>0.928</v>
      </c>
      <c r="K78" s="39" t="str">
        <f>IF(NOT(ISNUMBER(tblPaid[[#This Row],[Utilization]])),"",IF(tblPaid[[#This Row],[Utilization]]&gt;=TargetUtil,"On target",IF(tblPaid[[#This Row],[Utilization]]&gt;=TargetUtil*(1-0.05),"Near target","Below target")))</f>
        <v>On target</v>
      </c>
      <c r="L78" s="41">
        <f>IF(tblPaid[[#This Row],[Date]]="","",IF(AND(tblPaid[[#This Row],[Date]]&gt;=FFrom,tblPaid[[#This Row],[Date]]&lt;=FTo,OR(DashCell="",tblPaid[[#This Row],[Cell]]=DashCell)),tblPaid[[#This Row],[Date]],""))</f>
        <v>46276</v>
      </c>
      <c r="M7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8" s="28" t="s">
        <v>136</v>
      </c>
    </row>
    <row r="79" spans="2:14" x14ac:dyDescent="0.25">
      <c r="B79" s="35">
        <v>46276</v>
      </c>
      <c r="C79" s="28" t="s">
        <v>98</v>
      </c>
      <c r="D79" s="28" t="s">
        <v>89</v>
      </c>
      <c r="E79" s="29">
        <v>60</v>
      </c>
      <c r="F79" s="38">
        <f>IF(tblPaid[[#This Row],[Date]]="","",SUMIFS(tblLabor[Actual hours (person-h)],tblLabor[Date],tblPaid[[#This Row],[Date]],tblLabor[Shift],tblPaid[[#This Row],[Shift]],tblLabor[Cell],tblPaid[[#This Row],[Cell]]))</f>
        <v>54.75</v>
      </c>
      <c r="G79" s="38">
        <f>IF(tblPaid[[#This Row],[Date]]="","",SUMIFS(tblLabor[Earned hours (person-h)],tblLabor[Date],tblPaid[[#This Row],[Date]],tblLabor[Shift],tblPaid[[#This Row],[Shift]],tblLabor[Cell],tblPaid[[#This Row],[Cell]]))</f>
        <v>49.5</v>
      </c>
      <c r="H79" s="38">
        <f>IF(tblPaid[[#This Row],[Date]]="","",tblPaid[[#This Row],[Paid hours (person-h)]]-tblPaid[[#This Row],[Direct hours (person-h)]])</f>
        <v>5.25</v>
      </c>
      <c r="I79" s="31">
        <f>IF(tblPaid[[#This Row],[Date]]="","",IF(tblPaid[[#This Row],[Paid hours (person-h)]]&gt;0,tblPaid[[#This Row],[Direct hours (person-h)]]/tblPaid[[#This Row],[Paid hours (person-h)]],""))</f>
        <v>0.9125</v>
      </c>
      <c r="J79" s="31">
        <f>IF(tblPaid[[#This Row],[Date]]="","",IF(tblPaid[[#This Row],[Paid hours (person-h)]]&gt;0,tblPaid[[#This Row],[Earned hours (person-h)]]/tblPaid[[#This Row],[Paid hours (person-h)]],""))</f>
        <v>0.825</v>
      </c>
      <c r="K79" s="39" t="str">
        <f>IF(NOT(ISNUMBER(tblPaid[[#This Row],[Utilization]])),"",IF(tblPaid[[#This Row],[Utilization]]&gt;=TargetUtil,"On target",IF(tblPaid[[#This Row],[Utilization]]&gt;=TargetUtil*(1-0.05),"Near target","Below target")))</f>
        <v>On target</v>
      </c>
      <c r="L79" s="41">
        <f>IF(tblPaid[[#This Row],[Date]]="","",IF(AND(tblPaid[[#This Row],[Date]]&gt;=FFrom,tblPaid[[#This Row],[Date]]&lt;=FTo,OR(DashCell="",tblPaid[[#This Row],[Cell]]=DashCell)),tblPaid[[#This Row],[Date]],""))</f>
        <v>46276</v>
      </c>
      <c r="M7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79" s="28" t="s">
        <v>136</v>
      </c>
    </row>
    <row r="80" spans="2:14" x14ac:dyDescent="0.25">
      <c r="B80" s="35">
        <v>46276</v>
      </c>
      <c r="C80" s="28" t="s">
        <v>98</v>
      </c>
      <c r="D80" s="28" t="s">
        <v>92</v>
      </c>
      <c r="E80" s="29">
        <v>52.5</v>
      </c>
      <c r="F80" s="38">
        <f>IF(tblPaid[[#This Row],[Date]]="","",SUMIFS(tblLabor[Actual hours (person-h)],tblLabor[Date],tblPaid[[#This Row],[Date]],tblLabor[Shift],tblPaid[[#This Row],[Shift]],tblLabor[Cell],tblPaid[[#This Row],[Cell]]))</f>
        <v>47</v>
      </c>
      <c r="G80" s="38">
        <f>IF(tblPaid[[#This Row],[Date]]="","",SUMIFS(tblLabor[Earned hours (person-h)],tblLabor[Date],tblPaid[[#This Row],[Date]],tblLabor[Shift],tblPaid[[#This Row],[Shift]],tblLabor[Cell],tblPaid[[#This Row],[Cell]]))</f>
        <v>43.71</v>
      </c>
      <c r="H80" s="38">
        <f>IF(tblPaid[[#This Row],[Date]]="","",tblPaid[[#This Row],[Paid hours (person-h)]]-tblPaid[[#This Row],[Direct hours (person-h)]])</f>
        <v>5.5</v>
      </c>
      <c r="I80" s="31">
        <f>IF(tblPaid[[#This Row],[Date]]="","",IF(tblPaid[[#This Row],[Paid hours (person-h)]]&gt;0,tblPaid[[#This Row],[Direct hours (person-h)]]/tblPaid[[#This Row],[Paid hours (person-h)]],""))</f>
        <v>0.895238095238095</v>
      </c>
      <c r="J80" s="31">
        <f>IF(tblPaid[[#This Row],[Date]]="","",IF(tblPaid[[#This Row],[Paid hours (person-h)]]&gt;0,tblPaid[[#This Row],[Earned hours (person-h)]]/tblPaid[[#This Row],[Paid hours (person-h)]],""))</f>
        <v>0.832571428571429</v>
      </c>
      <c r="K80" s="39" t="str">
        <f>IF(NOT(ISNUMBER(tblPaid[[#This Row],[Utilization]])),"",IF(tblPaid[[#This Row],[Utilization]]&gt;=TargetUtil,"On target",IF(tblPaid[[#This Row],[Utilization]]&gt;=TargetUtil*(1-0.05),"Near target","Below target")))</f>
        <v>On target</v>
      </c>
      <c r="L80" s="41">
        <f>IF(tblPaid[[#This Row],[Date]]="","",IF(AND(tblPaid[[#This Row],[Date]]&gt;=FFrom,tblPaid[[#This Row],[Date]]&lt;=FTo,OR(DashCell="",tblPaid[[#This Row],[Cell]]=DashCell)),tblPaid[[#This Row],[Date]],""))</f>
        <v>46276</v>
      </c>
      <c r="M8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0" s="28" t="s">
        <v>136</v>
      </c>
    </row>
    <row r="81" spans="2:14" x14ac:dyDescent="0.25">
      <c r="B81" s="35">
        <v>46276</v>
      </c>
      <c r="C81" s="28" t="s">
        <v>98</v>
      </c>
      <c r="D81" s="28" t="s">
        <v>94</v>
      </c>
      <c r="E81" s="29">
        <v>37.5</v>
      </c>
      <c r="F81" s="38">
        <f>IF(tblPaid[[#This Row],[Date]]="","",SUMIFS(tblLabor[Actual hours (person-h)],tblLabor[Date],tblPaid[[#This Row],[Date]],tblLabor[Shift],tblPaid[[#This Row],[Shift]],tblLabor[Cell],tblPaid[[#This Row],[Cell]]))</f>
        <v>31.75</v>
      </c>
      <c r="G81" s="38">
        <f>IF(tblPaid[[#This Row],[Date]]="","",SUMIFS(tblLabor[Earned hours (person-h)],tblLabor[Date],tblPaid[[#This Row],[Date]],tblLabor[Shift],tblPaid[[#This Row],[Shift]],tblLabor[Cell],tblPaid[[#This Row],[Cell]]))</f>
        <v>29.4383333333333</v>
      </c>
      <c r="H81" s="38">
        <f>IF(tblPaid[[#This Row],[Date]]="","",tblPaid[[#This Row],[Paid hours (person-h)]]-tblPaid[[#This Row],[Direct hours (person-h)]])</f>
        <v>5.75</v>
      </c>
      <c r="I81" s="31">
        <f>IF(tblPaid[[#This Row],[Date]]="","",IF(tblPaid[[#This Row],[Paid hours (person-h)]]&gt;0,tblPaid[[#This Row],[Direct hours (person-h)]]/tblPaid[[#This Row],[Paid hours (person-h)]],""))</f>
        <v>0.846666666666667</v>
      </c>
      <c r="J81" s="31">
        <f>IF(tblPaid[[#This Row],[Date]]="","",IF(tblPaid[[#This Row],[Paid hours (person-h)]]&gt;0,tblPaid[[#This Row],[Earned hours (person-h)]]/tblPaid[[#This Row],[Paid hours (person-h)]],""))</f>
        <v>0.785022222222222</v>
      </c>
      <c r="K81" s="39" t="str">
        <f>IF(NOT(ISNUMBER(tblPaid[[#This Row],[Utilization]])),"",IF(tblPaid[[#This Row],[Utilization]]&gt;=TargetUtil,"On target",IF(tblPaid[[#This Row],[Utilization]]&gt;=TargetUtil*(1-0.05),"Near target","Below target")))</f>
        <v>Near target</v>
      </c>
      <c r="L81" s="41">
        <f>IF(tblPaid[[#This Row],[Date]]="","",IF(AND(tblPaid[[#This Row],[Date]]&gt;=FFrom,tblPaid[[#This Row],[Date]]&lt;=FTo,OR(DashCell="",tblPaid[[#This Row],[Cell]]=DashCell)),tblPaid[[#This Row],[Date]],""))</f>
        <v>46276</v>
      </c>
      <c r="M8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1" s="28" t="s">
        <v>136</v>
      </c>
    </row>
    <row r="82" spans="2:14" x14ac:dyDescent="0.25">
      <c r="B82" s="35">
        <v>46276</v>
      </c>
      <c r="C82" s="28" t="s">
        <v>101</v>
      </c>
      <c r="D82" s="28" t="s">
        <v>86</v>
      </c>
      <c r="E82" s="29">
        <v>30</v>
      </c>
      <c r="F82" s="38">
        <f>IF(tblPaid[[#This Row],[Date]]="","",SUMIFS(tblLabor[Actual hours (person-h)],tblLabor[Date],tblPaid[[#This Row],[Date]],tblLabor[Shift],tblPaid[[#This Row],[Shift]],tblLabor[Cell],tblPaid[[#This Row],[Cell]]))</f>
        <v>28</v>
      </c>
      <c r="G82" s="38">
        <f>IF(tblPaid[[#This Row],[Date]]="","",SUMIFS(tblLabor[Earned hours (person-h)],tblLabor[Date],tblPaid[[#This Row],[Date]],tblLabor[Shift],tblPaid[[#This Row],[Shift]],tblLabor[Cell],tblPaid[[#This Row],[Cell]]))</f>
        <v>27.1066666666667</v>
      </c>
      <c r="H82" s="38">
        <f>IF(tblPaid[[#This Row],[Date]]="","",tblPaid[[#This Row],[Paid hours (person-h)]]-tblPaid[[#This Row],[Direct hours (person-h)]])</f>
        <v>2</v>
      </c>
      <c r="I82" s="31">
        <f>IF(tblPaid[[#This Row],[Date]]="","",IF(tblPaid[[#This Row],[Paid hours (person-h)]]&gt;0,tblPaid[[#This Row],[Direct hours (person-h)]]/tblPaid[[#This Row],[Paid hours (person-h)]],""))</f>
        <v>0.933333333333333</v>
      </c>
      <c r="J82" s="31">
        <f>IF(tblPaid[[#This Row],[Date]]="","",IF(tblPaid[[#This Row],[Paid hours (person-h)]]&gt;0,tblPaid[[#This Row],[Earned hours (person-h)]]/tblPaid[[#This Row],[Paid hours (person-h)]],""))</f>
        <v>0.903555555555556</v>
      </c>
      <c r="K82" s="39" t="str">
        <f>IF(NOT(ISNUMBER(tblPaid[[#This Row],[Utilization]])),"",IF(tblPaid[[#This Row],[Utilization]]&gt;=TargetUtil,"On target",IF(tblPaid[[#This Row],[Utilization]]&gt;=TargetUtil*(1-0.05),"Near target","Below target")))</f>
        <v>On target</v>
      </c>
      <c r="L82" s="41">
        <f>IF(tblPaid[[#This Row],[Date]]="","",IF(AND(tblPaid[[#This Row],[Date]]&gt;=FFrom,tblPaid[[#This Row],[Date]]&lt;=FTo,OR(DashCell="",tblPaid[[#This Row],[Cell]]=DashCell)),tblPaid[[#This Row],[Date]],""))</f>
        <v>46276</v>
      </c>
      <c r="M8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2" s="28" t="s">
        <v>136</v>
      </c>
    </row>
    <row r="83" spans="2:14" x14ac:dyDescent="0.25">
      <c r="B83" s="35">
        <v>46276</v>
      </c>
      <c r="C83" s="28" t="s">
        <v>101</v>
      </c>
      <c r="D83" s="28" t="s">
        <v>89</v>
      </c>
      <c r="E83" s="29">
        <v>52.5</v>
      </c>
      <c r="F83" s="38">
        <f>IF(tblPaid[[#This Row],[Date]]="","",SUMIFS(tblLabor[Actual hours (person-h)],tblLabor[Date],tblPaid[[#This Row],[Date]],tblLabor[Shift],tblPaid[[#This Row],[Shift]],tblLabor[Cell],tblPaid[[#This Row],[Cell]]))</f>
        <v>48.25</v>
      </c>
      <c r="G83" s="38">
        <f>IF(tblPaid[[#This Row],[Date]]="","",SUMIFS(tblLabor[Earned hours (person-h)],tblLabor[Date],tblPaid[[#This Row],[Date]],tblLabor[Shift],tblPaid[[#This Row],[Shift]],tblLabor[Cell],tblPaid[[#This Row],[Cell]]))</f>
        <v>42.1666666666667</v>
      </c>
      <c r="H83" s="38">
        <f>IF(tblPaid[[#This Row],[Date]]="","",tblPaid[[#This Row],[Paid hours (person-h)]]-tblPaid[[#This Row],[Direct hours (person-h)]])</f>
        <v>4.25</v>
      </c>
      <c r="I83" s="31">
        <f>IF(tblPaid[[#This Row],[Date]]="","",IF(tblPaid[[#This Row],[Paid hours (person-h)]]&gt;0,tblPaid[[#This Row],[Direct hours (person-h)]]/tblPaid[[#This Row],[Paid hours (person-h)]],""))</f>
        <v>0.919047619047619</v>
      </c>
      <c r="J83" s="31">
        <f>IF(tblPaid[[#This Row],[Date]]="","",IF(tblPaid[[#This Row],[Paid hours (person-h)]]&gt;0,tblPaid[[#This Row],[Earned hours (person-h)]]/tblPaid[[#This Row],[Paid hours (person-h)]],""))</f>
        <v>0.803174603174603</v>
      </c>
      <c r="K83" s="39" t="str">
        <f>IF(NOT(ISNUMBER(tblPaid[[#This Row],[Utilization]])),"",IF(tblPaid[[#This Row],[Utilization]]&gt;=TargetUtil,"On target",IF(tblPaid[[#This Row],[Utilization]]&gt;=TargetUtil*(1-0.05),"Near target","Below target")))</f>
        <v>On target</v>
      </c>
      <c r="L83" s="41">
        <f>IF(tblPaid[[#This Row],[Date]]="","",IF(AND(tblPaid[[#This Row],[Date]]&gt;=FFrom,tblPaid[[#This Row],[Date]]&lt;=FTo,OR(DashCell="",tblPaid[[#This Row],[Cell]]=DashCell)),tblPaid[[#This Row],[Date]],""))</f>
        <v>46276</v>
      </c>
      <c r="M8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3" s="28" t="s">
        <v>146</v>
      </c>
    </row>
    <row r="84" spans="2:14" x14ac:dyDescent="0.25">
      <c r="B84" s="35">
        <v>46276</v>
      </c>
      <c r="C84" s="28" t="s">
        <v>101</v>
      </c>
      <c r="D84" s="28" t="s">
        <v>92</v>
      </c>
      <c r="E84" s="29">
        <v>52.5</v>
      </c>
      <c r="F84" s="38">
        <f>IF(tblPaid[[#This Row],[Date]]="","",SUMIFS(tblLabor[Actual hours (person-h)],tblLabor[Date],tblPaid[[#This Row],[Date]],tblLabor[Shift],tblPaid[[#This Row],[Shift]],tblLabor[Cell],tblPaid[[#This Row],[Cell]]))</f>
        <v>47</v>
      </c>
      <c r="G84" s="38">
        <f>IF(tblPaid[[#This Row],[Date]]="","",SUMIFS(tblLabor[Earned hours (person-h)],tblLabor[Date],tblPaid[[#This Row],[Date]],tblLabor[Shift],tblPaid[[#This Row],[Shift]],tblLabor[Cell],tblPaid[[#This Row],[Cell]]))</f>
        <v>32.8083333333333</v>
      </c>
      <c r="H84" s="38">
        <f>IF(tblPaid[[#This Row],[Date]]="","",tblPaid[[#This Row],[Paid hours (person-h)]]-tblPaid[[#This Row],[Direct hours (person-h)]])</f>
        <v>5.5</v>
      </c>
      <c r="I84" s="31">
        <f>IF(tblPaid[[#This Row],[Date]]="","",IF(tblPaid[[#This Row],[Paid hours (person-h)]]&gt;0,tblPaid[[#This Row],[Direct hours (person-h)]]/tblPaid[[#This Row],[Paid hours (person-h)]],""))</f>
        <v>0.895238095238095</v>
      </c>
      <c r="J84" s="31">
        <f>IF(tblPaid[[#This Row],[Date]]="","",IF(tblPaid[[#This Row],[Paid hours (person-h)]]&gt;0,tblPaid[[#This Row],[Earned hours (person-h)]]/tblPaid[[#This Row],[Paid hours (person-h)]],""))</f>
        <v>0.624920634920635</v>
      </c>
      <c r="K84" s="39" t="str">
        <f>IF(NOT(ISNUMBER(tblPaid[[#This Row],[Utilization]])),"",IF(tblPaid[[#This Row],[Utilization]]&gt;=TargetUtil,"On target",IF(tblPaid[[#This Row],[Utilization]]&gt;=TargetUtil*(1-0.05),"Near target","Below target")))</f>
        <v>On target</v>
      </c>
      <c r="L84" s="41">
        <f>IF(tblPaid[[#This Row],[Date]]="","",IF(AND(tblPaid[[#This Row],[Date]]&gt;=FFrom,tblPaid[[#This Row],[Date]]&lt;=FTo,OR(DashCell="",tblPaid[[#This Row],[Cell]]=DashCell)),tblPaid[[#This Row],[Date]],""))</f>
        <v>46276</v>
      </c>
      <c r="M8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4" s="28" t="s">
        <v>136</v>
      </c>
    </row>
    <row r="85" spans="2:14" x14ac:dyDescent="0.25">
      <c r="B85" s="35">
        <v>46276</v>
      </c>
      <c r="C85" s="28" t="s">
        <v>101</v>
      </c>
      <c r="D85" s="28" t="s">
        <v>94</v>
      </c>
      <c r="E85" s="29">
        <v>30</v>
      </c>
      <c r="F85" s="38">
        <f>IF(tblPaid[[#This Row],[Date]]="","",SUMIFS(tblLabor[Actual hours (person-h)],tblLabor[Date],tblPaid[[#This Row],[Date]],tblLabor[Shift],tblPaid[[#This Row],[Shift]],tblLabor[Cell],tblPaid[[#This Row],[Cell]]))</f>
        <v>24.5</v>
      </c>
      <c r="G85" s="38">
        <f>IF(tblPaid[[#This Row],[Date]]="","",SUMIFS(tblLabor[Earned hours (person-h)],tblLabor[Date],tblPaid[[#This Row],[Date]],tblLabor[Shift],tblPaid[[#This Row],[Shift]],tblLabor[Cell],tblPaid[[#This Row],[Cell]]))</f>
        <v>23.14</v>
      </c>
      <c r="H85" s="38">
        <f>IF(tblPaid[[#This Row],[Date]]="","",tblPaid[[#This Row],[Paid hours (person-h)]]-tblPaid[[#This Row],[Direct hours (person-h)]])</f>
        <v>5.5</v>
      </c>
      <c r="I85" s="31">
        <f>IF(tblPaid[[#This Row],[Date]]="","",IF(tblPaid[[#This Row],[Paid hours (person-h)]]&gt;0,tblPaid[[#This Row],[Direct hours (person-h)]]/tblPaid[[#This Row],[Paid hours (person-h)]],""))</f>
        <v>0.816666666666667</v>
      </c>
      <c r="J85" s="31">
        <f>IF(tblPaid[[#This Row],[Date]]="","",IF(tblPaid[[#This Row],[Paid hours (person-h)]]&gt;0,tblPaid[[#This Row],[Earned hours (person-h)]]/tblPaid[[#This Row],[Paid hours (person-h)]],""))</f>
        <v>0.771333333333333</v>
      </c>
      <c r="K85" s="39" t="str">
        <f>IF(NOT(ISNUMBER(tblPaid[[#This Row],[Utilization]])),"",IF(tblPaid[[#This Row],[Utilization]]&gt;=TargetUtil,"On target",IF(tblPaid[[#This Row],[Utilization]]&gt;=TargetUtil*(1-0.05),"Near target","Below target")))</f>
        <v>Near target</v>
      </c>
      <c r="L85" s="41">
        <f>IF(tblPaid[[#This Row],[Date]]="","",IF(AND(tblPaid[[#This Row],[Date]]&gt;=FFrom,tblPaid[[#This Row],[Date]]&lt;=FTo,OR(DashCell="",tblPaid[[#This Row],[Cell]]=DashCell)),tblPaid[[#This Row],[Date]],""))</f>
        <v>46276</v>
      </c>
      <c r="M8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5" s="28" t="s">
        <v>146</v>
      </c>
    </row>
    <row r="86" spans="2:14" x14ac:dyDescent="0.25">
      <c r="B86" s="35">
        <v>46279</v>
      </c>
      <c r="C86" s="28" t="s">
        <v>98</v>
      </c>
      <c r="D86" s="28" t="s">
        <v>86</v>
      </c>
      <c r="E86" s="29">
        <v>30</v>
      </c>
      <c r="F86" s="38">
        <f>IF(tblPaid[[#This Row],[Date]]="","",SUMIFS(tblLabor[Actual hours (person-h)],tblLabor[Date],tblPaid[[#This Row],[Date]],tblLabor[Shift],tblPaid[[#This Row],[Shift]],tblLabor[Cell],tblPaid[[#This Row],[Cell]]))</f>
        <v>26.5</v>
      </c>
      <c r="G86" s="38">
        <f>IF(tblPaid[[#This Row],[Date]]="","",SUMIFS(tblLabor[Earned hours (person-h)],tblLabor[Date],tblPaid[[#This Row],[Date]],tblLabor[Shift],tblPaid[[#This Row],[Shift]],tblLabor[Cell],tblPaid[[#This Row],[Cell]]))</f>
        <v>26.6933333333333</v>
      </c>
      <c r="H86" s="38">
        <f>IF(tblPaid[[#This Row],[Date]]="","",tblPaid[[#This Row],[Paid hours (person-h)]]-tblPaid[[#This Row],[Direct hours (person-h)]])</f>
        <v>3.5</v>
      </c>
      <c r="I86" s="31">
        <f>IF(tblPaid[[#This Row],[Date]]="","",IF(tblPaid[[#This Row],[Paid hours (person-h)]]&gt;0,tblPaid[[#This Row],[Direct hours (person-h)]]/tblPaid[[#This Row],[Paid hours (person-h)]],""))</f>
        <v>0.883333333333333</v>
      </c>
      <c r="J86" s="31">
        <f>IF(tblPaid[[#This Row],[Date]]="","",IF(tblPaid[[#This Row],[Paid hours (person-h)]]&gt;0,tblPaid[[#This Row],[Earned hours (person-h)]]/tblPaid[[#This Row],[Paid hours (person-h)]],""))</f>
        <v>0.889777777777778</v>
      </c>
      <c r="K86" s="39" t="str">
        <f>IF(NOT(ISNUMBER(tblPaid[[#This Row],[Utilization]])),"",IF(tblPaid[[#This Row],[Utilization]]&gt;=TargetUtil,"On target",IF(tblPaid[[#This Row],[Utilization]]&gt;=TargetUtil*(1-0.05),"Near target","Below target")))</f>
        <v>On target</v>
      </c>
      <c r="L86" s="41">
        <f>IF(tblPaid[[#This Row],[Date]]="","",IF(AND(tblPaid[[#This Row],[Date]]&gt;=FFrom,tblPaid[[#This Row],[Date]]&lt;=FTo,OR(DashCell="",tblPaid[[#This Row],[Cell]]=DashCell)),tblPaid[[#This Row],[Date]],""))</f>
        <v>46279</v>
      </c>
      <c r="M8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6" s="28" t="s">
        <v>144</v>
      </c>
    </row>
    <row r="87" spans="2:14" x14ac:dyDescent="0.25">
      <c r="B87" s="35">
        <v>46279</v>
      </c>
      <c r="C87" s="28" t="s">
        <v>98</v>
      </c>
      <c r="D87" s="28" t="s">
        <v>89</v>
      </c>
      <c r="E87" s="29">
        <v>52.5</v>
      </c>
      <c r="F87" s="38">
        <f>IF(tblPaid[[#This Row],[Date]]="","",SUMIFS(tblLabor[Actual hours (person-h)],tblLabor[Date],tblPaid[[#This Row],[Date]],tblLabor[Shift],tblPaid[[#This Row],[Shift]],tblLabor[Cell],tblPaid[[#This Row],[Cell]]))</f>
        <v>44</v>
      </c>
      <c r="G87" s="38">
        <f>IF(tblPaid[[#This Row],[Date]]="","",SUMIFS(tblLabor[Earned hours (person-h)],tblLabor[Date],tblPaid[[#This Row],[Date]],tblLabor[Shift],tblPaid[[#This Row],[Shift]],tblLabor[Cell],tblPaid[[#This Row],[Cell]]))</f>
        <v>40.975</v>
      </c>
      <c r="H87" s="38">
        <f>IF(tblPaid[[#This Row],[Date]]="","",tblPaid[[#This Row],[Paid hours (person-h)]]-tblPaid[[#This Row],[Direct hours (person-h)]])</f>
        <v>8.5</v>
      </c>
      <c r="I87" s="31">
        <f>IF(tblPaid[[#This Row],[Date]]="","",IF(tblPaid[[#This Row],[Paid hours (person-h)]]&gt;0,tblPaid[[#This Row],[Direct hours (person-h)]]/tblPaid[[#This Row],[Paid hours (person-h)]],""))</f>
        <v>0.838095238095238</v>
      </c>
      <c r="J87" s="31">
        <f>IF(tblPaid[[#This Row],[Date]]="","",IF(tblPaid[[#This Row],[Paid hours (person-h)]]&gt;0,tblPaid[[#This Row],[Earned hours (person-h)]]/tblPaid[[#This Row],[Paid hours (person-h)]],""))</f>
        <v>0.780476190476191</v>
      </c>
      <c r="K87" s="39" t="str">
        <f>IF(NOT(ISNUMBER(tblPaid[[#This Row],[Utilization]])),"",IF(tblPaid[[#This Row],[Utilization]]&gt;=TargetUtil,"On target",IF(tblPaid[[#This Row],[Utilization]]&gt;=TargetUtil*(1-0.05),"Near target","Below target")))</f>
        <v>Near target</v>
      </c>
      <c r="L87" s="41">
        <f>IF(tblPaid[[#This Row],[Date]]="","",IF(AND(tblPaid[[#This Row],[Date]]&gt;=FFrom,tblPaid[[#This Row],[Date]]&lt;=FTo,OR(DashCell="",tblPaid[[#This Row],[Cell]]=DashCell)),tblPaid[[#This Row],[Date]],""))</f>
        <v>46279</v>
      </c>
      <c r="M8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7" s="28" t="s">
        <v>145</v>
      </c>
    </row>
    <row r="88" spans="2:14" x14ac:dyDescent="0.25">
      <c r="B88" s="35">
        <v>46279</v>
      </c>
      <c r="C88" s="28" t="s">
        <v>98</v>
      </c>
      <c r="D88" s="28" t="s">
        <v>92</v>
      </c>
      <c r="E88" s="29">
        <v>52.5</v>
      </c>
      <c r="F88" s="38">
        <f>IF(tblPaid[[#This Row],[Date]]="","",SUMIFS(tblLabor[Actual hours (person-h)],tblLabor[Date],tblPaid[[#This Row],[Date]],tblLabor[Shift],tblPaid[[#This Row],[Shift]],tblLabor[Cell],tblPaid[[#This Row],[Cell]]))</f>
        <v>44</v>
      </c>
      <c r="G88" s="38">
        <f>IF(tblPaid[[#This Row],[Date]]="","",SUMIFS(tblLabor[Earned hours (person-h)],tblLabor[Date],tblPaid[[#This Row],[Date]],tblLabor[Shift],tblPaid[[#This Row],[Shift]],tblLabor[Cell],tblPaid[[#This Row],[Cell]]))</f>
        <v>38.5466666666667</v>
      </c>
      <c r="H88" s="38">
        <f>IF(tblPaid[[#This Row],[Date]]="","",tblPaid[[#This Row],[Paid hours (person-h)]]-tblPaid[[#This Row],[Direct hours (person-h)]])</f>
        <v>8.5</v>
      </c>
      <c r="I88" s="31">
        <f>IF(tblPaid[[#This Row],[Date]]="","",IF(tblPaid[[#This Row],[Paid hours (person-h)]]&gt;0,tblPaid[[#This Row],[Direct hours (person-h)]]/tblPaid[[#This Row],[Paid hours (person-h)]],""))</f>
        <v>0.838095238095238</v>
      </c>
      <c r="J88" s="31">
        <f>IF(tblPaid[[#This Row],[Date]]="","",IF(tblPaid[[#This Row],[Paid hours (person-h)]]&gt;0,tblPaid[[#This Row],[Earned hours (person-h)]]/tblPaid[[#This Row],[Paid hours (person-h)]],""))</f>
        <v>0.734222222222222</v>
      </c>
      <c r="K88" s="39" t="str">
        <f>IF(NOT(ISNUMBER(tblPaid[[#This Row],[Utilization]])),"",IF(tblPaid[[#This Row],[Utilization]]&gt;=TargetUtil,"On target",IF(tblPaid[[#This Row],[Utilization]]&gt;=TargetUtil*(1-0.05),"Near target","Below target")))</f>
        <v>Near target</v>
      </c>
      <c r="L88" s="41">
        <f>IF(tblPaid[[#This Row],[Date]]="","",IF(AND(tblPaid[[#This Row],[Date]]&gt;=FFrom,tblPaid[[#This Row],[Date]]&lt;=FTo,OR(DashCell="",tblPaid[[#This Row],[Cell]]=DashCell)),tblPaid[[#This Row],[Date]],""))</f>
        <v>46279</v>
      </c>
      <c r="M8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8" s="28" t="s">
        <v>144</v>
      </c>
    </row>
    <row r="89" spans="2:14" x14ac:dyDescent="0.25">
      <c r="B89" s="35">
        <v>46279</v>
      </c>
      <c r="C89" s="28" t="s">
        <v>98</v>
      </c>
      <c r="D89" s="28" t="s">
        <v>94</v>
      </c>
      <c r="E89" s="29">
        <v>37.5</v>
      </c>
      <c r="F89" s="38">
        <f>IF(tblPaid[[#This Row],[Date]]="","",SUMIFS(tblLabor[Actual hours (person-h)],tblLabor[Date],tblPaid[[#This Row],[Date]],tblLabor[Shift],tblPaid[[#This Row],[Shift]],tblLabor[Cell],tblPaid[[#This Row],[Cell]]))</f>
        <v>29.25</v>
      </c>
      <c r="G89" s="38">
        <f>IF(tblPaid[[#This Row],[Date]]="","",SUMIFS(tblLabor[Earned hours (person-h)],tblLabor[Date],tblPaid[[#This Row],[Date]],tblLabor[Shift],tblPaid[[#This Row],[Shift]],tblLabor[Cell],tblPaid[[#This Row],[Cell]]))</f>
        <v>27.6533333333333</v>
      </c>
      <c r="H89" s="38">
        <f>IF(tblPaid[[#This Row],[Date]]="","",tblPaid[[#This Row],[Paid hours (person-h)]]-tblPaid[[#This Row],[Direct hours (person-h)]])</f>
        <v>8.25</v>
      </c>
      <c r="I89" s="31">
        <f>IF(tblPaid[[#This Row],[Date]]="","",IF(tblPaid[[#This Row],[Paid hours (person-h)]]&gt;0,tblPaid[[#This Row],[Direct hours (person-h)]]/tblPaid[[#This Row],[Paid hours (person-h)]],""))</f>
        <v>0.78</v>
      </c>
      <c r="J89" s="31">
        <f>IF(tblPaid[[#This Row],[Date]]="","",IF(tblPaid[[#This Row],[Paid hours (person-h)]]&gt;0,tblPaid[[#This Row],[Earned hours (person-h)]]/tblPaid[[#This Row],[Paid hours (person-h)]],""))</f>
        <v>0.737422222222222</v>
      </c>
      <c r="K89" s="39" t="str">
        <f>IF(NOT(ISNUMBER(tblPaid[[#This Row],[Utilization]])),"",IF(tblPaid[[#This Row],[Utilization]]&gt;=TargetUtil,"On target",IF(tblPaid[[#This Row],[Utilization]]&gt;=TargetUtil*(1-0.05),"Near target","Below target")))</f>
        <v>Below target</v>
      </c>
      <c r="L89" s="41">
        <f>IF(tblPaid[[#This Row],[Date]]="","",IF(AND(tblPaid[[#This Row],[Date]]&gt;=FFrom,tblPaid[[#This Row],[Date]]&lt;=FTo,OR(DashCell="",tblPaid[[#This Row],[Cell]]=DashCell)),tblPaid[[#This Row],[Date]],""))</f>
        <v>46279</v>
      </c>
      <c r="M8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89" s="28" t="s">
        <v>144</v>
      </c>
    </row>
    <row r="90" spans="2:14" x14ac:dyDescent="0.25">
      <c r="B90" s="35">
        <v>46279</v>
      </c>
      <c r="C90" s="28" t="s">
        <v>101</v>
      </c>
      <c r="D90" s="28" t="s">
        <v>86</v>
      </c>
      <c r="E90" s="29">
        <v>30</v>
      </c>
      <c r="F90" s="38">
        <f>IF(tblPaid[[#This Row],[Date]]="","",SUMIFS(tblLabor[Actual hours (person-h)],tblLabor[Date],tblPaid[[#This Row],[Date]],tblLabor[Shift],tblPaid[[#This Row],[Shift]],tblLabor[Cell],tblPaid[[#This Row],[Cell]]))</f>
        <v>26.5</v>
      </c>
      <c r="G90" s="38">
        <f>IF(tblPaid[[#This Row],[Date]]="","",SUMIFS(tblLabor[Earned hours (person-h)],tblLabor[Date],tblPaid[[#This Row],[Date]],tblLabor[Shift],tblPaid[[#This Row],[Shift]],tblLabor[Cell],tblPaid[[#This Row],[Cell]]))</f>
        <v>24.75</v>
      </c>
      <c r="H90" s="38">
        <f>IF(tblPaid[[#This Row],[Date]]="","",tblPaid[[#This Row],[Paid hours (person-h)]]-tblPaid[[#This Row],[Direct hours (person-h)]])</f>
        <v>3.5</v>
      </c>
      <c r="I90" s="31">
        <f>IF(tblPaid[[#This Row],[Date]]="","",IF(tblPaid[[#This Row],[Paid hours (person-h)]]&gt;0,tblPaid[[#This Row],[Direct hours (person-h)]]/tblPaid[[#This Row],[Paid hours (person-h)]],""))</f>
        <v>0.883333333333333</v>
      </c>
      <c r="J90" s="31">
        <f>IF(tblPaid[[#This Row],[Date]]="","",IF(tblPaid[[#This Row],[Paid hours (person-h)]]&gt;0,tblPaid[[#This Row],[Earned hours (person-h)]]/tblPaid[[#This Row],[Paid hours (person-h)]],""))</f>
        <v>0.825</v>
      </c>
      <c r="K90" s="39" t="str">
        <f>IF(NOT(ISNUMBER(tblPaid[[#This Row],[Utilization]])),"",IF(tblPaid[[#This Row],[Utilization]]&gt;=TargetUtil,"On target",IF(tblPaid[[#This Row],[Utilization]]&gt;=TargetUtil*(1-0.05),"Near target","Below target")))</f>
        <v>On target</v>
      </c>
      <c r="L90" s="41">
        <f>IF(tblPaid[[#This Row],[Date]]="","",IF(AND(tblPaid[[#This Row],[Date]]&gt;=FFrom,tblPaid[[#This Row],[Date]]&lt;=FTo,OR(DashCell="",tblPaid[[#This Row],[Cell]]=DashCell)),tblPaid[[#This Row],[Date]],""))</f>
        <v>46279</v>
      </c>
      <c r="M9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0" s="28" t="s">
        <v>144</v>
      </c>
    </row>
    <row r="91" spans="2:14" x14ac:dyDescent="0.25">
      <c r="B91" s="35">
        <v>46279</v>
      </c>
      <c r="C91" s="28" t="s">
        <v>101</v>
      </c>
      <c r="D91" s="28" t="s">
        <v>89</v>
      </c>
      <c r="E91" s="29">
        <v>60</v>
      </c>
      <c r="F91" s="38">
        <f>IF(tblPaid[[#This Row],[Date]]="","",SUMIFS(tblLabor[Actual hours (person-h)],tblLabor[Date],tblPaid[[#This Row],[Date]],tblLabor[Shift],tblPaid[[#This Row],[Shift]],tblLabor[Cell],tblPaid[[#This Row],[Cell]]))</f>
        <v>50.25</v>
      </c>
      <c r="G91" s="38">
        <f>IF(tblPaid[[#This Row],[Date]]="","",SUMIFS(tblLabor[Earned hours (person-h)],tblLabor[Date],tblPaid[[#This Row],[Date]],tblLabor[Shift],tblPaid[[#This Row],[Shift]],tblLabor[Cell],tblPaid[[#This Row],[Cell]]))</f>
        <v>44.275</v>
      </c>
      <c r="H91" s="38">
        <f>IF(tblPaid[[#This Row],[Date]]="","",tblPaid[[#This Row],[Paid hours (person-h)]]-tblPaid[[#This Row],[Direct hours (person-h)]])</f>
        <v>9.75</v>
      </c>
      <c r="I91" s="31">
        <f>IF(tblPaid[[#This Row],[Date]]="","",IF(tblPaid[[#This Row],[Paid hours (person-h)]]&gt;0,tblPaid[[#This Row],[Direct hours (person-h)]]/tblPaid[[#This Row],[Paid hours (person-h)]],""))</f>
        <v>0.8375</v>
      </c>
      <c r="J91" s="31">
        <f>IF(tblPaid[[#This Row],[Date]]="","",IF(tblPaid[[#This Row],[Paid hours (person-h)]]&gt;0,tblPaid[[#This Row],[Earned hours (person-h)]]/tblPaid[[#This Row],[Paid hours (person-h)]],""))</f>
        <v>0.737916666666667</v>
      </c>
      <c r="K91" s="39" t="str">
        <f>IF(NOT(ISNUMBER(tblPaid[[#This Row],[Utilization]])),"",IF(tblPaid[[#This Row],[Utilization]]&gt;=TargetUtil,"On target",IF(tblPaid[[#This Row],[Utilization]]&gt;=TargetUtil*(1-0.05),"Near target","Below target")))</f>
        <v>Near target</v>
      </c>
      <c r="L91" s="41">
        <f>IF(tblPaid[[#This Row],[Date]]="","",IF(AND(tblPaid[[#This Row],[Date]]&gt;=FFrom,tblPaid[[#This Row],[Date]]&lt;=FTo,OR(DashCell="",tblPaid[[#This Row],[Cell]]=DashCell)),tblPaid[[#This Row],[Date]],""))</f>
        <v>46279</v>
      </c>
      <c r="M9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1" s="28" t="s">
        <v>144</v>
      </c>
    </row>
    <row r="92" spans="2:14" x14ac:dyDescent="0.25">
      <c r="B92" s="35">
        <v>46279</v>
      </c>
      <c r="C92" s="28" t="s">
        <v>101</v>
      </c>
      <c r="D92" s="28" t="s">
        <v>92</v>
      </c>
      <c r="E92" s="29">
        <v>52.5</v>
      </c>
      <c r="F92" s="38">
        <f>IF(tblPaid[[#This Row],[Date]]="","",SUMIFS(tblLabor[Actual hours (person-h)],tblLabor[Date],tblPaid[[#This Row],[Date]],tblLabor[Shift],tblPaid[[#This Row],[Shift]],tblLabor[Cell],tblPaid[[#This Row],[Cell]]))</f>
        <v>43.5</v>
      </c>
      <c r="G92" s="38">
        <f>IF(tblPaid[[#This Row],[Date]]="","",SUMIFS(tblLabor[Earned hours (person-h)],tblLabor[Date],tblPaid[[#This Row],[Date]],tblLabor[Shift],tblPaid[[#This Row],[Shift]],tblLabor[Cell],tblPaid[[#This Row],[Cell]]))</f>
        <v>35.28</v>
      </c>
      <c r="H92" s="38">
        <f>IF(tblPaid[[#This Row],[Date]]="","",tblPaid[[#This Row],[Paid hours (person-h)]]-tblPaid[[#This Row],[Direct hours (person-h)]])</f>
        <v>9</v>
      </c>
      <c r="I92" s="31">
        <f>IF(tblPaid[[#This Row],[Date]]="","",IF(tblPaid[[#This Row],[Paid hours (person-h)]]&gt;0,tblPaid[[#This Row],[Direct hours (person-h)]]/tblPaid[[#This Row],[Paid hours (person-h)]],""))</f>
        <v>0.828571428571429</v>
      </c>
      <c r="J92" s="31">
        <f>IF(tblPaid[[#This Row],[Date]]="","",IF(tblPaid[[#This Row],[Paid hours (person-h)]]&gt;0,tblPaid[[#This Row],[Earned hours (person-h)]]/tblPaid[[#This Row],[Paid hours (person-h)]],""))</f>
        <v>0.672</v>
      </c>
      <c r="K92" s="39" t="str">
        <f>IF(NOT(ISNUMBER(tblPaid[[#This Row],[Utilization]])),"",IF(tblPaid[[#This Row],[Utilization]]&gt;=TargetUtil,"On target",IF(tblPaid[[#This Row],[Utilization]]&gt;=TargetUtil*(1-0.05),"Near target","Below target")))</f>
        <v>Near target</v>
      </c>
      <c r="L92" s="41">
        <f>IF(tblPaid[[#This Row],[Date]]="","",IF(AND(tblPaid[[#This Row],[Date]]&gt;=FFrom,tblPaid[[#This Row],[Date]]&lt;=FTo,OR(DashCell="",tblPaid[[#This Row],[Cell]]=DashCell)),tblPaid[[#This Row],[Date]],""))</f>
        <v>46279</v>
      </c>
      <c r="M9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2" s="28" t="s">
        <v>144</v>
      </c>
    </row>
    <row r="93" spans="2:14" x14ac:dyDescent="0.25">
      <c r="B93" s="35">
        <v>46279</v>
      </c>
      <c r="C93" s="28" t="s">
        <v>101</v>
      </c>
      <c r="D93" s="28" t="s">
        <v>94</v>
      </c>
      <c r="E93" s="29">
        <v>37.5</v>
      </c>
      <c r="F93" s="38">
        <f>IF(tblPaid[[#This Row],[Date]]="","",SUMIFS(tblLabor[Actual hours (person-h)],tblLabor[Date],tblPaid[[#This Row],[Date]],tblLabor[Shift],tblPaid[[#This Row],[Shift]],tblLabor[Cell],tblPaid[[#This Row],[Cell]]))</f>
        <v>28.25</v>
      </c>
      <c r="G93" s="38">
        <f>IF(tblPaid[[#This Row],[Date]]="","",SUMIFS(tblLabor[Earned hours (person-h)],tblLabor[Date],tblPaid[[#This Row],[Date]],tblLabor[Shift],tblPaid[[#This Row],[Shift]],tblLabor[Cell],tblPaid[[#This Row],[Cell]]))</f>
        <v>25.6933333333333</v>
      </c>
      <c r="H93" s="38">
        <f>IF(tblPaid[[#This Row],[Date]]="","",tblPaid[[#This Row],[Paid hours (person-h)]]-tblPaid[[#This Row],[Direct hours (person-h)]])</f>
        <v>9.25</v>
      </c>
      <c r="I93" s="31">
        <f>IF(tblPaid[[#This Row],[Date]]="","",IF(tblPaid[[#This Row],[Paid hours (person-h)]]&gt;0,tblPaid[[#This Row],[Direct hours (person-h)]]/tblPaid[[#This Row],[Paid hours (person-h)]],""))</f>
        <v>0.753333333333333</v>
      </c>
      <c r="J93" s="31">
        <f>IF(tblPaid[[#This Row],[Date]]="","",IF(tblPaid[[#This Row],[Paid hours (person-h)]]&gt;0,tblPaid[[#This Row],[Earned hours (person-h)]]/tblPaid[[#This Row],[Paid hours (person-h)]],""))</f>
        <v>0.685155555555556</v>
      </c>
      <c r="K93" s="39" t="str">
        <f>IF(NOT(ISNUMBER(tblPaid[[#This Row],[Utilization]])),"",IF(tblPaid[[#This Row],[Utilization]]&gt;=TargetUtil,"On target",IF(tblPaid[[#This Row],[Utilization]]&gt;=TargetUtil*(1-0.05),"Near target","Below target")))</f>
        <v>Below target</v>
      </c>
      <c r="L93" s="41">
        <f>IF(tblPaid[[#This Row],[Date]]="","",IF(AND(tblPaid[[#This Row],[Date]]&gt;=FFrom,tblPaid[[#This Row],[Date]]&lt;=FTo,OR(DashCell="",tblPaid[[#This Row],[Cell]]=DashCell)),tblPaid[[#This Row],[Date]],""))</f>
        <v>46279</v>
      </c>
      <c r="M9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3" s="28" t="s">
        <v>144</v>
      </c>
    </row>
    <row r="94" spans="2:14" x14ac:dyDescent="0.25">
      <c r="B94" s="35">
        <v>46280</v>
      </c>
      <c r="C94" s="28" t="s">
        <v>98</v>
      </c>
      <c r="D94" s="28" t="s">
        <v>86</v>
      </c>
      <c r="E94" s="29">
        <v>30</v>
      </c>
      <c r="F94" s="38">
        <f>IF(tblPaid[[#This Row],[Date]]="","",SUMIFS(tblLabor[Actual hours (person-h)],tblLabor[Date],tblPaid[[#This Row],[Date]],tblLabor[Shift],tblPaid[[#This Row],[Shift]],tblLabor[Cell],tblPaid[[#This Row],[Cell]]))</f>
        <v>28.25</v>
      </c>
      <c r="G94" s="38">
        <f>IF(tblPaid[[#This Row],[Date]]="","",SUMIFS(tblLabor[Earned hours (person-h)],tblLabor[Date],tblPaid[[#This Row],[Date]],tblLabor[Shift],tblPaid[[#This Row],[Shift]],tblLabor[Cell],tblPaid[[#This Row],[Cell]]))</f>
        <v>27.655</v>
      </c>
      <c r="H94" s="38">
        <f>IF(tblPaid[[#This Row],[Date]]="","",tblPaid[[#This Row],[Paid hours (person-h)]]-tblPaid[[#This Row],[Direct hours (person-h)]])</f>
        <v>1.75</v>
      </c>
      <c r="I94" s="31">
        <f>IF(tblPaid[[#This Row],[Date]]="","",IF(tblPaid[[#This Row],[Paid hours (person-h)]]&gt;0,tblPaid[[#This Row],[Direct hours (person-h)]]/tblPaid[[#This Row],[Paid hours (person-h)]],""))</f>
        <v>0.941666666666667</v>
      </c>
      <c r="J94" s="31">
        <f>IF(tblPaid[[#This Row],[Date]]="","",IF(tblPaid[[#This Row],[Paid hours (person-h)]]&gt;0,tblPaid[[#This Row],[Earned hours (person-h)]]/tblPaid[[#This Row],[Paid hours (person-h)]],""))</f>
        <v>0.921833333333333</v>
      </c>
      <c r="K94" s="39" t="str">
        <f>IF(NOT(ISNUMBER(tblPaid[[#This Row],[Utilization]])),"",IF(tblPaid[[#This Row],[Utilization]]&gt;=TargetUtil,"On target",IF(tblPaid[[#This Row],[Utilization]]&gt;=TargetUtil*(1-0.05),"Near target","Below target")))</f>
        <v>On target</v>
      </c>
      <c r="L94" s="41">
        <f>IF(tblPaid[[#This Row],[Date]]="","",IF(AND(tblPaid[[#This Row],[Date]]&gt;=FFrom,tblPaid[[#This Row],[Date]]&lt;=FTo,OR(DashCell="",tblPaid[[#This Row],[Cell]]=DashCell)),tblPaid[[#This Row],[Date]],""))</f>
        <v>46280</v>
      </c>
      <c r="M9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4" s="28" t="s">
        <v>136</v>
      </c>
    </row>
    <row r="95" spans="2:14" x14ac:dyDescent="0.25">
      <c r="B95" s="35">
        <v>46280</v>
      </c>
      <c r="C95" s="28" t="s">
        <v>98</v>
      </c>
      <c r="D95" s="28" t="s">
        <v>89</v>
      </c>
      <c r="E95" s="29">
        <v>52.5</v>
      </c>
      <c r="F95" s="38">
        <f>IF(tblPaid[[#This Row],[Date]]="","",SUMIFS(tblLabor[Actual hours (person-h)],tblLabor[Date],tblPaid[[#This Row],[Date]],tblLabor[Shift],tblPaid[[#This Row],[Shift]],tblLabor[Cell],tblPaid[[#This Row],[Cell]]))</f>
        <v>40.75</v>
      </c>
      <c r="G95" s="38">
        <f>IF(tblPaid[[#This Row],[Date]]="","",SUMIFS(tblLabor[Earned hours (person-h)],tblLabor[Date],tblPaid[[#This Row],[Date]],tblLabor[Shift],tblPaid[[#This Row],[Shift]],tblLabor[Cell],tblPaid[[#This Row],[Cell]]))</f>
        <v>37.95</v>
      </c>
      <c r="H95" s="38">
        <f>IF(tblPaid[[#This Row],[Date]]="","",tblPaid[[#This Row],[Paid hours (person-h)]]-tblPaid[[#This Row],[Direct hours (person-h)]])</f>
        <v>11.75</v>
      </c>
      <c r="I95" s="31">
        <f>IF(tblPaid[[#This Row],[Date]]="","",IF(tblPaid[[#This Row],[Paid hours (person-h)]]&gt;0,tblPaid[[#This Row],[Direct hours (person-h)]]/tblPaid[[#This Row],[Paid hours (person-h)]],""))</f>
        <v>0.776190476190476</v>
      </c>
      <c r="J95" s="31">
        <f>IF(tblPaid[[#This Row],[Date]]="","",IF(tblPaid[[#This Row],[Paid hours (person-h)]]&gt;0,tblPaid[[#This Row],[Earned hours (person-h)]]/tblPaid[[#This Row],[Paid hours (person-h)]],""))</f>
        <v>0.722857142857143</v>
      </c>
      <c r="K95" s="39" t="str">
        <f>IF(NOT(ISNUMBER(tblPaid[[#This Row],[Utilization]])),"",IF(tblPaid[[#This Row],[Utilization]]&gt;=TargetUtil,"On target",IF(tblPaid[[#This Row],[Utilization]]&gt;=TargetUtil*(1-0.05),"Near target","Below target")))</f>
        <v>Below target</v>
      </c>
      <c r="L95" s="41">
        <f>IF(tblPaid[[#This Row],[Date]]="","",IF(AND(tblPaid[[#This Row],[Date]]&gt;=FFrom,tblPaid[[#This Row],[Date]]&lt;=FTo,OR(DashCell="",tblPaid[[#This Row],[Cell]]=DashCell)),tblPaid[[#This Row],[Date]],""))</f>
        <v>46280</v>
      </c>
      <c r="M9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5" s="28" t="s">
        <v>147</v>
      </c>
    </row>
    <row r="96" spans="2:14" x14ac:dyDescent="0.25">
      <c r="B96" s="35">
        <v>46280</v>
      </c>
      <c r="C96" s="28" t="s">
        <v>98</v>
      </c>
      <c r="D96" s="28" t="s">
        <v>92</v>
      </c>
      <c r="E96" s="29">
        <v>52.5</v>
      </c>
      <c r="F96" s="38">
        <f>IF(tblPaid[[#This Row],[Date]]="","",SUMIFS(tblLabor[Actual hours (person-h)],tblLabor[Date],tblPaid[[#This Row],[Date]],tblLabor[Shift],tblPaid[[#This Row],[Shift]],tblLabor[Cell],tblPaid[[#This Row],[Cell]]))</f>
        <v>48</v>
      </c>
      <c r="G96" s="38">
        <f>IF(tblPaid[[#This Row],[Date]]="","",SUMIFS(tblLabor[Earned hours (person-h)],tblLabor[Date],tblPaid[[#This Row],[Date]],tblLabor[Shift],tblPaid[[#This Row],[Shift]],tblLabor[Cell],tblPaid[[#This Row],[Cell]]))</f>
        <v>42.9566666666667</v>
      </c>
      <c r="H96" s="38">
        <f>IF(tblPaid[[#This Row],[Date]]="","",tblPaid[[#This Row],[Paid hours (person-h)]]-tblPaid[[#This Row],[Direct hours (person-h)]])</f>
        <v>4.5</v>
      </c>
      <c r="I96" s="31">
        <f>IF(tblPaid[[#This Row],[Date]]="","",IF(tblPaid[[#This Row],[Paid hours (person-h)]]&gt;0,tblPaid[[#This Row],[Direct hours (person-h)]]/tblPaid[[#This Row],[Paid hours (person-h)]],""))</f>
        <v>0.914285714285714</v>
      </c>
      <c r="J96" s="31">
        <f>IF(tblPaid[[#This Row],[Date]]="","",IF(tblPaid[[#This Row],[Paid hours (person-h)]]&gt;0,tblPaid[[#This Row],[Earned hours (person-h)]]/tblPaid[[#This Row],[Paid hours (person-h)]],""))</f>
        <v>0.818222222222222</v>
      </c>
      <c r="K96" s="39" t="str">
        <f>IF(NOT(ISNUMBER(tblPaid[[#This Row],[Utilization]])),"",IF(tblPaid[[#This Row],[Utilization]]&gt;=TargetUtil,"On target",IF(tblPaid[[#This Row],[Utilization]]&gt;=TargetUtil*(1-0.05),"Near target","Below target")))</f>
        <v>On target</v>
      </c>
      <c r="L96" s="41">
        <f>IF(tblPaid[[#This Row],[Date]]="","",IF(AND(tblPaid[[#This Row],[Date]]&gt;=FFrom,tblPaid[[#This Row],[Date]]&lt;=FTo,OR(DashCell="",tblPaid[[#This Row],[Cell]]=DashCell)),tblPaid[[#This Row],[Date]],""))</f>
        <v>46280</v>
      </c>
      <c r="M9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6" s="28" t="s">
        <v>136</v>
      </c>
    </row>
    <row r="97" spans="2:14" x14ac:dyDescent="0.25">
      <c r="B97" s="35">
        <v>46280</v>
      </c>
      <c r="C97" s="28" t="s">
        <v>98</v>
      </c>
      <c r="D97" s="28" t="s">
        <v>94</v>
      </c>
      <c r="E97" s="29">
        <v>37.5</v>
      </c>
      <c r="F97" s="38">
        <f>IF(tblPaid[[#This Row],[Date]]="","",SUMIFS(tblLabor[Actual hours (person-h)],tblLabor[Date],tblPaid[[#This Row],[Date]],tblLabor[Shift],tblPaid[[#This Row],[Shift]],tblLabor[Cell],tblPaid[[#This Row],[Cell]]))</f>
        <v>30.5</v>
      </c>
      <c r="G97" s="38">
        <f>IF(tblPaid[[#This Row],[Date]]="","",SUMIFS(tblLabor[Earned hours (person-h)],tblLabor[Date],tblPaid[[#This Row],[Date]],tblLabor[Shift],tblPaid[[#This Row],[Shift]],tblLabor[Cell],tblPaid[[#This Row],[Cell]]))</f>
        <v>27.7666666666667</v>
      </c>
      <c r="H97" s="38">
        <f>IF(tblPaid[[#This Row],[Date]]="","",tblPaid[[#This Row],[Paid hours (person-h)]]-tblPaid[[#This Row],[Direct hours (person-h)]])</f>
        <v>7</v>
      </c>
      <c r="I97" s="31">
        <f>IF(tblPaid[[#This Row],[Date]]="","",IF(tblPaid[[#This Row],[Paid hours (person-h)]]&gt;0,tblPaid[[#This Row],[Direct hours (person-h)]]/tblPaid[[#This Row],[Paid hours (person-h)]],""))</f>
        <v>0.813333333333333</v>
      </c>
      <c r="J97" s="31">
        <f>IF(tblPaid[[#This Row],[Date]]="","",IF(tblPaid[[#This Row],[Paid hours (person-h)]]&gt;0,tblPaid[[#This Row],[Earned hours (person-h)]]/tblPaid[[#This Row],[Paid hours (person-h)]],""))</f>
        <v>0.740444444444445</v>
      </c>
      <c r="K97" s="39" t="str">
        <f>IF(NOT(ISNUMBER(tblPaid[[#This Row],[Utilization]])),"",IF(tblPaid[[#This Row],[Utilization]]&gt;=TargetUtil,"On target",IF(tblPaid[[#This Row],[Utilization]]&gt;=TargetUtil*(1-0.05),"Near target","Below target")))</f>
        <v>Near target</v>
      </c>
      <c r="L97" s="41">
        <f>IF(tblPaid[[#This Row],[Date]]="","",IF(AND(tblPaid[[#This Row],[Date]]&gt;=FFrom,tblPaid[[#This Row],[Date]]&lt;=FTo,OR(DashCell="",tblPaid[[#This Row],[Cell]]=DashCell)),tblPaid[[#This Row],[Date]],""))</f>
        <v>46280</v>
      </c>
      <c r="M9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7" s="28" t="s">
        <v>136</v>
      </c>
    </row>
    <row r="98" spans="2:14" x14ac:dyDescent="0.25">
      <c r="B98" s="35">
        <v>46280</v>
      </c>
      <c r="C98" s="28" t="s">
        <v>101</v>
      </c>
      <c r="D98" s="28" t="s">
        <v>86</v>
      </c>
      <c r="E98" s="29">
        <v>22.5</v>
      </c>
      <c r="F98" s="38">
        <f>IF(tblPaid[[#This Row],[Date]]="","",SUMIFS(tblLabor[Actual hours (person-h)],tblLabor[Date],tblPaid[[#This Row],[Date]],tblLabor[Shift],tblPaid[[#This Row],[Shift]],tblLabor[Cell],tblPaid[[#This Row],[Cell]]))</f>
        <v>21</v>
      </c>
      <c r="G98" s="38">
        <f>IF(tblPaid[[#This Row],[Date]]="","",SUMIFS(tblLabor[Earned hours (person-h)],tblLabor[Date],tblPaid[[#This Row],[Date]],tblLabor[Shift],tblPaid[[#This Row],[Shift]],tblLabor[Cell],tblPaid[[#This Row],[Cell]]))</f>
        <v>19.6033333333333</v>
      </c>
      <c r="H98" s="38">
        <f>IF(tblPaid[[#This Row],[Date]]="","",tblPaid[[#This Row],[Paid hours (person-h)]]-tblPaid[[#This Row],[Direct hours (person-h)]])</f>
        <v>1.5</v>
      </c>
      <c r="I98" s="31">
        <f>IF(tblPaid[[#This Row],[Date]]="","",IF(tblPaid[[#This Row],[Paid hours (person-h)]]&gt;0,tblPaid[[#This Row],[Direct hours (person-h)]]/tblPaid[[#This Row],[Paid hours (person-h)]],""))</f>
        <v>0.933333333333333</v>
      </c>
      <c r="J98" s="31">
        <f>IF(tblPaid[[#This Row],[Date]]="","",IF(tblPaid[[#This Row],[Paid hours (person-h)]]&gt;0,tblPaid[[#This Row],[Earned hours (person-h)]]/tblPaid[[#This Row],[Paid hours (person-h)]],""))</f>
        <v>0.871259259259259</v>
      </c>
      <c r="K98" s="39" t="str">
        <f>IF(NOT(ISNUMBER(tblPaid[[#This Row],[Utilization]])),"",IF(tblPaid[[#This Row],[Utilization]]&gt;=TargetUtil,"On target",IF(tblPaid[[#This Row],[Utilization]]&gt;=TargetUtil*(1-0.05),"Near target","Below target")))</f>
        <v>On target</v>
      </c>
      <c r="L98" s="41">
        <f>IF(tblPaid[[#This Row],[Date]]="","",IF(AND(tblPaid[[#This Row],[Date]]&gt;=FFrom,tblPaid[[#This Row],[Date]]&lt;=FTo,OR(DashCell="",tblPaid[[#This Row],[Cell]]=DashCell)),tblPaid[[#This Row],[Date]],""))</f>
        <v>46280</v>
      </c>
      <c r="M9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8" s="28" t="s">
        <v>146</v>
      </c>
    </row>
    <row r="99" spans="2:14" x14ac:dyDescent="0.25">
      <c r="B99" s="35">
        <v>46280</v>
      </c>
      <c r="C99" s="28" t="s">
        <v>101</v>
      </c>
      <c r="D99" s="28" t="s">
        <v>89</v>
      </c>
      <c r="E99" s="29">
        <v>60</v>
      </c>
      <c r="F99" s="38">
        <f>IF(tblPaid[[#This Row],[Date]]="","",SUMIFS(tblLabor[Actual hours (person-h)],tblLabor[Date],tblPaid[[#This Row],[Date]],tblLabor[Shift],tblPaid[[#This Row],[Shift]],tblLabor[Cell],tblPaid[[#This Row],[Cell]]))</f>
        <v>47.5</v>
      </c>
      <c r="G99" s="38">
        <f>IF(tblPaid[[#This Row],[Date]]="","",SUMIFS(tblLabor[Earned hours (person-h)],tblLabor[Date],tblPaid[[#This Row],[Date]],tblLabor[Shift],tblPaid[[#This Row],[Shift]],tblLabor[Cell],tblPaid[[#This Row],[Cell]]))</f>
        <v>43.45</v>
      </c>
      <c r="H99" s="38">
        <f>IF(tblPaid[[#This Row],[Date]]="","",tblPaid[[#This Row],[Paid hours (person-h)]]-tblPaid[[#This Row],[Direct hours (person-h)]])</f>
        <v>12.5</v>
      </c>
      <c r="I99" s="31">
        <f>IF(tblPaid[[#This Row],[Date]]="","",IF(tblPaid[[#This Row],[Paid hours (person-h)]]&gt;0,tblPaid[[#This Row],[Direct hours (person-h)]]/tblPaid[[#This Row],[Paid hours (person-h)]],""))</f>
        <v>0.791666666666667</v>
      </c>
      <c r="J99" s="31">
        <f>IF(tblPaid[[#This Row],[Date]]="","",IF(tblPaid[[#This Row],[Paid hours (person-h)]]&gt;0,tblPaid[[#This Row],[Earned hours (person-h)]]/tblPaid[[#This Row],[Paid hours (person-h)]],""))</f>
        <v>0.724166666666667</v>
      </c>
      <c r="K99" s="39" t="str">
        <f>IF(NOT(ISNUMBER(tblPaid[[#This Row],[Utilization]])),"",IF(tblPaid[[#This Row],[Utilization]]&gt;=TargetUtil,"On target",IF(tblPaid[[#This Row],[Utilization]]&gt;=TargetUtil*(1-0.05),"Near target","Below target")))</f>
        <v>Below target</v>
      </c>
      <c r="L99" s="41">
        <f>IF(tblPaid[[#This Row],[Date]]="","",IF(AND(tblPaid[[#This Row],[Date]]&gt;=FFrom,tblPaid[[#This Row],[Date]]&lt;=FTo,OR(DashCell="",tblPaid[[#This Row],[Cell]]=DashCell)),tblPaid[[#This Row],[Date]],""))</f>
        <v>46280</v>
      </c>
      <c r="M9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99" s="28" t="s">
        <v>148</v>
      </c>
    </row>
    <row r="100" spans="2:14" x14ac:dyDescent="0.25">
      <c r="B100" s="35">
        <v>46280</v>
      </c>
      <c r="C100" s="28" t="s">
        <v>101</v>
      </c>
      <c r="D100" s="28" t="s">
        <v>92</v>
      </c>
      <c r="E100" s="29">
        <v>52.5</v>
      </c>
      <c r="F100" s="38">
        <f>IF(tblPaid[[#This Row],[Date]]="","",SUMIFS(tblLabor[Actual hours (person-h)],tblLabor[Date],tblPaid[[#This Row],[Date]],tblLabor[Shift],tblPaid[[#This Row],[Shift]],tblLabor[Cell],tblPaid[[#This Row],[Cell]]))</f>
        <v>47</v>
      </c>
      <c r="G100" s="38">
        <f>IF(tblPaid[[#This Row],[Date]]="","",SUMIFS(tblLabor[Earned hours (person-h)],tblLabor[Date],tblPaid[[#This Row],[Date]],tblLabor[Shift],tblPaid[[#This Row],[Shift]],tblLabor[Cell],tblPaid[[#This Row],[Cell]]))</f>
        <v>37.24</v>
      </c>
      <c r="H100" s="38">
        <f>IF(tblPaid[[#This Row],[Date]]="","",tblPaid[[#This Row],[Paid hours (person-h)]]-tblPaid[[#This Row],[Direct hours (person-h)]])</f>
        <v>5.5</v>
      </c>
      <c r="I100" s="31">
        <f>IF(tblPaid[[#This Row],[Date]]="","",IF(tblPaid[[#This Row],[Paid hours (person-h)]]&gt;0,tblPaid[[#This Row],[Direct hours (person-h)]]/tblPaid[[#This Row],[Paid hours (person-h)]],""))</f>
        <v>0.895238095238095</v>
      </c>
      <c r="J100" s="31">
        <f>IF(tblPaid[[#This Row],[Date]]="","",IF(tblPaid[[#This Row],[Paid hours (person-h)]]&gt;0,tblPaid[[#This Row],[Earned hours (person-h)]]/tblPaid[[#This Row],[Paid hours (person-h)]],""))</f>
        <v>0.709333333333333</v>
      </c>
      <c r="K100" s="39" t="str">
        <f>IF(NOT(ISNUMBER(tblPaid[[#This Row],[Utilization]])),"",IF(tblPaid[[#This Row],[Utilization]]&gt;=TargetUtil,"On target",IF(tblPaid[[#This Row],[Utilization]]&gt;=TargetUtil*(1-0.05),"Near target","Below target")))</f>
        <v>On target</v>
      </c>
      <c r="L100" s="41">
        <f>IF(tblPaid[[#This Row],[Date]]="","",IF(AND(tblPaid[[#This Row],[Date]]&gt;=FFrom,tblPaid[[#This Row],[Date]]&lt;=FTo,OR(DashCell="",tblPaid[[#This Row],[Cell]]=DashCell)),tblPaid[[#This Row],[Date]],""))</f>
        <v>46280</v>
      </c>
      <c r="M10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0" s="28" t="s">
        <v>136</v>
      </c>
    </row>
    <row r="101" spans="2:14" x14ac:dyDescent="0.25">
      <c r="B101" s="35">
        <v>46280</v>
      </c>
      <c r="C101" s="28" t="s">
        <v>101</v>
      </c>
      <c r="D101" s="28" t="s">
        <v>94</v>
      </c>
      <c r="E101" s="29">
        <v>37.5</v>
      </c>
      <c r="F101" s="38">
        <f>IF(tblPaid[[#This Row],[Date]]="","",SUMIFS(tblLabor[Actual hours (person-h)],tblLabor[Date],tblPaid[[#This Row],[Date]],tblLabor[Shift],tblPaid[[#This Row],[Shift]],tblLabor[Cell],tblPaid[[#This Row],[Cell]]))</f>
        <v>30.25</v>
      </c>
      <c r="G101" s="38">
        <f>IF(tblPaid[[#This Row],[Date]]="","",SUMIFS(tblLabor[Earned hours (person-h)],tblLabor[Date],tblPaid[[#This Row],[Date]],tblLabor[Shift],tblPaid[[#This Row],[Shift]],tblLabor[Cell],tblPaid[[#This Row],[Cell]]))</f>
        <v>26.9966666666667</v>
      </c>
      <c r="H101" s="38">
        <f>IF(tblPaid[[#This Row],[Date]]="","",tblPaid[[#This Row],[Paid hours (person-h)]]-tblPaid[[#This Row],[Direct hours (person-h)]])</f>
        <v>7.25</v>
      </c>
      <c r="I101" s="31">
        <f>IF(tblPaid[[#This Row],[Date]]="","",IF(tblPaid[[#This Row],[Paid hours (person-h)]]&gt;0,tblPaid[[#This Row],[Direct hours (person-h)]]/tblPaid[[#This Row],[Paid hours (person-h)]],""))</f>
        <v>0.806666666666667</v>
      </c>
      <c r="J101" s="31">
        <f>IF(tblPaid[[#This Row],[Date]]="","",IF(tblPaid[[#This Row],[Paid hours (person-h)]]&gt;0,tblPaid[[#This Row],[Earned hours (person-h)]]/tblPaid[[#This Row],[Paid hours (person-h)]],""))</f>
        <v>0.719911111111111</v>
      </c>
      <c r="K101" s="39" t="str">
        <f>IF(NOT(ISNUMBER(tblPaid[[#This Row],[Utilization]])),"",IF(tblPaid[[#This Row],[Utilization]]&gt;=TargetUtil,"On target",IF(tblPaid[[#This Row],[Utilization]]&gt;=TargetUtil*(1-0.05),"Near target","Below target")))</f>
        <v>Below target</v>
      </c>
      <c r="L101" s="41">
        <f>IF(tblPaid[[#This Row],[Date]]="","",IF(AND(tblPaid[[#This Row],[Date]]&gt;=FFrom,tblPaid[[#This Row],[Date]]&lt;=FTo,OR(DashCell="",tblPaid[[#This Row],[Cell]]=DashCell)),tblPaid[[#This Row],[Date]],""))</f>
        <v>46280</v>
      </c>
      <c r="M10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1" s="28" t="s">
        <v>136</v>
      </c>
    </row>
    <row r="102" spans="2:14" x14ac:dyDescent="0.25">
      <c r="B102" s="35">
        <v>46282</v>
      </c>
      <c r="C102" s="28" t="s">
        <v>98</v>
      </c>
      <c r="D102" s="28" t="s">
        <v>86</v>
      </c>
      <c r="E102" s="29">
        <v>22.5</v>
      </c>
      <c r="F102" s="38">
        <f>IF(tblPaid[[#This Row],[Date]]="","",SUMIFS(tblLabor[Actual hours (person-h)],tblLabor[Date],tblPaid[[#This Row],[Date]],tblLabor[Shift],tblPaid[[#This Row],[Shift]],tblLabor[Cell],tblPaid[[#This Row],[Cell]]))</f>
        <v>21.25</v>
      </c>
      <c r="G102" s="38">
        <f>IF(tblPaid[[#This Row],[Date]]="","",SUMIFS(tblLabor[Earned hours (person-h)],tblLabor[Date],tblPaid[[#This Row],[Date]],tblLabor[Shift],tblPaid[[#This Row],[Shift]],tblLabor[Cell],tblPaid[[#This Row],[Cell]]))</f>
        <v>20.7366666666667</v>
      </c>
      <c r="H102" s="38">
        <f>IF(tblPaid[[#This Row],[Date]]="","",tblPaid[[#This Row],[Paid hours (person-h)]]-tblPaid[[#This Row],[Direct hours (person-h)]])</f>
        <v>1.25</v>
      </c>
      <c r="I102" s="31">
        <f>IF(tblPaid[[#This Row],[Date]]="","",IF(tblPaid[[#This Row],[Paid hours (person-h)]]&gt;0,tblPaid[[#This Row],[Direct hours (person-h)]]/tblPaid[[#This Row],[Paid hours (person-h)]],""))</f>
        <v>0.944444444444444</v>
      </c>
      <c r="J102" s="31">
        <f>IF(tblPaid[[#This Row],[Date]]="","",IF(tblPaid[[#This Row],[Paid hours (person-h)]]&gt;0,tblPaid[[#This Row],[Earned hours (person-h)]]/tblPaid[[#This Row],[Paid hours (person-h)]],""))</f>
        <v>0.92162962962963</v>
      </c>
      <c r="K102" s="39" t="str">
        <f>IF(NOT(ISNUMBER(tblPaid[[#This Row],[Utilization]])),"",IF(tblPaid[[#This Row],[Utilization]]&gt;=TargetUtil,"On target",IF(tblPaid[[#This Row],[Utilization]]&gt;=TargetUtil*(1-0.05),"Near target","Below target")))</f>
        <v>On target</v>
      </c>
      <c r="L102" s="41">
        <f>IF(tblPaid[[#This Row],[Date]]="","",IF(AND(tblPaid[[#This Row],[Date]]&gt;=FFrom,tblPaid[[#This Row],[Date]]&lt;=FTo,OR(DashCell="",tblPaid[[#This Row],[Cell]]=DashCell)),tblPaid[[#This Row],[Date]],""))</f>
        <v>46282</v>
      </c>
      <c r="M10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2" s="28" t="s">
        <v>146</v>
      </c>
    </row>
    <row r="103" spans="2:14" x14ac:dyDescent="0.25">
      <c r="B103" s="35">
        <v>46282</v>
      </c>
      <c r="C103" s="28" t="s">
        <v>98</v>
      </c>
      <c r="D103" s="28" t="s">
        <v>89</v>
      </c>
      <c r="E103" s="29">
        <v>60</v>
      </c>
      <c r="F103" s="38">
        <f>IF(tblPaid[[#This Row],[Date]]="","",SUMIFS(tblLabor[Actual hours (person-h)],tblLabor[Date],tblPaid[[#This Row],[Date]],tblLabor[Shift],tblPaid[[#This Row],[Shift]],tblLabor[Cell],tblPaid[[#This Row],[Cell]]))</f>
        <v>46.75</v>
      </c>
      <c r="G103" s="38">
        <f>IF(tblPaid[[#This Row],[Date]]="","",SUMIFS(tblLabor[Earned hours (person-h)],tblLabor[Date],tblPaid[[#This Row],[Date]],tblLabor[Shift],tblPaid[[#This Row],[Shift]],tblLabor[Cell],tblPaid[[#This Row],[Cell]]))</f>
        <v>42.9</v>
      </c>
      <c r="H103" s="38">
        <f>IF(tblPaid[[#This Row],[Date]]="","",tblPaid[[#This Row],[Paid hours (person-h)]]-tblPaid[[#This Row],[Direct hours (person-h)]])</f>
        <v>13.25</v>
      </c>
      <c r="I103" s="31">
        <f>IF(tblPaid[[#This Row],[Date]]="","",IF(tblPaid[[#This Row],[Paid hours (person-h)]]&gt;0,tblPaid[[#This Row],[Direct hours (person-h)]]/tblPaid[[#This Row],[Paid hours (person-h)]],""))</f>
        <v>0.779166666666667</v>
      </c>
      <c r="J103" s="31">
        <f>IF(tblPaid[[#This Row],[Date]]="","",IF(tblPaid[[#This Row],[Paid hours (person-h)]]&gt;0,tblPaid[[#This Row],[Earned hours (person-h)]]/tblPaid[[#This Row],[Paid hours (person-h)]],""))</f>
        <v>0.715</v>
      </c>
      <c r="K103" s="39" t="str">
        <f>IF(NOT(ISNUMBER(tblPaid[[#This Row],[Utilization]])),"",IF(tblPaid[[#This Row],[Utilization]]&gt;=TargetUtil,"On target",IF(tblPaid[[#This Row],[Utilization]]&gt;=TargetUtil*(1-0.05),"Near target","Below target")))</f>
        <v>Below target</v>
      </c>
      <c r="L103" s="41">
        <f>IF(tblPaid[[#This Row],[Date]]="","",IF(AND(tblPaid[[#This Row],[Date]]&gt;=FFrom,tblPaid[[#This Row],[Date]]&lt;=FTo,OR(DashCell="",tblPaid[[#This Row],[Cell]]=DashCell)),tblPaid[[#This Row],[Date]],""))</f>
        <v>46282</v>
      </c>
      <c r="M10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3" s="28" t="s">
        <v>148</v>
      </c>
    </row>
    <row r="104" spans="2:14" x14ac:dyDescent="0.25">
      <c r="B104" s="35">
        <v>46282</v>
      </c>
      <c r="C104" s="28" t="s">
        <v>98</v>
      </c>
      <c r="D104" s="28" t="s">
        <v>92</v>
      </c>
      <c r="E104" s="29">
        <v>52.5</v>
      </c>
      <c r="F104" s="38">
        <f>IF(tblPaid[[#This Row],[Date]]="","",SUMIFS(tblLabor[Actual hours (person-h)],tblLabor[Date],tblPaid[[#This Row],[Date]],tblLabor[Shift],tblPaid[[#This Row],[Shift]],tblLabor[Cell],tblPaid[[#This Row],[Cell]]))</f>
        <v>48.25</v>
      </c>
      <c r="G104" s="38">
        <f>IF(tblPaid[[#This Row],[Date]]="","",SUMIFS(tblLabor[Earned hours (person-h)],tblLabor[Date],tblPaid[[#This Row],[Date]],tblLabor[Shift],tblPaid[[#This Row],[Shift]],tblLabor[Cell],tblPaid[[#This Row],[Cell]]))</f>
        <v>41.9766666666667</v>
      </c>
      <c r="H104" s="38">
        <f>IF(tblPaid[[#This Row],[Date]]="","",tblPaid[[#This Row],[Paid hours (person-h)]]-tblPaid[[#This Row],[Direct hours (person-h)]])</f>
        <v>4.25</v>
      </c>
      <c r="I104" s="31">
        <f>IF(tblPaid[[#This Row],[Date]]="","",IF(tblPaid[[#This Row],[Paid hours (person-h)]]&gt;0,tblPaid[[#This Row],[Direct hours (person-h)]]/tblPaid[[#This Row],[Paid hours (person-h)]],""))</f>
        <v>0.919047619047619</v>
      </c>
      <c r="J104" s="31">
        <f>IF(tblPaid[[#This Row],[Date]]="","",IF(tblPaid[[#This Row],[Paid hours (person-h)]]&gt;0,tblPaid[[#This Row],[Earned hours (person-h)]]/tblPaid[[#This Row],[Paid hours (person-h)]],""))</f>
        <v>0.799555555555556</v>
      </c>
      <c r="K104" s="39" t="str">
        <f>IF(NOT(ISNUMBER(tblPaid[[#This Row],[Utilization]])),"",IF(tblPaid[[#This Row],[Utilization]]&gt;=TargetUtil,"On target",IF(tblPaid[[#This Row],[Utilization]]&gt;=TargetUtil*(1-0.05),"Near target","Below target")))</f>
        <v>On target</v>
      </c>
      <c r="L104" s="41">
        <f>IF(tblPaid[[#This Row],[Date]]="","",IF(AND(tblPaid[[#This Row],[Date]]&gt;=FFrom,tblPaid[[#This Row],[Date]]&lt;=FTo,OR(DashCell="",tblPaid[[#This Row],[Cell]]=DashCell)),tblPaid[[#This Row],[Date]],""))</f>
        <v>46282</v>
      </c>
      <c r="M10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4" s="28" t="s">
        <v>136</v>
      </c>
    </row>
    <row r="105" spans="2:14" x14ac:dyDescent="0.25">
      <c r="B105" s="35">
        <v>46282</v>
      </c>
      <c r="C105" s="28" t="s">
        <v>98</v>
      </c>
      <c r="D105" s="28" t="s">
        <v>94</v>
      </c>
      <c r="E105" s="29">
        <v>30</v>
      </c>
      <c r="F105" s="38">
        <f>IF(tblPaid[[#This Row],[Date]]="","",SUMIFS(tblLabor[Actual hours (person-h)],tblLabor[Date],tblPaid[[#This Row],[Date]],tblLabor[Shift],tblPaid[[#This Row],[Shift]],tblLabor[Cell],tblPaid[[#This Row],[Cell]]))</f>
        <v>25</v>
      </c>
      <c r="G105" s="38">
        <f>IF(tblPaid[[#This Row],[Date]]="","",SUMIFS(tblLabor[Earned hours (person-h)],tblLabor[Date],tblPaid[[#This Row],[Date]],tblLabor[Shift],tblPaid[[#This Row],[Shift]],tblLabor[Cell],tblPaid[[#This Row],[Cell]]))</f>
        <v>22.62</v>
      </c>
      <c r="H105" s="38">
        <f>IF(tblPaid[[#This Row],[Date]]="","",tblPaid[[#This Row],[Paid hours (person-h)]]-tblPaid[[#This Row],[Direct hours (person-h)]])</f>
        <v>5</v>
      </c>
      <c r="I105" s="31">
        <f>IF(tblPaid[[#This Row],[Date]]="","",IF(tblPaid[[#This Row],[Paid hours (person-h)]]&gt;0,tblPaid[[#This Row],[Direct hours (person-h)]]/tblPaid[[#This Row],[Paid hours (person-h)]],""))</f>
        <v>0.833333333333333</v>
      </c>
      <c r="J105" s="31">
        <f>IF(tblPaid[[#This Row],[Date]]="","",IF(tblPaid[[#This Row],[Paid hours (person-h)]]&gt;0,tblPaid[[#This Row],[Earned hours (person-h)]]/tblPaid[[#This Row],[Paid hours (person-h)]],""))</f>
        <v>0.754</v>
      </c>
      <c r="K105" s="39" t="str">
        <f>IF(NOT(ISNUMBER(tblPaid[[#This Row],[Utilization]])),"",IF(tblPaid[[#This Row],[Utilization]]&gt;=TargetUtil,"On target",IF(tblPaid[[#This Row],[Utilization]]&gt;=TargetUtil*(1-0.05),"Near target","Below target")))</f>
        <v>Near target</v>
      </c>
      <c r="L105" s="41">
        <f>IF(tblPaid[[#This Row],[Date]]="","",IF(AND(tblPaid[[#This Row],[Date]]&gt;=FFrom,tblPaid[[#This Row],[Date]]&lt;=FTo,OR(DashCell="",tblPaid[[#This Row],[Cell]]=DashCell)),tblPaid[[#This Row],[Date]],""))</f>
        <v>46282</v>
      </c>
      <c r="M10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5" s="28" t="s">
        <v>146</v>
      </c>
    </row>
    <row r="106" spans="2:14" x14ac:dyDescent="0.25">
      <c r="B106" s="35">
        <v>46282</v>
      </c>
      <c r="C106" s="28" t="s">
        <v>101</v>
      </c>
      <c r="D106" s="28" t="s">
        <v>86</v>
      </c>
      <c r="E106" s="29">
        <v>30</v>
      </c>
      <c r="F106" s="38">
        <f>IF(tblPaid[[#This Row],[Date]]="","",SUMIFS(tblLabor[Actual hours (person-h)],tblLabor[Date],tblPaid[[#This Row],[Date]],tblLabor[Shift],tblPaid[[#This Row],[Shift]],tblLabor[Cell],tblPaid[[#This Row],[Cell]]))</f>
        <v>28.75</v>
      </c>
      <c r="G106" s="38">
        <f>IF(tblPaid[[#This Row],[Date]]="","",SUMIFS(tblLabor[Earned hours (person-h)],tblLabor[Date],tblPaid[[#This Row],[Date]],tblLabor[Shift],tblPaid[[#This Row],[Shift]],tblLabor[Cell],tblPaid[[#This Row],[Cell]]))</f>
        <v>27.605</v>
      </c>
      <c r="H106" s="38">
        <f>IF(tblPaid[[#This Row],[Date]]="","",tblPaid[[#This Row],[Paid hours (person-h)]]-tblPaid[[#This Row],[Direct hours (person-h)]])</f>
        <v>1.25</v>
      </c>
      <c r="I106" s="31">
        <f>IF(tblPaid[[#This Row],[Date]]="","",IF(tblPaid[[#This Row],[Paid hours (person-h)]]&gt;0,tblPaid[[#This Row],[Direct hours (person-h)]]/tblPaid[[#This Row],[Paid hours (person-h)]],""))</f>
        <v>0.958333333333333</v>
      </c>
      <c r="J106" s="31">
        <f>IF(tblPaid[[#This Row],[Date]]="","",IF(tblPaid[[#This Row],[Paid hours (person-h)]]&gt;0,tblPaid[[#This Row],[Earned hours (person-h)]]/tblPaid[[#This Row],[Paid hours (person-h)]],""))</f>
        <v>0.920166666666667</v>
      </c>
      <c r="K106" s="39" t="str">
        <f>IF(NOT(ISNUMBER(tblPaid[[#This Row],[Utilization]])),"",IF(tblPaid[[#This Row],[Utilization]]&gt;=TargetUtil,"On target",IF(tblPaid[[#This Row],[Utilization]]&gt;=TargetUtil*(1-0.05),"Near target","Below target")))</f>
        <v>On target</v>
      </c>
      <c r="L106" s="41">
        <f>IF(tblPaid[[#This Row],[Date]]="","",IF(AND(tblPaid[[#This Row],[Date]]&gt;=FFrom,tblPaid[[#This Row],[Date]]&lt;=FTo,OR(DashCell="",tblPaid[[#This Row],[Cell]]=DashCell)),tblPaid[[#This Row],[Date]],""))</f>
        <v>46282</v>
      </c>
      <c r="M10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6" s="28" t="s">
        <v>136</v>
      </c>
    </row>
    <row r="107" spans="2:14" x14ac:dyDescent="0.25">
      <c r="B107" s="35">
        <v>46282</v>
      </c>
      <c r="C107" s="28" t="s">
        <v>101</v>
      </c>
      <c r="D107" s="28" t="s">
        <v>89</v>
      </c>
      <c r="E107" s="29">
        <v>60</v>
      </c>
      <c r="F107" s="38">
        <f>IF(tblPaid[[#This Row],[Date]]="","",SUMIFS(tblLabor[Actual hours (person-h)],tblLabor[Date],tblPaid[[#This Row],[Date]],tblLabor[Shift],tblPaid[[#This Row],[Shift]],tblLabor[Cell],tblPaid[[#This Row],[Cell]]))</f>
        <v>47</v>
      </c>
      <c r="G107" s="38">
        <f>IF(tblPaid[[#This Row],[Date]]="","",SUMIFS(tblLabor[Earned hours (person-h)],tblLabor[Date],tblPaid[[#This Row],[Date]],tblLabor[Shift],tblPaid[[#This Row],[Shift]],tblLabor[Cell],tblPaid[[#This Row],[Cell]]))</f>
        <v>41.4333333333333</v>
      </c>
      <c r="H107" s="38">
        <f>IF(tblPaid[[#This Row],[Date]]="","",tblPaid[[#This Row],[Paid hours (person-h)]]-tblPaid[[#This Row],[Direct hours (person-h)]])</f>
        <v>13</v>
      </c>
      <c r="I107" s="31">
        <f>IF(tblPaid[[#This Row],[Date]]="","",IF(tblPaid[[#This Row],[Paid hours (person-h)]]&gt;0,tblPaid[[#This Row],[Direct hours (person-h)]]/tblPaid[[#This Row],[Paid hours (person-h)]],""))</f>
        <v>0.783333333333333</v>
      </c>
      <c r="J107" s="31">
        <f>IF(tblPaid[[#This Row],[Date]]="","",IF(tblPaid[[#This Row],[Paid hours (person-h)]]&gt;0,tblPaid[[#This Row],[Earned hours (person-h)]]/tblPaid[[#This Row],[Paid hours (person-h)]],""))</f>
        <v>0.690555555555556</v>
      </c>
      <c r="K107" s="39" t="str">
        <f>IF(NOT(ISNUMBER(tblPaid[[#This Row],[Utilization]])),"",IF(tblPaid[[#This Row],[Utilization]]&gt;=TargetUtil,"On target",IF(tblPaid[[#This Row],[Utilization]]&gt;=TargetUtil*(1-0.05),"Near target","Below target")))</f>
        <v>Below target</v>
      </c>
      <c r="L107" s="41">
        <f>IF(tblPaid[[#This Row],[Date]]="","",IF(AND(tblPaid[[#This Row],[Date]]&gt;=FFrom,tblPaid[[#This Row],[Date]]&lt;=FTo,OR(DashCell="",tblPaid[[#This Row],[Cell]]=DashCell)),tblPaid[[#This Row],[Date]],""))</f>
        <v>46282</v>
      </c>
      <c r="M10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7" s="28" t="s">
        <v>148</v>
      </c>
    </row>
    <row r="108" spans="2:14" x14ac:dyDescent="0.25">
      <c r="B108" s="35">
        <v>46282</v>
      </c>
      <c r="C108" s="28" t="s">
        <v>101</v>
      </c>
      <c r="D108" s="28" t="s">
        <v>92</v>
      </c>
      <c r="E108" s="29">
        <v>52.5</v>
      </c>
      <c r="F108" s="38">
        <f>IF(tblPaid[[#This Row],[Date]]="","",SUMIFS(tblLabor[Actual hours (person-h)],tblLabor[Date],tblPaid[[#This Row],[Date]],tblLabor[Shift],tblPaid[[#This Row],[Shift]],tblLabor[Cell],tblPaid[[#This Row],[Cell]]))</f>
        <v>47.5</v>
      </c>
      <c r="G108" s="38">
        <f>IF(tblPaid[[#This Row],[Date]]="","",SUMIFS(tblLabor[Earned hours (person-h)],tblLabor[Date],tblPaid[[#This Row],[Date]],tblLabor[Shift],tblPaid[[#This Row],[Shift]],tblLabor[Cell],tblPaid[[#This Row],[Cell]]))</f>
        <v>35.9333333333333</v>
      </c>
      <c r="H108" s="38">
        <f>IF(tblPaid[[#This Row],[Date]]="","",tblPaid[[#This Row],[Paid hours (person-h)]]-tblPaid[[#This Row],[Direct hours (person-h)]])</f>
        <v>5</v>
      </c>
      <c r="I108" s="31">
        <f>IF(tblPaid[[#This Row],[Date]]="","",IF(tblPaid[[#This Row],[Paid hours (person-h)]]&gt;0,tblPaid[[#This Row],[Direct hours (person-h)]]/tblPaid[[#This Row],[Paid hours (person-h)]],""))</f>
        <v>0.904761904761905</v>
      </c>
      <c r="J108" s="31">
        <f>IF(tblPaid[[#This Row],[Date]]="","",IF(tblPaid[[#This Row],[Paid hours (person-h)]]&gt;0,tblPaid[[#This Row],[Earned hours (person-h)]]/tblPaid[[#This Row],[Paid hours (person-h)]],""))</f>
        <v>0.684444444444444</v>
      </c>
      <c r="K108" s="39" t="str">
        <f>IF(NOT(ISNUMBER(tblPaid[[#This Row],[Utilization]])),"",IF(tblPaid[[#This Row],[Utilization]]&gt;=TargetUtil,"On target",IF(tblPaid[[#This Row],[Utilization]]&gt;=TargetUtil*(1-0.05),"Near target","Below target")))</f>
        <v>On target</v>
      </c>
      <c r="L108" s="41">
        <f>IF(tblPaid[[#This Row],[Date]]="","",IF(AND(tblPaid[[#This Row],[Date]]&gt;=FFrom,tblPaid[[#This Row],[Date]]&lt;=FTo,OR(DashCell="",tblPaid[[#This Row],[Cell]]=DashCell)),tblPaid[[#This Row],[Date]],""))</f>
        <v>46282</v>
      </c>
      <c r="M10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8" s="28" t="s">
        <v>136</v>
      </c>
    </row>
    <row r="109" spans="2:14" x14ac:dyDescent="0.25">
      <c r="B109" s="35">
        <v>46282</v>
      </c>
      <c r="C109" s="28" t="s">
        <v>101</v>
      </c>
      <c r="D109" s="28" t="s">
        <v>94</v>
      </c>
      <c r="E109" s="29">
        <v>37.5</v>
      </c>
      <c r="F109" s="38">
        <f>IF(tblPaid[[#This Row],[Date]]="","",SUMIFS(tblLabor[Actual hours (person-h)],tblLabor[Date],tblPaid[[#This Row],[Date]],tblLabor[Shift],tblPaid[[#This Row],[Shift]],tblLabor[Cell],tblPaid[[#This Row],[Cell]]))</f>
        <v>30.25</v>
      </c>
      <c r="G109" s="38">
        <f>IF(tblPaid[[#This Row],[Date]]="","",SUMIFS(tblLabor[Earned hours (person-h)],tblLabor[Date],tblPaid[[#This Row],[Date]],tblLabor[Shift],tblPaid[[#This Row],[Shift]],tblLabor[Cell],tblPaid[[#This Row],[Cell]]))</f>
        <v>27.54</v>
      </c>
      <c r="H109" s="38">
        <f>IF(tblPaid[[#This Row],[Date]]="","",tblPaid[[#This Row],[Paid hours (person-h)]]-tblPaid[[#This Row],[Direct hours (person-h)]])</f>
        <v>7.25</v>
      </c>
      <c r="I109" s="31">
        <f>IF(tblPaid[[#This Row],[Date]]="","",IF(tblPaid[[#This Row],[Paid hours (person-h)]]&gt;0,tblPaid[[#This Row],[Direct hours (person-h)]]/tblPaid[[#This Row],[Paid hours (person-h)]],""))</f>
        <v>0.806666666666667</v>
      </c>
      <c r="J109" s="31">
        <f>IF(tblPaid[[#This Row],[Date]]="","",IF(tblPaid[[#This Row],[Paid hours (person-h)]]&gt;0,tblPaid[[#This Row],[Earned hours (person-h)]]/tblPaid[[#This Row],[Paid hours (person-h)]],""))</f>
        <v>0.7344</v>
      </c>
      <c r="K109" s="39" t="str">
        <f>IF(NOT(ISNUMBER(tblPaid[[#This Row],[Utilization]])),"",IF(tblPaid[[#This Row],[Utilization]]&gt;=TargetUtil,"On target",IF(tblPaid[[#This Row],[Utilization]]&gt;=TargetUtil*(1-0.05),"Near target","Below target")))</f>
        <v>Below target</v>
      </c>
      <c r="L109" s="41">
        <f>IF(tblPaid[[#This Row],[Date]]="","",IF(AND(tblPaid[[#This Row],[Date]]&gt;=FFrom,tblPaid[[#This Row],[Date]]&lt;=FTo,OR(DashCell="",tblPaid[[#This Row],[Cell]]=DashCell)),tblPaid[[#This Row],[Date]],""))</f>
        <v>46282</v>
      </c>
      <c r="M10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09" s="28" t="s">
        <v>136</v>
      </c>
    </row>
    <row r="110" spans="2:14" x14ac:dyDescent="0.25">
      <c r="B110" s="35">
        <v>46283</v>
      </c>
      <c r="C110" s="28" t="s">
        <v>98</v>
      </c>
      <c r="D110" s="28" t="s">
        <v>86</v>
      </c>
      <c r="E110" s="29">
        <v>30</v>
      </c>
      <c r="F110" s="38">
        <f>IF(tblPaid[[#This Row],[Date]]="","",SUMIFS(tblLabor[Actual hours (person-h)],tblLabor[Date],tblPaid[[#This Row],[Date]],tblLabor[Shift],tblPaid[[#This Row],[Shift]],tblLabor[Cell],tblPaid[[#This Row],[Cell]]))</f>
        <v>27.75</v>
      </c>
      <c r="G110" s="38">
        <f>IF(tblPaid[[#This Row],[Date]]="","",SUMIFS(tblLabor[Earned hours (person-h)],tblLabor[Date],tblPaid[[#This Row],[Date]],tblLabor[Shift],tblPaid[[#This Row],[Shift]],tblLabor[Cell],tblPaid[[#This Row],[Cell]]))</f>
        <v>26.6933333333333</v>
      </c>
      <c r="H110" s="38">
        <f>IF(tblPaid[[#This Row],[Date]]="","",tblPaid[[#This Row],[Paid hours (person-h)]]-tblPaid[[#This Row],[Direct hours (person-h)]])</f>
        <v>2.25</v>
      </c>
      <c r="I110" s="31">
        <f>IF(tblPaid[[#This Row],[Date]]="","",IF(tblPaid[[#This Row],[Paid hours (person-h)]]&gt;0,tblPaid[[#This Row],[Direct hours (person-h)]]/tblPaid[[#This Row],[Paid hours (person-h)]],""))</f>
        <v>0.925</v>
      </c>
      <c r="J110" s="31">
        <f>IF(tblPaid[[#This Row],[Date]]="","",IF(tblPaid[[#This Row],[Paid hours (person-h)]]&gt;0,tblPaid[[#This Row],[Earned hours (person-h)]]/tblPaid[[#This Row],[Paid hours (person-h)]],""))</f>
        <v>0.889777777777778</v>
      </c>
      <c r="K110" s="39" t="str">
        <f>IF(NOT(ISNUMBER(tblPaid[[#This Row],[Utilization]])),"",IF(tblPaid[[#This Row],[Utilization]]&gt;=TargetUtil,"On target",IF(tblPaid[[#This Row],[Utilization]]&gt;=TargetUtil*(1-0.05),"Near target","Below target")))</f>
        <v>On target</v>
      </c>
      <c r="L110" s="41">
        <f>IF(tblPaid[[#This Row],[Date]]="","",IF(AND(tblPaid[[#This Row],[Date]]&gt;=FFrom,tblPaid[[#This Row],[Date]]&lt;=FTo,OR(DashCell="",tblPaid[[#This Row],[Cell]]=DashCell)),tblPaid[[#This Row],[Date]],""))</f>
        <v>46283</v>
      </c>
      <c r="M11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0" s="28" t="s">
        <v>136</v>
      </c>
    </row>
    <row r="111" spans="2:14" x14ac:dyDescent="0.25">
      <c r="B111" s="35">
        <v>46283</v>
      </c>
      <c r="C111" s="28" t="s">
        <v>98</v>
      </c>
      <c r="D111" s="28" t="s">
        <v>89</v>
      </c>
      <c r="E111" s="29">
        <v>60</v>
      </c>
      <c r="F111" s="38">
        <f>IF(tblPaid[[#This Row],[Date]]="","",SUMIFS(tblLabor[Actual hours (person-h)],tblLabor[Date],tblPaid[[#This Row],[Date]],tblLabor[Shift],tblPaid[[#This Row],[Shift]],tblLabor[Cell],tblPaid[[#This Row],[Cell]]))</f>
        <v>56.75</v>
      </c>
      <c r="G111" s="38">
        <f>IF(tblPaid[[#This Row],[Date]]="","",SUMIFS(tblLabor[Earned hours (person-h)],tblLabor[Date],tblPaid[[#This Row],[Date]],tblLabor[Shift],tblPaid[[#This Row],[Shift]],tblLabor[Cell],tblPaid[[#This Row],[Cell]]))</f>
        <v>54.2666666666667</v>
      </c>
      <c r="H111" s="38">
        <f>IF(tblPaid[[#This Row],[Date]]="","",tblPaid[[#This Row],[Paid hours (person-h)]]-tblPaid[[#This Row],[Direct hours (person-h)]])</f>
        <v>3.25</v>
      </c>
      <c r="I111" s="31">
        <f>IF(tblPaid[[#This Row],[Date]]="","",IF(tblPaid[[#This Row],[Paid hours (person-h)]]&gt;0,tblPaid[[#This Row],[Direct hours (person-h)]]/tblPaid[[#This Row],[Paid hours (person-h)]],""))</f>
        <v>0.945833333333333</v>
      </c>
      <c r="J111" s="31">
        <f>IF(tblPaid[[#This Row],[Date]]="","",IF(tblPaid[[#This Row],[Paid hours (person-h)]]&gt;0,tblPaid[[#This Row],[Earned hours (person-h)]]/tblPaid[[#This Row],[Paid hours (person-h)]],""))</f>
        <v>0.904444444444444</v>
      </c>
      <c r="K111" s="39" t="str">
        <f>IF(NOT(ISNUMBER(tblPaid[[#This Row],[Utilization]])),"",IF(tblPaid[[#This Row],[Utilization]]&gt;=TargetUtil,"On target",IF(tblPaid[[#This Row],[Utilization]]&gt;=TargetUtil*(1-0.05),"Near target","Below target")))</f>
        <v>On target</v>
      </c>
      <c r="L111" s="41">
        <f>IF(tblPaid[[#This Row],[Date]]="","",IF(AND(tblPaid[[#This Row],[Date]]&gt;=FFrom,tblPaid[[#This Row],[Date]]&lt;=FTo,OR(DashCell="",tblPaid[[#This Row],[Cell]]=DashCell)),tblPaid[[#This Row],[Date]],""))</f>
        <v>46283</v>
      </c>
      <c r="M11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1" s="28" t="s">
        <v>136</v>
      </c>
    </row>
    <row r="112" spans="2:14" x14ac:dyDescent="0.25">
      <c r="B112" s="35">
        <v>46283</v>
      </c>
      <c r="C112" s="28" t="s">
        <v>98</v>
      </c>
      <c r="D112" s="28" t="s">
        <v>92</v>
      </c>
      <c r="E112" s="29">
        <v>52.5</v>
      </c>
      <c r="F112" s="38">
        <f>IF(tblPaid[[#This Row],[Date]]="","",SUMIFS(tblLabor[Actual hours (person-h)],tblLabor[Date],tblPaid[[#This Row],[Date]],tblLabor[Shift],tblPaid[[#This Row],[Shift]],tblLabor[Cell],tblPaid[[#This Row],[Cell]]))</f>
        <v>48.5</v>
      </c>
      <c r="G112" s="38">
        <f>IF(tblPaid[[#This Row],[Date]]="","",SUMIFS(tblLabor[Earned hours (person-h)],tblLabor[Date],tblPaid[[#This Row],[Date]],tblLabor[Shift],tblPaid[[#This Row],[Shift]],tblLabor[Cell],tblPaid[[#This Row],[Cell]]))</f>
        <v>45.105</v>
      </c>
      <c r="H112" s="38">
        <f>IF(tblPaid[[#This Row],[Date]]="","",tblPaid[[#This Row],[Paid hours (person-h)]]-tblPaid[[#This Row],[Direct hours (person-h)]])</f>
        <v>4</v>
      </c>
      <c r="I112" s="31">
        <f>IF(tblPaid[[#This Row],[Date]]="","",IF(tblPaid[[#This Row],[Paid hours (person-h)]]&gt;0,tblPaid[[#This Row],[Direct hours (person-h)]]/tblPaid[[#This Row],[Paid hours (person-h)]],""))</f>
        <v>0.923809523809524</v>
      </c>
      <c r="J112" s="31">
        <f>IF(tblPaid[[#This Row],[Date]]="","",IF(tblPaid[[#This Row],[Paid hours (person-h)]]&gt;0,tblPaid[[#This Row],[Earned hours (person-h)]]/tblPaid[[#This Row],[Paid hours (person-h)]],""))</f>
        <v>0.859142857142857</v>
      </c>
      <c r="K112" s="39" t="str">
        <f>IF(NOT(ISNUMBER(tblPaid[[#This Row],[Utilization]])),"",IF(tblPaid[[#This Row],[Utilization]]&gt;=TargetUtil,"On target",IF(tblPaid[[#This Row],[Utilization]]&gt;=TargetUtil*(1-0.05),"Near target","Below target")))</f>
        <v>On target</v>
      </c>
      <c r="L112" s="41">
        <f>IF(tblPaid[[#This Row],[Date]]="","",IF(AND(tblPaid[[#This Row],[Date]]&gt;=FFrom,tblPaid[[#This Row],[Date]]&lt;=FTo,OR(DashCell="",tblPaid[[#This Row],[Cell]]=DashCell)),tblPaid[[#This Row],[Date]],""))</f>
        <v>46283</v>
      </c>
      <c r="M11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2" s="28" t="s">
        <v>136</v>
      </c>
    </row>
    <row r="113" spans="2:14" x14ac:dyDescent="0.25">
      <c r="B113" s="35">
        <v>46283</v>
      </c>
      <c r="C113" s="28" t="s">
        <v>98</v>
      </c>
      <c r="D113" s="28" t="s">
        <v>94</v>
      </c>
      <c r="E113" s="29">
        <v>30</v>
      </c>
      <c r="F113" s="38">
        <f>IF(tblPaid[[#This Row],[Date]]="","",SUMIFS(tblLabor[Actual hours (person-h)],tblLabor[Date],tblPaid[[#This Row],[Date]],tblLabor[Shift],tblPaid[[#This Row],[Shift]],tblLabor[Cell],tblPaid[[#This Row],[Cell]]))</f>
        <v>24</v>
      </c>
      <c r="G113" s="38">
        <f>IF(tblPaid[[#This Row],[Date]]="","",SUMIFS(tblLabor[Earned hours (person-h)],tblLabor[Date],tblPaid[[#This Row],[Date]],tblLabor[Shift],tblPaid[[#This Row],[Shift]],tblLabor[Cell],tblPaid[[#This Row],[Cell]]))</f>
        <v>21.5333333333333</v>
      </c>
      <c r="H113" s="38">
        <f>IF(tblPaid[[#This Row],[Date]]="","",tblPaid[[#This Row],[Paid hours (person-h)]]-tblPaid[[#This Row],[Direct hours (person-h)]])</f>
        <v>6</v>
      </c>
      <c r="I113" s="31">
        <f>IF(tblPaid[[#This Row],[Date]]="","",IF(tblPaid[[#This Row],[Paid hours (person-h)]]&gt;0,tblPaid[[#This Row],[Direct hours (person-h)]]/tblPaid[[#This Row],[Paid hours (person-h)]],""))</f>
        <v>0.8</v>
      </c>
      <c r="J113" s="31">
        <f>IF(tblPaid[[#This Row],[Date]]="","",IF(tblPaid[[#This Row],[Paid hours (person-h)]]&gt;0,tblPaid[[#This Row],[Earned hours (person-h)]]/tblPaid[[#This Row],[Paid hours (person-h)]],""))</f>
        <v>0.717777777777778</v>
      </c>
      <c r="K113" s="39" t="str">
        <f>IF(NOT(ISNUMBER(tblPaid[[#This Row],[Utilization]])),"",IF(tblPaid[[#This Row],[Utilization]]&gt;=TargetUtil,"On target",IF(tblPaid[[#This Row],[Utilization]]&gt;=TargetUtil*(1-0.05),"Near target","Below target")))</f>
        <v>Below target</v>
      </c>
      <c r="L113" s="41">
        <f>IF(tblPaid[[#This Row],[Date]]="","",IF(AND(tblPaid[[#This Row],[Date]]&gt;=FFrom,tblPaid[[#This Row],[Date]]&lt;=FTo,OR(DashCell="",tblPaid[[#This Row],[Cell]]=DashCell)),tblPaid[[#This Row],[Date]],""))</f>
        <v>46283</v>
      </c>
      <c r="M11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3" s="28" t="s">
        <v>146</v>
      </c>
    </row>
    <row r="114" spans="2:14" x14ac:dyDescent="0.25">
      <c r="B114" s="35">
        <v>46283</v>
      </c>
      <c r="C114" s="28" t="s">
        <v>101</v>
      </c>
      <c r="D114" s="28" t="s">
        <v>86</v>
      </c>
      <c r="E114" s="29">
        <v>30</v>
      </c>
      <c r="F114" s="38">
        <f>IF(tblPaid[[#This Row],[Date]]="","",SUMIFS(tblLabor[Actual hours (person-h)],tblLabor[Date],tblPaid[[#This Row],[Date]],tblLabor[Shift],tblPaid[[#This Row],[Shift]],tblLabor[Cell],tblPaid[[#This Row],[Cell]]))</f>
        <v>28</v>
      </c>
      <c r="G114" s="38">
        <f>IF(tblPaid[[#This Row],[Date]]="","",SUMIFS(tblLabor[Earned hours (person-h)],tblLabor[Date],tblPaid[[#This Row],[Date]],tblLabor[Shift],tblPaid[[#This Row],[Shift]],tblLabor[Cell],tblPaid[[#This Row],[Cell]]))</f>
        <v>26.085</v>
      </c>
      <c r="H114" s="38">
        <f>IF(tblPaid[[#This Row],[Date]]="","",tblPaid[[#This Row],[Paid hours (person-h)]]-tblPaid[[#This Row],[Direct hours (person-h)]])</f>
        <v>2</v>
      </c>
      <c r="I114" s="31">
        <f>IF(tblPaid[[#This Row],[Date]]="","",IF(tblPaid[[#This Row],[Paid hours (person-h)]]&gt;0,tblPaid[[#This Row],[Direct hours (person-h)]]/tblPaid[[#This Row],[Paid hours (person-h)]],""))</f>
        <v>0.933333333333333</v>
      </c>
      <c r="J114" s="31">
        <f>IF(tblPaid[[#This Row],[Date]]="","",IF(tblPaid[[#This Row],[Paid hours (person-h)]]&gt;0,tblPaid[[#This Row],[Earned hours (person-h)]]/tblPaid[[#This Row],[Paid hours (person-h)]],""))</f>
        <v>0.8695</v>
      </c>
      <c r="K114" s="39" t="str">
        <f>IF(NOT(ISNUMBER(tblPaid[[#This Row],[Utilization]])),"",IF(tblPaid[[#This Row],[Utilization]]&gt;=TargetUtil,"On target",IF(tblPaid[[#This Row],[Utilization]]&gt;=TargetUtil*(1-0.05),"Near target","Below target")))</f>
        <v>On target</v>
      </c>
      <c r="L114" s="41">
        <f>IF(tblPaid[[#This Row],[Date]]="","",IF(AND(tblPaid[[#This Row],[Date]]&gt;=FFrom,tblPaid[[#This Row],[Date]]&lt;=FTo,OR(DashCell="",tblPaid[[#This Row],[Cell]]=DashCell)),tblPaid[[#This Row],[Date]],""))</f>
        <v>46283</v>
      </c>
      <c r="M11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4" s="28" t="s">
        <v>136</v>
      </c>
    </row>
    <row r="115" spans="2:14" x14ac:dyDescent="0.25">
      <c r="B115" s="35">
        <v>46283</v>
      </c>
      <c r="C115" s="28" t="s">
        <v>101</v>
      </c>
      <c r="D115" s="28" t="s">
        <v>89</v>
      </c>
      <c r="E115" s="29">
        <v>52.5</v>
      </c>
      <c r="F115" s="38">
        <f>IF(tblPaid[[#This Row],[Date]]="","",SUMIFS(tblLabor[Actual hours (person-h)],tblLabor[Date],tblPaid[[#This Row],[Date]],tblLabor[Shift],tblPaid[[#This Row],[Shift]],tblLabor[Cell],tblPaid[[#This Row],[Cell]]))</f>
        <v>49</v>
      </c>
      <c r="G115" s="38">
        <f>IF(tblPaid[[#This Row],[Date]]="","",SUMIFS(tblLabor[Earned hours (person-h)],tblLabor[Date],tblPaid[[#This Row],[Date]],tblLabor[Shift],tblPaid[[#This Row],[Shift]],tblLabor[Cell],tblPaid[[#This Row],[Cell]]))</f>
        <v>46.2</v>
      </c>
      <c r="H115" s="38">
        <f>IF(tblPaid[[#This Row],[Date]]="","",tblPaid[[#This Row],[Paid hours (person-h)]]-tblPaid[[#This Row],[Direct hours (person-h)]])</f>
        <v>3.5</v>
      </c>
      <c r="I115" s="31">
        <f>IF(tblPaid[[#This Row],[Date]]="","",IF(tblPaid[[#This Row],[Paid hours (person-h)]]&gt;0,tblPaid[[#This Row],[Direct hours (person-h)]]/tblPaid[[#This Row],[Paid hours (person-h)]],""))</f>
        <v>0.933333333333333</v>
      </c>
      <c r="J115" s="31">
        <f>IF(tblPaid[[#This Row],[Date]]="","",IF(tblPaid[[#This Row],[Paid hours (person-h)]]&gt;0,tblPaid[[#This Row],[Earned hours (person-h)]]/tblPaid[[#This Row],[Paid hours (person-h)]],""))</f>
        <v>0.88</v>
      </c>
      <c r="K115" s="39" t="str">
        <f>IF(NOT(ISNUMBER(tblPaid[[#This Row],[Utilization]])),"",IF(tblPaid[[#This Row],[Utilization]]&gt;=TargetUtil,"On target",IF(tblPaid[[#This Row],[Utilization]]&gt;=TargetUtil*(1-0.05),"Near target","Below target")))</f>
        <v>On target</v>
      </c>
      <c r="L115" s="41">
        <f>IF(tblPaid[[#This Row],[Date]]="","",IF(AND(tblPaid[[#This Row],[Date]]&gt;=FFrom,tblPaid[[#This Row],[Date]]&lt;=FTo,OR(DashCell="",tblPaid[[#This Row],[Cell]]=DashCell)),tblPaid[[#This Row],[Date]],""))</f>
        <v>46283</v>
      </c>
      <c r="M11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5" s="28" t="s">
        <v>146</v>
      </c>
    </row>
    <row r="116" spans="2:14" x14ac:dyDescent="0.25">
      <c r="B116" s="35">
        <v>46283</v>
      </c>
      <c r="C116" s="28" t="s">
        <v>101</v>
      </c>
      <c r="D116" s="28" t="s">
        <v>92</v>
      </c>
      <c r="E116" s="29">
        <v>52.5</v>
      </c>
      <c r="F116" s="38">
        <f>IF(tblPaid[[#This Row],[Date]]="","",SUMIFS(tblLabor[Actual hours (person-h)],tblLabor[Date],tblPaid[[#This Row],[Date]],tblLabor[Shift],tblPaid[[#This Row],[Shift]],tblLabor[Cell],tblPaid[[#This Row],[Cell]]))</f>
        <v>48</v>
      </c>
      <c r="G116" s="38">
        <f>IF(tblPaid[[#This Row],[Date]]="","",SUMIFS(tblLabor[Earned hours (person-h)],tblLabor[Date],tblPaid[[#This Row],[Date]],tblLabor[Shift],tblPaid[[#This Row],[Shift]],tblLabor[Cell],tblPaid[[#This Row],[Cell]]))</f>
        <v>36.115</v>
      </c>
      <c r="H116" s="38">
        <f>IF(tblPaid[[#This Row],[Date]]="","",tblPaid[[#This Row],[Paid hours (person-h)]]-tblPaid[[#This Row],[Direct hours (person-h)]])</f>
        <v>4.5</v>
      </c>
      <c r="I116" s="31">
        <f>IF(tblPaid[[#This Row],[Date]]="","",IF(tblPaid[[#This Row],[Paid hours (person-h)]]&gt;0,tblPaid[[#This Row],[Direct hours (person-h)]]/tblPaid[[#This Row],[Paid hours (person-h)]],""))</f>
        <v>0.914285714285714</v>
      </c>
      <c r="J116" s="31">
        <f>IF(tblPaid[[#This Row],[Date]]="","",IF(tblPaid[[#This Row],[Paid hours (person-h)]]&gt;0,tblPaid[[#This Row],[Earned hours (person-h)]]/tblPaid[[#This Row],[Paid hours (person-h)]],""))</f>
        <v>0.687904761904762</v>
      </c>
      <c r="K116" s="39" t="str">
        <f>IF(NOT(ISNUMBER(tblPaid[[#This Row],[Utilization]])),"",IF(tblPaid[[#This Row],[Utilization]]&gt;=TargetUtil,"On target",IF(tblPaid[[#This Row],[Utilization]]&gt;=TargetUtil*(1-0.05),"Near target","Below target")))</f>
        <v>On target</v>
      </c>
      <c r="L116" s="41">
        <f>IF(tblPaid[[#This Row],[Date]]="","",IF(AND(tblPaid[[#This Row],[Date]]&gt;=FFrom,tblPaid[[#This Row],[Date]]&lt;=FTo,OR(DashCell="",tblPaid[[#This Row],[Cell]]=DashCell)),tblPaid[[#This Row],[Date]],""))</f>
        <v>46283</v>
      </c>
      <c r="M11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6" s="28" t="s">
        <v>136</v>
      </c>
    </row>
    <row r="117" spans="2:14" x14ac:dyDescent="0.25">
      <c r="B117" s="35">
        <v>46283</v>
      </c>
      <c r="C117" s="28" t="s">
        <v>101</v>
      </c>
      <c r="D117" s="28" t="s">
        <v>94</v>
      </c>
      <c r="E117" s="29">
        <v>37.5</v>
      </c>
      <c r="F117" s="38">
        <f>IF(tblPaid[[#This Row],[Date]]="","",SUMIFS(tblLabor[Actual hours (person-h)],tblLabor[Date],tblPaid[[#This Row],[Date]],tblLabor[Shift],tblPaid[[#This Row],[Shift]],tblLabor[Cell],tblPaid[[#This Row],[Cell]]))</f>
        <v>30.25</v>
      </c>
      <c r="G117" s="38">
        <f>IF(tblPaid[[#This Row],[Date]]="","",SUMIFS(tblLabor[Earned hours (person-h)],tblLabor[Date],tblPaid[[#This Row],[Date]],tblLabor[Shift],tblPaid[[#This Row],[Shift]],tblLabor[Cell],tblPaid[[#This Row],[Cell]]))</f>
        <v>27.36</v>
      </c>
      <c r="H117" s="38">
        <f>IF(tblPaid[[#This Row],[Date]]="","",tblPaid[[#This Row],[Paid hours (person-h)]]-tblPaid[[#This Row],[Direct hours (person-h)]])</f>
        <v>7.25</v>
      </c>
      <c r="I117" s="31">
        <f>IF(tblPaid[[#This Row],[Date]]="","",IF(tblPaid[[#This Row],[Paid hours (person-h)]]&gt;0,tblPaid[[#This Row],[Direct hours (person-h)]]/tblPaid[[#This Row],[Paid hours (person-h)]],""))</f>
        <v>0.806666666666667</v>
      </c>
      <c r="J117" s="31">
        <f>IF(tblPaid[[#This Row],[Date]]="","",IF(tblPaid[[#This Row],[Paid hours (person-h)]]&gt;0,tblPaid[[#This Row],[Earned hours (person-h)]]/tblPaid[[#This Row],[Paid hours (person-h)]],""))</f>
        <v>0.7296</v>
      </c>
      <c r="K117" s="39" t="str">
        <f>IF(NOT(ISNUMBER(tblPaid[[#This Row],[Utilization]])),"",IF(tblPaid[[#This Row],[Utilization]]&gt;=TargetUtil,"On target",IF(tblPaid[[#This Row],[Utilization]]&gt;=TargetUtil*(1-0.05),"Near target","Below target")))</f>
        <v>Below target</v>
      </c>
      <c r="L117" s="41">
        <f>IF(tblPaid[[#This Row],[Date]]="","",IF(AND(tblPaid[[#This Row],[Date]]&gt;=FFrom,tblPaid[[#This Row],[Date]]&lt;=FTo,OR(DashCell="",tblPaid[[#This Row],[Cell]]=DashCell)),tblPaid[[#This Row],[Date]],""))</f>
        <v>46283</v>
      </c>
      <c r="M11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7" s="28" t="s">
        <v>136</v>
      </c>
    </row>
    <row r="118" spans="2:14" x14ac:dyDescent="0.25">
      <c r="B118" s="35">
        <v>46286</v>
      </c>
      <c r="C118" s="28" t="s">
        <v>98</v>
      </c>
      <c r="D118" s="28" t="s">
        <v>86</v>
      </c>
      <c r="E118" s="29">
        <v>30</v>
      </c>
      <c r="F118" s="38">
        <f>IF(tblPaid[[#This Row],[Date]]="","",SUMIFS(tblLabor[Actual hours (person-h)],tblLabor[Date],tblPaid[[#This Row],[Date]],tblLabor[Shift],tblPaid[[#This Row],[Shift]],tblLabor[Cell],tblPaid[[#This Row],[Cell]]))</f>
        <v>25.75</v>
      </c>
      <c r="G118" s="38">
        <f>IF(tblPaid[[#This Row],[Date]]="","",SUMIFS(tblLabor[Earned hours (person-h)],tblLabor[Date],tblPaid[[#This Row],[Date]],tblLabor[Shift],tblPaid[[#This Row],[Shift]],tblLabor[Cell],tblPaid[[#This Row],[Cell]]))</f>
        <v>24.7633333333333</v>
      </c>
      <c r="H118" s="38">
        <f>IF(tblPaid[[#This Row],[Date]]="","",tblPaid[[#This Row],[Paid hours (person-h)]]-tblPaid[[#This Row],[Direct hours (person-h)]])</f>
        <v>4.25</v>
      </c>
      <c r="I118" s="31">
        <f>IF(tblPaid[[#This Row],[Date]]="","",IF(tblPaid[[#This Row],[Paid hours (person-h)]]&gt;0,tblPaid[[#This Row],[Direct hours (person-h)]]/tblPaid[[#This Row],[Paid hours (person-h)]],""))</f>
        <v>0.858333333333333</v>
      </c>
      <c r="J118" s="31">
        <f>IF(tblPaid[[#This Row],[Date]]="","",IF(tblPaid[[#This Row],[Paid hours (person-h)]]&gt;0,tblPaid[[#This Row],[Earned hours (person-h)]]/tblPaid[[#This Row],[Paid hours (person-h)]],""))</f>
        <v>0.825444444444444</v>
      </c>
      <c r="K118" s="39" t="str">
        <f>IF(NOT(ISNUMBER(tblPaid[[#This Row],[Utilization]])),"",IF(tblPaid[[#This Row],[Utilization]]&gt;=TargetUtil,"On target",IF(tblPaid[[#This Row],[Utilization]]&gt;=TargetUtil*(1-0.05),"Near target","Below target")))</f>
        <v>On target</v>
      </c>
      <c r="L118" s="41">
        <f>IF(tblPaid[[#This Row],[Date]]="","",IF(AND(tblPaid[[#This Row],[Date]]&gt;=FFrom,tblPaid[[#This Row],[Date]]&lt;=FTo,OR(DashCell="",tblPaid[[#This Row],[Cell]]=DashCell)),tblPaid[[#This Row],[Date]],""))</f>
        <v>46286</v>
      </c>
      <c r="M11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8" s="28" t="s">
        <v>144</v>
      </c>
    </row>
    <row r="119" spans="2:14" x14ac:dyDescent="0.25">
      <c r="B119" s="35">
        <v>46286</v>
      </c>
      <c r="C119" s="28" t="s">
        <v>98</v>
      </c>
      <c r="D119" s="28" t="s">
        <v>89</v>
      </c>
      <c r="E119" s="29">
        <v>60</v>
      </c>
      <c r="F119" s="38">
        <f>IF(tblPaid[[#This Row],[Date]]="","",SUMIFS(tblLabor[Actual hours (person-h)],tblLabor[Date],tblPaid[[#This Row],[Date]],tblLabor[Shift],tblPaid[[#This Row],[Shift]],tblLabor[Cell],tblPaid[[#This Row],[Cell]]))</f>
        <v>51.5</v>
      </c>
      <c r="G119" s="38">
        <f>IF(tblPaid[[#This Row],[Date]]="","",SUMIFS(tblLabor[Earned hours (person-h)],tblLabor[Date],tblPaid[[#This Row],[Date]],tblLabor[Shift],tblPaid[[#This Row],[Shift]],tblLabor[Cell],tblPaid[[#This Row],[Cell]]))</f>
        <v>48.4</v>
      </c>
      <c r="H119" s="38">
        <f>IF(tblPaid[[#This Row],[Date]]="","",tblPaid[[#This Row],[Paid hours (person-h)]]-tblPaid[[#This Row],[Direct hours (person-h)]])</f>
        <v>8.5</v>
      </c>
      <c r="I119" s="31">
        <f>IF(tblPaid[[#This Row],[Date]]="","",IF(tblPaid[[#This Row],[Paid hours (person-h)]]&gt;0,tblPaid[[#This Row],[Direct hours (person-h)]]/tblPaid[[#This Row],[Paid hours (person-h)]],""))</f>
        <v>0.858333333333333</v>
      </c>
      <c r="J119" s="31">
        <f>IF(tblPaid[[#This Row],[Date]]="","",IF(tblPaid[[#This Row],[Paid hours (person-h)]]&gt;0,tblPaid[[#This Row],[Earned hours (person-h)]]/tblPaid[[#This Row],[Paid hours (person-h)]],""))</f>
        <v>0.806666666666667</v>
      </c>
      <c r="K119" s="39" t="str">
        <f>IF(NOT(ISNUMBER(tblPaid[[#This Row],[Utilization]])),"",IF(tblPaid[[#This Row],[Utilization]]&gt;=TargetUtil,"On target",IF(tblPaid[[#This Row],[Utilization]]&gt;=TargetUtil*(1-0.05),"Near target","Below target")))</f>
        <v>On target</v>
      </c>
      <c r="L119" s="41">
        <f>IF(tblPaid[[#This Row],[Date]]="","",IF(AND(tblPaid[[#This Row],[Date]]&gt;=FFrom,tblPaid[[#This Row],[Date]]&lt;=FTo,OR(DashCell="",tblPaid[[#This Row],[Cell]]=DashCell)),tblPaid[[#This Row],[Date]],""))</f>
        <v>46286</v>
      </c>
      <c r="M11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19" s="28" t="s">
        <v>144</v>
      </c>
    </row>
    <row r="120" spans="2:14" x14ac:dyDescent="0.25">
      <c r="B120" s="35">
        <v>46286</v>
      </c>
      <c r="C120" s="28" t="s">
        <v>98</v>
      </c>
      <c r="D120" s="28" t="s">
        <v>92</v>
      </c>
      <c r="E120" s="29">
        <v>45</v>
      </c>
      <c r="F120" s="38">
        <f>IF(tblPaid[[#This Row],[Date]]="","",SUMIFS(tblLabor[Actual hours (person-h)],tblLabor[Date],tblPaid[[#This Row],[Date]],tblLabor[Shift],tblPaid[[#This Row],[Shift]],tblLabor[Cell],tblPaid[[#This Row],[Cell]]))</f>
        <v>37.5</v>
      </c>
      <c r="G120" s="38">
        <f>IF(tblPaid[[#This Row],[Date]]="","",SUMIFS(tblLabor[Earned hours (person-h)],tblLabor[Date],tblPaid[[#This Row],[Date]],tblLabor[Shift],tblPaid[[#This Row],[Shift]],tblLabor[Cell],tblPaid[[#This Row],[Cell]]))</f>
        <v>32.9933333333333</v>
      </c>
      <c r="H120" s="38">
        <f>IF(tblPaid[[#This Row],[Date]]="","",tblPaid[[#This Row],[Paid hours (person-h)]]-tblPaid[[#This Row],[Direct hours (person-h)]])</f>
        <v>7.5</v>
      </c>
      <c r="I120" s="31">
        <f>IF(tblPaid[[#This Row],[Date]]="","",IF(tblPaid[[#This Row],[Paid hours (person-h)]]&gt;0,tblPaid[[#This Row],[Direct hours (person-h)]]/tblPaid[[#This Row],[Paid hours (person-h)]],""))</f>
        <v>0.833333333333333</v>
      </c>
      <c r="J120" s="31">
        <f>IF(tblPaid[[#This Row],[Date]]="","",IF(tblPaid[[#This Row],[Paid hours (person-h)]]&gt;0,tblPaid[[#This Row],[Earned hours (person-h)]]/tblPaid[[#This Row],[Paid hours (person-h)]],""))</f>
        <v>0.733185185185185</v>
      </c>
      <c r="K120" s="39" t="str">
        <f>IF(NOT(ISNUMBER(tblPaid[[#This Row],[Utilization]])),"",IF(tblPaid[[#This Row],[Utilization]]&gt;=TargetUtil,"On target",IF(tblPaid[[#This Row],[Utilization]]&gt;=TargetUtil*(1-0.05),"Near target","Below target")))</f>
        <v>Near target</v>
      </c>
      <c r="L120" s="41">
        <f>IF(tblPaid[[#This Row],[Date]]="","",IF(AND(tblPaid[[#This Row],[Date]]&gt;=FFrom,tblPaid[[#This Row],[Date]]&lt;=FTo,OR(DashCell="",tblPaid[[#This Row],[Cell]]=DashCell)),tblPaid[[#This Row],[Date]],""))</f>
        <v>46286</v>
      </c>
      <c r="M12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0" s="28" t="s">
        <v>145</v>
      </c>
    </row>
    <row r="121" spans="2:14" x14ac:dyDescent="0.25">
      <c r="B121" s="35">
        <v>46286</v>
      </c>
      <c r="C121" s="28" t="s">
        <v>98</v>
      </c>
      <c r="D121" s="28" t="s">
        <v>94</v>
      </c>
      <c r="E121" s="29">
        <v>37.5</v>
      </c>
      <c r="F121" s="38">
        <f>IF(tblPaid[[#This Row],[Date]]="","",SUMIFS(tblLabor[Actual hours (person-h)],tblLabor[Date],tblPaid[[#This Row],[Date]],tblLabor[Shift],tblPaid[[#This Row],[Shift]],tblLabor[Cell],tblPaid[[#This Row],[Cell]]))</f>
        <v>28.75</v>
      </c>
      <c r="G121" s="38">
        <f>IF(tblPaid[[#This Row],[Date]]="","",SUMIFS(tblLabor[Earned hours (person-h)],tblLabor[Date],tblPaid[[#This Row],[Date]],tblLabor[Shift],tblPaid[[#This Row],[Shift]],tblLabor[Cell],tblPaid[[#This Row],[Cell]]))</f>
        <v>27.69</v>
      </c>
      <c r="H121" s="38">
        <f>IF(tblPaid[[#This Row],[Date]]="","",tblPaid[[#This Row],[Paid hours (person-h)]]-tblPaid[[#This Row],[Direct hours (person-h)]])</f>
        <v>8.75</v>
      </c>
      <c r="I121" s="31">
        <f>IF(tblPaid[[#This Row],[Date]]="","",IF(tblPaid[[#This Row],[Paid hours (person-h)]]&gt;0,tblPaid[[#This Row],[Direct hours (person-h)]]/tblPaid[[#This Row],[Paid hours (person-h)]],""))</f>
        <v>0.766666666666667</v>
      </c>
      <c r="J121" s="31">
        <f>IF(tblPaid[[#This Row],[Date]]="","",IF(tblPaid[[#This Row],[Paid hours (person-h)]]&gt;0,tblPaid[[#This Row],[Earned hours (person-h)]]/tblPaid[[#This Row],[Paid hours (person-h)]],""))</f>
        <v>0.7384</v>
      </c>
      <c r="K121" s="39" t="str">
        <f>IF(NOT(ISNUMBER(tblPaid[[#This Row],[Utilization]])),"",IF(tblPaid[[#This Row],[Utilization]]&gt;=TargetUtil,"On target",IF(tblPaid[[#This Row],[Utilization]]&gt;=TargetUtil*(1-0.05),"Near target","Below target")))</f>
        <v>Below target</v>
      </c>
      <c r="L121" s="41">
        <f>IF(tblPaid[[#This Row],[Date]]="","",IF(AND(tblPaid[[#This Row],[Date]]&gt;=FFrom,tblPaid[[#This Row],[Date]]&lt;=FTo,OR(DashCell="",tblPaid[[#This Row],[Cell]]=DashCell)),tblPaid[[#This Row],[Date]],""))</f>
        <v>46286</v>
      </c>
      <c r="M12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1" s="28" t="s">
        <v>144</v>
      </c>
    </row>
    <row r="122" spans="2:14" x14ac:dyDescent="0.25">
      <c r="B122" s="35">
        <v>46286</v>
      </c>
      <c r="C122" s="28" t="s">
        <v>101</v>
      </c>
      <c r="D122" s="28" t="s">
        <v>86</v>
      </c>
      <c r="E122" s="29">
        <v>30</v>
      </c>
      <c r="F122" s="38">
        <f>IF(tblPaid[[#This Row],[Date]]="","",SUMIFS(tblLabor[Actual hours (person-h)],tblLabor[Date],tblPaid[[#This Row],[Date]],tblLabor[Shift],tblPaid[[#This Row],[Shift]],tblLabor[Cell],tblPaid[[#This Row],[Cell]]))</f>
        <v>26.5</v>
      </c>
      <c r="G122" s="38">
        <f>IF(tblPaid[[#This Row],[Date]]="","",SUMIFS(tblLabor[Earned hours (person-h)],tblLabor[Date],tblPaid[[#This Row],[Date]],tblLabor[Shift],tblPaid[[#This Row],[Shift]],tblLabor[Cell],tblPaid[[#This Row],[Cell]]))</f>
        <v>24.88</v>
      </c>
      <c r="H122" s="38">
        <f>IF(tblPaid[[#This Row],[Date]]="","",tblPaid[[#This Row],[Paid hours (person-h)]]-tblPaid[[#This Row],[Direct hours (person-h)]])</f>
        <v>3.5</v>
      </c>
      <c r="I122" s="31">
        <f>IF(tblPaid[[#This Row],[Date]]="","",IF(tblPaid[[#This Row],[Paid hours (person-h)]]&gt;0,tblPaid[[#This Row],[Direct hours (person-h)]]/tblPaid[[#This Row],[Paid hours (person-h)]],""))</f>
        <v>0.883333333333333</v>
      </c>
      <c r="J122" s="31">
        <f>IF(tblPaid[[#This Row],[Date]]="","",IF(tblPaid[[#This Row],[Paid hours (person-h)]]&gt;0,tblPaid[[#This Row],[Earned hours (person-h)]]/tblPaid[[#This Row],[Paid hours (person-h)]],""))</f>
        <v>0.829333333333333</v>
      </c>
      <c r="K122" s="39" t="str">
        <f>IF(NOT(ISNUMBER(tblPaid[[#This Row],[Utilization]])),"",IF(tblPaid[[#This Row],[Utilization]]&gt;=TargetUtil,"On target",IF(tblPaid[[#This Row],[Utilization]]&gt;=TargetUtil*(1-0.05),"Near target","Below target")))</f>
        <v>On target</v>
      </c>
      <c r="L122" s="41">
        <f>IF(tblPaid[[#This Row],[Date]]="","",IF(AND(tblPaid[[#This Row],[Date]]&gt;=FFrom,tblPaid[[#This Row],[Date]]&lt;=FTo,OR(DashCell="",tblPaid[[#This Row],[Cell]]=DashCell)),tblPaid[[#This Row],[Date]],""))</f>
        <v>46286</v>
      </c>
      <c r="M12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2" s="28" t="s">
        <v>144</v>
      </c>
    </row>
    <row r="123" spans="2:14" x14ac:dyDescent="0.25">
      <c r="B123" s="35">
        <v>46286</v>
      </c>
      <c r="C123" s="28" t="s">
        <v>101</v>
      </c>
      <c r="D123" s="28" t="s">
        <v>89</v>
      </c>
      <c r="E123" s="29">
        <v>60</v>
      </c>
      <c r="F123" s="38">
        <f>IF(tblPaid[[#This Row],[Date]]="","",SUMIFS(tblLabor[Actual hours (person-h)],tblLabor[Date],tblPaid[[#This Row],[Date]],tblLabor[Shift],tblPaid[[#This Row],[Shift]],tblLabor[Cell],tblPaid[[#This Row],[Cell]]))</f>
        <v>51.25</v>
      </c>
      <c r="G123" s="38">
        <f>IF(tblPaid[[#This Row],[Date]]="","",SUMIFS(tblLabor[Earned hours (person-h)],tblLabor[Date],tblPaid[[#This Row],[Date]],tblLabor[Shift],tblPaid[[#This Row],[Shift]],tblLabor[Cell],tblPaid[[#This Row],[Cell]]))</f>
        <v>44.825</v>
      </c>
      <c r="H123" s="38">
        <f>IF(tblPaid[[#This Row],[Date]]="","",tblPaid[[#This Row],[Paid hours (person-h)]]-tblPaid[[#This Row],[Direct hours (person-h)]])</f>
        <v>8.75</v>
      </c>
      <c r="I123" s="31">
        <f>IF(tblPaid[[#This Row],[Date]]="","",IF(tblPaid[[#This Row],[Paid hours (person-h)]]&gt;0,tblPaid[[#This Row],[Direct hours (person-h)]]/tblPaid[[#This Row],[Paid hours (person-h)]],""))</f>
        <v>0.854166666666667</v>
      </c>
      <c r="J123" s="31">
        <f>IF(tblPaid[[#This Row],[Date]]="","",IF(tblPaid[[#This Row],[Paid hours (person-h)]]&gt;0,tblPaid[[#This Row],[Earned hours (person-h)]]/tblPaid[[#This Row],[Paid hours (person-h)]],""))</f>
        <v>0.747083333333333</v>
      </c>
      <c r="K123" s="39" t="str">
        <f>IF(NOT(ISNUMBER(tblPaid[[#This Row],[Utilization]])),"",IF(tblPaid[[#This Row],[Utilization]]&gt;=TargetUtil,"On target",IF(tblPaid[[#This Row],[Utilization]]&gt;=TargetUtil*(1-0.05),"Near target","Below target")))</f>
        <v>On target</v>
      </c>
      <c r="L123" s="41">
        <f>IF(tblPaid[[#This Row],[Date]]="","",IF(AND(tblPaid[[#This Row],[Date]]&gt;=FFrom,tblPaid[[#This Row],[Date]]&lt;=FTo,OR(DashCell="",tblPaid[[#This Row],[Cell]]=DashCell)),tblPaid[[#This Row],[Date]],""))</f>
        <v>46286</v>
      </c>
      <c r="M12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3" s="28" t="s">
        <v>144</v>
      </c>
    </row>
    <row r="124" spans="2:14" x14ac:dyDescent="0.25">
      <c r="B124" s="35">
        <v>46286</v>
      </c>
      <c r="C124" s="28" t="s">
        <v>101</v>
      </c>
      <c r="D124" s="28" t="s">
        <v>92</v>
      </c>
      <c r="E124" s="29">
        <v>45</v>
      </c>
      <c r="F124" s="38">
        <f>IF(tblPaid[[#This Row],[Date]]="","",SUMIFS(tblLabor[Actual hours (person-h)],tblLabor[Date],tblPaid[[#This Row],[Date]],tblLabor[Shift],tblPaid[[#This Row],[Shift]],tblLabor[Cell],tblPaid[[#This Row],[Cell]]))</f>
        <v>39.25</v>
      </c>
      <c r="G124" s="38">
        <f>IF(tblPaid[[#This Row],[Date]]="","",SUMIFS(tblLabor[Earned hours (person-h)],tblLabor[Date],tblPaid[[#This Row],[Date]],tblLabor[Shift],tblPaid[[#This Row],[Shift]],tblLabor[Cell],tblPaid[[#This Row],[Cell]]))</f>
        <v>31.6866666666667</v>
      </c>
      <c r="H124" s="38">
        <f>IF(tblPaid[[#This Row],[Date]]="","",tblPaid[[#This Row],[Paid hours (person-h)]]-tblPaid[[#This Row],[Direct hours (person-h)]])</f>
        <v>5.75</v>
      </c>
      <c r="I124" s="31">
        <f>IF(tblPaid[[#This Row],[Date]]="","",IF(tblPaid[[#This Row],[Paid hours (person-h)]]&gt;0,tblPaid[[#This Row],[Direct hours (person-h)]]/tblPaid[[#This Row],[Paid hours (person-h)]],""))</f>
        <v>0.872222222222222</v>
      </c>
      <c r="J124" s="31">
        <f>IF(tblPaid[[#This Row],[Date]]="","",IF(tblPaid[[#This Row],[Paid hours (person-h)]]&gt;0,tblPaid[[#This Row],[Earned hours (person-h)]]/tblPaid[[#This Row],[Paid hours (person-h)]],""))</f>
        <v>0.704148148148148</v>
      </c>
      <c r="K124" s="39" t="str">
        <f>IF(NOT(ISNUMBER(tblPaid[[#This Row],[Utilization]])),"",IF(tblPaid[[#This Row],[Utilization]]&gt;=TargetUtil,"On target",IF(tblPaid[[#This Row],[Utilization]]&gt;=TargetUtil*(1-0.05),"Near target","Below target")))</f>
        <v>On target</v>
      </c>
      <c r="L124" s="41">
        <f>IF(tblPaid[[#This Row],[Date]]="","",IF(AND(tblPaid[[#This Row],[Date]]&gt;=FFrom,tblPaid[[#This Row],[Date]]&lt;=FTo,OR(DashCell="",tblPaid[[#This Row],[Cell]]=DashCell)),tblPaid[[#This Row],[Date]],""))</f>
        <v>46286</v>
      </c>
      <c r="M12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4" s="28" t="s">
        <v>145</v>
      </c>
    </row>
    <row r="125" spans="2:14" x14ac:dyDescent="0.25">
      <c r="B125" s="35">
        <v>46286</v>
      </c>
      <c r="C125" s="28" t="s">
        <v>101</v>
      </c>
      <c r="D125" s="28" t="s">
        <v>94</v>
      </c>
      <c r="E125" s="29">
        <v>37.5</v>
      </c>
      <c r="F125" s="38">
        <f>IF(tblPaid[[#This Row],[Date]]="","",SUMIFS(tblLabor[Actual hours (person-h)],tblLabor[Date],tblPaid[[#This Row],[Date]],tblLabor[Shift],tblPaid[[#This Row],[Shift]],tblLabor[Cell],tblPaid[[#This Row],[Cell]]))</f>
        <v>28.5</v>
      </c>
      <c r="G125" s="38">
        <f>IF(tblPaid[[#This Row],[Date]]="","",SUMIFS(tblLabor[Earned hours (person-h)],tblLabor[Date],tblPaid[[#This Row],[Date]],tblLabor[Shift],tblPaid[[#This Row],[Shift]],tblLabor[Cell],tblPaid[[#This Row],[Cell]]))</f>
        <v>26.35</v>
      </c>
      <c r="H125" s="38">
        <f>IF(tblPaid[[#This Row],[Date]]="","",tblPaid[[#This Row],[Paid hours (person-h)]]-tblPaid[[#This Row],[Direct hours (person-h)]])</f>
        <v>9</v>
      </c>
      <c r="I125" s="31">
        <f>IF(tblPaid[[#This Row],[Date]]="","",IF(tblPaid[[#This Row],[Paid hours (person-h)]]&gt;0,tblPaid[[#This Row],[Direct hours (person-h)]]/tblPaid[[#This Row],[Paid hours (person-h)]],""))</f>
        <v>0.76</v>
      </c>
      <c r="J125" s="31">
        <f>IF(tblPaid[[#This Row],[Date]]="","",IF(tblPaid[[#This Row],[Paid hours (person-h)]]&gt;0,tblPaid[[#This Row],[Earned hours (person-h)]]/tblPaid[[#This Row],[Paid hours (person-h)]],""))</f>
        <v>0.702666666666667</v>
      </c>
      <c r="K125" s="39" t="str">
        <f>IF(NOT(ISNUMBER(tblPaid[[#This Row],[Utilization]])),"",IF(tblPaid[[#This Row],[Utilization]]&gt;=TargetUtil,"On target",IF(tblPaid[[#This Row],[Utilization]]&gt;=TargetUtil*(1-0.05),"Near target","Below target")))</f>
        <v>Below target</v>
      </c>
      <c r="L125" s="41">
        <f>IF(tblPaid[[#This Row],[Date]]="","",IF(AND(tblPaid[[#This Row],[Date]]&gt;=FFrom,tblPaid[[#This Row],[Date]]&lt;=FTo,OR(DashCell="",tblPaid[[#This Row],[Cell]]=DashCell)),tblPaid[[#This Row],[Date]],""))</f>
        <v>46286</v>
      </c>
      <c r="M12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5" s="28" t="s">
        <v>144</v>
      </c>
    </row>
    <row r="126" spans="2:14" x14ac:dyDescent="0.25">
      <c r="B126" s="35">
        <v>46287</v>
      </c>
      <c r="C126" s="28" t="s">
        <v>98</v>
      </c>
      <c r="D126" s="28" t="s">
        <v>86</v>
      </c>
      <c r="E126" s="29">
        <v>22.5</v>
      </c>
      <c r="F126" s="38">
        <f>IF(tblPaid[[#This Row],[Date]]="","",SUMIFS(tblLabor[Actual hours (person-h)],tblLabor[Date],tblPaid[[#This Row],[Date]],tblLabor[Shift],tblPaid[[#This Row],[Shift]],tblLabor[Cell],tblPaid[[#This Row],[Cell]]))</f>
        <v>21.5</v>
      </c>
      <c r="G126" s="38">
        <f>IF(tblPaid[[#This Row],[Date]]="","",SUMIFS(tblLabor[Earned hours (person-h)],tblLabor[Date],tblPaid[[#This Row],[Date]],tblLabor[Shift],tblPaid[[#This Row],[Shift]],tblLabor[Cell],tblPaid[[#This Row],[Cell]]))</f>
        <v>20.94</v>
      </c>
      <c r="H126" s="38">
        <f>IF(tblPaid[[#This Row],[Date]]="","",tblPaid[[#This Row],[Paid hours (person-h)]]-tblPaid[[#This Row],[Direct hours (person-h)]])</f>
        <v>1</v>
      </c>
      <c r="I126" s="31">
        <f>IF(tblPaid[[#This Row],[Date]]="","",IF(tblPaid[[#This Row],[Paid hours (person-h)]]&gt;0,tblPaid[[#This Row],[Direct hours (person-h)]]/tblPaid[[#This Row],[Paid hours (person-h)]],""))</f>
        <v>0.955555555555556</v>
      </c>
      <c r="J126" s="31">
        <f>IF(tblPaid[[#This Row],[Date]]="","",IF(tblPaid[[#This Row],[Paid hours (person-h)]]&gt;0,tblPaid[[#This Row],[Earned hours (person-h)]]/tblPaid[[#This Row],[Paid hours (person-h)]],""))</f>
        <v>0.930666666666667</v>
      </c>
      <c r="K126" s="39" t="str">
        <f>IF(NOT(ISNUMBER(tblPaid[[#This Row],[Utilization]])),"",IF(tblPaid[[#This Row],[Utilization]]&gt;=TargetUtil,"On target",IF(tblPaid[[#This Row],[Utilization]]&gt;=TargetUtil*(1-0.05),"Near target","Below target")))</f>
        <v>On target</v>
      </c>
      <c r="L126" s="41">
        <f>IF(tblPaid[[#This Row],[Date]]="","",IF(AND(tblPaid[[#This Row],[Date]]&gt;=FFrom,tblPaid[[#This Row],[Date]]&lt;=FTo,OR(DashCell="",tblPaid[[#This Row],[Cell]]=DashCell)),tblPaid[[#This Row],[Date]],""))</f>
        <v>46287</v>
      </c>
      <c r="M12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6" s="28" t="s">
        <v>146</v>
      </c>
    </row>
    <row r="127" spans="2:14" x14ac:dyDescent="0.25">
      <c r="B127" s="35">
        <v>46287</v>
      </c>
      <c r="C127" s="28" t="s">
        <v>98</v>
      </c>
      <c r="D127" s="28" t="s">
        <v>89</v>
      </c>
      <c r="E127" s="29">
        <v>60</v>
      </c>
      <c r="F127" s="38">
        <f>IF(tblPaid[[#This Row],[Date]]="","",SUMIFS(tblLabor[Actual hours (person-h)],tblLabor[Date],tblPaid[[#This Row],[Date]],tblLabor[Shift],tblPaid[[#This Row],[Shift]],tblLabor[Cell],tblPaid[[#This Row],[Cell]]))</f>
        <v>56.25</v>
      </c>
      <c r="G127" s="38">
        <f>IF(tblPaid[[#This Row],[Date]]="","",SUMIFS(tblLabor[Earned hours (person-h)],tblLabor[Date],tblPaid[[#This Row],[Date]],tblLabor[Shift],tblPaid[[#This Row],[Shift]],tblLabor[Cell],tblPaid[[#This Row],[Cell]]))</f>
        <v>50.6</v>
      </c>
      <c r="H127" s="38">
        <f>IF(tblPaid[[#This Row],[Date]]="","",tblPaid[[#This Row],[Paid hours (person-h)]]-tblPaid[[#This Row],[Direct hours (person-h)]])</f>
        <v>3.75</v>
      </c>
      <c r="I127" s="31">
        <f>IF(tblPaid[[#This Row],[Date]]="","",IF(tblPaid[[#This Row],[Paid hours (person-h)]]&gt;0,tblPaid[[#This Row],[Direct hours (person-h)]]/tblPaid[[#This Row],[Paid hours (person-h)]],""))</f>
        <v>0.9375</v>
      </c>
      <c r="J127" s="31">
        <f>IF(tblPaid[[#This Row],[Date]]="","",IF(tblPaid[[#This Row],[Paid hours (person-h)]]&gt;0,tblPaid[[#This Row],[Earned hours (person-h)]]/tblPaid[[#This Row],[Paid hours (person-h)]],""))</f>
        <v>0.843333333333333</v>
      </c>
      <c r="K127" s="39" t="str">
        <f>IF(NOT(ISNUMBER(tblPaid[[#This Row],[Utilization]])),"",IF(tblPaid[[#This Row],[Utilization]]&gt;=TargetUtil,"On target",IF(tblPaid[[#This Row],[Utilization]]&gt;=TargetUtil*(1-0.05),"Near target","Below target")))</f>
        <v>On target</v>
      </c>
      <c r="L127" s="41">
        <f>IF(tblPaid[[#This Row],[Date]]="","",IF(AND(tblPaid[[#This Row],[Date]]&gt;=FFrom,tblPaid[[#This Row],[Date]]&lt;=FTo,OR(DashCell="",tblPaid[[#This Row],[Cell]]=DashCell)),tblPaid[[#This Row],[Date]],""))</f>
        <v>46287</v>
      </c>
      <c r="M12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7" s="28" t="s">
        <v>136</v>
      </c>
    </row>
    <row r="128" spans="2:14" x14ac:dyDescent="0.25">
      <c r="B128" s="35">
        <v>46287</v>
      </c>
      <c r="C128" s="28" t="s">
        <v>98</v>
      </c>
      <c r="D128" s="28" t="s">
        <v>92</v>
      </c>
      <c r="E128" s="29">
        <v>52.5</v>
      </c>
      <c r="F128" s="38">
        <f>IF(tblPaid[[#This Row],[Date]]="","",SUMIFS(tblLabor[Actual hours (person-h)],tblLabor[Date],tblPaid[[#This Row],[Date]],tblLabor[Shift],tblPaid[[#This Row],[Shift]],tblLabor[Cell],tblPaid[[#This Row],[Cell]]))</f>
        <v>49</v>
      </c>
      <c r="G128" s="38">
        <f>IF(tblPaid[[#This Row],[Date]]="","",SUMIFS(tblLabor[Earned hours (person-h)],tblLabor[Date],tblPaid[[#This Row],[Date]],tblLabor[Shift],tblPaid[[#This Row],[Shift]],tblLabor[Cell],tblPaid[[#This Row],[Cell]]))</f>
        <v>45.8966666666667</v>
      </c>
      <c r="H128" s="38">
        <f>IF(tblPaid[[#This Row],[Date]]="","",tblPaid[[#This Row],[Paid hours (person-h)]]-tblPaid[[#This Row],[Direct hours (person-h)]])</f>
        <v>3.5</v>
      </c>
      <c r="I128" s="31">
        <f>IF(tblPaid[[#This Row],[Date]]="","",IF(tblPaid[[#This Row],[Paid hours (person-h)]]&gt;0,tblPaid[[#This Row],[Direct hours (person-h)]]/tblPaid[[#This Row],[Paid hours (person-h)]],""))</f>
        <v>0.933333333333333</v>
      </c>
      <c r="J128" s="31">
        <f>IF(tblPaid[[#This Row],[Date]]="","",IF(tblPaid[[#This Row],[Paid hours (person-h)]]&gt;0,tblPaid[[#This Row],[Earned hours (person-h)]]/tblPaid[[#This Row],[Paid hours (person-h)]],""))</f>
        <v>0.874222222222222</v>
      </c>
      <c r="K128" s="39" t="str">
        <f>IF(NOT(ISNUMBER(tblPaid[[#This Row],[Utilization]])),"",IF(tblPaid[[#This Row],[Utilization]]&gt;=TargetUtil,"On target",IF(tblPaid[[#This Row],[Utilization]]&gt;=TargetUtil*(1-0.05),"Near target","Below target")))</f>
        <v>On target</v>
      </c>
      <c r="L128" s="41">
        <f>IF(tblPaid[[#This Row],[Date]]="","",IF(AND(tblPaid[[#This Row],[Date]]&gt;=FFrom,tblPaid[[#This Row],[Date]]&lt;=FTo,OR(DashCell="",tblPaid[[#This Row],[Cell]]=DashCell)),tblPaid[[#This Row],[Date]],""))</f>
        <v>46287</v>
      </c>
      <c r="M12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8" s="28" t="s">
        <v>136</v>
      </c>
    </row>
    <row r="129" spans="2:14" x14ac:dyDescent="0.25">
      <c r="B129" s="35">
        <v>46287</v>
      </c>
      <c r="C129" s="28" t="s">
        <v>98</v>
      </c>
      <c r="D129" s="28" t="s">
        <v>94</v>
      </c>
      <c r="E129" s="29">
        <v>37.5</v>
      </c>
      <c r="F129" s="38">
        <f>IF(tblPaid[[#This Row],[Date]]="","",SUMIFS(tblLabor[Actual hours (person-h)],tblLabor[Date],tblPaid[[#This Row],[Date]],tblLabor[Shift],tblPaid[[#This Row],[Shift]],tblLabor[Cell],tblPaid[[#This Row],[Cell]]))</f>
        <v>31.5</v>
      </c>
      <c r="G129" s="38">
        <f>IF(tblPaid[[#This Row],[Date]]="","",SUMIFS(tblLabor[Earned hours (person-h)],tblLabor[Date],tblPaid[[#This Row],[Date]],tblLabor[Shift],tblPaid[[#This Row],[Shift]],tblLabor[Cell],tblPaid[[#This Row],[Cell]]))</f>
        <v>29.1266666666667</v>
      </c>
      <c r="H129" s="38">
        <f>IF(tblPaid[[#This Row],[Date]]="","",tblPaid[[#This Row],[Paid hours (person-h)]]-tblPaid[[#This Row],[Direct hours (person-h)]])</f>
        <v>6</v>
      </c>
      <c r="I129" s="31">
        <f>IF(tblPaid[[#This Row],[Date]]="","",IF(tblPaid[[#This Row],[Paid hours (person-h)]]&gt;0,tblPaid[[#This Row],[Direct hours (person-h)]]/tblPaid[[#This Row],[Paid hours (person-h)]],""))</f>
        <v>0.84</v>
      </c>
      <c r="J129" s="31">
        <f>IF(tblPaid[[#This Row],[Date]]="","",IF(tblPaid[[#This Row],[Paid hours (person-h)]]&gt;0,tblPaid[[#This Row],[Earned hours (person-h)]]/tblPaid[[#This Row],[Paid hours (person-h)]],""))</f>
        <v>0.776711111111111</v>
      </c>
      <c r="K129" s="39" t="str">
        <f>IF(NOT(ISNUMBER(tblPaid[[#This Row],[Utilization]])),"",IF(tblPaid[[#This Row],[Utilization]]&gt;=TargetUtil,"On target",IF(tblPaid[[#This Row],[Utilization]]&gt;=TargetUtil*(1-0.05),"Near target","Below target")))</f>
        <v>Near target</v>
      </c>
      <c r="L129" s="41">
        <f>IF(tblPaid[[#This Row],[Date]]="","",IF(AND(tblPaid[[#This Row],[Date]]&gt;=FFrom,tblPaid[[#This Row],[Date]]&lt;=FTo,OR(DashCell="",tblPaid[[#This Row],[Cell]]=DashCell)),tblPaid[[#This Row],[Date]],""))</f>
        <v>46287</v>
      </c>
      <c r="M12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29" s="28" t="s">
        <v>136</v>
      </c>
    </row>
    <row r="130" spans="2:14" x14ac:dyDescent="0.25">
      <c r="B130" s="35">
        <v>46287</v>
      </c>
      <c r="C130" s="28" t="s">
        <v>101</v>
      </c>
      <c r="D130" s="28" t="s">
        <v>86</v>
      </c>
      <c r="E130" s="29">
        <v>30</v>
      </c>
      <c r="F130" s="38">
        <f>IF(tblPaid[[#This Row],[Date]]="","",SUMIFS(tblLabor[Actual hours (person-h)],tblLabor[Date],tblPaid[[#This Row],[Date]],tblLabor[Shift],tblPaid[[#This Row],[Shift]],tblLabor[Cell],tblPaid[[#This Row],[Cell]]))</f>
        <v>27.25</v>
      </c>
      <c r="G130" s="38">
        <f>IF(tblPaid[[#This Row],[Date]]="","",SUMIFS(tblLabor[Earned hours (person-h)],tblLabor[Date],tblPaid[[#This Row],[Date]],tblLabor[Shift],tblPaid[[#This Row],[Shift]],tblLabor[Cell],tblPaid[[#This Row],[Cell]]))</f>
        <v>25.7116666666667</v>
      </c>
      <c r="H130" s="38">
        <f>IF(tblPaid[[#This Row],[Date]]="","",tblPaid[[#This Row],[Paid hours (person-h)]]-tblPaid[[#This Row],[Direct hours (person-h)]])</f>
        <v>2.75</v>
      </c>
      <c r="I130" s="31">
        <f>IF(tblPaid[[#This Row],[Date]]="","",IF(tblPaid[[#This Row],[Paid hours (person-h)]]&gt;0,tblPaid[[#This Row],[Direct hours (person-h)]]/tblPaid[[#This Row],[Paid hours (person-h)]],""))</f>
        <v>0.908333333333333</v>
      </c>
      <c r="J130" s="31">
        <f>IF(tblPaid[[#This Row],[Date]]="","",IF(tblPaid[[#This Row],[Paid hours (person-h)]]&gt;0,tblPaid[[#This Row],[Earned hours (person-h)]]/tblPaid[[#This Row],[Paid hours (person-h)]],""))</f>
        <v>0.857055555555556</v>
      </c>
      <c r="K130" s="39" t="str">
        <f>IF(NOT(ISNUMBER(tblPaid[[#This Row],[Utilization]])),"",IF(tblPaid[[#This Row],[Utilization]]&gt;=TargetUtil,"On target",IF(tblPaid[[#This Row],[Utilization]]&gt;=TargetUtil*(1-0.05),"Near target","Below target")))</f>
        <v>On target</v>
      </c>
      <c r="L130" s="41">
        <f>IF(tblPaid[[#This Row],[Date]]="","",IF(AND(tblPaid[[#This Row],[Date]]&gt;=FFrom,tblPaid[[#This Row],[Date]]&lt;=FTo,OR(DashCell="",tblPaid[[#This Row],[Cell]]=DashCell)),tblPaid[[#This Row],[Date]],""))</f>
        <v>46287</v>
      </c>
      <c r="M13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0" s="28" t="s">
        <v>136</v>
      </c>
    </row>
    <row r="131" spans="2:14" x14ac:dyDescent="0.25">
      <c r="B131" s="35">
        <v>46287</v>
      </c>
      <c r="C131" s="28" t="s">
        <v>101</v>
      </c>
      <c r="D131" s="28" t="s">
        <v>89</v>
      </c>
      <c r="E131" s="29">
        <v>52.5</v>
      </c>
      <c r="F131" s="38">
        <f>IF(tblPaid[[#This Row],[Date]]="","",SUMIFS(tblLabor[Actual hours (person-h)],tblLabor[Date],tblPaid[[#This Row],[Date]],tblLabor[Shift],tblPaid[[#This Row],[Shift]],tblLabor[Cell],tblPaid[[#This Row],[Cell]]))</f>
        <v>49.75</v>
      </c>
      <c r="G131" s="38">
        <f>IF(tblPaid[[#This Row],[Date]]="","",SUMIFS(tblLabor[Earned hours (person-h)],tblLabor[Date],tblPaid[[#This Row],[Date]],tblLabor[Shift],tblPaid[[#This Row],[Shift]],tblLabor[Cell],tblPaid[[#This Row],[Cell]]))</f>
        <v>43.725</v>
      </c>
      <c r="H131" s="38">
        <f>IF(tblPaid[[#This Row],[Date]]="","",tblPaid[[#This Row],[Paid hours (person-h)]]-tblPaid[[#This Row],[Direct hours (person-h)]])</f>
        <v>2.75</v>
      </c>
      <c r="I131" s="31">
        <f>IF(tblPaid[[#This Row],[Date]]="","",IF(tblPaid[[#This Row],[Paid hours (person-h)]]&gt;0,tblPaid[[#This Row],[Direct hours (person-h)]]/tblPaid[[#This Row],[Paid hours (person-h)]],""))</f>
        <v>0.947619047619048</v>
      </c>
      <c r="J131" s="31">
        <f>IF(tblPaid[[#This Row],[Date]]="","",IF(tblPaid[[#This Row],[Paid hours (person-h)]]&gt;0,tblPaid[[#This Row],[Earned hours (person-h)]]/tblPaid[[#This Row],[Paid hours (person-h)]],""))</f>
        <v>0.832857142857143</v>
      </c>
      <c r="K131" s="39" t="str">
        <f>IF(NOT(ISNUMBER(tblPaid[[#This Row],[Utilization]])),"",IF(tblPaid[[#This Row],[Utilization]]&gt;=TargetUtil,"On target",IF(tblPaid[[#This Row],[Utilization]]&gt;=TargetUtil*(1-0.05),"Near target","Below target")))</f>
        <v>On target</v>
      </c>
      <c r="L131" s="41">
        <f>IF(tblPaid[[#This Row],[Date]]="","",IF(AND(tblPaid[[#This Row],[Date]]&gt;=FFrom,tblPaid[[#This Row],[Date]]&lt;=FTo,OR(DashCell="",tblPaid[[#This Row],[Cell]]=DashCell)),tblPaid[[#This Row],[Date]],""))</f>
        <v>46287</v>
      </c>
      <c r="M13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1" s="28" t="s">
        <v>146</v>
      </c>
    </row>
    <row r="132" spans="2:14" x14ac:dyDescent="0.25">
      <c r="B132" s="35">
        <v>46287</v>
      </c>
      <c r="C132" s="28" t="s">
        <v>101</v>
      </c>
      <c r="D132" s="28" t="s">
        <v>92</v>
      </c>
      <c r="E132" s="29">
        <v>45</v>
      </c>
      <c r="F132" s="38">
        <f>IF(tblPaid[[#This Row],[Date]]="","",SUMIFS(tblLabor[Actual hours (person-h)],tblLabor[Date],tblPaid[[#This Row],[Date]],tblLabor[Shift],tblPaid[[#This Row],[Shift]],tblLabor[Cell],tblPaid[[#This Row],[Cell]]))</f>
        <v>41.5</v>
      </c>
      <c r="G132" s="38">
        <f>IF(tblPaid[[#This Row],[Date]]="","",SUMIFS(tblLabor[Earned hours (person-h)],tblLabor[Date],tblPaid[[#This Row],[Date]],tblLabor[Shift],tblPaid[[#This Row],[Shift]],tblLabor[Cell],tblPaid[[#This Row],[Cell]]))</f>
        <v>34.9533333333333</v>
      </c>
      <c r="H132" s="38">
        <f>IF(tblPaid[[#This Row],[Date]]="","",tblPaid[[#This Row],[Paid hours (person-h)]]-tblPaid[[#This Row],[Direct hours (person-h)]])</f>
        <v>3.5</v>
      </c>
      <c r="I132" s="31">
        <f>IF(tblPaid[[#This Row],[Date]]="","",IF(tblPaid[[#This Row],[Paid hours (person-h)]]&gt;0,tblPaid[[#This Row],[Direct hours (person-h)]]/tblPaid[[#This Row],[Paid hours (person-h)]],""))</f>
        <v>0.922222222222222</v>
      </c>
      <c r="J132" s="31">
        <f>IF(tblPaid[[#This Row],[Date]]="","",IF(tblPaid[[#This Row],[Paid hours (person-h)]]&gt;0,tblPaid[[#This Row],[Earned hours (person-h)]]/tblPaid[[#This Row],[Paid hours (person-h)]],""))</f>
        <v>0.776740740740741</v>
      </c>
      <c r="K132" s="39" t="str">
        <f>IF(NOT(ISNUMBER(tblPaid[[#This Row],[Utilization]])),"",IF(tblPaid[[#This Row],[Utilization]]&gt;=TargetUtil,"On target",IF(tblPaid[[#This Row],[Utilization]]&gt;=TargetUtil*(1-0.05),"Near target","Below target")))</f>
        <v>On target</v>
      </c>
      <c r="L132" s="41">
        <f>IF(tblPaid[[#This Row],[Date]]="","",IF(AND(tblPaid[[#This Row],[Date]]&gt;=FFrom,tblPaid[[#This Row],[Date]]&lt;=FTo,OR(DashCell="",tblPaid[[#This Row],[Cell]]=DashCell)),tblPaid[[#This Row],[Date]],""))</f>
        <v>46287</v>
      </c>
      <c r="M13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2" s="28" t="s">
        <v>146</v>
      </c>
    </row>
    <row r="133" spans="2:14" x14ac:dyDescent="0.25">
      <c r="B133" s="35">
        <v>46287</v>
      </c>
      <c r="C133" s="28" t="s">
        <v>101</v>
      </c>
      <c r="D133" s="28" t="s">
        <v>94</v>
      </c>
      <c r="E133" s="29">
        <v>37.5</v>
      </c>
      <c r="F133" s="38">
        <f>IF(tblPaid[[#This Row],[Date]]="","",SUMIFS(tblLabor[Actual hours (person-h)],tblLabor[Date],tblPaid[[#This Row],[Date]],tblLabor[Shift],tblPaid[[#This Row],[Shift]],tblLabor[Cell],tblPaid[[#This Row],[Cell]]))</f>
        <v>31</v>
      </c>
      <c r="G133" s="38">
        <f>IF(tblPaid[[#This Row],[Date]]="","",SUMIFS(tblLabor[Earned hours (person-h)],tblLabor[Date],tblPaid[[#This Row],[Date]],tblLabor[Shift],tblPaid[[#This Row],[Shift]],tblLabor[Cell],tblPaid[[#This Row],[Cell]]))</f>
        <v>29.32</v>
      </c>
      <c r="H133" s="38">
        <f>IF(tblPaid[[#This Row],[Date]]="","",tblPaid[[#This Row],[Paid hours (person-h)]]-tblPaid[[#This Row],[Direct hours (person-h)]])</f>
        <v>6.5</v>
      </c>
      <c r="I133" s="31">
        <f>IF(tblPaid[[#This Row],[Date]]="","",IF(tblPaid[[#This Row],[Paid hours (person-h)]]&gt;0,tblPaid[[#This Row],[Direct hours (person-h)]]/tblPaid[[#This Row],[Paid hours (person-h)]],""))</f>
        <v>0.826666666666667</v>
      </c>
      <c r="J133" s="31">
        <f>IF(tblPaid[[#This Row],[Date]]="","",IF(tblPaid[[#This Row],[Paid hours (person-h)]]&gt;0,tblPaid[[#This Row],[Earned hours (person-h)]]/tblPaid[[#This Row],[Paid hours (person-h)]],""))</f>
        <v>0.781866666666667</v>
      </c>
      <c r="K133" s="39" t="str">
        <f>IF(NOT(ISNUMBER(tblPaid[[#This Row],[Utilization]])),"",IF(tblPaid[[#This Row],[Utilization]]&gt;=TargetUtil,"On target",IF(tblPaid[[#This Row],[Utilization]]&gt;=TargetUtil*(1-0.05),"Near target","Below target")))</f>
        <v>Near target</v>
      </c>
      <c r="L133" s="41">
        <f>IF(tblPaid[[#This Row],[Date]]="","",IF(AND(tblPaid[[#This Row],[Date]]&gt;=FFrom,tblPaid[[#This Row],[Date]]&lt;=FTo,OR(DashCell="",tblPaid[[#This Row],[Cell]]=DashCell)),tblPaid[[#This Row],[Date]],""))</f>
        <v>46287</v>
      </c>
      <c r="M13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3" s="28" t="s">
        <v>136</v>
      </c>
    </row>
    <row r="134" spans="2:14" x14ac:dyDescent="0.25">
      <c r="B134" s="35">
        <v>46288</v>
      </c>
      <c r="C134" s="28" t="s">
        <v>98</v>
      </c>
      <c r="D134" s="28" t="s">
        <v>86</v>
      </c>
      <c r="E134" s="29">
        <v>22.5</v>
      </c>
      <c r="F134" s="38">
        <f>IF(tblPaid[[#This Row],[Date]]="","",SUMIFS(tblLabor[Actual hours (person-h)],tblLabor[Date],tblPaid[[#This Row],[Date]],tblLabor[Shift],tblPaid[[#This Row],[Shift]],tblLabor[Cell],tblPaid[[#This Row],[Cell]]))</f>
        <v>21.25</v>
      </c>
      <c r="G134" s="38">
        <f>IF(tblPaid[[#This Row],[Date]]="","",SUMIFS(tblLabor[Earned hours (person-h)],tblLabor[Date],tblPaid[[#This Row],[Date]],tblLabor[Shift],tblPaid[[#This Row],[Shift]],tblLabor[Cell],tblPaid[[#This Row],[Cell]]))</f>
        <v>20.92</v>
      </c>
      <c r="H134" s="38">
        <f>IF(tblPaid[[#This Row],[Date]]="","",tblPaid[[#This Row],[Paid hours (person-h)]]-tblPaid[[#This Row],[Direct hours (person-h)]])</f>
        <v>1.25</v>
      </c>
      <c r="I134" s="31">
        <f>IF(tblPaid[[#This Row],[Date]]="","",IF(tblPaid[[#This Row],[Paid hours (person-h)]]&gt;0,tblPaid[[#This Row],[Direct hours (person-h)]]/tblPaid[[#This Row],[Paid hours (person-h)]],""))</f>
        <v>0.944444444444444</v>
      </c>
      <c r="J134" s="31">
        <f>IF(tblPaid[[#This Row],[Date]]="","",IF(tblPaid[[#This Row],[Paid hours (person-h)]]&gt;0,tblPaid[[#This Row],[Earned hours (person-h)]]/tblPaid[[#This Row],[Paid hours (person-h)]],""))</f>
        <v>0.929777777777778</v>
      </c>
      <c r="K134" s="39" t="str">
        <f>IF(NOT(ISNUMBER(tblPaid[[#This Row],[Utilization]])),"",IF(tblPaid[[#This Row],[Utilization]]&gt;=TargetUtil,"On target",IF(tblPaid[[#This Row],[Utilization]]&gt;=TargetUtil*(1-0.05),"Near target","Below target")))</f>
        <v>On target</v>
      </c>
      <c r="L134" s="41">
        <f>IF(tblPaid[[#This Row],[Date]]="","",IF(AND(tblPaid[[#This Row],[Date]]&gt;=FFrom,tblPaid[[#This Row],[Date]]&lt;=FTo,OR(DashCell="",tblPaid[[#This Row],[Cell]]=DashCell)),tblPaid[[#This Row],[Date]],""))</f>
        <v>46288</v>
      </c>
      <c r="M13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4" s="28" t="s">
        <v>146</v>
      </c>
    </row>
    <row r="135" spans="2:14" x14ac:dyDescent="0.25">
      <c r="B135" s="35">
        <v>46288</v>
      </c>
      <c r="C135" s="28" t="s">
        <v>98</v>
      </c>
      <c r="D135" s="28" t="s">
        <v>89</v>
      </c>
      <c r="E135" s="29">
        <v>60</v>
      </c>
      <c r="F135" s="38">
        <f>IF(tblPaid[[#This Row],[Date]]="","",SUMIFS(tblLabor[Actual hours (person-h)],tblLabor[Date],tblPaid[[#This Row],[Date]],tblLabor[Shift],tblPaid[[#This Row],[Shift]],tblLabor[Cell],tblPaid[[#This Row],[Cell]]))</f>
        <v>56.25</v>
      </c>
      <c r="G135" s="38">
        <f>IF(tblPaid[[#This Row],[Date]]="","",SUMIFS(tblLabor[Earned hours (person-h)],tblLabor[Date],tblPaid[[#This Row],[Date]],tblLabor[Shift],tblPaid[[#This Row],[Shift]],tblLabor[Cell],tblPaid[[#This Row],[Cell]]))</f>
        <v>50.325</v>
      </c>
      <c r="H135" s="38">
        <f>IF(tblPaid[[#This Row],[Date]]="","",tblPaid[[#This Row],[Paid hours (person-h)]]-tblPaid[[#This Row],[Direct hours (person-h)]])</f>
        <v>3.75</v>
      </c>
      <c r="I135" s="31">
        <f>IF(tblPaid[[#This Row],[Date]]="","",IF(tblPaid[[#This Row],[Paid hours (person-h)]]&gt;0,tblPaid[[#This Row],[Direct hours (person-h)]]/tblPaid[[#This Row],[Paid hours (person-h)]],""))</f>
        <v>0.9375</v>
      </c>
      <c r="J135" s="31">
        <f>IF(tblPaid[[#This Row],[Date]]="","",IF(tblPaid[[#This Row],[Paid hours (person-h)]]&gt;0,tblPaid[[#This Row],[Earned hours (person-h)]]/tblPaid[[#This Row],[Paid hours (person-h)]],""))</f>
        <v>0.83875</v>
      </c>
      <c r="K135" s="39" t="str">
        <f>IF(NOT(ISNUMBER(tblPaid[[#This Row],[Utilization]])),"",IF(tblPaid[[#This Row],[Utilization]]&gt;=TargetUtil,"On target",IF(tblPaid[[#This Row],[Utilization]]&gt;=TargetUtil*(1-0.05),"Near target","Below target")))</f>
        <v>On target</v>
      </c>
      <c r="L135" s="41">
        <f>IF(tblPaid[[#This Row],[Date]]="","",IF(AND(tblPaid[[#This Row],[Date]]&gt;=FFrom,tblPaid[[#This Row],[Date]]&lt;=FTo,OR(DashCell="",tblPaid[[#This Row],[Cell]]=DashCell)),tblPaid[[#This Row],[Date]],""))</f>
        <v>46288</v>
      </c>
      <c r="M13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5" s="28" t="s">
        <v>136</v>
      </c>
    </row>
    <row r="136" spans="2:14" x14ac:dyDescent="0.25">
      <c r="B136" s="35">
        <v>46288</v>
      </c>
      <c r="C136" s="28" t="s">
        <v>98</v>
      </c>
      <c r="D136" s="28" t="s">
        <v>92</v>
      </c>
      <c r="E136" s="29">
        <v>52.5</v>
      </c>
      <c r="F136" s="38">
        <f>IF(tblPaid[[#This Row],[Date]]="","",SUMIFS(tblLabor[Actual hours (person-h)],tblLabor[Date],tblPaid[[#This Row],[Date]],tblLabor[Shift],tblPaid[[#This Row],[Shift]],tblLabor[Cell],tblPaid[[#This Row],[Cell]]))</f>
        <v>48</v>
      </c>
      <c r="G136" s="38">
        <f>IF(tblPaid[[#This Row],[Date]]="","",SUMIFS(tblLabor[Earned hours (person-h)],tblLabor[Date],tblPaid[[#This Row],[Date]],tblLabor[Shift],tblPaid[[#This Row],[Shift]],tblLabor[Cell],tblPaid[[#This Row],[Cell]]))</f>
        <v>44.175</v>
      </c>
      <c r="H136" s="38">
        <f>IF(tblPaid[[#This Row],[Date]]="","",tblPaid[[#This Row],[Paid hours (person-h)]]-tblPaid[[#This Row],[Direct hours (person-h)]])</f>
        <v>4.5</v>
      </c>
      <c r="I136" s="31">
        <f>IF(tblPaid[[#This Row],[Date]]="","",IF(tblPaid[[#This Row],[Paid hours (person-h)]]&gt;0,tblPaid[[#This Row],[Direct hours (person-h)]]/tblPaid[[#This Row],[Paid hours (person-h)]],""))</f>
        <v>0.914285714285714</v>
      </c>
      <c r="J136" s="31">
        <f>IF(tblPaid[[#This Row],[Date]]="","",IF(tblPaid[[#This Row],[Paid hours (person-h)]]&gt;0,tblPaid[[#This Row],[Earned hours (person-h)]]/tblPaid[[#This Row],[Paid hours (person-h)]],""))</f>
        <v>0.841428571428571</v>
      </c>
      <c r="K136" s="39" t="str">
        <f>IF(NOT(ISNUMBER(tblPaid[[#This Row],[Utilization]])),"",IF(tblPaid[[#This Row],[Utilization]]&gt;=TargetUtil,"On target",IF(tblPaid[[#This Row],[Utilization]]&gt;=TargetUtil*(1-0.05),"Near target","Below target")))</f>
        <v>On target</v>
      </c>
      <c r="L136" s="41">
        <f>IF(tblPaid[[#This Row],[Date]]="","",IF(AND(tblPaid[[#This Row],[Date]]&gt;=FFrom,tblPaid[[#This Row],[Date]]&lt;=FTo,OR(DashCell="",tblPaid[[#This Row],[Cell]]=DashCell)),tblPaid[[#This Row],[Date]],""))</f>
        <v>46288</v>
      </c>
      <c r="M13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6" s="28" t="s">
        <v>136</v>
      </c>
    </row>
    <row r="137" spans="2:14" x14ac:dyDescent="0.25">
      <c r="B137" s="35">
        <v>46288</v>
      </c>
      <c r="C137" s="28" t="s">
        <v>98</v>
      </c>
      <c r="D137" s="28" t="s">
        <v>94</v>
      </c>
      <c r="E137" s="29">
        <v>37.5</v>
      </c>
      <c r="F137" s="38">
        <f>IF(tblPaid[[#This Row],[Date]]="","",SUMIFS(tblLabor[Actual hours (person-h)],tblLabor[Date],tblPaid[[#This Row],[Date]],tblLabor[Shift],tblPaid[[#This Row],[Shift]],tblLabor[Cell],tblPaid[[#This Row],[Cell]]))</f>
        <v>31.25</v>
      </c>
      <c r="G137" s="38">
        <f>IF(tblPaid[[#This Row],[Date]]="","",SUMIFS(tblLabor[Earned hours (person-h)],tblLabor[Date],tblPaid[[#This Row],[Date]],tblLabor[Shift],tblPaid[[#This Row],[Shift]],tblLabor[Cell],tblPaid[[#This Row],[Cell]]))</f>
        <v>29.155</v>
      </c>
      <c r="H137" s="38">
        <f>IF(tblPaid[[#This Row],[Date]]="","",tblPaid[[#This Row],[Paid hours (person-h)]]-tblPaid[[#This Row],[Direct hours (person-h)]])</f>
        <v>6.25</v>
      </c>
      <c r="I137" s="31">
        <f>IF(tblPaid[[#This Row],[Date]]="","",IF(tblPaid[[#This Row],[Paid hours (person-h)]]&gt;0,tblPaid[[#This Row],[Direct hours (person-h)]]/tblPaid[[#This Row],[Paid hours (person-h)]],""))</f>
        <v>0.833333333333333</v>
      </c>
      <c r="J137" s="31">
        <f>IF(tblPaid[[#This Row],[Date]]="","",IF(tblPaid[[#This Row],[Paid hours (person-h)]]&gt;0,tblPaid[[#This Row],[Earned hours (person-h)]]/tblPaid[[#This Row],[Paid hours (person-h)]],""))</f>
        <v>0.777466666666667</v>
      </c>
      <c r="K137" s="39" t="str">
        <f>IF(NOT(ISNUMBER(tblPaid[[#This Row],[Utilization]])),"",IF(tblPaid[[#This Row],[Utilization]]&gt;=TargetUtil,"On target",IF(tblPaid[[#This Row],[Utilization]]&gt;=TargetUtil*(1-0.05),"Near target","Below target")))</f>
        <v>Near target</v>
      </c>
      <c r="L137" s="41">
        <f>IF(tblPaid[[#This Row],[Date]]="","",IF(AND(tblPaid[[#This Row],[Date]]&gt;=FFrom,tblPaid[[#This Row],[Date]]&lt;=FTo,OR(DashCell="",tblPaid[[#This Row],[Cell]]=DashCell)),tblPaid[[#This Row],[Date]],""))</f>
        <v>46288</v>
      </c>
      <c r="M13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7" s="28" t="s">
        <v>136</v>
      </c>
    </row>
    <row r="138" spans="2:14" x14ac:dyDescent="0.25">
      <c r="B138" s="35">
        <v>46288</v>
      </c>
      <c r="C138" s="28" t="s">
        <v>101</v>
      </c>
      <c r="D138" s="28" t="s">
        <v>86</v>
      </c>
      <c r="E138" s="29">
        <v>30</v>
      </c>
      <c r="F138" s="38">
        <f>IF(tblPaid[[#This Row],[Date]]="","",SUMIFS(tblLabor[Actual hours (person-h)],tblLabor[Date],tblPaid[[#This Row],[Date]],tblLabor[Shift],tblPaid[[#This Row],[Shift]],tblLabor[Cell],tblPaid[[#This Row],[Cell]]))</f>
        <v>27.75</v>
      </c>
      <c r="G138" s="38">
        <f>IF(tblPaid[[#This Row],[Date]]="","",SUMIFS(tblLabor[Earned hours (person-h)],tblLabor[Date],tblPaid[[#This Row],[Date]],tblLabor[Shift],tblPaid[[#This Row],[Shift]],tblLabor[Cell],tblPaid[[#This Row],[Cell]]))</f>
        <v>26.8533333333333</v>
      </c>
      <c r="H138" s="38">
        <f>IF(tblPaid[[#This Row],[Date]]="","",tblPaid[[#This Row],[Paid hours (person-h)]]-tblPaid[[#This Row],[Direct hours (person-h)]])</f>
        <v>2.25</v>
      </c>
      <c r="I138" s="31">
        <f>IF(tblPaid[[#This Row],[Date]]="","",IF(tblPaid[[#This Row],[Paid hours (person-h)]]&gt;0,tblPaid[[#This Row],[Direct hours (person-h)]]/tblPaid[[#This Row],[Paid hours (person-h)]],""))</f>
        <v>0.925</v>
      </c>
      <c r="J138" s="31">
        <f>IF(tblPaid[[#This Row],[Date]]="","",IF(tblPaid[[#This Row],[Paid hours (person-h)]]&gt;0,tblPaid[[#This Row],[Earned hours (person-h)]]/tblPaid[[#This Row],[Paid hours (person-h)]],""))</f>
        <v>0.895111111111111</v>
      </c>
      <c r="K138" s="39" t="str">
        <f>IF(NOT(ISNUMBER(tblPaid[[#This Row],[Utilization]])),"",IF(tblPaid[[#This Row],[Utilization]]&gt;=TargetUtil,"On target",IF(tblPaid[[#This Row],[Utilization]]&gt;=TargetUtil*(1-0.05),"Near target","Below target")))</f>
        <v>On target</v>
      </c>
      <c r="L138" s="41">
        <f>IF(tblPaid[[#This Row],[Date]]="","",IF(AND(tblPaid[[#This Row],[Date]]&gt;=FFrom,tblPaid[[#This Row],[Date]]&lt;=FTo,OR(DashCell="",tblPaid[[#This Row],[Cell]]=DashCell)),tblPaid[[#This Row],[Date]],""))</f>
        <v>46288</v>
      </c>
      <c r="M13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8" s="28" t="s">
        <v>136</v>
      </c>
    </row>
    <row r="139" spans="2:14" x14ac:dyDescent="0.25">
      <c r="B139" s="35">
        <v>46288</v>
      </c>
      <c r="C139" s="28" t="s">
        <v>101</v>
      </c>
      <c r="D139" s="28" t="s">
        <v>89</v>
      </c>
      <c r="E139" s="29">
        <v>60</v>
      </c>
      <c r="F139" s="38">
        <f>IF(tblPaid[[#This Row],[Date]]="","",SUMIFS(tblLabor[Actual hours (person-h)],tblLabor[Date],tblPaid[[#This Row],[Date]],tblLabor[Shift],tblPaid[[#This Row],[Shift]],tblLabor[Cell],tblPaid[[#This Row],[Cell]]))</f>
        <v>54.5</v>
      </c>
      <c r="G139" s="38">
        <f>IF(tblPaid[[#This Row],[Date]]="","",SUMIFS(tblLabor[Earned hours (person-h)],tblLabor[Date],tblPaid[[#This Row],[Date]],tblLabor[Shift],tblPaid[[#This Row],[Shift]],tblLabor[Cell],tblPaid[[#This Row],[Cell]]))</f>
        <v>50.05</v>
      </c>
      <c r="H139" s="38">
        <f>IF(tblPaid[[#This Row],[Date]]="","",tblPaid[[#This Row],[Paid hours (person-h)]]-tblPaid[[#This Row],[Direct hours (person-h)]])</f>
        <v>5.5</v>
      </c>
      <c r="I139" s="31">
        <f>IF(tblPaid[[#This Row],[Date]]="","",IF(tblPaid[[#This Row],[Paid hours (person-h)]]&gt;0,tblPaid[[#This Row],[Direct hours (person-h)]]/tblPaid[[#This Row],[Paid hours (person-h)]],""))</f>
        <v>0.908333333333333</v>
      </c>
      <c r="J139" s="31">
        <f>IF(tblPaid[[#This Row],[Date]]="","",IF(tblPaid[[#This Row],[Paid hours (person-h)]]&gt;0,tblPaid[[#This Row],[Earned hours (person-h)]]/tblPaid[[#This Row],[Paid hours (person-h)]],""))</f>
        <v>0.834166666666667</v>
      </c>
      <c r="K139" s="39" t="str">
        <f>IF(NOT(ISNUMBER(tblPaid[[#This Row],[Utilization]])),"",IF(tblPaid[[#This Row],[Utilization]]&gt;=TargetUtil,"On target",IF(tblPaid[[#This Row],[Utilization]]&gt;=TargetUtil*(1-0.05),"Near target","Below target")))</f>
        <v>On target</v>
      </c>
      <c r="L139" s="41">
        <f>IF(tblPaid[[#This Row],[Date]]="","",IF(AND(tblPaid[[#This Row],[Date]]&gt;=FFrom,tblPaid[[#This Row],[Date]]&lt;=FTo,OR(DashCell="",tblPaid[[#This Row],[Cell]]=DashCell)),tblPaid[[#This Row],[Date]],""))</f>
        <v>46288</v>
      </c>
      <c r="M13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39" s="28" t="s">
        <v>136</v>
      </c>
    </row>
    <row r="140" spans="2:14" x14ac:dyDescent="0.25">
      <c r="B140" s="35">
        <v>46288</v>
      </c>
      <c r="C140" s="28" t="s">
        <v>101</v>
      </c>
      <c r="D140" s="28" t="s">
        <v>92</v>
      </c>
      <c r="E140" s="29">
        <v>52.5</v>
      </c>
      <c r="F140" s="38">
        <f>IF(tblPaid[[#This Row],[Date]]="","",SUMIFS(tblLabor[Actual hours (person-h)],tblLabor[Date],tblPaid[[#This Row],[Date]],tblLabor[Shift],tblPaid[[#This Row],[Shift]],tblLabor[Cell],tblPaid[[#This Row],[Cell]]))</f>
        <v>47.75</v>
      </c>
      <c r="G140" s="38">
        <f>IF(tblPaid[[#This Row],[Date]]="","",SUMIFS(tblLabor[Earned hours (person-h)],tblLabor[Date],tblPaid[[#This Row],[Date]],tblLabor[Shift],tblPaid[[#This Row],[Shift]],tblLabor[Cell],tblPaid[[#This Row],[Cell]]))</f>
        <v>41.1783333333333</v>
      </c>
      <c r="H140" s="38">
        <f>IF(tblPaid[[#This Row],[Date]]="","",tblPaid[[#This Row],[Paid hours (person-h)]]-tblPaid[[#This Row],[Direct hours (person-h)]])</f>
        <v>4.75</v>
      </c>
      <c r="I140" s="31">
        <f>IF(tblPaid[[#This Row],[Date]]="","",IF(tblPaid[[#This Row],[Paid hours (person-h)]]&gt;0,tblPaid[[#This Row],[Direct hours (person-h)]]/tblPaid[[#This Row],[Paid hours (person-h)]],""))</f>
        <v>0.90952380952381</v>
      </c>
      <c r="J140" s="31">
        <f>IF(tblPaid[[#This Row],[Date]]="","",IF(tblPaid[[#This Row],[Paid hours (person-h)]]&gt;0,tblPaid[[#This Row],[Earned hours (person-h)]]/tblPaid[[#This Row],[Paid hours (person-h)]],""))</f>
        <v>0.784349206349206</v>
      </c>
      <c r="K140" s="39" t="str">
        <f>IF(NOT(ISNUMBER(tblPaid[[#This Row],[Utilization]])),"",IF(tblPaid[[#This Row],[Utilization]]&gt;=TargetUtil,"On target",IF(tblPaid[[#This Row],[Utilization]]&gt;=TargetUtil*(1-0.05),"Near target","Below target")))</f>
        <v>On target</v>
      </c>
      <c r="L140" s="41">
        <f>IF(tblPaid[[#This Row],[Date]]="","",IF(AND(tblPaid[[#This Row],[Date]]&gt;=FFrom,tblPaid[[#This Row],[Date]]&lt;=FTo,OR(DashCell="",tblPaid[[#This Row],[Cell]]=DashCell)),tblPaid[[#This Row],[Date]],""))</f>
        <v>46288</v>
      </c>
      <c r="M14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0" s="28" t="s">
        <v>136</v>
      </c>
    </row>
    <row r="141" spans="2:14" x14ac:dyDescent="0.25">
      <c r="B141" s="35">
        <v>46288</v>
      </c>
      <c r="C141" s="28" t="s">
        <v>101</v>
      </c>
      <c r="D141" s="28" t="s">
        <v>94</v>
      </c>
      <c r="E141" s="29">
        <v>37.5</v>
      </c>
      <c r="F141" s="38">
        <f>IF(tblPaid[[#This Row],[Date]]="","",SUMIFS(tblLabor[Actual hours (person-h)],tblLabor[Date],tblPaid[[#This Row],[Date]],tblLabor[Shift],tblPaid[[#This Row],[Shift]],tblLabor[Cell],tblPaid[[#This Row],[Cell]]))</f>
        <v>31.75</v>
      </c>
      <c r="G141" s="38">
        <f>IF(tblPaid[[#This Row],[Date]]="","",SUMIFS(tblLabor[Earned hours (person-h)],tblLabor[Date],tblPaid[[#This Row],[Date]],tblLabor[Shift],tblPaid[[#This Row],[Shift]],tblLabor[Cell],tblPaid[[#This Row],[Cell]]))</f>
        <v>28.1233333333333</v>
      </c>
      <c r="H141" s="38">
        <f>IF(tblPaid[[#This Row],[Date]]="","",tblPaid[[#This Row],[Paid hours (person-h)]]-tblPaid[[#This Row],[Direct hours (person-h)]])</f>
        <v>5.75</v>
      </c>
      <c r="I141" s="31">
        <f>IF(tblPaid[[#This Row],[Date]]="","",IF(tblPaid[[#This Row],[Paid hours (person-h)]]&gt;0,tblPaid[[#This Row],[Direct hours (person-h)]]/tblPaid[[#This Row],[Paid hours (person-h)]],""))</f>
        <v>0.846666666666667</v>
      </c>
      <c r="J141" s="31">
        <f>IF(tblPaid[[#This Row],[Date]]="","",IF(tblPaid[[#This Row],[Paid hours (person-h)]]&gt;0,tblPaid[[#This Row],[Earned hours (person-h)]]/tblPaid[[#This Row],[Paid hours (person-h)]],""))</f>
        <v>0.749955555555556</v>
      </c>
      <c r="K141" s="39" t="str">
        <f>IF(NOT(ISNUMBER(tblPaid[[#This Row],[Utilization]])),"",IF(tblPaid[[#This Row],[Utilization]]&gt;=TargetUtil,"On target",IF(tblPaid[[#This Row],[Utilization]]&gt;=TargetUtil*(1-0.05),"Near target","Below target")))</f>
        <v>Near target</v>
      </c>
      <c r="L141" s="41">
        <f>IF(tblPaid[[#This Row],[Date]]="","",IF(AND(tblPaid[[#This Row],[Date]]&gt;=FFrom,tblPaid[[#This Row],[Date]]&lt;=FTo,OR(DashCell="",tblPaid[[#This Row],[Cell]]=DashCell)),tblPaid[[#This Row],[Date]],""))</f>
        <v>46288</v>
      </c>
      <c r="M14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1" s="28" t="s">
        <v>136</v>
      </c>
    </row>
    <row r="142" spans="2:14" x14ac:dyDescent="0.25">
      <c r="B142" s="35">
        <v>46289</v>
      </c>
      <c r="C142" s="28" t="s">
        <v>98</v>
      </c>
      <c r="D142" s="28" t="s">
        <v>86</v>
      </c>
      <c r="E142" s="29">
        <v>30</v>
      </c>
      <c r="F142" s="38">
        <f>IF(tblPaid[[#This Row],[Date]]="","",SUMIFS(tblLabor[Actual hours (person-h)],tblLabor[Date],tblPaid[[#This Row],[Date]],tblLabor[Shift],tblPaid[[#This Row],[Shift]],tblLabor[Cell],tblPaid[[#This Row],[Cell]]))</f>
        <v>28.5</v>
      </c>
      <c r="G142" s="38">
        <f>IF(tblPaid[[#This Row],[Date]]="","",SUMIFS(tblLabor[Earned hours (person-h)],tblLabor[Date],tblPaid[[#This Row],[Date]],tblLabor[Shift],tblPaid[[#This Row],[Shift]],tblLabor[Cell],tblPaid[[#This Row],[Cell]]))</f>
        <v>27.385</v>
      </c>
      <c r="H142" s="38">
        <f>IF(tblPaid[[#This Row],[Date]]="","",tblPaid[[#This Row],[Paid hours (person-h)]]-tblPaid[[#This Row],[Direct hours (person-h)]])</f>
        <v>1.5</v>
      </c>
      <c r="I142" s="31">
        <f>IF(tblPaid[[#This Row],[Date]]="","",IF(tblPaid[[#This Row],[Paid hours (person-h)]]&gt;0,tblPaid[[#This Row],[Direct hours (person-h)]]/tblPaid[[#This Row],[Paid hours (person-h)]],""))</f>
        <v>0.95</v>
      </c>
      <c r="J142" s="31">
        <f>IF(tblPaid[[#This Row],[Date]]="","",IF(tblPaid[[#This Row],[Paid hours (person-h)]]&gt;0,tblPaid[[#This Row],[Earned hours (person-h)]]/tblPaid[[#This Row],[Paid hours (person-h)]],""))</f>
        <v>0.912833333333333</v>
      </c>
      <c r="K142" s="39" t="str">
        <f>IF(NOT(ISNUMBER(tblPaid[[#This Row],[Utilization]])),"",IF(tblPaid[[#This Row],[Utilization]]&gt;=TargetUtil,"On target",IF(tblPaid[[#This Row],[Utilization]]&gt;=TargetUtil*(1-0.05),"Near target","Below target")))</f>
        <v>On target</v>
      </c>
      <c r="L142" s="41">
        <f>IF(tblPaid[[#This Row],[Date]]="","",IF(AND(tblPaid[[#This Row],[Date]]&gt;=FFrom,tblPaid[[#This Row],[Date]]&lt;=FTo,OR(DashCell="",tblPaid[[#This Row],[Cell]]=DashCell)),tblPaid[[#This Row],[Date]],""))</f>
        <v>46289</v>
      </c>
      <c r="M14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2" s="28" t="s">
        <v>136</v>
      </c>
    </row>
    <row r="143" spans="2:14" x14ac:dyDescent="0.25">
      <c r="B143" s="35">
        <v>46289</v>
      </c>
      <c r="C143" s="28" t="s">
        <v>98</v>
      </c>
      <c r="D143" s="28" t="s">
        <v>89</v>
      </c>
      <c r="E143" s="29">
        <v>60</v>
      </c>
      <c r="F143" s="38">
        <f>IF(tblPaid[[#This Row],[Date]]="","",SUMIFS(tblLabor[Actual hours (person-h)],tblLabor[Date],tblPaid[[#This Row],[Date]],tblLabor[Shift],tblPaid[[#This Row],[Shift]],tblLabor[Cell],tblPaid[[#This Row],[Cell]]))</f>
        <v>55.5</v>
      </c>
      <c r="G143" s="38">
        <f>IF(tblPaid[[#This Row],[Date]]="","",SUMIFS(tblLabor[Earned hours (person-h)],tblLabor[Date],tblPaid[[#This Row],[Date]],tblLabor[Shift],tblPaid[[#This Row],[Shift]],tblLabor[Cell],tblPaid[[#This Row],[Cell]]))</f>
        <v>50.9666666666667</v>
      </c>
      <c r="H143" s="38">
        <f>IF(tblPaid[[#This Row],[Date]]="","",tblPaid[[#This Row],[Paid hours (person-h)]]-tblPaid[[#This Row],[Direct hours (person-h)]])</f>
        <v>4.5</v>
      </c>
      <c r="I143" s="31">
        <f>IF(tblPaid[[#This Row],[Date]]="","",IF(tblPaid[[#This Row],[Paid hours (person-h)]]&gt;0,tblPaid[[#This Row],[Direct hours (person-h)]]/tblPaid[[#This Row],[Paid hours (person-h)]],""))</f>
        <v>0.925</v>
      </c>
      <c r="J143" s="31">
        <f>IF(tblPaid[[#This Row],[Date]]="","",IF(tblPaid[[#This Row],[Paid hours (person-h)]]&gt;0,tblPaid[[#This Row],[Earned hours (person-h)]]/tblPaid[[#This Row],[Paid hours (person-h)]],""))</f>
        <v>0.849444444444444</v>
      </c>
      <c r="K143" s="39" t="str">
        <f>IF(NOT(ISNUMBER(tblPaid[[#This Row],[Utilization]])),"",IF(tblPaid[[#This Row],[Utilization]]&gt;=TargetUtil,"On target",IF(tblPaid[[#This Row],[Utilization]]&gt;=TargetUtil*(1-0.05),"Near target","Below target")))</f>
        <v>On target</v>
      </c>
      <c r="L143" s="41">
        <f>IF(tblPaid[[#This Row],[Date]]="","",IF(AND(tblPaid[[#This Row],[Date]]&gt;=FFrom,tblPaid[[#This Row],[Date]]&lt;=FTo,OR(DashCell="",tblPaid[[#This Row],[Cell]]=DashCell)),tblPaid[[#This Row],[Date]],""))</f>
        <v>46289</v>
      </c>
      <c r="M14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3" s="28" t="s">
        <v>136</v>
      </c>
    </row>
    <row r="144" spans="2:14" x14ac:dyDescent="0.25">
      <c r="B144" s="35">
        <v>46289</v>
      </c>
      <c r="C144" s="28" t="s">
        <v>98</v>
      </c>
      <c r="D144" s="28" t="s">
        <v>92</v>
      </c>
      <c r="E144" s="29">
        <v>52.5</v>
      </c>
      <c r="F144" s="38">
        <f>IF(tblPaid[[#This Row],[Date]]="","",SUMIFS(tblLabor[Actual hours (person-h)],tblLabor[Date],tblPaid[[#This Row],[Date]],tblLabor[Shift],tblPaid[[#This Row],[Shift]],tblLabor[Cell],tblPaid[[#This Row],[Cell]]))</f>
        <v>48</v>
      </c>
      <c r="G144" s="38">
        <f>IF(tblPaid[[#This Row],[Date]]="","",SUMIFS(tblLabor[Earned hours (person-h)],tblLabor[Date],tblPaid[[#This Row],[Date]],tblLabor[Shift],tblPaid[[#This Row],[Shift]],tblLabor[Cell],tblPaid[[#This Row],[Cell]]))</f>
        <v>43.61</v>
      </c>
      <c r="H144" s="38">
        <f>IF(tblPaid[[#This Row],[Date]]="","",tblPaid[[#This Row],[Paid hours (person-h)]]-tblPaid[[#This Row],[Direct hours (person-h)]])</f>
        <v>4.5</v>
      </c>
      <c r="I144" s="31">
        <f>IF(tblPaid[[#This Row],[Date]]="","",IF(tblPaid[[#This Row],[Paid hours (person-h)]]&gt;0,tblPaid[[#This Row],[Direct hours (person-h)]]/tblPaid[[#This Row],[Paid hours (person-h)]],""))</f>
        <v>0.914285714285714</v>
      </c>
      <c r="J144" s="31">
        <f>IF(tblPaid[[#This Row],[Date]]="","",IF(tblPaid[[#This Row],[Paid hours (person-h)]]&gt;0,tblPaid[[#This Row],[Earned hours (person-h)]]/tblPaid[[#This Row],[Paid hours (person-h)]],""))</f>
        <v>0.830666666666667</v>
      </c>
      <c r="K144" s="39" t="str">
        <f>IF(NOT(ISNUMBER(tblPaid[[#This Row],[Utilization]])),"",IF(tblPaid[[#This Row],[Utilization]]&gt;=TargetUtil,"On target",IF(tblPaid[[#This Row],[Utilization]]&gt;=TargetUtil*(1-0.05),"Near target","Below target")))</f>
        <v>On target</v>
      </c>
      <c r="L144" s="41">
        <f>IF(tblPaid[[#This Row],[Date]]="","",IF(AND(tblPaid[[#This Row],[Date]]&gt;=FFrom,tblPaid[[#This Row],[Date]]&lt;=FTo,OR(DashCell="",tblPaid[[#This Row],[Cell]]=DashCell)),tblPaid[[#This Row],[Date]],""))</f>
        <v>46289</v>
      </c>
      <c r="M14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4" s="28" t="s">
        <v>136</v>
      </c>
    </row>
    <row r="145" spans="2:14" x14ac:dyDescent="0.25">
      <c r="B145" s="35">
        <v>46289</v>
      </c>
      <c r="C145" s="28" t="s">
        <v>98</v>
      </c>
      <c r="D145" s="28" t="s">
        <v>94</v>
      </c>
      <c r="E145" s="29">
        <v>37.5</v>
      </c>
      <c r="F145" s="38">
        <f>IF(tblPaid[[#This Row],[Date]]="","",SUMIFS(tblLabor[Actual hours (person-h)],tblLabor[Date],tblPaid[[#This Row],[Date]],tblLabor[Shift],tblPaid[[#This Row],[Shift]],tblLabor[Cell],tblPaid[[#This Row],[Cell]]))</f>
        <v>30.5</v>
      </c>
      <c r="G145" s="38">
        <f>IF(tblPaid[[#This Row],[Date]]="","",SUMIFS(tblLabor[Earned hours (person-h)],tblLabor[Date],tblPaid[[#This Row],[Date]],tblLabor[Shift],tblPaid[[#This Row],[Shift]],tblLabor[Cell],tblPaid[[#This Row],[Cell]]))</f>
        <v>27.52</v>
      </c>
      <c r="H145" s="38">
        <f>IF(tblPaid[[#This Row],[Date]]="","",tblPaid[[#This Row],[Paid hours (person-h)]]-tblPaid[[#This Row],[Direct hours (person-h)]])</f>
        <v>7</v>
      </c>
      <c r="I145" s="31">
        <f>IF(tblPaid[[#This Row],[Date]]="","",IF(tblPaid[[#This Row],[Paid hours (person-h)]]&gt;0,tblPaid[[#This Row],[Direct hours (person-h)]]/tblPaid[[#This Row],[Paid hours (person-h)]],""))</f>
        <v>0.813333333333333</v>
      </c>
      <c r="J145" s="31">
        <f>IF(tblPaid[[#This Row],[Date]]="","",IF(tblPaid[[#This Row],[Paid hours (person-h)]]&gt;0,tblPaid[[#This Row],[Earned hours (person-h)]]/tblPaid[[#This Row],[Paid hours (person-h)]],""))</f>
        <v>0.733866666666667</v>
      </c>
      <c r="K145" s="39" t="str">
        <f>IF(NOT(ISNUMBER(tblPaid[[#This Row],[Utilization]])),"",IF(tblPaid[[#This Row],[Utilization]]&gt;=TargetUtil,"On target",IF(tblPaid[[#This Row],[Utilization]]&gt;=TargetUtil*(1-0.05),"Near target","Below target")))</f>
        <v>Near target</v>
      </c>
      <c r="L145" s="41">
        <f>IF(tblPaid[[#This Row],[Date]]="","",IF(AND(tblPaid[[#This Row],[Date]]&gt;=FFrom,tblPaid[[#This Row],[Date]]&lt;=FTo,OR(DashCell="",tblPaid[[#This Row],[Cell]]=DashCell)),tblPaid[[#This Row],[Date]],""))</f>
        <v>46289</v>
      </c>
      <c r="M14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5" s="28" t="s">
        <v>136</v>
      </c>
    </row>
    <row r="146" spans="2:14" x14ac:dyDescent="0.25">
      <c r="B146" s="35">
        <v>46289</v>
      </c>
      <c r="C146" s="28" t="s">
        <v>101</v>
      </c>
      <c r="D146" s="28" t="s">
        <v>86</v>
      </c>
      <c r="E146" s="29">
        <v>30</v>
      </c>
      <c r="F146" s="38">
        <f>IF(tblPaid[[#This Row],[Date]]="","",SUMIFS(tblLabor[Actual hours (person-h)],tblLabor[Date],tblPaid[[#This Row],[Date]],tblLabor[Shift],tblPaid[[#This Row],[Shift]],tblLabor[Cell],tblPaid[[#This Row],[Cell]]))</f>
        <v>28.75</v>
      </c>
      <c r="G146" s="38">
        <f>IF(tblPaid[[#This Row],[Date]]="","",SUMIFS(tblLabor[Earned hours (person-h)],tblLabor[Date],tblPaid[[#This Row],[Date]],tblLabor[Shift],tblPaid[[#This Row],[Shift]],tblLabor[Cell],tblPaid[[#This Row],[Cell]]))</f>
        <v>27.66</v>
      </c>
      <c r="H146" s="38">
        <f>IF(tblPaid[[#This Row],[Date]]="","",tblPaid[[#This Row],[Paid hours (person-h)]]-tblPaid[[#This Row],[Direct hours (person-h)]])</f>
        <v>1.25</v>
      </c>
      <c r="I146" s="31">
        <f>IF(tblPaid[[#This Row],[Date]]="","",IF(tblPaid[[#This Row],[Paid hours (person-h)]]&gt;0,tblPaid[[#This Row],[Direct hours (person-h)]]/tblPaid[[#This Row],[Paid hours (person-h)]],""))</f>
        <v>0.958333333333333</v>
      </c>
      <c r="J146" s="31">
        <f>IF(tblPaid[[#This Row],[Date]]="","",IF(tblPaid[[#This Row],[Paid hours (person-h)]]&gt;0,tblPaid[[#This Row],[Earned hours (person-h)]]/tblPaid[[#This Row],[Paid hours (person-h)]],""))</f>
        <v>0.922</v>
      </c>
      <c r="K146" s="39" t="str">
        <f>IF(NOT(ISNUMBER(tblPaid[[#This Row],[Utilization]])),"",IF(tblPaid[[#This Row],[Utilization]]&gt;=TargetUtil,"On target",IF(tblPaid[[#This Row],[Utilization]]&gt;=TargetUtil*(1-0.05),"Near target","Below target")))</f>
        <v>On target</v>
      </c>
      <c r="L146" s="41">
        <f>IF(tblPaid[[#This Row],[Date]]="","",IF(AND(tblPaid[[#This Row],[Date]]&gt;=FFrom,tblPaid[[#This Row],[Date]]&lt;=FTo,OR(DashCell="",tblPaid[[#This Row],[Cell]]=DashCell)),tblPaid[[#This Row],[Date]],""))</f>
        <v>46289</v>
      </c>
      <c r="M14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6" s="28" t="s">
        <v>136</v>
      </c>
    </row>
    <row r="147" spans="2:14" x14ac:dyDescent="0.25">
      <c r="B147" s="35">
        <v>46289</v>
      </c>
      <c r="C147" s="28" t="s">
        <v>101</v>
      </c>
      <c r="D147" s="28" t="s">
        <v>89</v>
      </c>
      <c r="E147" s="29">
        <v>60</v>
      </c>
      <c r="F147" s="38">
        <f>IF(tblPaid[[#This Row],[Date]]="","",SUMIFS(tblLabor[Actual hours (person-h)],tblLabor[Date],tblPaid[[#This Row],[Date]],tblLabor[Shift],tblPaid[[#This Row],[Shift]],tblLabor[Cell],tblPaid[[#This Row],[Cell]]))</f>
        <v>56</v>
      </c>
      <c r="G147" s="38">
        <f>IF(tblPaid[[#This Row],[Date]]="","",SUMIFS(tblLabor[Earned hours (person-h)],tblLabor[Date],tblPaid[[#This Row],[Date]],tblLabor[Shift],tblPaid[[#This Row],[Shift]],tblLabor[Cell],tblPaid[[#This Row],[Cell]]))</f>
        <v>49.5</v>
      </c>
      <c r="H147" s="38">
        <f>IF(tblPaid[[#This Row],[Date]]="","",tblPaid[[#This Row],[Paid hours (person-h)]]-tblPaid[[#This Row],[Direct hours (person-h)]])</f>
        <v>4</v>
      </c>
      <c r="I147" s="31">
        <f>IF(tblPaid[[#This Row],[Date]]="","",IF(tblPaid[[#This Row],[Paid hours (person-h)]]&gt;0,tblPaid[[#This Row],[Direct hours (person-h)]]/tblPaid[[#This Row],[Paid hours (person-h)]],""))</f>
        <v>0.933333333333333</v>
      </c>
      <c r="J147" s="31">
        <f>IF(tblPaid[[#This Row],[Date]]="","",IF(tblPaid[[#This Row],[Paid hours (person-h)]]&gt;0,tblPaid[[#This Row],[Earned hours (person-h)]]/tblPaid[[#This Row],[Paid hours (person-h)]],""))</f>
        <v>0.825</v>
      </c>
      <c r="K147" s="39" t="str">
        <f>IF(NOT(ISNUMBER(tblPaid[[#This Row],[Utilization]])),"",IF(tblPaid[[#This Row],[Utilization]]&gt;=TargetUtil,"On target",IF(tblPaid[[#This Row],[Utilization]]&gt;=TargetUtil*(1-0.05),"Near target","Below target")))</f>
        <v>On target</v>
      </c>
      <c r="L147" s="41">
        <f>IF(tblPaid[[#This Row],[Date]]="","",IF(AND(tblPaid[[#This Row],[Date]]&gt;=FFrom,tblPaid[[#This Row],[Date]]&lt;=FTo,OR(DashCell="",tblPaid[[#This Row],[Cell]]=DashCell)),tblPaid[[#This Row],[Date]],""))</f>
        <v>46289</v>
      </c>
      <c r="M14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7" s="28" t="s">
        <v>136</v>
      </c>
    </row>
    <row r="148" spans="2:14" x14ac:dyDescent="0.25">
      <c r="B148" s="35">
        <v>46289</v>
      </c>
      <c r="C148" s="28" t="s">
        <v>101</v>
      </c>
      <c r="D148" s="28" t="s">
        <v>92</v>
      </c>
      <c r="E148" s="29">
        <v>52.5</v>
      </c>
      <c r="F148" s="38">
        <f>IF(tblPaid[[#This Row],[Date]]="","",SUMIFS(tblLabor[Actual hours (person-h)],tblLabor[Date],tblPaid[[#This Row],[Date]],tblLabor[Shift],tblPaid[[#This Row],[Shift]],tblLabor[Cell],tblPaid[[#This Row],[Cell]]))</f>
        <v>47</v>
      </c>
      <c r="G148" s="38">
        <f>IF(tblPaid[[#This Row],[Date]]="","",SUMIFS(tblLabor[Earned hours (person-h)],tblLabor[Date],tblPaid[[#This Row],[Date]],tblLabor[Shift],tblPaid[[#This Row],[Shift]],tblLabor[Cell],tblPaid[[#This Row],[Cell]]))</f>
        <v>37.5666666666667</v>
      </c>
      <c r="H148" s="38">
        <f>IF(tblPaid[[#This Row],[Date]]="","",tblPaid[[#This Row],[Paid hours (person-h)]]-tblPaid[[#This Row],[Direct hours (person-h)]])</f>
        <v>5.5</v>
      </c>
      <c r="I148" s="31">
        <f>IF(tblPaid[[#This Row],[Date]]="","",IF(tblPaid[[#This Row],[Paid hours (person-h)]]&gt;0,tblPaid[[#This Row],[Direct hours (person-h)]]/tblPaid[[#This Row],[Paid hours (person-h)]],""))</f>
        <v>0.895238095238095</v>
      </c>
      <c r="J148" s="31">
        <f>IF(tblPaid[[#This Row],[Date]]="","",IF(tblPaid[[#This Row],[Paid hours (person-h)]]&gt;0,tblPaid[[#This Row],[Earned hours (person-h)]]/tblPaid[[#This Row],[Paid hours (person-h)]],""))</f>
        <v>0.715555555555556</v>
      </c>
      <c r="K148" s="39" t="str">
        <f>IF(NOT(ISNUMBER(tblPaid[[#This Row],[Utilization]])),"",IF(tblPaid[[#This Row],[Utilization]]&gt;=TargetUtil,"On target",IF(tblPaid[[#This Row],[Utilization]]&gt;=TargetUtil*(1-0.05),"Near target","Below target")))</f>
        <v>On target</v>
      </c>
      <c r="L148" s="41">
        <f>IF(tblPaid[[#This Row],[Date]]="","",IF(AND(tblPaid[[#This Row],[Date]]&gt;=FFrom,tblPaid[[#This Row],[Date]]&lt;=FTo,OR(DashCell="",tblPaid[[#This Row],[Cell]]=DashCell)),tblPaid[[#This Row],[Date]],""))</f>
        <v>46289</v>
      </c>
      <c r="M148"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8" s="28" t="s">
        <v>136</v>
      </c>
    </row>
    <row r="149" spans="2:14" x14ac:dyDescent="0.25">
      <c r="B149" s="35">
        <v>46289</v>
      </c>
      <c r="C149" s="28" t="s">
        <v>101</v>
      </c>
      <c r="D149" s="28" t="s">
        <v>94</v>
      </c>
      <c r="E149" s="29">
        <v>37.5</v>
      </c>
      <c r="F149" s="38">
        <f>IF(tblPaid[[#This Row],[Date]]="","",SUMIFS(tblLabor[Actual hours (person-h)],tblLabor[Date],tblPaid[[#This Row],[Date]],tblLabor[Shift],tblPaid[[#This Row],[Shift]],tblLabor[Cell],tblPaid[[#This Row],[Cell]]))</f>
        <v>30.75</v>
      </c>
      <c r="G149" s="38">
        <f>IF(tblPaid[[#This Row],[Date]]="","",SUMIFS(tblLabor[Earned hours (person-h)],tblLabor[Date],tblPaid[[#This Row],[Date]],tblLabor[Shift],tblPaid[[#This Row],[Shift]],tblLabor[Cell],tblPaid[[#This Row],[Cell]]))</f>
        <v>28.9566666666667</v>
      </c>
      <c r="H149" s="38">
        <f>IF(tblPaid[[#This Row],[Date]]="","",tblPaid[[#This Row],[Paid hours (person-h)]]-tblPaid[[#This Row],[Direct hours (person-h)]])</f>
        <v>6.75</v>
      </c>
      <c r="I149" s="31">
        <f>IF(tblPaid[[#This Row],[Date]]="","",IF(tblPaid[[#This Row],[Paid hours (person-h)]]&gt;0,tblPaid[[#This Row],[Direct hours (person-h)]]/tblPaid[[#This Row],[Paid hours (person-h)]],""))</f>
        <v>0.82</v>
      </c>
      <c r="J149" s="31">
        <f>IF(tblPaid[[#This Row],[Date]]="","",IF(tblPaid[[#This Row],[Paid hours (person-h)]]&gt;0,tblPaid[[#This Row],[Earned hours (person-h)]]/tblPaid[[#This Row],[Paid hours (person-h)]],""))</f>
        <v>0.772177777777778</v>
      </c>
      <c r="K149" s="39" t="str">
        <f>IF(NOT(ISNUMBER(tblPaid[[#This Row],[Utilization]])),"",IF(tblPaid[[#This Row],[Utilization]]&gt;=TargetUtil,"On target",IF(tblPaid[[#This Row],[Utilization]]&gt;=TargetUtil*(1-0.05),"Near target","Below target")))</f>
        <v>Near target</v>
      </c>
      <c r="L149" s="41">
        <f>IF(tblPaid[[#This Row],[Date]]="","",IF(AND(tblPaid[[#This Row],[Date]]&gt;=FFrom,tblPaid[[#This Row],[Date]]&lt;=FTo,OR(DashCell="",tblPaid[[#This Row],[Cell]]=DashCell)),tblPaid[[#This Row],[Date]],""))</f>
        <v>46289</v>
      </c>
      <c r="M149"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49" s="28" t="s">
        <v>136</v>
      </c>
    </row>
    <row r="150" spans="2:14" x14ac:dyDescent="0.25">
      <c r="B150" s="35">
        <v>46290</v>
      </c>
      <c r="C150" s="28" t="s">
        <v>98</v>
      </c>
      <c r="D150" s="28" t="s">
        <v>86</v>
      </c>
      <c r="E150" s="29">
        <v>30</v>
      </c>
      <c r="F150" s="38">
        <f>IF(tblPaid[[#This Row],[Date]]="","",SUMIFS(tblLabor[Actual hours (person-h)],tblLabor[Date],tblPaid[[#This Row],[Date]],tblLabor[Shift],tblPaid[[#This Row],[Shift]],tblLabor[Cell],tblPaid[[#This Row],[Cell]]))</f>
        <v>28</v>
      </c>
      <c r="G150" s="38">
        <f>IF(tblPaid[[#This Row],[Date]]="","",SUMIFS(tblLabor[Earned hours (person-h)],tblLabor[Date],tblPaid[[#This Row],[Date]],tblLabor[Shift],tblPaid[[#This Row],[Shift]],tblLabor[Cell],tblPaid[[#This Row],[Cell]]))</f>
        <v>26.03</v>
      </c>
      <c r="H150" s="38">
        <f>IF(tblPaid[[#This Row],[Date]]="","",tblPaid[[#This Row],[Paid hours (person-h)]]-tblPaid[[#This Row],[Direct hours (person-h)]])</f>
        <v>2</v>
      </c>
      <c r="I150" s="31">
        <f>IF(tblPaid[[#This Row],[Date]]="","",IF(tblPaid[[#This Row],[Paid hours (person-h)]]&gt;0,tblPaid[[#This Row],[Direct hours (person-h)]]/tblPaid[[#This Row],[Paid hours (person-h)]],""))</f>
        <v>0.933333333333333</v>
      </c>
      <c r="J150" s="31">
        <f>IF(tblPaid[[#This Row],[Date]]="","",IF(tblPaid[[#This Row],[Paid hours (person-h)]]&gt;0,tblPaid[[#This Row],[Earned hours (person-h)]]/tblPaid[[#This Row],[Paid hours (person-h)]],""))</f>
        <v>0.867666666666667</v>
      </c>
      <c r="K150" s="39" t="str">
        <f>IF(NOT(ISNUMBER(tblPaid[[#This Row],[Utilization]])),"",IF(tblPaid[[#This Row],[Utilization]]&gt;=TargetUtil,"On target",IF(tblPaid[[#This Row],[Utilization]]&gt;=TargetUtil*(1-0.05),"Near target","Below target")))</f>
        <v>On target</v>
      </c>
      <c r="L150" s="41">
        <f>IF(tblPaid[[#This Row],[Date]]="","",IF(AND(tblPaid[[#This Row],[Date]]&gt;=FFrom,tblPaid[[#This Row],[Date]]&lt;=FTo,OR(DashCell="",tblPaid[[#This Row],[Cell]]=DashCell)),tblPaid[[#This Row],[Date]],""))</f>
        <v>46290</v>
      </c>
      <c r="M150"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0" s="28" t="s">
        <v>136</v>
      </c>
    </row>
    <row r="151" spans="2:14" x14ac:dyDescent="0.25">
      <c r="B151" s="35">
        <v>46290</v>
      </c>
      <c r="C151" s="28" t="s">
        <v>98</v>
      </c>
      <c r="D151" s="28" t="s">
        <v>89</v>
      </c>
      <c r="E151" s="29">
        <v>60</v>
      </c>
      <c r="F151" s="38">
        <f>IF(tblPaid[[#This Row],[Date]]="","",SUMIFS(tblLabor[Actual hours (person-h)],tblLabor[Date],tblPaid[[#This Row],[Date]],tblLabor[Shift],tblPaid[[#This Row],[Shift]],tblLabor[Cell],tblPaid[[#This Row],[Cell]]))</f>
        <v>54.25</v>
      </c>
      <c r="G151" s="38">
        <f>IF(tblPaid[[#This Row],[Date]]="","",SUMIFS(tblLabor[Earned hours (person-h)],tblLabor[Date],tblPaid[[#This Row],[Date]],tblLabor[Shift],tblPaid[[#This Row],[Shift]],tblLabor[Cell],tblPaid[[#This Row],[Cell]]))</f>
        <v>51.3333333333333</v>
      </c>
      <c r="H151" s="38">
        <f>IF(tblPaid[[#This Row],[Date]]="","",tblPaid[[#This Row],[Paid hours (person-h)]]-tblPaid[[#This Row],[Direct hours (person-h)]])</f>
        <v>5.75</v>
      </c>
      <c r="I151" s="31">
        <f>IF(tblPaid[[#This Row],[Date]]="","",IF(tblPaid[[#This Row],[Paid hours (person-h)]]&gt;0,tblPaid[[#This Row],[Direct hours (person-h)]]/tblPaid[[#This Row],[Paid hours (person-h)]],""))</f>
        <v>0.904166666666667</v>
      </c>
      <c r="J151" s="31">
        <f>IF(tblPaid[[#This Row],[Date]]="","",IF(tblPaid[[#This Row],[Paid hours (person-h)]]&gt;0,tblPaid[[#This Row],[Earned hours (person-h)]]/tblPaid[[#This Row],[Paid hours (person-h)]],""))</f>
        <v>0.855555555555556</v>
      </c>
      <c r="K151" s="39" t="str">
        <f>IF(NOT(ISNUMBER(tblPaid[[#This Row],[Utilization]])),"",IF(tblPaid[[#This Row],[Utilization]]&gt;=TargetUtil,"On target",IF(tblPaid[[#This Row],[Utilization]]&gt;=TargetUtil*(1-0.05),"Near target","Below target")))</f>
        <v>On target</v>
      </c>
      <c r="L151" s="41">
        <f>IF(tblPaid[[#This Row],[Date]]="","",IF(AND(tblPaid[[#This Row],[Date]]&gt;=FFrom,tblPaid[[#This Row],[Date]]&lt;=FTo,OR(DashCell="",tblPaid[[#This Row],[Cell]]=DashCell)),tblPaid[[#This Row],[Date]],""))</f>
        <v>46290</v>
      </c>
      <c r="M151"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1" s="28" t="s">
        <v>136</v>
      </c>
    </row>
    <row r="152" spans="2:14" x14ac:dyDescent="0.25">
      <c r="B152" s="35">
        <v>46290</v>
      </c>
      <c r="C152" s="28" t="s">
        <v>98</v>
      </c>
      <c r="D152" s="28" t="s">
        <v>92</v>
      </c>
      <c r="E152" s="29">
        <v>52.5</v>
      </c>
      <c r="F152" s="38">
        <f>IF(tblPaid[[#This Row],[Date]]="","",SUMIFS(tblLabor[Actual hours (person-h)],tblLabor[Date],tblPaid[[#This Row],[Date]],tblLabor[Shift],tblPaid[[#This Row],[Shift]],tblLabor[Cell],tblPaid[[#This Row],[Cell]]))</f>
        <v>49.25</v>
      </c>
      <c r="G152" s="38">
        <f>IF(tblPaid[[#This Row],[Date]]="","",SUMIFS(tblLabor[Earned hours (person-h)],tblLabor[Date],tblPaid[[#This Row],[Date]],tblLabor[Shift],tblPaid[[#This Row],[Shift]],tblLabor[Cell],tblPaid[[#This Row],[Cell]]))</f>
        <v>43.245</v>
      </c>
      <c r="H152" s="38">
        <f>IF(tblPaid[[#This Row],[Date]]="","",tblPaid[[#This Row],[Paid hours (person-h)]]-tblPaid[[#This Row],[Direct hours (person-h)]])</f>
        <v>3.25</v>
      </c>
      <c r="I152" s="31">
        <f>IF(tblPaid[[#This Row],[Date]]="","",IF(tblPaid[[#This Row],[Paid hours (person-h)]]&gt;0,tblPaid[[#This Row],[Direct hours (person-h)]]/tblPaid[[#This Row],[Paid hours (person-h)]],""))</f>
        <v>0.938095238095238</v>
      </c>
      <c r="J152" s="31">
        <f>IF(tblPaid[[#This Row],[Date]]="","",IF(tblPaid[[#This Row],[Paid hours (person-h)]]&gt;0,tblPaid[[#This Row],[Earned hours (person-h)]]/tblPaid[[#This Row],[Paid hours (person-h)]],""))</f>
        <v>0.823714285714286</v>
      </c>
      <c r="K152" s="39" t="str">
        <f>IF(NOT(ISNUMBER(tblPaid[[#This Row],[Utilization]])),"",IF(tblPaid[[#This Row],[Utilization]]&gt;=TargetUtil,"On target",IF(tblPaid[[#This Row],[Utilization]]&gt;=TargetUtil*(1-0.05),"Near target","Below target")))</f>
        <v>On target</v>
      </c>
      <c r="L152" s="41">
        <f>IF(tblPaid[[#This Row],[Date]]="","",IF(AND(tblPaid[[#This Row],[Date]]&gt;=FFrom,tblPaid[[#This Row],[Date]]&lt;=FTo,OR(DashCell="",tblPaid[[#This Row],[Cell]]=DashCell)),tblPaid[[#This Row],[Date]],""))</f>
        <v>46290</v>
      </c>
      <c r="M152"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2" s="28" t="s">
        <v>136</v>
      </c>
    </row>
    <row r="153" spans="2:14" x14ac:dyDescent="0.25">
      <c r="B153" s="35">
        <v>46290</v>
      </c>
      <c r="C153" s="28" t="s">
        <v>98</v>
      </c>
      <c r="D153" s="28" t="s">
        <v>94</v>
      </c>
      <c r="E153" s="29">
        <v>37.5</v>
      </c>
      <c r="F153" s="38">
        <f>IF(tblPaid[[#This Row],[Date]]="","",SUMIFS(tblLabor[Actual hours (person-h)],tblLabor[Date],tblPaid[[#This Row],[Date]],tblLabor[Shift],tblPaid[[#This Row],[Shift]],tblLabor[Cell],tblPaid[[#This Row],[Cell]]))</f>
        <v>30.5</v>
      </c>
      <c r="G153" s="38">
        <f>IF(tblPaid[[#This Row],[Date]]="","",SUMIFS(tblLabor[Earned hours (person-h)],tblLabor[Date],tblPaid[[#This Row],[Date]],tblLabor[Shift],tblPaid[[#This Row],[Shift]],tblLabor[Cell],tblPaid[[#This Row],[Cell]]))</f>
        <v>28.3833333333333</v>
      </c>
      <c r="H153" s="38">
        <f>IF(tblPaid[[#This Row],[Date]]="","",tblPaid[[#This Row],[Paid hours (person-h)]]-tblPaid[[#This Row],[Direct hours (person-h)]])</f>
        <v>7</v>
      </c>
      <c r="I153" s="31">
        <f>IF(tblPaid[[#This Row],[Date]]="","",IF(tblPaid[[#This Row],[Paid hours (person-h)]]&gt;0,tblPaid[[#This Row],[Direct hours (person-h)]]/tblPaid[[#This Row],[Paid hours (person-h)]],""))</f>
        <v>0.813333333333333</v>
      </c>
      <c r="J153" s="31">
        <f>IF(tblPaid[[#This Row],[Date]]="","",IF(tblPaid[[#This Row],[Paid hours (person-h)]]&gt;0,tblPaid[[#This Row],[Earned hours (person-h)]]/tblPaid[[#This Row],[Paid hours (person-h)]],""))</f>
        <v>0.756888888888889</v>
      </c>
      <c r="K153" s="39" t="str">
        <f>IF(NOT(ISNUMBER(tblPaid[[#This Row],[Utilization]])),"",IF(tblPaid[[#This Row],[Utilization]]&gt;=TargetUtil,"On target",IF(tblPaid[[#This Row],[Utilization]]&gt;=TargetUtil*(1-0.05),"Near target","Below target")))</f>
        <v>Near target</v>
      </c>
      <c r="L153" s="41">
        <f>IF(tblPaid[[#This Row],[Date]]="","",IF(AND(tblPaid[[#This Row],[Date]]&gt;=FFrom,tblPaid[[#This Row],[Date]]&lt;=FTo,OR(DashCell="",tblPaid[[#This Row],[Cell]]=DashCell)),tblPaid[[#This Row],[Date]],""))</f>
        <v>46290</v>
      </c>
      <c r="M153"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3" s="28" t="s">
        <v>136</v>
      </c>
    </row>
    <row r="154" spans="2:14" x14ac:dyDescent="0.25">
      <c r="B154" s="35">
        <v>46290</v>
      </c>
      <c r="C154" s="28" t="s">
        <v>101</v>
      </c>
      <c r="D154" s="28" t="s">
        <v>86</v>
      </c>
      <c r="E154" s="29">
        <v>30</v>
      </c>
      <c r="F154" s="38">
        <f>IF(tblPaid[[#This Row],[Date]]="","",SUMIFS(tblLabor[Actual hours (person-h)],tblLabor[Date],tblPaid[[#This Row],[Date]],tblLabor[Shift],tblPaid[[#This Row],[Shift]],tblLabor[Cell],tblPaid[[#This Row],[Cell]]))</f>
        <v>28</v>
      </c>
      <c r="G154" s="38">
        <f>IF(tblPaid[[#This Row],[Date]]="","",SUMIFS(tblLabor[Earned hours (person-h)],tblLabor[Date],tblPaid[[#This Row],[Date]],tblLabor[Shift],tblPaid[[#This Row],[Shift]],tblLabor[Cell],tblPaid[[#This Row],[Cell]]))</f>
        <v>27.24</v>
      </c>
      <c r="H154" s="38">
        <f>IF(tblPaid[[#This Row],[Date]]="","",tblPaid[[#This Row],[Paid hours (person-h)]]-tblPaid[[#This Row],[Direct hours (person-h)]])</f>
        <v>2</v>
      </c>
      <c r="I154" s="31">
        <f>IF(tblPaid[[#This Row],[Date]]="","",IF(tblPaid[[#This Row],[Paid hours (person-h)]]&gt;0,tblPaid[[#This Row],[Direct hours (person-h)]]/tblPaid[[#This Row],[Paid hours (person-h)]],""))</f>
        <v>0.933333333333333</v>
      </c>
      <c r="J154" s="31">
        <f>IF(tblPaid[[#This Row],[Date]]="","",IF(tblPaid[[#This Row],[Paid hours (person-h)]]&gt;0,tblPaid[[#This Row],[Earned hours (person-h)]]/tblPaid[[#This Row],[Paid hours (person-h)]],""))</f>
        <v>0.908</v>
      </c>
      <c r="K154" s="39" t="str">
        <f>IF(NOT(ISNUMBER(tblPaid[[#This Row],[Utilization]])),"",IF(tblPaid[[#This Row],[Utilization]]&gt;=TargetUtil,"On target",IF(tblPaid[[#This Row],[Utilization]]&gt;=TargetUtil*(1-0.05),"Near target","Below target")))</f>
        <v>On target</v>
      </c>
      <c r="L154" s="41">
        <f>IF(tblPaid[[#This Row],[Date]]="","",IF(AND(tblPaid[[#This Row],[Date]]&gt;=FFrom,tblPaid[[#This Row],[Date]]&lt;=FTo,OR(DashCell="",tblPaid[[#This Row],[Cell]]=DashCell)),tblPaid[[#This Row],[Date]],""))</f>
        <v>46290</v>
      </c>
      <c r="M154"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4" s="28" t="s">
        <v>136</v>
      </c>
    </row>
    <row r="155" spans="2:14" x14ac:dyDescent="0.25">
      <c r="B155" s="35">
        <v>46290</v>
      </c>
      <c r="C155" s="28" t="s">
        <v>101</v>
      </c>
      <c r="D155" s="28" t="s">
        <v>89</v>
      </c>
      <c r="E155" s="29">
        <v>60</v>
      </c>
      <c r="F155" s="38">
        <f>IF(tblPaid[[#This Row],[Date]]="","",SUMIFS(tblLabor[Actual hours (person-h)],tblLabor[Date],tblPaid[[#This Row],[Date]],tblLabor[Shift],tblPaid[[#This Row],[Shift]],tblLabor[Cell],tblPaid[[#This Row],[Cell]]))</f>
        <v>56.75</v>
      </c>
      <c r="G155" s="38">
        <f>IF(tblPaid[[#This Row],[Date]]="","",SUMIFS(tblLabor[Earned hours (person-h)],tblLabor[Date],tblPaid[[#This Row],[Date]],tblLabor[Shift],tblPaid[[#This Row],[Shift]],tblLabor[Cell],tblPaid[[#This Row],[Cell]]))</f>
        <v>53.1666666666667</v>
      </c>
      <c r="H155" s="38">
        <f>IF(tblPaid[[#This Row],[Date]]="","",tblPaid[[#This Row],[Paid hours (person-h)]]-tblPaid[[#This Row],[Direct hours (person-h)]])</f>
        <v>3.25</v>
      </c>
      <c r="I155" s="31">
        <f>IF(tblPaid[[#This Row],[Date]]="","",IF(tblPaid[[#This Row],[Paid hours (person-h)]]&gt;0,tblPaid[[#This Row],[Direct hours (person-h)]]/tblPaid[[#This Row],[Paid hours (person-h)]],""))</f>
        <v>0.945833333333333</v>
      </c>
      <c r="J155" s="31">
        <f>IF(tblPaid[[#This Row],[Date]]="","",IF(tblPaid[[#This Row],[Paid hours (person-h)]]&gt;0,tblPaid[[#This Row],[Earned hours (person-h)]]/tblPaid[[#This Row],[Paid hours (person-h)]],""))</f>
        <v>0.886111111111111</v>
      </c>
      <c r="K155" s="39" t="str">
        <f>IF(NOT(ISNUMBER(tblPaid[[#This Row],[Utilization]])),"",IF(tblPaid[[#This Row],[Utilization]]&gt;=TargetUtil,"On target",IF(tblPaid[[#This Row],[Utilization]]&gt;=TargetUtil*(1-0.05),"Near target","Below target")))</f>
        <v>On target</v>
      </c>
      <c r="L155" s="41">
        <f>IF(tblPaid[[#This Row],[Date]]="","",IF(AND(tblPaid[[#This Row],[Date]]&gt;=FFrom,tblPaid[[#This Row],[Date]]&lt;=FTo,OR(DashCell="",tblPaid[[#This Row],[Cell]]=DashCell)),tblPaid[[#This Row],[Date]],""))</f>
        <v>46290</v>
      </c>
      <c r="M155"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5" s="28" t="s">
        <v>136</v>
      </c>
    </row>
    <row r="156" spans="2:14" x14ac:dyDescent="0.25">
      <c r="B156" s="35">
        <v>46290</v>
      </c>
      <c r="C156" s="28" t="s">
        <v>101</v>
      </c>
      <c r="D156" s="28" t="s">
        <v>92</v>
      </c>
      <c r="E156" s="29">
        <v>52.5</v>
      </c>
      <c r="F156" s="38">
        <f>IF(tblPaid[[#This Row],[Date]]="","",SUMIFS(tblLabor[Actual hours (person-h)],tblLabor[Date],tblPaid[[#This Row],[Date]],tblLabor[Shift],tblPaid[[#This Row],[Shift]],tblLabor[Cell],tblPaid[[#This Row],[Cell]]))</f>
        <v>48</v>
      </c>
      <c r="G156" s="38">
        <f>IF(tblPaid[[#This Row],[Date]]="","",SUMIFS(tblLabor[Earned hours (person-h)],tblLabor[Date],tblPaid[[#This Row],[Date]],tblLabor[Shift],tblPaid[[#This Row],[Shift]],tblLabor[Cell],tblPaid[[#This Row],[Cell]]))</f>
        <v>40.8166666666667</v>
      </c>
      <c r="H156" s="38">
        <f>IF(tblPaid[[#This Row],[Date]]="","",tblPaid[[#This Row],[Paid hours (person-h)]]-tblPaid[[#This Row],[Direct hours (person-h)]])</f>
        <v>4.5</v>
      </c>
      <c r="I156" s="31">
        <f>IF(tblPaid[[#This Row],[Date]]="","",IF(tblPaid[[#This Row],[Paid hours (person-h)]]&gt;0,tblPaid[[#This Row],[Direct hours (person-h)]]/tblPaid[[#This Row],[Paid hours (person-h)]],""))</f>
        <v>0.914285714285714</v>
      </c>
      <c r="J156" s="31">
        <f>IF(tblPaid[[#This Row],[Date]]="","",IF(tblPaid[[#This Row],[Paid hours (person-h)]]&gt;0,tblPaid[[#This Row],[Earned hours (person-h)]]/tblPaid[[#This Row],[Paid hours (person-h)]],""))</f>
        <v>0.777460317460318</v>
      </c>
      <c r="K156" s="39" t="str">
        <f>IF(NOT(ISNUMBER(tblPaid[[#This Row],[Utilization]])),"",IF(tblPaid[[#This Row],[Utilization]]&gt;=TargetUtil,"On target",IF(tblPaid[[#This Row],[Utilization]]&gt;=TargetUtil*(1-0.05),"Near target","Below target")))</f>
        <v>On target</v>
      </c>
      <c r="L156" s="41">
        <f>IF(tblPaid[[#This Row],[Date]]="","",IF(AND(tblPaid[[#This Row],[Date]]&gt;=FFrom,tblPaid[[#This Row],[Date]]&lt;=FTo,OR(DashCell="",tblPaid[[#This Row],[Cell]]=DashCell)),tblPaid[[#This Row],[Date]],""))</f>
        <v>46290</v>
      </c>
      <c r="M156"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6" s="28" t="s">
        <v>136</v>
      </c>
    </row>
    <row r="157" spans="2:14" x14ac:dyDescent="0.25">
      <c r="B157" s="35">
        <v>46290</v>
      </c>
      <c r="C157" s="28" t="s">
        <v>101</v>
      </c>
      <c r="D157" s="28" t="s">
        <v>94</v>
      </c>
      <c r="E157" s="29">
        <v>37.5</v>
      </c>
      <c r="F157" s="38">
        <f>IF(tblPaid[[#This Row],[Date]]="","",SUMIFS(tblLabor[Actual hours (person-h)],tblLabor[Date],tblPaid[[#This Row],[Date]],tblLabor[Shift],tblPaid[[#This Row],[Shift]],tblLabor[Cell],tblPaid[[#This Row],[Cell]]))</f>
        <v>31.25</v>
      </c>
      <c r="G157" s="38">
        <f>IF(tblPaid[[#This Row],[Date]]="","",SUMIFS(tblLabor[Earned hours (person-h)],tblLabor[Date],tblPaid[[#This Row],[Date]],tblLabor[Shift],tblPaid[[#This Row],[Shift]],tblLabor[Cell],tblPaid[[#This Row],[Cell]]))</f>
        <v>28.0216666666667</v>
      </c>
      <c r="H157" s="38">
        <f>IF(tblPaid[[#This Row],[Date]]="","",tblPaid[[#This Row],[Paid hours (person-h)]]-tblPaid[[#This Row],[Direct hours (person-h)]])</f>
        <v>6.25</v>
      </c>
      <c r="I157" s="31">
        <f>IF(tblPaid[[#This Row],[Date]]="","",IF(tblPaid[[#This Row],[Paid hours (person-h)]]&gt;0,tblPaid[[#This Row],[Direct hours (person-h)]]/tblPaid[[#This Row],[Paid hours (person-h)]],""))</f>
        <v>0.833333333333333</v>
      </c>
      <c r="J157" s="31">
        <f>IF(tblPaid[[#This Row],[Date]]="","",IF(tblPaid[[#This Row],[Paid hours (person-h)]]&gt;0,tblPaid[[#This Row],[Earned hours (person-h)]]/tblPaid[[#This Row],[Paid hours (person-h)]],""))</f>
        <v>0.747244444444444</v>
      </c>
      <c r="K157" s="39" t="str">
        <f>IF(NOT(ISNUMBER(tblPaid[[#This Row],[Utilization]])),"",IF(tblPaid[[#This Row],[Utilization]]&gt;=TargetUtil,"On target",IF(tblPaid[[#This Row],[Utilization]]&gt;=TargetUtil*(1-0.05),"Near target","Below target")))</f>
        <v>Near target</v>
      </c>
      <c r="L157" s="41">
        <f>IF(tblPaid[[#This Row],[Date]]="","",IF(AND(tblPaid[[#This Row],[Date]]&gt;=FFrom,tblPaid[[#This Row],[Date]]&lt;=FTo,OR(DashCell="",tblPaid[[#This Row],[Cell]]=DashCell)),tblPaid[[#This Row],[Date]],""))</f>
        <v>46290</v>
      </c>
      <c r="M157" s="42" t="str">
        <f>IF(tblPaid[[#This Row],[Date]]="","",IF(tblPaid[[#This Row],[Shift]]="","Missing shift",IF(tblPaid[[#This Row],[Cell]]="","Missing cell",IF(tblPaid[[#This Row],[Paid hours (person-h)]]="","Missing paid hours",IF(COUNTIF(tblCells[Cell],tblPaid[[#This Row],[Cell]])=0,"Cell not on Setup list",IF(tblPaid[[#This Row],[Direct hours (person-h)]]&gt;tblPaid[[#This Row],[Paid hours (person-h)]],"Labor Log hours exceed paid hours",IF(COUNTIFS(tblPaid[Date],tblPaid[[#This Row],[Date]],tblPaid[Shift],tblPaid[[#This Row],[Shift]],tblPaid[Cell],tblPaid[[#This Row],[Cell]])&gt;1,"Duplicate row",IF(tblPaid[[#This Row],[Direct hours (person-h)]]=0,"No Labor Log rows","OK"))))))))</f>
        <v>OK</v>
      </c>
      <c r="N157" s="28" t="s">
        <v>136</v>
      </c>
    </row>
  </sheetData>
  <mergeCells count="3">
    <mergeCell ref="A1:N1"/>
    <mergeCell ref="B2:M2"/>
    <mergeCell ref="B4:N4"/>
  </mergeCells>
  <conditionalFormatting sqref="I6:I657">
    <cfRule type="expression" dxfId="3" priority="1" stopIfTrue="1">
      <formula>AND(ISNUMBER(I6),I6&gt;=(TargetUtil))</formula>
    </cfRule>
    <cfRule type="expression" dxfId="4" priority="2" stopIfTrue="1">
      <formula>AND(ISNUMBER(I6),I6&gt;=(TargetUtil)*(1-0.05))</formula>
    </cfRule>
    <cfRule type="expression" dxfId="5" priority="3">
      <formula>ISNUMBER(I6)</formula>
    </cfRule>
  </conditionalFormatting>
  <conditionalFormatting sqref="J6:J657">
    <cfRule type="expression" dxfId="3" priority="4" stopIfTrue="1">
      <formula>AND(ISNUMBER(J6),J6&gt;=(TargetProd))</formula>
    </cfRule>
    <cfRule type="expression" dxfId="4" priority="5" stopIfTrue="1">
      <formula>AND(ISNUMBER(J6),J6&gt;=(TargetProd)*(1-0.05))</formula>
    </cfRule>
    <cfRule type="expression" dxfId="5" priority="6">
      <formula>ISNUMBER(J6)</formula>
    </cfRule>
    <cfRule type="dataBar" priority="7">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K6:K657">
    <cfRule type="cellIs" dxfId="0" priority="8" operator="equal">
      <formula>"On target"</formula>
    </cfRule>
    <cfRule type="cellIs" dxfId="0" priority="9" operator="equal">
      <formula>"PASS"</formula>
    </cfRule>
    <cfRule type="cellIs" dxfId="0" priority="10" operator="equal">
      <formula>"OK"</formula>
    </cfRule>
    <cfRule type="cellIs" dxfId="0" priority="11" operator="equal">
      <formula>"Within limits"</formula>
    </cfRule>
    <cfRule type="cellIs" dxfId="0" priority="12" operator="equal">
      <formula>"Under capacity"</formula>
    </cfRule>
    <cfRule type="cellIs" dxfId="0" priority="13" operator="equal">
      <formula>"Complete"</formula>
    </cfRule>
    <cfRule type="cellIs" dxfId="0" priority="14" operator="equal">
      <formula>"Yes"</formula>
    </cfRule>
    <cfRule type="cellIs" dxfId="1" priority="15" operator="equal">
      <formula>"Near target"</formula>
    </cfRule>
    <cfRule type="cellIs" dxfId="1" priority="16" operator="equal">
      <formula>"Check"</formula>
    </cfRule>
    <cfRule type="cellIs" dxfId="1" priority="17" operator="equal">
      <formula>"Due soon"</formula>
    </cfRule>
    <cfRule type="cellIs" dxfId="1" priority="18" operator="equal">
      <formula>"Near capacity"</formula>
    </cfRule>
    <cfRule type="cellIs" dxfId="1" priority="19" operator="equal">
      <formula>"In progress"</formula>
    </cfRule>
    <cfRule type="cellIs" dxfId="1" priority="20" operator="equal">
      <formula>"Partial"</formula>
    </cfRule>
    <cfRule type="cellIs" dxfId="2" priority="21" operator="equal">
      <formula>"Below target"</formula>
    </cfRule>
    <cfRule type="cellIs" dxfId="2" priority="22" operator="equal">
      <formula>"Above target"</formula>
    </cfRule>
    <cfRule type="cellIs" dxfId="2" priority="23" operator="equal">
      <formula>"FAIL"</formula>
    </cfRule>
    <cfRule type="cellIs" dxfId="2" priority="24" operator="equal">
      <formula>"Over capacity"</formula>
    </cfRule>
    <cfRule type="cellIs" dxfId="2" priority="25" operator="equal">
      <formula>"Overdue"</formula>
    </cfRule>
    <cfRule type="cellIs" dxfId="2" priority="26" operator="equal">
      <formula>"Out of limits"</formula>
    </cfRule>
    <cfRule type="cellIs" dxfId="2" priority="27" operator="equal">
      <formula>"No"</formula>
    </cfRule>
  </conditionalFormatting>
  <conditionalFormatting sqref="M6:M657">
    <cfRule type="expression" dxfId="3" priority="28">
      <formula>$M6="OK"</formula>
    </cfRule>
    <cfRule type="expression" dxfId="1" priority="29">
      <formula>AND($M6&lt;&gt;"",$M6&lt;&gt;"OK")</formula>
    </cfRule>
  </conditionalFormatting>
  <dataValidations count="5">
    <dataValidation type="date" allowBlank="1" showInputMessage="1" showErrorMessage="1" errorTitle="Check this entry" error="Enter a date between 01 Jan 2000 and 31 Dec 2100." promptTitle="Date" prompt="Enter a date between 01 Jan 2000 and 31 Dec 2100." sqref="B6:B657">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657">
      <formula1>ShiftList</formula1>
    </dataValidation>
    <dataValidation type="list" allowBlank="1" showInputMessage="1" showErrorMessage="1" errorTitle="Check this entry" error="Pick from the list (edit the list on Setup: Cells)." promptTitle="Cell" prompt="Pick from the list (edit the list on Setup: Cells)." sqref="D6:D657">
      <formula1>Cells</formula1>
    </dataValidation>
    <dataValidation type="decimal" allowBlank="1" showInputMessage="1" showErrorMessage="1" errorTitle="Check this entry" error="Enter a number from 0 to 10,000." promptTitle="Paid hours (person-h)" prompt="Person-hours paid for the cell in the shift (from time and attendance): everyone assigned, direct and indirect time together. Enter a number from 0 to 10,000." sqref="E6:E657">
      <formula1>0</formula1>
      <formula2>10000</formula2>
    </dataValidation>
    <dataValidation type="textLength" allowBlank="1" showInputMessage="1" showErrorMessage="1" errorTitle="Check this entry" error="Text up to 255 characters." promptTitle="Notes" prompt="Text up to 255 characters." sqref="N6:N657">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Labor Efficiency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J6:J657</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82"/>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3" t="s">
        <v>2</v>
      </c>
      <c r="L2" s="3"/>
    </row>
    <row r="3" spans="1:12" ht="6" customHeight="1"/>
    <row r="4" spans="1:12">
      <c r="B4" s="27" t="s">
        <v>64</v>
      </c>
      <c r="C4" s="28"/>
      <c r="D4" s="28"/>
      <c r="F4" s="27" t="s">
        <v>149</v>
      </c>
      <c r="G4" s="43"/>
      <c r="H4" s="43"/>
      <c r="J4" s="27" t="s">
        <v>150</v>
      </c>
      <c r="K4" s="43"/>
      <c r="L4" s="43"/>
    </row>
    <row r="5" spans="1:12">
      <c r="B5" s="44" t="str">
        <f>"Showing "&amp;COUNTIFS(tblLabor[View date],"&gt;0")&amp;" Labor Log rows and "&amp;COUNTIFS(tblPaid[View date],"&gt;0")&amp;" Paid Hours rows. Leave the filters blank to include everything; dates are inclusive."</f>
        <v>Showing 168 Labor Log rows and 152 Paid Hours rows. Leave the filters blank to include everything; dates are inclusive.</v>
      </c>
      <c r="C5" s="44"/>
      <c r="D5" s="44"/>
      <c r="E5" s="44"/>
      <c r="F5" s="44"/>
      <c r="G5" s="44"/>
      <c r="H5" s="44"/>
      <c r="I5" s="44"/>
      <c r="J5" s="44"/>
      <c r="K5" s="44"/>
      <c r="L5" s="44"/>
    </row>
    <row r="7" spans="1:12" ht="18" customHeight="1">
      <c r="B7" s="45" t="s">
        <v>151</v>
      </c>
      <c r="C7" s="45"/>
      <c r="D7" s="45" t="s">
        <v>152</v>
      </c>
      <c r="E7" s="45"/>
      <c r="F7" s="45"/>
      <c r="G7" s="45" t="s">
        <v>153</v>
      </c>
      <c r="H7" s="45"/>
      <c r="I7" s="45"/>
      <c r="J7" s="45" t="str">
        <f>"VALUE OF HOURS LOST ("&amp;Currency&amp;", EST.)"</f>
        <v>VALUE OF HOURS LOST (MXN, EST.)</v>
      </c>
      <c r="K7" s="45"/>
      <c r="L7" s="45"/>
    </row>
    <row r="8" spans="1:12" ht="21" customHeight="1">
      <c r="B8" s="46">
        <f>IF((SUMIFS(tblLabor[Actual hours (person-h)],tblLabor[View date],"&gt;0"))=0,"",(SUMIFS(tblLabor[Earned hours (person-h)],tblLabor[View date],"&gt;0"))/(SUMIFS(tblLabor[Actual hours (person-h)],tblLabor[View date],"&gt;0")))</f>
        <v>0.895728202700182</v>
      </c>
      <c r="C8" s="46"/>
      <c r="D8" s="46">
        <f>IF((SUMIFS(tblPaid[Paid hours (person-h)],tblPaid[View date],"&gt;0"))=0,"",(SUMIFS(tblPaid[Direct hours (person-h)],tblPaid[View date],"&gt;0"))/(SUMIFS(tblPaid[Paid hours (person-h)],tblPaid[View date],"&gt;0")))</f>
        <v>0.883048270619536</v>
      </c>
      <c r="E8" s="46"/>
      <c r="F8" s="46"/>
      <c r="G8" s="46">
        <f>IF((SUMIFS(tblPaid[Paid hours (person-h)],tblPaid[View date],"&gt;0"))=0,"",(SUMIFS(tblPaid[Earned hours (person-h)],tblPaid[View date],"&gt;0"))/(SUMIFS(tblPaid[Paid hours (person-h)],tblPaid[View date],"&gt;0")))</f>
        <v>0.790971240339542</v>
      </c>
      <c r="H8" s="46"/>
      <c r="I8" s="46"/>
      <c r="J8" s="47">
        <f>(SUMIFS(tblLabor[Actual hours (person-h)],tblLabor[View date],"&gt;0")-SUMIFS(tblLabor[Earned hours (person-h)],tblLabor[View date],"&gt;0"))*LaborRate</f>
        <v>57535.4833333333</v>
      </c>
      <c r="K8" s="47"/>
      <c r="L8" s="47"/>
    </row>
    <row r="9" spans="1:12" ht="21" customHeight="1">
      <c r="B9" s="46"/>
      <c r="C9" s="46"/>
      <c r="D9" s="46"/>
      <c r="E9" s="46"/>
      <c r="F9" s="46"/>
      <c r="G9" s="46"/>
      <c r="H9" s="46"/>
      <c r="I9" s="46"/>
      <c r="J9" s="47"/>
      <c r="K9" s="47"/>
      <c r="L9" s="47"/>
    </row>
    <row r="10" spans="1:12">
      <c r="B10" s="48">
        <f>TargetEff</f>
        <v>0.9</v>
      </c>
      <c r="C10" s="48"/>
      <c r="D10" s="48">
        <f>TargetUtil</f>
        <v>0.85</v>
      </c>
      <c r="E10" s="48"/>
      <c r="F10" s="48"/>
      <c r="G10" s="48">
        <f>TargetProd</f>
        <v>0.765</v>
      </c>
      <c r="H10" s="48"/>
      <c r="I10" s="48"/>
      <c r="J10" s="49" t="s">
        <v>154</v>
      </c>
      <c r="K10" s="49"/>
      <c r="L10" s="49"/>
    </row>
    <row r="11" spans="1:12" ht="18" customHeight="1">
      <c r="B11" s="50" t="str">
        <f>IF(NOT(ISNUMBER(KpiEff)),"No data",IF(KpiEff&gt;=(TargetEff),"On target",IF(KpiEff&gt;=(TargetEff)*(1-0.05),"Near target","Below target")))</f>
        <v>Near target</v>
      </c>
      <c r="C11" s="50"/>
      <c r="D11" s="50" t="str">
        <f>IF(NOT(ISNUMBER(KpiUtil)),"No data",IF(KpiUtil&gt;=(TargetUtil),"On target",IF(KpiUtil&gt;=(TargetUtil)*(1-0.05),"Near target","Below target")))</f>
        <v>On target</v>
      </c>
      <c r="E11" s="50"/>
      <c r="F11" s="50"/>
      <c r="G11" s="50" t="str">
        <f>IF(NOT(ISNUMBER(KpiProd)),"No data",IF(KpiProd&gt;=(TargetProd),"On target",IF(KpiProd&gt;=(TargetProd)*(1-0.05),"Near target","Below target")))</f>
        <v>On target</v>
      </c>
      <c r="H11" s="50"/>
      <c r="I11" s="50"/>
      <c r="J11" s="50"/>
      <c r="K11" s="50"/>
      <c r="L11" s="50"/>
    </row>
    <row r="29" spans="2:12" ht="18" customHeight="1">
      <c r="B29" s="45" t="s">
        <v>155</v>
      </c>
      <c r="C29" s="45"/>
      <c r="D29" s="45" t="s">
        <v>156</v>
      </c>
      <c r="E29" s="45"/>
      <c r="F29" s="45"/>
      <c r="G29" s="45" t="s">
        <v>157</v>
      </c>
      <c r="H29" s="45"/>
      <c r="I29" s="45"/>
      <c r="J29" s="45" t="s">
        <v>158</v>
      </c>
      <c r="K29" s="45"/>
      <c r="L29" s="45"/>
    </row>
    <row r="30" spans="2:12" ht="21" customHeight="1">
      <c r="B30" s="51">
        <f>SUMIFS(tblLabor[Earned hours (person-h)],tblLabor[View date],"&gt;0")</f>
        <v>5202.61333333333</v>
      </c>
      <c r="C30" s="51"/>
      <c r="D30" s="51">
        <f>SUMIFS(tblLabor[Actual hours (person-h)],tblLabor[View date],"&gt;0")</f>
        <v>5808.25</v>
      </c>
      <c r="E30" s="51"/>
      <c r="F30" s="51"/>
      <c r="G30" s="51">
        <f>SUMIFS(tblPaid[Indirect hours (person-h)],tblPaid[View date],"&gt;0")</f>
        <v>769.25</v>
      </c>
      <c r="H30" s="51"/>
      <c r="I30" s="51"/>
      <c r="J30" s="52" t="str">
        <f>IF(COUNT($F$49:$F$52)=0,"No data",INDEX($B$49:$B$52,MATCH(MIN($F$49:$F$52),$F$49:$F$52,0)))</f>
        <v>Board line B</v>
      </c>
      <c r="K30" s="52"/>
      <c r="L30" s="52"/>
    </row>
    <row r="31" spans="2:12" ht="21" customHeight="1">
      <c r="B31" s="51"/>
      <c r="C31" s="51"/>
      <c r="D31" s="51"/>
      <c r="E31" s="51"/>
      <c r="F31" s="51"/>
      <c r="G31" s="51"/>
      <c r="H31" s="51"/>
      <c r="I31" s="51"/>
      <c r="J31" s="52"/>
      <c r="K31" s="52"/>
      <c r="L31" s="52"/>
    </row>
    <row r="32" spans="2:12">
      <c r="B32" s="49" t="s">
        <v>159</v>
      </c>
      <c r="C32" s="49"/>
      <c r="D32" s="49" t="s">
        <v>160</v>
      </c>
      <c r="E32" s="49"/>
      <c r="F32" s="49"/>
      <c r="G32" s="49" t="s">
        <v>161</v>
      </c>
      <c r="H32" s="49"/>
      <c r="I32" s="49"/>
      <c r="J32" s="49" t="s">
        <v>162</v>
      </c>
      <c r="K32" s="49"/>
      <c r="L32" s="49"/>
    </row>
    <row r="33" spans="2:12" ht="18" customHeight="1">
      <c r="B33" s="50"/>
      <c r="C33" s="50"/>
      <c r="D33" s="50"/>
      <c r="E33" s="50"/>
      <c r="F33" s="50"/>
      <c r="G33" s="50"/>
      <c r="H33" s="50"/>
      <c r="I33" s="50"/>
      <c r="J33" s="50"/>
      <c r="K33" s="50"/>
      <c r="L33" s="50"/>
    </row>
    <row r="35" spans="2:12">
      <c r="B35" s="32" t="s">
        <v>163</v>
      </c>
      <c r="C35" s="32"/>
      <c r="D35" s="32"/>
      <c r="E35" s="32"/>
      <c r="F35" s="32"/>
      <c r="G35" s="32"/>
      <c r="H35" s="32"/>
      <c r="I35" s="32"/>
    </row>
    <row r="36" spans="2:12" ht="32" customHeight="1">
      <c r="B36" s="53" t="s">
        <v>164</v>
      </c>
      <c r="C36" s="33" t="s">
        <v>165</v>
      </c>
      <c r="D36" s="33" t="s">
        <v>166</v>
      </c>
      <c r="E36" s="33" t="s">
        <v>130</v>
      </c>
      <c r="F36" s="33" t="s">
        <v>167</v>
      </c>
      <c r="G36" s="33" t="s">
        <v>140</v>
      </c>
      <c r="H36" s="33" t="s">
        <v>141</v>
      </c>
      <c r="I36" s="33" t="s">
        <v>168</v>
      </c>
    </row>
    <row r="37" spans="2:12">
      <c r="B37" s="54">
        <f>IF($B$38="","",IF($B$38-1&lt;MIN(tblLabor[View date]),"",$B$38-7))</f>
        <v>46265</v>
      </c>
      <c r="C37" s="55">
        <f>IF($B$37="","",SUMIFS(tblLabor[Earned hours (person-h)],tblLabor[View date],"&gt;="&amp;$B$37,tblLabor[View date],"&lt;"&amp;$B$37+7))</f>
        <v>1351.065</v>
      </c>
      <c r="D37" s="55">
        <f>IF($B$37="","",SUMIFS(tblLabor[Actual hours (person-h)],tblLabor[View date],"&gt;="&amp;$B$37,tblLabor[View date],"&lt;"&amp;$B$37+7))</f>
        <v>1524.75</v>
      </c>
      <c r="E37" s="31">
        <f>IF($B$37="","",IF((SUMIFS(tblLabor[Actual hours (person-h)],tblLabor[View date],"&gt;="&amp;$B$37,tblLabor[View date],"&lt;"&amp;$B$37+7))=0,"",(SUMIFS(tblLabor[Earned hours (person-h)],tblLabor[View date],"&gt;="&amp;$B$37,tblLabor[View date],"&lt;"&amp;$B$37+7))/(SUMIFS(tblLabor[Actual hours (person-h)],tblLabor[View date],"&gt;="&amp;$B$37,tblLabor[View date],"&lt;"&amp;$B$37+7))))</f>
        <v>0.886089522872602</v>
      </c>
      <c r="F37" s="55">
        <f>IF($B$37="","",SUMIFS(tblPaid[Paid hours (person-h)],tblPaid[View date],"&gt;="&amp;$B$37,tblPaid[View date],"&lt;"&amp;$B$37+7))</f>
        <v>1717.5</v>
      </c>
      <c r="G37" s="31">
        <f>IF($B$37="","",IF((SUMIFS(tblPaid[Paid hours (person-h)],tblPaid[View date],"&gt;="&amp;$B$37,tblPaid[View date],"&lt;"&amp;$B$37+7))=0,"",(SUMIFS(tblPaid[Direct hours (person-h)],tblPaid[View date],"&gt;="&amp;$B$37,tblPaid[View date],"&lt;"&amp;$B$37+7))/(SUMIFS(tblPaid[Paid hours (person-h)],tblPaid[View date],"&gt;="&amp;$B$37,tblPaid[View date],"&lt;"&amp;$B$37+7))))</f>
        <v>0.887772925764192</v>
      </c>
      <c r="H37" s="31">
        <f>IF($B$37="","",IF((SUMIFS(tblPaid[Paid hours (person-h)],tblPaid[View date],"&gt;="&amp;$B$37,tblPaid[View date],"&lt;"&amp;$B$37+7))=0,"",(SUMIFS(tblPaid[Earned hours (person-h)],tblPaid[View date],"&gt;="&amp;$B$37,tblPaid[View date],"&lt;"&amp;$B$37+7))/(SUMIFS(tblPaid[Paid hours (person-h)],tblPaid[View date],"&gt;="&amp;$B$37,tblPaid[View date],"&lt;"&amp;$B$37+7))))</f>
        <v>0.786646288209607</v>
      </c>
      <c r="I37" s="56">
        <f>TargetEff</f>
        <v>0.9</v>
      </c>
    </row>
    <row r="38" spans="2:12">
      <c r="B38" s="54">
        <f>IF($B$39="","",IF($B$39-1&lt;MIN(tblLabor[View date]),"",$B$39-7))</f>
        <v>46272</v>
      </c>
      <c r="C38" s="55">
        <f>IF($B$38="","",SUMIFS(tblLabor[Earned hours (person-h)],tblLabor[View date],"&gt;="&amp;$B$38,tblLabor[View date],"&lt;"&amp;$B$38+7))</f>
        <v>1355.91666666667</v>
      </c>
      <c r="D38" s="55">
        <f>IF($B$38="","",SUMIFS(tblLabor[Actual hours (person-h)],tblLabor[View date],"&gt;="&amp;$B$38,tblLabor[View date],"&lt;"&amp;$B$38+7))</f>
        <v>1524.75</v>
      </c>
      <c r="E38" s="31">
        <f>IF($B$38="","",IF((SUMIFS(tblLabor[Actual hours (person-h)],tblLabor[View date],"&gt;="&amp;$B$38,tblLabor[View date],"&lt;"&amp;$B$38+7))=0,"",(SUMIFS(tblLabor[Earned hours (person-h)],tblLabor[View date],"&gt;="&amp;$B$38,tblLabor[View date],"&lt;"&amp;$B$38+7))/(SUMIFS(tblLabor[Actual hours (person-h)],tblLabor[View date],"&gt;="&amp;$B$38,tblLabor[View date],"&lt;"&amp;$B$38+7))))</f>
        <v>0.88927146526753</v>
      </c>
      <c r="F38" s="55">
        <f>IF($B$38="","",SUMIFS(tblPaid[Paid hours (person-h)],tblPaid[View date],"&gt;="&amp;$B$38,tblPaid[View date],"&lt;"&amp;$B$38+7))</f>
        <v>1717.5</v>
      </c>
      <c r="G38" s="31">
        <f>IF($B$38="","",IF((SUMIFS(tblPaid[Paid hours (person-h)],tblPaid[View date],"&gt;="&amp;$B$38,tblPaid[View date],"&lt;"&amp;$B$38+7))=0,"",(SUMIFS(tblPaid[Direct hours (person-h)],tblPaid[View date],"&gt;="&amp;$B$38,tblPaid[View date],"&lt;"&amp;$B$38+7))/(SUMIFS(tblPaid[Paid hours (person-h)],tblPaid[View date],"&gt;="&amp;$B$38,tblPaid[View date],"&lt;"&amp;$B$38+7))))</f>
        <v>0.887772925764192</v>
      </c>
      <c r="H38" s="31">
        <f>IF($B$38="","",IF((SUMIFS(tblPaid[Paid hours (person-h)],tblPaid[View date],"&gt;="&amp;$B$38,tblPaid[View date],"&lt;"&amp;$B$38+7))=0,"",(SUMIFS(tblPaid[Earned hours (person-h)],tblPaid[View date],"&gt;="&amp;$B$38,tblPaid[View date],"&lt;"&amp;$B$38+7))/(SUMIFS(tblPaid[Paid hours (person-h)],tblPaid[View date],"&gt;="&amp;$B$38,tblPaid[View date],"&lt;"&amp;$B$38+7))))</f>
        <v>0.789471130519166</v>
      </c>
      <c r="I38" s="56">
        <f>TargetEff</f>
        <v>0.9</v>
      </c>
    </row>
    <row r="39" spans="2:12">
      <c r="B39" s="54">
        <f>IF($B$40="","",IF($B$40-1&lt;MIN(tblLabor[View date]),"",$B$40-7))</f>
        <v>46279</v>
      </c>
      <c r="C39" s="55">
        <f>IF($B$39="","",SUMIFS(tblLabor[Earned hours (person-h)],tblLabor[View date],"&gt;="&amp;$B$39,tblLabor[View date],"&lt;"&amp;$B$39+7))</f>
        <v>1071.58833333333</v>
      </c>
      <c r="D39" s="55">
        <f>IF($B$39="","",SUMIFS(tblLabor[Actual hours (person-h)],tblLabor[View date],"&gt;="&amp;$B$39,tblLabor[View date],"&lt;"&amp;$B$39+7))</f>
        <v>1192.5</v>
      </c>
      <c r="E39" s="31">
        <f>IF($B$39="","",IF((SUMIFS(tblLabor[Actual hours (person-h)],tblLabor[View date],"&gt;="&amp;$B$39,tblLabor[View date],"&lt;"&amp;$B$39+7))=0,"",(SUMIFS(tblLabor[Earned hours (person-h)],tblLabor[View date],"&gt;="&amp;$B$39,tblLabor[View date],"&lt;"&amp;$B$39+7))/(SUMIFS(tblLabor[Actual hours (person-h)],tblLabor[View date],"&gt;="&amp;$B$39,tblLabor[View date],"&lt;"&amp;$B$39+7))))</f>
        <v>0.898606568832984</v>
      </c>
      <c r="F39" s="55">
        <f>IF($B$39="","",SUMIFS(tblPaid[Paid hours (person-h)],tblPaid[View date],"&gt;="&amp;$B$39,tblPaid[View date],"&lt;"&amp;$B$39+7))</f>
        <v>1387.5</v>
      </c>
      <c r="G39" s="31">
        <f>IF($B$39="","",IF((SUMIFS(tblPaid[Paid hours (person-h)],tblPaid[View date],"&gt;="&amp;$B$39,tblPaid[View date],"&lt;"&amp;$B$39+7))=0,"",(SUMIFS(tblPaid[Direct hours (person-h)],tblPaid[View date],"&gt;="&amp;$B$39,tblPaid[View date],"&lt;"&amp;$B$39+7))/(SUMIFS(tblPaid[Paid hours (person-h)],tblPaid[View date],"&gt;="&amp;$B$39,tblPaid[View date],"&lt;"&amp;$B$39+7))))</f>
        <v>0.85945945945946</v>
      </c>
      <c r="H39" s="31">
        <f>IF($B$39="","",IF((SUMIFS(tblPaid[Paid hours (person-h)],tblPaid[View date],"&gt;="&amp;$B$39,tblPaid[View date],"&lt;"&amp;$B$39+7))=0,"",(SUMIFS(tblPaid[Earned hours (person-h)],tblPaid[View date],"&gt;="&amp;$B$39,tblPaid[View date],"&lt;"&amp;$B$39+7))/(SUMIFS(tblPaid[Paid hours (person-h)],tblPaid[View date],"&gt;="&amp;$B$39,tblPaid[View date],"&lt;"&amp;$B$39+7))))</f>
        <v>0.772315915915916</v>
      </c>
      <c r="I39" s="56">
        <f>TargetEff</f>
        <v>0.9</v>
      </c>
    </row>
    <row r="40" spans="2:12">
      <c r="B40" s="54">
        <f>IF(COUNT(tblLabor[View date])=0,"",MAX(tblLabor[View date])-WEEKDAY(MAX(tblLabor[View date]),2)+1)</f>
        <v>46286</v>
      </c>
      <c r="C40" s="55">
        <f>IF($B$40="","",SUMIFS(tblLabor[Earned hours (person-h)],tblLabor[View date],"&gt;="&amp;$B$40,tblLabor[View date],"&lt;"&amp;$B$40+7))</f>
        <v>1424.04333333333</v>
      </c>
      <c r="D40" s="55">
        <f>IF($B$40="","",SUMIFS(tblLabor[Actual hours (person-h)],tblLabor[View date],"&gt;="&amp;$B$40,tblLabor[View date],"&lt;"&amp;$B$40+7))</f>
        <v>1566.25</v>
      </c>
      <c r="E40" s="31">
        <f>IF($B$40="","",IF((SUMIFS(tblLabor[Actual hours (person-h)],tblLabor[View date],"&gt;="&amp;$B$40,tblLabor[View date],"&lt;"&amp;$B$40+7))=0,"",(SUMIFS(tblLabor[Earned hours (person-h)],tblLabor[View date],"&gt;="&amp;$B$40,tblLabor[View date],"&lt;"&amp;$B$40+7))/(SUMIFS(tblLabor[Actual hours (person-h)],tblLabor[View date],"&gt;="&amp;$B$40,tblLabor[View date],"&lt;"&amp;$B$40+7))))</f>
        <v>0.909205639797819</v>
      </c>
      <c r="F40" s="55">
        <f>IF($B$40="","",SUMIFS(tblPaid[Paid hours (person-h)],tblPaid[View date],"&gt;="&amp;$B$40,tblPaid[View date],"&lt;"&amp;$B$40+7))</f>
        <v>1755</v>
      </c>
      <c r="G40" s="31">
        <f>IF($B$40="","",IF((SUMIFS(tblPaid[Paid hours (person-h)],tblPaid[View date],"&gt;="&amp;$B$40,tblPaid[View date],"&lt;"&amp;$B$40+7))=0,"",(SUMIFS(tblPaid[Direct hours (person-h)],tblPaid[View date],"&gt;="&amp;$B$40,tblPaid[View date],"&lt;"&amp;$B$40+7))/(SUMIFS(tblPaid[Paid hours (person-h)],tblPaid[View date],"&gt;="&amp;$B$40,tblPaid[View date],"&lt;"&amp;$B$40+7))))</f>
        <v>0.892450142450142</v>
      </c>
      <c r="H40" s="31">
        <f>IF($B$40="","",IF((SUMIFS(tblPaid[Paid hours (person-h)],tblPaid[View date],"&gt;="&amp;$B$40,tblPaid[View date],"&lt;"&amp;$B$40+7))=0,"",(SUMIFS(tblPaid[Earned hours (person-h)],tblPaid[View date],"&gt;="&amp;$B$40,tblPaid[View date],"&lt;"&amp;$B$40+7))/(SUMIFS(tblPaid[Paid hours (person-h)],tblPaid[View date],"&gt;="&amp;$B$40,tblPaid[View date],"&lt;"&amp;$B$40+7))))</f>
        <v>0.811420702754036</v>
      </c>
      <c r="I40" s="56">
        <f>TargetEff</f>
        <v>0.9</v>
      </c>
    </row>
    <row r="42" spans="2:12">
      <c r="B42" s="32" t="s">
        <v>169</v>
      </c>
      <c r="C42" s="32"/>
      <c r="D42" s="32"/>
      <c r="E42" s="32"/>
      <c r="F42" s="32"/>
    </row>
    <row r="43" spans="2:12">
      <c r="B43" s="53" t="s">
        <v>170</v>
      </c>
      <c r="C43" s="57">
        <f>INDEX($B$37:$B$40,1)</f>
        <v>46265</v>
      </c>
      <c r="D43" s="57">
        <f>INDEX($B$37:$B$40,2)</f>
        <v>46272</v>
      </c>
      <c r="E43" s="57">
        <f>INDEX($B$37:$B$40,3)</f>
        <v>46279</v>
      </c>
      <c r="F43" s="57">
        <f>INDEX($B$37:$B$40,4)</f>
        <v>46286</v>
      </c>
    </row>
    <row r="44" spans="2:12">
      <c r="B44" s="58" t="str">
        <f>IFERROR(INDEX(tblShiftList[Shift],1)&amp;"","")</f>
        <v>1st</v>
      </c>
      <c r="C44" s="59">
        <f>IF($B$44="","",IF((SUMIFS(tblLabor[Actual hours (person-h)],tblLabor[Shift],$B$44,tblLabor[View date],"&gt;="&amp;$C$43,tblLabor[View date],"&lt;"&amp;$C$43+7))=0,"",(SUMIFS(tblLabor[Earned hours (person-h)],tblLabor[Shift],$B$44,tblLabor[View date],"&gt;="&amp;$C$43,tblLabor[View date],"&lt;"&amp;$C$43+7))/(SUMIFS(tblLabor[Actual hours (person-h)],tblLabor[Shift],$B$44,tblLabor[View date],"&gt;="&amp;$C$43,tblLabor[View date],"&lt;"&amp;$C$43+7))))</f>
        <v>0.930612111292962</v>
      </c>
      <c r="D44" s="59">
        <f>IF($B$44="","",IF((SUMIFS(tblLabor[Actual hours (person-h)],tblLabor[Shift],$B$44,tblLabor[View date],"&gt;="&amp;$D$43,tblLabor[View date],"&lt;"&amp;$D$43+7))=0,"",(SUMIFS(tblLabor[Earned hours (person-h)],tblLabor[Shift],$B$44,tblLabor[View date],"&gt;="&amp;$D$43,tblLabor[View date],"&lt;"&amp;$D$43+7))/(SUMIFS(tblLabor[Actual hours (person-h)],tblLabor[Shift],$B$44,tblLabor[View date],"&gt;="&amp;$D$43,tblLabor[View date],"&lt;"&amp;$D$43+7))))</f>
        <v>0.925784185233727</v>
      </c>
      <c r="E44" s="59">
        <f>IF($B$44="","",IF((SUMIFS(tblLabor[Actual hours (person-h)],tblLabor[Shift],$B$44,tblLabor[View date],"&gt;="&amp;$E$43,tblLabor[View date],"&lt;"&amp;$E$43+7))=0,"",(SUMIFS(tblLabor[Earned hours (person-h)],tblLabor[Shift],$B$44,tblLabor[View date],"&gt;="&amp;$E$43,tblLabor[View date],"&lt;"&amp;$E$43+7))/(SUMIFS(tblLabor[Actual hours (person-h)],tblLabor[Shift],$B$44,tblLabor[View date],"&gt;="&amp;$E$43,tblLabor[View date],"&lt;"&amp;$E$43+7))))</f>
        <v>0.926256714729997</v>
      </c>
      <c r="F44" s="59">
        <f>IF($B$44="","",IF((SUMIFS(tblLabor[Actual hours (person-h)],tblLabor[Shift],$B$44,tblLabor[View date],"&gt;="&amp;$F$43,tblLabor[View date],"&lt;"&amp;$F$43+7))=0,"",(SUMIFS(tblLabor[Earned hours (person-h)],tblLabor[Shift],$B$44,tblLabor[View date],"&gt;="&amp;$F$43,tblLabor[View date],"&lt;"&amp;$F$43+7))/(SUMIFS(tblLabor[Actual hours (person-h)],tblLabor[Shift],$B$44,tblLabor[View date],"&gt;="&amp;$F$43,tblLabor[View date],"&lt;"&amp;$F$43+7))))</f>
        <v>0.923957002979992</v>
      </c>
    </row>
    <row r="45" spans="2:12">
      <c r="B45" s="58" t="str">
        <f>IFERROR(INDEX(tblShiftList[Shift],2)&amp;"","")</f>
        <v>2nd</v>
      </c>
      <c r="C45" s="59">
        <f>IF($B$45="","",IF((SUMIFS(tblLabor[Actual hours (person-h)],tblLabor[Shift],$B$45,tblLabor[View date],"&gt;="&amp;$C$43,tblLabor[View date],"&lt;"&amp;$C$43+7))=0,"",(SUMIFS(tblLabor[Earned hours (person-h)],tblLabor[Shift],$B$45,tblLabor[View date],"&gt;="&amp;$C$43,tblLabor[View date],"&lt;"&amp;$C$43+7))/(SUMIFS(tblLabor[Actual hours (person-h)],tblLabor[Shift],$B$45,tblLabor[View date],"&gt;="&amp;$C$43,tblLabor[View date],"&lt;"&amp;$C$43+7))))</f>
        <v>0.841406044678055</v>
      </c>
      <c r="D45" s="59">
        <f>IF($B$45="","",IF((SUMIFS(tblLabor[Actual hours (person-h)],tblLabor[Shift],$B$45,tblLabor[View date],"&gt;="&amp;$D$43,tblLabor[View date],"&lt;"&amp;$D$43+7))=0,"",(SUMIFS(tblLabor[Earned hours (person-h)],tblLabor[Shift],$B$45,tblLabor[View date],"&gt;="&amp;$D$43,tblLabor[View date],"&lt;"&amp;$D$43+7))/(SUMIFS(tblLabor[Actual hours (person-h)],tblLabor[Shift],$B$45,tblLabor[View date],"&gt;="&amp;$D$43,tblLabor[View date],"&lt;"&amp;$D$43+7))))</f>
        <v>0.852698829449732</v>
      </c>
      <c r="E45" s="59">
        <f>IF($B$45="","",IF((SUMIFS(tblLabor[Actual hours (person-h)],tblLabor[Shift],$B$45,tblLabor[View date],"&gt;="&amp;$E$43,tblLabor[View date],"&lt;"&amp;$E$43+7))=0,"",(SUMIFS(tblLabor[Earned hours (person-h)],tblLabor[Shift],$B$45,tblLabor[View date],"&gt;="&amp;$E$43,tblLabor[View date],"&lt;"&amp;$E$43+7))/(SUMIFS(tblLabor[Actual hours (person-h)],tblLabor[Shift],$B$45,tblLabor[View date],"&gt;="&amp;$E$43,tblLabor[View date],"&lt;"&amp;$E$43+7))))</f>
        <v>0.871575456053068</v>
      </c>
      <c r="F45" s="59">
        <f>IF($B$45="","",IF((SUMIFS(tblLabor[Actual hours (person-h)],tblLabor[Shift],$B$45,tblLabor[View date],"&gt;="&amp;$F$43,tblLabor[View date],"&lt;"&amp;$F$43+7))=0,"",(SUMIFS(tblLabor[Earned hours (person-h)],tblLabor[Shift],$B$45,tblLabor[View date],"&gt;="&amp;$F$43,tblLabor[View date],"&lt;"&amp;$F$43+7))/(SUMIFS(tblLabor[Actual hours (person-h)],tblLabor[Shift],$B$45,tblLabor[View date],"&gt;="&amp;$F$43,tblLabor[View date],"&lt;"&amp;$F$43+7))))</f>
        <v>0.894458984998404</v>
      </c>
    </row>
    <row r="47" spans="2:12">
      <c r="B47" s="32" t="s">
        <v>171</v>
      </c>
      <c r="C47" s="32"/>
      <c r="D47" s="32"/>
      <c r="E47" s="32"/>
      <c r="F47" s="32"/>
      <c r="G47" s="32"/>
      <c r="H47" s="32"/>
      <c r="I47" s="32"/>
      <c r="J47" s="32"/>
    </row>
    <row r="48" spans="2:12" ht="32" customHeight="1">
      <c r="B48" s="53" t="s">
        <v>64</v>
      </c>
      <c r="C48" s="33" t="s">
        <v>165</v>
      </c>
      <c r="D48" s="33" t="s">
        <v>166</v>
      </c>
      <c r="E48" s="33" t="s">
        <v>172</v>
      </c>
      <c r="F48" s="33" t="s">
        <v>130</v>
      </c>
      <c r="G48" s="33" t="s">
        <v>131</v>
      </c>
      <c r="H48" s="33" t="s">
        <v>167</v>
      </c>
      <c r="I48" s="33" t="s">
        <v>140</v>
      </c>
      <c r="J48" s="33" t="s">
        <v>141</v>
      </c>
    </row>
    <row r="49" spans="2:10">
      <c r="B49" s="58" t="str">
        <f>IFERROR(INDEX(tblCells[Cell],1)&amp;"","")</f>
        <v>Cut and crimp</v>
      </c>
      <c r="C49" s="55">
        <f>IF($B$49="","",SUMIFS(tblLabor[Earned hours (person-h)],tblLabor[Cell],$B$49,tblLabor[View date],"&gt;0"))</f>
        <v>943.256666666667</v>
      </c>
      <c r="D49" s="55">
        <f>IF($B$49="","",SUMIFS(tblLabor[Actual hours (person-h)],tblLabor[Cell],$B$49,tblLabor[View date],"&gt;0"))</f>
        <v>979.25</v>
      </c>
      <c r="E49" s="40">
        <f>IF($B$49="","",SUMIFS(tblLabor[Actual hours (person-h)],tblLabor[Cell],$B$49,tblLabor[View date],"&gt;0")-SUMIFS(tblLabor[Earned hours (person-h)],tblLabor[Cell],$B$49,tblLabor[View date],"&gt;0"))</f>
        <v>35.9933333333333</v>
      </c>
      <c r="F49" s="31">
        <f>IF($B$49="","",IF((SUMIFS(tblLabor[Actual hours (person-h)],tblLabor[Cell],$B$49,tblLabor[View date],"&gt;0"))=0,"",(SUMIFS(tblLabor[Earned hours (person-h)],tblLabor[Cell],$B$49,tblLabor[View date],"&gt;0"))/(SUMIFS(tblLabor[Actual hours (person-h)],tblLabor[Cell],$B$49,tblLabor[View date],"&gt;0"))))</f>
        <v>0.96324397923581</v>
      </c>
      <c r="G49" s="39" t="str">
        <f>IF($B$49="","",IF(NOT(ISNUMBER($F$49)),"",IF($F$49&gt;=TargetEff,"On target",IF($F$49&gt;=TargetEff*(1-0.05),"Near target","Below target"))))</f>
        <v>On target</v>
      </c>
      <c r="H49" s="55">
        <f>IF($B$49="","",SUMIFS(tblPaid[Paid hours (person-h)],tblPaid[Cell],$B$49,tblPaid[View date],"&gt;0"))</f>
        <v>1065</v>
      </c>
      <c r="I49" s="31">
        <f>IF($B$49="","",IF((SUMIFS(tblPaid[Paid hours (person-h)],tblPaid[Cell],$B$49,tblPaid[View date],"&gt;0"))=0,"",(SUMIFS(tblPaid[Direct hours (person-h)],tblPaid[Cell],$B$49,tblPaid[View date],"&gt;0"))/(SUMIFS(tblPaid[Paid hours (person-h)],tblPaid[Cell],$B$49,tblPaid[View date],"&gt;0"))))</f>
        <v>0.919483568075117</v>
      </c>
      <c r="J49" s="31">
        <f>IF($B$49="","",IF((SUMIFS(tblPaid[Paid hours (person-h)],tblPaid[Cell],$B$49,tblPaid[View date],"&gt;0"))=0,"",(SUMIFS(tblPaid[Earned hours (person-h)],tblPaid[Cell],$B$49,tblPaid[View date],"&gt;0"))/(SUMIFS(tblPaid[Paid hours (person-h)],tblPaid[Cell],$B$49,tblPaid[View date],"&gt;0"))))</f>
        <v>0.885687010954617</v>
      </c>
    </row>
    <row r="50" spans="2:10">
      <c r="B50" s="58" t="str">
        <f>IFERROR(INDEX(tblCells[Cell],2)&amp;"","")</f>
        <v>Board line A</v>
      </c>
      <c r="C50" s="55">
        <f>IF($B$50="","",SUMIFS(tblLabor[Earned hours (person-h)],tblLabor[Cell],$B$50,tblLabor[View date],"&gt;0"))</f>
        <v>1795.65833333333</v>
      </c>
      <c r="D50" s="55">
        <f>IF($B$50="","",SUMIFS(tblLabor[Actual hours (person-h)],tblLabor[Cell],$B$50,tblLabor[View date],"&gt;0"))</f>
        <v>1969.75</v>
      </c>
      <c r="E50" s="40">
        <f>IF($B$50="","",SUMIFS(tblLabor[Actual hours (person-h)],tblLabor[Cell],$B$50,tblLabor[View date],"&gt;0")-SUMIFS(tblLabor[Earned hours (person-h)],tblLabor[Cell],$B$50,tblLabor[View date],"&gt;0"))</f>
        <v>174.091666666667</v>
      </c>
      <c r="F50" s="31">
        <f>IF($B$50="","",IF((SUMIFS(tblLabor[Actual hours (person-h)],tblLabor[Cell],$B$50,tblLabor[View date],"&gt;0"))=0,"",(SUMIFS(tblLabor[Earned hours (person-h)],tblLabor[Cell],$B$50,tblLabor[View date],"&gt;0"))/(SUMIFS(tblLabor[Actual hours (person-h)],tblLabor[Cell],$B$50,tblLabor[View date],"&gt;0"))))</f>
        <v>0.91161737953209</v>
      </c>
      <c r="G50" s="39" t="str">
        <f>IF($B$50="","",IF(NOT(ISNUMBER($F$50)),"",IF($F$50&gt;=TargetEff,"On target",IF($F$50&gt;=TargetEff*(1-0.05),"Near target","Below target"))))</f>
        <v>On target</v>
      </c>
      <c r="H50" s="55">
        <f>IF($B$50="","",SUMIFS(tblPaid[Paid hours (person-h)],tblPaid[Cell],$B$50,tblPaid[View date],"&gt;0"))</f>
        <v>2197.5</v>
      </c>
      <c r="I50" s="31">
        <f>IF($B$50="","",IF((SUMIFS(tblPaid[Paid hours (person-h)],tblPaid[Cell],$B$50,tblPaid[View date],"&gt;0"))=0,"",(SUMIFS(tblPaid[Direct hours (person-h)],tblPaid[Cell],$B$50,tblPaid[View date],"&gt;0"))/(SUMIFS(tblPaid[Paid hours (person-h)],tblPaid[Cell],$B$50,tblPaid[View date],"&gt;0"))))</f>
        <v>0.896359499431172</v>
      </c>
      <c r="J50" s="31">
        <f>IF($B$50="","",IF((SUMIFS(tblPaid[Paid hours (person-h)],tblPaid[Cell],$B$50,tblPaid[View date],"&gt;0"))=0,"",(SUMIFS(tblPaid[Earned hours (person-h)],tblPaid[Cell],$B$50,tblPaid[View date],"&gt;0"))/(SUMIFS(tblPaid[Paid hours (person-h)],tblPaid[Cell],$B$50,tblPaid[View date],"&gt;0"))))</f>
        <v>0.81713689799014</v>
      </c>
    </row>
    <row r="51" spans="2:10">
      <c r="B51" s="58" t="str">
        <f>IFERROR(INDEX(tblCells[Cell],3)&amp;"","")</f>
        <v>Board line B</v>
      </c>
      <c r="C51" s="55">
        <f>IF($B$51="","",SUMIFS(tblLabor[Earned hours (person-h)],tblLabor[Cell],$B$51,tblLabor[View date],"&gt;0"))</f>
        <v>1438.19166666667</v>
      </c>
      <c r="D51" s="55">
        <f>IF($B$51="","",SUMIFS(tblLabor[Actual hours (person-h)],tblLabor[Cell],$B$51,tblLabor[View date],"&gt;0"))</f>
        <v>1741.5</v>
      </c>
      <c r="E51" s="40">
        <f>IF($B$51="","",SUMIFS(tblLabor[Actual hours (person-h)],tblLabor[Cell],$B$51,tblLabor[View date],"&gt;0")-SUMIFS(tblLabor[Earned hours (person-h)],tblLabor[Cell],$B$51,tblLabor[View date],"&gt;0"))</f>
        <v>303.308333333333</v>
      </c>
      <c r="F51" s="31">
        <f>IF($B$51="","",IF((SUMIFS(tblLabor[Actual hours (person-h)],tblLabor[Cell],$B$51,tblLabor[View date],"&gt;0"))=0,"",(SUMIFS(tblLabor[Earned hours (person-h)],tblLabor[Cell],$B$51,tblLabor[View date],"&gt;0"))/(SUMIFS(tblLabor[Actual hours (person-h)],tblLabor[Cell],$B$51,tblLabor[View date],"&gt;0"))))</f>
        <v>0.82583500813475</v>
      </c>
      <c r="G51" s="39" t="str">
        <f>IF($B$51="","",IF(NOT(ISNUMBER($F$51)),"",IF($F$51&gt;=TargetEff,"On target",IF($F$51&gt;=TargetEff*(1-0.05),"Near target","Below target"))))</f>
        <v>Below target</v>
      </c>
      <c r="H51" s="55">
        <f>IF($B$51="","",SUMIFS(tblPaid[Paid hours (person-h)],tblPaid[Cell],$B$51,tblPaid[View date],"&gt;0"))</f>
        <v>1935</v>
      </c>
      <c r="I51" s="31">
        <f>IF($B$51="","",IF((SUMIFS(tblPaid[Paid hours (person-h)],tblPaid[Cell],$B$51,tblPaid[View date],"&gt;0"))=0,"",(SUMIFS(tblPaid[Direct hours (person-h)],tblPaid[Cell],$B$51,tblPaid[View date],"&gt;0"))/(SUMIFS(tblPaid[Paid hours (person-h)],tblPaid[Cell],$B$51,tblPaid[View date],"&gt;0"))))</f>
        <v>0.9</v>
      </c>
      <c r="J51" s="31">
        <f>IF($B$51="","",IF((SUMIFS(tblPaid[Paid hours (person-h)],tblPaid[Cell],$B$51,tblPaid[View date],"&gt;0"))=0,"",(SUMIFS(tblPaid[Earned hours (person-h)],tblPaid[Cell],$B$51,tblPaid[View date],"&gt;0"))/(SUMIFS(tblPaid[Paid hours (person-h)],tblPaid[Cell],$B$51,tblPaid[View date],"&gt;0"))))</f>
        <v>0.743251507321275</v>
      </c>
    </row>
    <row r="52" spans="2:10">
      <c r="B52" s="58" t="str">
        <f>IFERROR(INDEX(tblCells[Cell],4)&amp;"","")</f>
        <v>Test and pack</v>
      </c>
      <c r="C52" s="55">
        <f>IF($B$52="","",SUMIFS(tblLabor[Earned hours (person-h)],tblLabor[Cell],$B$52,tblLabor[View date],"&gt;0"))</f>
        <v>1025.50666666667</v>
      </c>
      <c r="D52" s="55">
        <f>IF($B$52="","",SUMIFS(tblLabor[Actual hours (person-h)],tblLabor[Cell],$B$52,tblLabor[View date],"&gt;0"))</f>
        <v>1117.75</v>
      </c>
      <c r="E52" s="40">
        <f>IF($B$52="","",SUMIFS(tblLabor[Actual hours (person-h)],tblLabor[Cell],$B$52,tblLabor[View date],"&gt;0")-SUMIFS(tblLabor[Earned hours (person-h)],tblLabor[Cell],$B$52,tblLabor[View date],"&gt;0"))</f>
        <v>92.2433333333333</v>
      </c>
      <c r="F52" s="31">
        <f>IF($B$52="","",IF((SUMIFS(tblLabor[Actual hours (person-h)],tblLabor[Cell],$B$52,tblLabor[View date],"&gt;0"))=0,"",(SUMIFS(tblLabor[Earned hours (person-h)],tblLabor[Cell],$B$52,tblLabor[View date],"&gt;0"))/(SUMIFS(tblLabor[Actual hours (person-h)],tblLabor[Cell],$B$52,tblLabor[View date],"&gt;0"))))</f>
        <v>0.917474092298516</v>
      </c>
      <c r="G52" s="39" t="str">
        <f>IF($B$52="","",IF(NOT(ISNUMBER($F$52)),"",IF($F$52&gt;=TargetEff,"On target",IF($F$52&gt;=TargetEff*(1-0.05),"Near target","Below target"))))</f>
        <v>On target</v>
      </c>
      <c r="H52" s="55">
        <f>IF($B$52="","",SUMIFS(tblPaid[Paid hours (person-h)],tblPaid[Cell],$B$52,tblPaid[View date],"&gt;0"))</f>
        <v>1380</v>
      </c>
      <c r="I52" s="31">
        <f>IF($B$52="","",IF((SUMIFS(tblPaid[Paid hours (person-h)],tblPaid[Cell],$B$52,tblPaid[View date],"&gt;0"))=0,"",(SUMIFS(tblPaid[Direct hours (person-h)],tblPaid[Cell],$B$52,tblPaid[View date],"&gt;0"))/(SUMIFS(tblPaid[Paid hours (person-h)],tblPaid[Cell],$B$52,tblPaid[View date],"&gt;0"))))</f>
        <v>0.809963768115942</v>
      </c>
      <c r="J52" s="31">
        <f>IF($B$52="","",IF((SUMIFS(tblPaid[Paid hours (person-h)],tblPaid[Cell],$B$52,tblPaid[View date],"&gt;0"))=0,"",(SUMIFS(tblPaid[Earned hours (person-h)],tblPaid[Cell],$B$52,tblPaid[View date],"&gt;0"))/(SUMIFS(tblPaid[Paid hours (person-h)],tblPaid[Cell],$B$52,tblPaid[View date],"&gt;0"))))</f>
        <v>0.74312077294686</v>
      </c>
    </row>
    <row r="54" spans="2:10">
      <c r="B54" s="32" t="s">
        <v>173</v>
      </c>
      <c r="C54" s="32"/>
      <c r="D54" s="32"/>
      <c r="E54" s="32"/>
      <c r="F54" s="32"/>
      <c r="G54" s="32"/>
    </row>
    <row r="55" spans="2:10" ht="32" customHeight="1">
      <c r="B55" s="53" t="s">
        <v>64</v>
      </c>
      <c r="C55" s="33" t="s">
        <v>167</v>
      </c>
      <c r="D55" s="33" t="s">
        <v>165</v>
      </c>
      <c r="E55" s="33" t="s">
        <v>172</v>
      </c>
      <c r="F55" s="33" t="s">
        <v>174</v>
      </c>
      <c r="G55" s="33" t="s">
        <v>175</v>
      </c>
    </row>
    <row r="56" spans="2:10">
      <c r="B56" s="58" t="str">
        <f>IFERROR(INDEX(tblCells[Cell],1)&amp;"","")</f>
        <v>Cut and crimp</v>
      </c>
      <c r="C56" s="55">
        <f>IF($B$56="","",SUMIFS(tblPaid[Paid hours (person-h)],tblPaid[Cell],$B$56,tblPaid[View date],"&gt;0"))</f>
        <v>1065</v>
      </c>
      <c r="D56" s="55">
        <f>IF($B$56="","",SUMIFS(tblPaid[Earned hours (person-h)],tblPaid[Cell],$B$56,tblPaid[View date],"&gt;0"))</f>
        <v>943.256666666667</v>
      </c>
      <c r="E56" s="55">
        <f>IF($B$56="","",MAX(0,SUMIFS(tblPaid[Direct hours (person-h)],tblPaid[Cell],$B$56,tblPaid[View date],"&gt;0")-SUMIFS(tblPaid[Earned hours (person-h)],tblPaid[Cell],$B$56,tblPaid[View date],"&gt;0")))</f>
        <v>35.9933333333333</v>
      </c>
      <c r="F56" s="55">
        <f>IF($B$56="","",MAX(0,SUMIFS(tblPaid[Indirect hours (person-h)],tblPaid[Cell],$B$56,tblPaid[View date],"&gt;0")))</f>
        <v>85.75</v>
      </c>
      <c r="G56" s="31">
        <f>IF($B$56="","",IF((SUMIFS(tblPaid[Paid hours (person-h)],tblPaid[Cell],$B$56,tblPaid[View date],"&gt;0"))=0,"",(SUMIFS(tblPaid[Indirect hours (person-h)],tblPaid[Cell],$B$56,tblPaid[View date],"&gt;0"))/(SUMIFS(tblPaid[Paid hours (person-h)],tblPaid[Cell],$B$56,tblPaid[View date],"&gt;0"))))</f>
        <v>0.0805164319248826</v>
      </c>
    </row>
    <row r="57" spans="2:10">
      <c r="B57" s="58" t="str">
        <f>IFERROR(INDEX(tblCells[Cell],2)&amp;"","")</f>
        <v>Board line A</v>
      </c>
      <c r="C57" s="55">
        <f>IF($B$57="","",SUMIFS(tblPaid[Paid hours (person-h)],tblPaid[Cell],$B$57,tblPaid[View date],"&gt;0"))</f>
        <v>2197.5</v>
      </c>
      <c r="D57" s="55">
        <f>IF($B$57="","",SUMIFS(tblPaid[Earned hours (person-h)],tblPaid[Cell],$B$57,tblPaid[View date],"&gt;0"))</f>
        <v>1795.65833333333</v>
      </c>
      <c r="E57" s="55">
        <f>IF($B$57="","",MAX(0,SUMIFS(tblPaid[Direct hours (person-h)],tblPaid[Cell],$B$57,tblPaid[View date],"&gt;0")-SUMIFS(tblPaid[Earned hours (person-h)],tblPaid[Cell],$B$57,tblPaid[View date],"&gt;0")))</f>
        <v>174.091666666667</v>
      </c>
      <c r="F57" s="55">
        <f>IF($B$57="","",MAX(0,SUMIFS(tblPaid[Indirect hours (person-h)],tblPaid[Cell],$B$57,tblPaid[View date],"&gt;0")))</f>
        <v>227.75</v>
      </c>
      <c r="G57" s="31">
        <f>IF($B$57="","",IF((SUMIFS(tblPaid[Paid hours (person-h)],tblPaid[Cell],$B$57,tblPaid[View date],"&gt;0"))=0,"",(SUMIFS(tblPaid[Indirect hours (person-h)],tblPaid[Cell],$B$57,tblPaid[View date],"&gt;0"))/(SUMIFS(tblPaid[Paid hours (person-h)],tblPaid[Cell],$B$57,tblPaid[View date],"&gt;0"))))</f>
        <v>0.103640500568828</v>
      </c>
    </row>
    <row r="58" spans="2:10">
      <c r="B58" s="58" t="str">
        <f>IFERROR(INDEX(tblCells[Cell],3)&amp;"","")</f>
        <v>Board line B</v>
      </c>
      <c r="C58" s="55">
        <f>IF($B$58="","",SUMIFS(tblPaid[Paid hours (person-h)],tblPaid[Cell],$B$58,tblPaid[View date],"&gt;0"))</f>
        <v>1935</v>
      </c>
      <c r="D58" s="55">
        <f>IF($B$58="","",SUMIFS(tblPaid[Earned hours (person-h)],tblPaid[Cell],$B$58,tblPaid[View date],"&gt;0"))</f>
        <v>1438.19166666667</v>
      </c>
      <c r="E58" s="55">
        <f>IF($B$58="","",MAX(0,SUMIFS(tblPaid[Direct hours (person-h)],tblPaid[Cell],$B$58,tblPaid[View date],"&gt;0")-SUMIFS(tblPaid[Earned hours (person-h)],tblPaid[Cell],$B$58,tblPaid[View date],"&gt;0")))</f>
        <v>303.308333333333</v>
      </c>
      <c r="F58" s="55">
        <f>IF($B$58="","",MAX(0,SUMIFS(tblPaid[Indirect hours (person-h)],tblPaid[Cell],$B$58,tblPaid[View date],"&gt;0")))</f>
        <v>193.5</v>
      </c>
      <c r="G58" s="31">
        <f>IF($B$58="","",IF((SUMIFS(tblPaid[Paid hours (person-h)],tblPaid[Cell],$B$58,tblPaid[View date],"&gt;0"))=0,"",(SUMIFS(tblPaid[Indirect hours (person-h)],tblPaid[Cell],$B$58,tblPaid[View date],"&gt;0"))/(SUMIFS(tblPaid[Paid hours (person-h)],tblPaid[Cell],$B$58,tblPaid[View date],"&gt;0"))))</f>
        <v>0.1</v>
      </c>
    </row>
    <row r="59" spans="2:10">
      <c r="B59" s="58" t="str">
        <f>IFERROR(INDEX(tblCells[Cell],4)&amp;"","")</f>
        <v>Test and pack</v>
      </c>
      <c r="C59" s="55">
        <f>IF($B$59="","",SUMIFS(tblPaid[Paid hours (person-h)],tblPaid[Cell],$B$59,tblPaid[View date],"&gt;0"))</f>
        <v>1380</v>
      </c>
      <c r="D59" s="55">
        <f>IF($B$59="","",SUMIFS(tblPaid[Earned hours (person-h)],tblPaid[Cell],$B$59,tblPaid[View date],"&gt;0"))</f>
        <v>1025.50666666667</v>
      </c>
      <c r="E59" s="55">
        <f>IF($B$59="","",MAX(0,SUMIFS(tblPaid[Direct hours (person-h)],tblPaid[Cell],$B$59,tblPaid[View date],"&gt;0")-SUMIFS(tblPaid[Earned hours (person-h)],tblPaid[Cell],$B$59,tblPaid[View date],"&gt;0")))</f>
        <v>92.2433333333333</v>
      </c>
      <c r="F59" s="55">
        <f>IF($B$59="","",MAX(0,SUMIFS(tblPaid[Indirect hours (person-h)],tblPaid[Cell],$B$59,tblPaid[View date],"&gt;0")))</f>
        <v>262.25</v>
      </c>
      <c r="G59" s="31">
        <f>IF($B$59="","",IF((SUMIFS(tblPaid[Paid hours (person-h)],tblPaid[Cell],$B$59,tblPaid[View date],"&gt;0"))=0,"",(SUMIFS(tblPaid[Indirect hours (person-h)],tblPaid[Cell],$B$59,tblPaid[View date],"&gt;0"))/(SUMIFS(tblPaid[Paid hours (person-h)],tblPaid[Cell],$B$59,tblPaid[View date],"&gt;0"))))</f>
        <v>0.190036231884058</v>
      </c>
    </row>
    <row r="61" spans="2:10">
      <c r="B61" s="32" t="s">
        <v>176</v>
      </c>
      <c r="C61" s="32"/>
      <c r="D61" s="32"/>
      <c r="E61" s="32"/>
    </row>
    <row r="62" spans="2:10" ht="32" customHeight="1">
      <c r="B62" s="53" t="s">
        <v>67</v>
      </c>
      <c r="C62" s="33" t="s">
        <v>130</v>
      </c>
      <c r="D62" s="33" t="s">
        <v>140</v>
      </c>
      <c r="E62" s="33" t="s">
        <v>141</v>
      </c>
    </row>
    <row r="63" spans="2:10">
      <c r="B63" s="58" t="str">
        <f>IFERROR(INDEX(tblShiftList[Shift],1)&amp;"","")</f>
        <v>1st</v>
      </c>
      <c r="C63" s="31">
        <f>IF($B$63="","",IF((SUMIFS(tblLabor[Actual hours (person-h)],tblLabor[Shift],$B$63,tblLabor[View date],"&gt;0"))=0,"",(SUMIFS(tblLabor[Earned hours (person-h)],tblLabor[Shift],$B$63,tblLabor[View date],"&gt;0"))/(SUMIFS(tblLabor[Actual hours (person-h)],tblLabor[Shift],$B$63,tblLabor[View date],"&gt;0"))))</f>
        <v>0.926658618608261</v>
      </c>
      <c r="D63" s="31">
        <f>IF($B$63="","",IF((SUMIFS(tblPaid[Paid hours (person-h)],tblPaid[Shift],$B$63,tblPaid[View date],"&gt;0"))=0,"",(SUMIFS(tblPaid[Direct hours (person-h)],tblPaid[Shift],$B$63,tblPaid[View date],"&gt;0"))/(SUMIFS(tblPaid[Paid hours (person-h)],tblPaid[Shift],$B$63,tblPaid[View date],"&gt;0"))))</f>
        <v>0.882572298325723</v>
      </c>
      <c r="E63" s="31">
        <f>IF($B$63="","",IF((SUMIFS(tblPaid[Paid hours (person-h)],tblPaid[Shift],$B$63,tblPaid[View date],"&gt;0"))=0,"",(SUMIFS(tblPaid[Earned hours (person-h)],tblPaid[Shift],$B$63,tblPaid[View date],"&gt;0"))/(SUMIFS(tblPaid[Paid hours (person-h)],tblPaid[Shift],$B$63,tblPaid[View date],"&gt;0"))))</f>
        <v>0.817843226788432</v>
      </c>
    </row>
    <row r="64" spans="2:10">
      <c r="B64" s="58" t="str">
        <f>IFERROR(INDEX(tblShiftList[Shift],2)&amp;"","")</f>
        <v>2nd</v>
      </c>
      <c r="C64" s="31">
        <f>IF($B$64="","",IF((SUMIFS(tblLabor[Actual hours (person-h)],tblLabor[Shift],$B$64,tblLabor[View date],"&gt;0"))=0,"",(SUMIFS(tblLabor[Earned hours (person-h)],tblLabor[Shift],$B$64,tblLabor[View date],"&gt;0"))/(SUMIFS(tblLabor[Actual hours (person-h)],tblLabor[Shift],$B$64,tblLabor[View date],"&gt;0"))))</f>
        <v>0.86490145525381</v>
      </c>
      <c r="D64" s="31">
        <f>IF($B$64="","",IF((SUMIFS(tblPaid[Paid hours (person-h)],tblPaid[Shift],$B$64,tblPaid[View date],"&gt;0"))=0,"",(SUMIFS(tblPaid[Direct hours (person-h)],tblPaid[Shift],$B$64,tblPaid[View date],"&gt;0"))/(SUMIFS(tblPaid[Paid hours (person-h)],tblPaid[Shift],$B$64,tblPaid[View date],"&gt;0"))))</f>
        <v>0.883523158694002</v>
      </c>
      <c r="E64" s="31">
        <f>IF($B$64="","",IF((SUMIFS(tblPaid[Paid hours (person-h)],tblPaid[Shift],$B$64,tblPaid[View date],"&gt;0"))=0,"",(SUMIFS(tblPaid[Earned hours (person-h)],tblPaid[Shift],$B$64,tblPaid[View date],"&gt;0"))/(SUMIFS(tblPaid[Paid hours (person-h)],tblPaid[Shift],$B$64,tblPaid[View date],"&gt;0"))))</f>
        <v>0.764160465704885</v>
      </c>
    </row>
    <row r="66" spans="2:7">
      <c r="B66" s="32" t="s">
        <v>177</v>
      </c>
      <c r="C66" s="32"/>
      <c r="D66" s="32"/>
      <c r="E66" s="32"/>
      <c r="F66" s="32"/>
      <c r="G66" s="32"/>
    </row>
    <row r="67" spans="2:7" ht="32" customHeight="1">
      <c r="B67" s="53" t="s">
        <v>70</v>
      </c>
      <c r="C67" s="33" t="s">
        <v>127</v>
      </c>
      <c r="D67" s="33" t="s">
        <v>165</v>
      </c>
      <c r="E67" s="33" t="s">
        <v>166</v>
      </c>
      <c r="F67" s="33" t="s">
        <v>130</v>
      </c>
      <c r="G67" s="33" t="s">
        <v>172</v>
      </c>
    </row>
    <row r="68" spans="2:7">
      <c r="B68" s="58" t="str">
        <f>IFERROR(INDEX(tblOperations[Operation],1)&amp;"","")</f>
        <v>HX-210 cut and crimp</v>
      </c>
      <c r="C68" s="60">
        <f>IF($B$68="","",SUMIFS(tblLabor[Good units],tblLabor[Operation],$B$68,tblLabor[View date],"&gt;0"))</f>
        <v>3823</v>
      </c>
      <c r="D68" s="55">
        <f>IF($B$68="","",SUMIFS(tblLabor[Earned hours (person-h)],tblLabor[Operation],$B$68,tblLabor[View date],"&gt;0"))</f>
        <v>242.123333333333</v>
      </c>
      <c r="E68" s="55">
        <f>IF($B$68="","",SUMIFS(tblLabor[Actual hours (person-h)],tblLabor[Operation],$B$68,tblLabor[View date],"&gt;0"))</f>
        <v>250</v>
      </c>
      <c r="F68" s="31">
        <f>IF($B$68="","",IF((SUMIFS(tblLabor[Actual hours (person-h)],tblLabor[Operation],$B$68,tblLabor[View date],"&gt;0"))=0,"",(SUMIFS(tblLabor[Earned hours (person-h)],tblLabor[Operation],$B$68,tblLabor[View date],"&gt;0"))/(SUMIFS(tblLabor[Actual hours (person-h)],tblLabor[Operation],$B$68,tblLabor[View date],"&gt;0"))))</f>
        <v>0.968493333333333</v>
      </c>
      <c r="G68" s="40">
        <f>IF($B$68="","",SUMIFS(tblLabor[Actual hours (person-h)],tblLabor[Operation],$B$68,tblLabor[View date],"&gt;0")-SUMIFS(tblLabor[Earned hours (person-h)],tblLabor[Operation],$B$68,tblLabor[View date],"&gt;0"))</f>
        <v>7.87666666666667</v>
      </c>
    </row>
    <row r="69" spans="2:7">
      <c r="B69" s="58" t="str">
        <f>IFERROR(INDEX(tblOperations[Operation],2)&amp;"","")</f>
        <v>HX-340 cut and crimp</v>
      </c>
      <c r="C69" s="60">
        <f>IF($B$69="","",SUMIFS(tblLabor[Good units],tblLabor[Operation],$B$69,tblLabor[View date],"&gt;0"))</f>
        <v>2477</v>
      </c>
      <c r="D69" s="55">
        <f>IF($B$69="","",SUMIFS(tblLabor[Earned hours (person-h)],tblLabor[Operation],$B$69,tblLabor[View date],"&gt;0"))</f>
        <v>214.673333333333</v>
      </c>
      <c r="E69" s="55">
        <f>IF($B$69="","",SUMIFS(tblLabor[Actual hours (person-h)],tblLabor[Operation],$B$69,tblLabor[View date],"&gt;0"))</f>
        <v>222.75</v>
      </c>
      <c r="F69" s="31">
        <f>IF($B$69="","",IF((SUMIFS(tblLabor[Actual hours (person-h)],tblLabor[Operation],$B$69,tblLabor[View date],"&gt;0"))=0,"",(SUMIFS(tblLabor[Earned hours (person-h)],tblLabor[Operation],$B$69,tblLabor[View date],"&gt;0"))/(SUMIFS(tblLabor[Actual hours (person-h)],tblLabor[Operation],$B$69,tblLabor[View date],"&gt;0"))))</f>
        <v>0.963741114852226</v>
      </c>
      <c r="G69" s="40">
        <f>IF($B$69="","",SUMIFS(tblLabor[Actual hours (person-h)],tblLabor[Operation],$B$69,tblLabor[View date],"&gt;0")-SUMIFS(tblLabor[Earned hours (person-h)],tblLabor[Operation],$B$69,tblLabor[View date],"&gt;0"))</f>
        <v>8.07666666666665</v>
      </c>
    </row>
    <row r="70" spans="2:7">
      <c r="B70" s="58" t="str">
        <f>IFERROR(INDEX(tblOperations[Operation],3)&amp;"","")</f>
        <v>DL-118 cut and crimp</v>
      </c>
      <c r="C70" s="60">
        <f>IF($B$70="","",SUMIFS(tblLabor[Good units],tblLabor[Operation],$B$70,tblLabor[View date],"&gt;0"))</f>
        <v>6295</v>
      </c>
      <c r="D70" s="55">
        <f>IF($B$70="","",SUMIFS(tblLabor[Earned hours (person-h)],tblLabor[Operation],$B$70,tblLabor[View date],"&gt;0"))</f>
        <v>251.8</v>
      </c>
      <c r="E70" s="55">
        <f>IF($B$70="","",SUMIFS(tblLabor[Actual hours (person-h)],tblLabor[Operation],$B$70,tblLabor[View date],"&gt;0"))</f>
        <v>260</v>
      </c>
      <c r="F70" s="31">
        <f>IF($B$70="","",IF((SUMIFS(tblLabor[Actual hours (person-h)],tblLabor[Operation],$B$70,tblLabor[View date],"&gt;0"))=0,"",(SUMIFS(tblLabor[Earned hours (person-h)],tblLabor[Operation],$B$70,tblLabor[View date],"&gt;0"))/(SUMIFS(tblLabor[Actual hours (person-h)],tblLabor[Operation],$B$70,tblLabor[View date],"&gt;0"))))</f>
        <v>0.968461538461539</v>
      </c>
      <c r="G70" s="40">
        <f>IF($B$70="","",SUMIFS(tblLabor[Actual hours (person-h)],tblLabor[Operation],$B$70,tblLabor[View date],"&gt;0")-SUMIFS(tblLabor[Earned hours (person-h)],tblLabor[Operation],$B$70,tblLabor[View date],"&gt;0"))</f>
        <v>8.19999999999999</v>
      </c>
    </row>
    <row r="71" spans="2:7">
      <c r="B71" s="58" t="str">
        <f>IFERROR(INDEX(tblOperations[Operation],4)&amp;"","")</f>
        <v>TB-055 cut and crimp</v>
      </c>
      <c r="C71" s="60">
        <f>IF($B$71="","",SUMIFS(tblLabor[Good units],tblLabor[Operation],$B$71,tblLabor[View date],"&gt;0"))</f>
        <v>15644</v>
      </c>
      <c r="D71" s="55">
        <f>IF($B$71="","",SUMIFS(tblLabor[Earned hours (person-h)],tblLabor[Operation],$B$71,tblLabor[View date],"&gt;0"))</f>
        <v>234.66</v>
      </c>
      <c r="E71" s="55">
        <f>IF($B$71="","",SUMIFS(tblLabor[Actual hours (person-h)],tblLabor[Operation],$B$71,tblLabor[View date],"&gt;0"))</f>
        <v>246.5</v>
      </c>
      <c r="F71" s="31">
        <f>IF($B$71="","",IF((SUMIFS(tblLabor[Actual hours (person-h)],tblLabor[Operation],$B$71,tblLabor[View date],"&gt;0"))=0,"",(SUMIFS(tblLabor[Earned hours (person-h)],tblLabor[Operation],$B$71,tblLabor[View date],"&gt;0"))/(SUMIFS(tblLabor[Actual hours (person-h)],tblLabor[Operation],$B$71,tblLabor[View date],"&gt;0"))))</f>
        <v>0.951967545638945</v>
      </c>
      <c r="G71" s="40">
        <f>IF($B$71="","",SUMIFS(tblLabor[Actual hours (person-h)],tblLabor[Operation],$B$71,tblLabor[View date],"&gt;0")-SUMIFS(tblLabor[Earned hours (person-h)],tblLabor[Operation],$B$71,tblLabor[View date],"&gt;0"))</f>
        <v>11.84</v>
      </c>
    </row>
    <row r="72" spans="2:7">
      <c r="B72" s="58" t="str">
        <f>IFERROR(INDEX(tblOperations[Operation],5)&amp;"","")</f>
        <v>HX-210 board build</v>
      </c>
      <c r="C72" s="60">
        <f>IF($B$72="","",SUMIFS(tblLabor[Good units],tblLabor[Operation],$B$72,tblLabor[View date],"&gt;0"))</f>
        <v>3727</v>
      </c>
      <c r="D72" s="55">
        <f>IF($B$72="","",SUMIFS(tblLabor[Earned hours (person-h)],tblLabor[Operation],$B$72,tblLabor[View date],"&gt;0"))</f>
        <v>1024.925</v>
      </c>
      <c r="E72" s="55">
        <f>IF($B$72="","",SUMIFS(tblLabor[Actual hours (person-h)],tblLabor[Operation],$B$72,tblLabor[View date],"&gt;0"))</f>
        <v>1127</v>
      </c>
      <c r="F72" s="31">
        <f>IF($B$72="","",IF((SUMIFS(tblLabor[Actual hours (person-h)],tblLabor[Operation],$B$72,tblLabor[View date],"&gt;0"))=0,"",(SUMIFS(tblLabor[Earned hours (person-h)],tblLabor[Operation],$B$72,tblLabor[View date],"&gt;0"))/(SUMIFS(tblLabor[Actual hours (person-h)],tblLabor[Operation],$B$72,tblLabor[View date],"&gt;0"))))</f>
        <v>0.909427684117125</v>
      </c>
      <c r="G72" s="40">
        <f>IF($B$72="","",SUMIFS(tblLabor[Actual hours (person-h)],tblLabor[Operation],$B$72,tblLabor[View date],"&gt;0")-SUMIFS(tblLabor[Earned hours (person-h)],tblLabor[Operation],$B$72,tblLabor[View date],"&gt;0"))</f>
        <v>102.075</v>
      </c>
    </row>
    <row r="73" spans="2:7">
      <c r="B73" s="58" t="str">
        <f>IFERROR(INDEX(tblOperations[Operation],6)&amp;"","")</f>
        <v>HX-340 board build</v>
      </c>
      <c r="C73" s="60">
        <f>IF($B$73="","",SUMIFS(tblLabor[Good units],tblLabor[Operation],$B$73,tblLabor[View date],"&gt;0"))</f>
        <v>2102</v>
      </c>
      <c r="D73" s="55">
        <f>IF($B$73="","",SUMIFS(tblLabor[Earned hours (person-h)],tblLabor[Operation],$B$73,tblLabor[View date],"&gt;0"))</f>
        <v>770.733333333333</v>
      </c>
      <c r="E73" s="55">
        <f>IF($B$73="","",SUMIFS(tblLabor[Actual hours (person-h)],tblLabor[Operation],$B$73,tblLabor[View date],"&gt;0"))</f>
        <v>842.75</v>
      </c>
      <c r="F73" s="31">
        <f>IF($B$73="","",IF((SUMIFS(tblLabor[Actual hours (person-h)],tblLabor[Operation],$B$73,tblLabor[View date],"&gt;0"))=0,"",(SUMIFS(tblLabor[Earned hours (person-h)],tblLabor[Operation],$B$73,tblLabor[View date],"&gt;0"))/(SUMIFS(tblLabor[Actual hours (person-h)],tblLabor[Operation],$B$73,tblLabor[View date],"&gt;0"))))</f>
        <v>0.914545634332048</v>
      </c>
      <c r="G73" s="40">
        <f>IF($B$73="","",SUMIFS(tblLabor[Actual hours (person-h)],tblLabor[Operation],$B$73,tblLabor[View date],"&gt;0")-SUMIFS(tblLabor[Earned hours (person-h)],tblLabor[Operation],$B$73,tblLabor[View date],"&gt;0"))</f>
        <v>72.0166666666667</v>
      </c>
    </row>
    <row r="74" spans="2:7">
      <c r="B74" s="58" t="str">
        <f>IFERROR(INDEX(tblOperations[Operation],7)&amp;"","")</f>
        <v>DL-118 board build</v>
      </c>
      <c r="C74" s="60">
        <f>IF($B$74="","",SUMIFS(tblLabor[Good units],tblLabor[Operation],$B$74,tblLabor[View date],"&gt;0"))</f>
        <v>5493</v>
      </c>
      <c r="D74" s="55">
        <f>IF($B$74="","",SUMIFS(tblLabor[Earned hours (person-h)],tblLabor[Operation],$B$74,tblLabor[View date],"&gt;0"))</f>
        <v>897.19</v>
      </c>
      <c r="E74" s="55">
        <f>IF($B$74="","",SUMIFS(tblLabor[Actual hours (person-h)],tblLabor[Operation],$B$74,tblLabor[View date],"&gt;0"))</f>
        <v>1088.25</v>
      </c>
      <c r="F74" s="31">
        <f>IF($B$74="","",IF((SUMIFS(tblLabor[Actual hours (person-h)],tblLabor[Operation],$B$74,tblLabor[View date],"&gt;0"))=0,"",(SUMIFS(tblLabor[Earned hours (person-h)],tblLabor[Operation],$B$74,tblLabor[View date],"&gt;0"))/(SUMIFS(tblLabor[Actual hours (person-h)],tblLabor[Operation],$B$74,tblLabor[View date],"&gt;0"))))</f>
        <v>0.824433723868596</v>
      </c>
      <c r="G74" s="40">
        <f>IF($B$74="","",SUMIFS(tblLabor[Actual hours (person-h)],tblLabor[Operation],$B$74,tblLabor[View date],"&gt;0")-SUMIFS(tblLabor[Earned hours (person-h)],tblLabor[Operation],$B$74,tblLabor[View date],"&gt;0"))</f>
        <v>191.06</v>
      </c>
    </row>
    <row r="75" spans="2:7">
      <c r="B75" s="58" t="str">
        <f>IFERROR(INDEX(tblOperations[Operation],8)&amp;"","")</f>
        <v>TB-055 assembly</v>
      </c>
      <c r="C75" s="60">
        <f>IF($B$75="","",SUMIFS(tblLabor[Good units],tblLabor[Operation],$B$75,tblLabor[View date],"&gt;0"))</f>
        <v>10471</v>
      </c>
      <c r="D75" s="55">
        <f>IF($B$75="","",SUMIFS(tblLabor[Earned hours (person-h)],tblLabor[Operation],$B$75,tblLabor[View date],"&gt;0"))</f>
        <v>541.001666666667</v>
      </c>
      <c r="E75" s="55">
        <f>IF($B$75="","",SUMIFS(tblLabor[Actual hours (person-h)],tblLabor[Operation],$B$75,tblLabor[View date],"&gt;0"))</f>
        <v>653.25</v>
      </c>
      <c r="F75" s="31">
        <f>IF($B$75="","",IF((SUMIFS(tblLabor[Actual hours (person-h)],tblLabor[Operation],$B$75,tblLabor[View date],"&gt;0"))=0,"",(SUMIFS(tblLabor[Earned hours (person-h)],tblLabor[Operation],$B$75,tblLabor[View date],"&gt;0"))/(SUMIFS(tblLabor[Actual hours (person-h)],tblLabor[Operation],$B$75,tblLabor[View date],"&gt;0"))))</f>
        <v>0.828169409363439</v>
      </c>
      <c r="G75" s="40">
        <f>IF($B$75="","",SUMIFS(tblLabor[Actual hours (person-h)],tblLabor[Operation],$B$75,tblLabor[View date],"&gt;0")-SUMIFS(tblLabor[Earned hours (person-h)],tblLabor[Operation],$B$75,tblLabor[View date],"&gt;0"))</f>
        <v>112.248333333333</v>
      </c>
    </row>
    <row r="76" spans="2:7">
      <c r="B76" s="58" t="str">
        <f>IFERROR(INDEX(tblOperations[Operation],9)&amp;"","")</f>
        <v>HX-210 test and pack</v>
      </c>
      <c r="C76" s="60">
        <f>IF($B$76="","",SUMIFS(tblLabor[Good units],tblLabor[Operation],$B$76,tblLabor[View date],"&gt;0"))</f>
        <v>6053</v>
      </c>
      <c r="D76" s="55">
        <f>IF($B$76="","",SUMIFS(tblLabor[Earned hours (person-h)],tblLabor[Operation],$B$76,tblLabor[View date],"&gt;0"))</f>
        <v>262.296666666667</v>
      </c>
      <c r="E76" s="55">
        <f>IF($B$76="","",SUMIFS(tblLabor[Actual hours (person-h)],tblLabor[Operation],$B$76,tblLabor[View date],"&gt;0"))</f>
        <v>285.5</v>
      </c>
      <c r="F76" s="31">
        <f>IF($B$76="","",IF((SUMIFS(tblLabor[Actual hours (person-h)],tblLabor[Operation],$B$76,tblLabor[View date],"&gt;0"))=0,"",(SUMIFS(tblLabor[Earned hours (person-h)],tblLabor[Operation],$B$76,tblLabor[View date],"&gt;0"))/(SUMIFS(tblLabor[Actual hours (person-h)],tblLabor[Operation],$B$76,tblLabor[View date],"&gt;0"))))</f>
        <v>0.918727378867484</v>
      </c>
      <c r="G76" s="40">
        <f>IF($B$76="","",SUMIFS(tblLabor[Actual hours (person-h)],tblLabor[Operation],$B$76,tblLabor[View date],"&gt;0")-SUMIFS(tblLabor[Earned hours (person-h)],tblLabor[Operation],$B$76,tblLabor[View date],"&gt;0"))</f>
        <v>23.2033333333333</v>
      </c>
    </row>
    <row r="77" spans="2:7">
      <c r="B77" s="58" t="str">
        <f>IFERROR(INDEX(tblOperations[Operation],10)&amp;"","")</f>
        <v>HX-340 test and pack</v>
      </c>
      <c r="C77" s="60">
        <f>IF($B$77="","",SUMIFS(tblLabor[Good units],tblLabor[Operation],$B$77,tblLabor[View date],"&gt;0"))</f>
        <v>4284</v>
      </c>
      <c r="D77" s="55">
        <f>IF($B$77="","",SUMIFS(tblLabor[Earned hours (person-h)],tblLabor[Operation],$B$77,tblLabor[View date],"&gt;0"))</f>
        <v>242.76</v>
      </c>
      <c r="E77" s="55">
        <f>IF($B$77="","",SUMIFS(tblLabor[Actual hours (person-h)],tblLabor[Operation],$B$77,tblLabor[View date],"&gt;0"))</f>
        <v>262.5</v>
      </c>
      <c r="F77" s="31">
        <f>IF($B$77="","",IF((SUMIFS(tblLabor[Actual hours (person-h)],tblLabor[Operation],$B$77,tblLabor[View date],"&gt;0"))=0,"",(SUMIFS(tblLabor[Earned hours (person-h)],tblLabor[Operation],$B$77,tblLabor[View date],"&gt;0"))/(SUMIFS(tblLabor[Actual hours (person-h)],tblLabor[Operation],$B$77,tblLabor[View date],"&gt;0"))))</f>
        <v>0.9248</v>
      </c>
      <c r="G77" s="40">
        <f>IF($B$77="","",SUMIFS(tblLabor[Actual hours (person-h)],tblLabor[Operation],$B$77,tblLabor[View date],"&gt;0")-SUMIFS(tblLabor[Earned hours (person-h)],tblLabor[Operation],$B$77,tblLabor[View date],"&gt;0"))</f>
        <v>19.74</v>
      </c>
    </row>
    <row r="78" spans="2:7">
      <c r="B78" s="58" t="str">
        <f>IFERROR(INDEX(tblOperations[Operation],11)&amp;"","")</f>
        <v>DL-118 test and pack</v>
      </c>
      <c r="C78" s="60">
        <f>IF($B$78="","",SUMIFS(tblLabor[Good units],tblLabor[Operation],$B$78,tblLabor[View date],"&gt;0"))</f>
        <v>9598</v>
      </c>
      <c r="D78" s="55">
        <f>IF($B$78="","",SUMIFS(tblLabor[Earned hours (person-h)],tblLabor[Operation],$B$78,tblLabor[View date],"&gt;0"))</f>
        <v>271.943333333333</v>
      </c>
      <c r="E78" s="55">
        <f>IF($B$78="","",SUMIFS(tblLabor[Actual hours (person-h)],tblLabor[Operation],$B$78,tblLabor[View date],"&gt;0"))</f>
        <v>298.5</v>
      </c>
      <c r="F78" s="31">
        <f>IF($B$78="","",IF((SUMIFS(tblLabor[Actual hours (person-h)],tblLabor[Operation],$B$78,tblLabor[View date],"&gt;0"))=0,"",(SUMIFS(tblLabor[Earned hours (person-h)],tblLabor[Operation],$B$78,tblLabor[View date],"&gt;0"))/(SUMIFS(tblLabor[Actual hours (person-h)],tblLabor[Operation],$B$78,tblLabor[View date],"&gt;0"))))</f>
        <v>0.911032942490229</v>
      </c>
      <c r="G78" s="40">
        <f>IF($B$78="","",SUMIFS(tblLabor[Actual hours (person-h)],tblLabor[Operation],$B$78,tblLabor[View date],"&gt;0")-SUMIFS(tblLabor[Earned hours (person-h)],tblLabor[Operation],$B$78,tblLabor[View date],"&gt;0"))</f>
        <v>26.5566666666667</v>
      </c>
    </row>
    <row r="79" spans="2:7">
      <c r="B79" s="58" t="str">
        <f>IFERROR(INDEX(tblOperations[Operation],12)&amp;"","")</f>
        <v>TB-055 test and pack</v>
      </c>
      <c r="C79" s="60">
        <f>IF($B$79="","",SUMIFS(tblLabor[Good units],tblLabor[Operation],$B$79,tblLabor[View date],"&gt;0"))</f>
        <v>18638</v>
      </c>
      <c r="D79" s="55">
        <f>IF($B$79="","",SUMIFS(tblLabor[Earned hours (person-h)],tblLabor[Operation],$B$79,tblLabor[View date],"&gt;0"))</f>
        <v>248.506666666667</v>
      </c>
      <c r="E79" s="55">
        <f>IF($B$79="","",SUMIFS(tblLabor[Actual hours (person-h)],tblLabor[Operation],$B$79,tblLabor[View date],"&gt;0"))</f>
        <v>271.25</v>
      </c>
      <c r="F79" s="31">
        <f>IF($B$79="","",IF((SUMIFS(tblLabor[Actual hours (person-h)],tblLabor[Operation],$B$79,tblLabor[View date],"&gt;0"))=0,"",(SUMIFS(tblLabor[Earned hours (person-h)],tblLabor[Operation],$B$79,tblLabor[View date],"&gt;0"))/(SUMIFS(tblLabor[Actual hours (person-h)],tblLabor[Operation],$B$79,tblLabor[View date],"&gt;0"))))</f>
        <v>0.916153609831029</v>
      </c>
      <c r="G79" s="40">
        <f>IF($B$79="","",SUMIFS(tblLabor[Actual hours (person-h)],tblLabor[Operation],$B$79,tblLabor[View date],"&gt;0")-SUMIFS(tblLabor[Earned hours (person-h)],tblLabor[Operation],$B$79,tblLabor[View date],"&gt;0"))</f>
        <v>22.7433333333333</v>
      </c>
    </row>
    <row r="80" spans="2:7" ht="8" customHeight="1"/>
    <row r="81" spans="2:12" ht="26.76" customHeight="1">
      <c r="B81" s="21" t="s">
        <v>178</v>
      </c>
      <c r="C81" s="21"/>
      <c r="D81" s="21"/>
      <c r="E81" s="21"/>
      <c r="F81" s="21"/>
      <c r="G81" s="21"/>
      <c r="H81" s="21"/>
      <c r="I81" s="21"/>
      <c r="J81" s="21"/>
      <c r="K81" s="21"/>
      <c r="L81" s="21"/>
    </row>
    <row r="82" spans="2:12">
      <c r="B82" s="61">
        <f>IF(OR(COUNTA(tblCells[Cell])&gt;4,COUNTA(tblShiftList[Shift])&gt;2,COUNTA(tblOperations[Operation])&gt;12),"Setup lists are longer than the Dashboard blocks: some cells, shifts or operations are not shown.","")</f>
        <v/>
      </c>
      <c r="C82" s="61"/>
      <c r="D82" s="61"/>
      <c r="E82" s="61"/>
      <c r="F82" s="61"/>
      <c r="G82" s="61"/>
      <c r="H82" s="61"/>
      <c r="I82" s="61"/>
      <c r="J82" s="61"/>
      <c r="K82" s="61"/>
      <c r="L82" s="61"/>
    </row>
  </sheetData>
  <sheetProtection sheet="1" formatColumns="0" formatRows="0"/>
  <mergeCells count="47">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I35"/>
    <mergeCell ref="B42:F42"/>
    <mergeCell ref="B47:J47"/>
    <mergeCell ref="B54:G54"/>
    <mergeCell ref="B61:E61"/>
    <mergeCell ref="B66:G66"/>
    <mergeCell ref="B81:L81"/>
    <mergeCell ref="B82:L82"/>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C44:F45">
    <cfRule type="expression" dxfId="3" priority="70" stopIfTrue="1">
      <formula>AND(ISNUMBER(C44),C44&gt;=(TargetEff))</formula>
    </cfRule>
    <cfRule type="expression" dxfId="4" priority="71" stopIfTrue="1">
      <formula>AND(ISNUMBER(C44),C44&gt;=(TargetEff)*(1-0.05))</formula>
    </cfRule>
    <cfRule type="expression" dxfId="5" priority="72">
      <formula>ISNUMBER(C44)</formula>
    </cfRule>
  </conditionalFormatting>
  <conditionalFormatting sqref="C63:C64">
    <cfRule type="expression" dxfId="3" priority="102" stopIfTrue="1">
      <formula>AND(ISNUMBER(C63),C63&gt;=(TargetEff))</formula>
    </cfRule>
    <cfRule type="expression" dxfId="4" priority="103" stopIfTrue="1">
      <formula>AND(ISNUMBER(C63),C63&gt;=(TargetEff)*(1-0.05))</formula>
    </cfRule>
    <cfRule type="expression" dxfId="5" priority="104">
      <formula>ISNUMBER(C63)</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63:D64">
    <cfRule type="expression" dxfId="3" priority="105" stopIfTrue="1">
      <formula>AND(ISNUMBER(D63),D63&gt;=(TargetUtil))</formula>
    </cfRule>
    <cfRule type="expression" dxfId="4" priority="106" stopIfTrue="1">
      <formula>AND(ISNUMBER(D63),D63&gt;=(TargetUtil)*(1-0.05))</formula>
    </cfRule>
    <cfRule type="expression" dxfId="5" priority="107">
      <formula>ISNUMBER(D63)</formula>
    </cfRule>
  </conditionalFormatting>
  <conditionalFormatting sqref="E37:E40">
    <cfRule type="expression" dxfId="3" priority="61" stopIfTrue="1">
      <formula>AND(ISNUMBER(E37),E37&gt;=(TargetEff))</formula>
    </cfRule>
    <cfRule type="expression" dxfId="4" priority="62" stopIfTrue="1">
      <formula>AND(ISNUMBER(E37),E37&gt;=(TargetEff)*(1-0.05))</formula>
    </cfRule>
    <cfRule type="expression" dxfId="5" priority="63">
      <formula>ISNUMBER(E37)</formula>
    </cfRule>
  </conditionalFormatting>
  <conditionalFormatting sqref="E63:E64">
    <cfRule type="expression" dxfId="3" priority="108" stopIfTrue="1">
      <formula>AND(ISNUMBER(E63),E63&gt;=(TargetProd))</formula>
    </cfRule>
    <cfRule type="expression" dxfId="4" priority="109" stopIfTrue="1">
      <formula>AND(ISNUMBER(E63),E63&gt;=(TargetProd)*(1-0.05))</formula>
    </cfRule>
    <cfRule type="expression" dxfId="5" priority="110">
      <formula>ISNUMBER(E63)</formula>
    </cfRule>
  </conditionalFormatting>
  <conditionalFormatting sqref="F49:F52">
    <cfRule type="expression" dxfId="3" priority="73" stopIfTrue="1">
      <formula>AND(ISNUMBER(F49),F49&gt;=(TargetEff))</formula>
    </cfRule>
    <cfRule type="expression" dxfId="4" priority="74" stopIfTrue="1">
      <formula>AND(ISNUMBER(F49),F49&gt;=(TargetEff)*(1-0.05))</formula>
    </cfRule>
    <cfRule type="expression" dxfId="5" priority="75">
      <formula>ISNUMBER(F49)</formula>
    </cfRule>
  </conditionalFormatting>
  <conditionalFormatting sqref="F68:F79">
    <cfRule type="expression" dxfId="3" priority="111" stopIfTrue="1">
      <formula>AND(ISNUMBER(F68),F68&gt;=(TargetEff))</formula>
    </cfRule>
    <cfRule type="expression" dxfId="4" priority="112" stopIfTrue="1">
      <formula>AND(ISNUMBER(F68),F68&gt;=(TargetEff)*(1-0.05))</formula>
    </cfRule>
    <cfRule type="expression" dxfId="5" priority="113">
      <formula>ISNUMBER(F68)</formula>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37:G40">
    <cfRule type="expression" dxfId="3" priority="64" stopIfTrue="1">
      <formula>AND(ISNUMBER(G37),G37&gt;=(TargetUtil))</formula>
    </cfRule>
    <cfRule type="expression" dxfId="4" priority="65" stopIfTrue="1">
      <formula>AND(ISNUMBER(G37),G37&gt;=(TargetUtil)*(1-0.05))</formula>
    </cfRule>
    <cfRule type="expression" dxfId="5" priority="66">
      <formula>ISNUMBER(G37)</formula>
    </cfRule>
  </conditionalFormatting>
  <conditionalFormatting sqref="G49:G52">
    <cfRule type="cellIs" dxfId="0" priority="76" operator="equal">
      <formula>"On target"</formula>
    </cfRule>
    <cfRule type="cellIs" dxfId="0" priority="77" operator="equal">
      <formula>"PASS"</formula>
    </cfRule>
    <cfRule type="cellIs" dxfId="0" priority="78" operator="equal">
      <formula>"OK"</formula>
    </cfRule>
    <cfRule type="cellIs" dxfId="0" priority="79" operator="equal">
      <formula>"Within limits"</formula>
    </cfRule>
    <cfRule type="cellIs" dxfId="0" priority="80" operator="equal">
      <formula>"Under capacity"</formula>
    </cfRule>
    <cfRule type="cellIs" dxfId="0" priority="81" operator="equal">
      <formula>"Complete"</formula>
    </cfRule>
    <cfRule type="cellIs" dxfId="0" priority="82" operator="equal">
      <formula>"Yes"</formula>
    </cfRule>
    <cfRule type="cellIs" dxfId="1" priority="83" operator="equal">
      <formula>"Near target"</formula>
    </cfRule>
    <cfRule type="cellIs" dxfId="1" priority="84" operator="equal">
      <formula>"Check"</formula>
    </cfRule>
    <cfRule type="cellIs" dxfId="1" priority="85" operator="equal">
      <formula>"Due soon"</formula>
    </cfRule>
    <cfRule type="cellIs" dxfId="1" priority="86" operator="equal">
      <formula>"Near capacity"</formula>
    </cfRule>
    <cfRule type="cellIs" dxfId="1" priority="87" operator="equal">
      <formula>"In progress"</formula>
    </cfRule>
    <cfRule type="cellIs" dxfId="1" priority="88" operator="equal">
      <formula>"Partial"</formula>
    </cfRule>
    <cfRule type="cellIs" dxfId="2" priority="89" operator="equal">
      <formula>"Below target"</formula>
    </cfRule>
    <cfRule type="cellIs" dxfId="2" priority="90" operator="equal">
      <formula>"Above target"</formula>
    </cfRule>
    <cfRule type="cellIs" dxfId="2" priority="91" operator="equal">
      <formula>"FAIL"</formula>
    </cfRule>
    <cfRule type="cellIs" dxfId="2" priority="92" operator="equal">
      <formula>"Over capacity"</formula>
    </cfRule>
    <cfRule type="cellIs" dxfId="2" priority="93" operator="equal">
      <formula>"Overdue"</formula>
    </cfRule>
    <cfRule type="cellIs" dxfId="2" priority="94" operator="equal">
      <formula>"Out of limits"</formula>
    </cfRule>
    <cfRule type="cellIs" dxfId="2" priority="95" operator="equal">
      <formula>"No"</formula>
    </cfRule>
  </conditionalFormatting>
  <conditionalFormatting sqref="H37:H40">
    <cfRule type="expression" dxfId="3" priority="67" stopIfTrue="1">
      <formula>AND(ISNUMBER(H37),H37&gt;=(TargetProd))</formula>
    </cfRule>
    <cfRule type="expression" dxfId="4" priority="68" stopIfTrue="1">
      <formula>AND(ISNUMBER(H37),H37&gt;=(TargetProd)*(1-0.05))</formula>
    </cfRule>
    <cfRule type="expression" dxfId="5" priority="69">
      <formula>ISNUMBER(H37)</formula>
    </cfRule>
  </conditionalFormatting>
  <conditionalFormatting sqref="I49:I52">
    <cfRule type="expression" dxfId="3" priority="96" stopIfTrue="1">
      <formula>AND(ISNUMBER(I49),I49&gt;=(TargetUtil))</formula>
    </cfRule>
    <cfRule type="expression" dxfId="4" priority="97" stopIfTrue="1">
      <formula>AND(ISNUMBER(I49),I49&gt;=(TargetUtil)*(1-0.05))</formula>
    </cfRule>
    <cfRule type="expression" dxfId="5" priority="98">
      <formula>ISNUMBER(I49)</formula>
    </cfRule>
  </conditionalFormatting>
  <conditionalFormatting sqref="J49:J52">
    <cfRule type="expression" dxfId="3" priority="99" stopIfTrue="1">
      <formula>AND(ISNUMBER(J49),J49&gt;=(TargetProd))</formula>
    </cfRule>
    <cfRule type="expression" dxfId="4" priority="100" stopIfTrue="1">
      <formula>AND(ISNUMBER(J49),J49&gt;=(TargetProd)*(1-0.05))</formula>
    </cfRule>
    <cfRule type="expression" dxfId="5" priority="101">
      <formula>ISNUMBER(J49)</formula>
    </cfRule>
  </conditionalFormatting>
  <dataValidations count="3">
    <dataValidation type="list" allowBlank="1" showInputMessage="1" showErrorMessage="1" errorTitle="Check this entry" error="Pick from the list (edit the list on Setup: Cells)." promptTitle="Cell" prompt="Leave blank for all cells. Pick from the list (edit the list on Setup: Cells)." sqref="C4">
      <formula1>Cells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Labor Efficiency Tracker&amp;R&amp;8&amp;A</oddHeader>
    <oddFooter>&amp;L&amp;8mfgcalcs.com - free manufacturing templates&amp;R&amp;8Page &amp;P of &amp;N</oddFooter>
  </headerFooter>
  <rowBreaks count="3" manualBreakCount="3">
    <brk id="28" max="16383" man="1"/>
    <brk id="53" max="16383" man="1"/>
    <brk id="65"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179</v>
      </c>
      <c r="C4" s="8"/>
      <c r="D4" s="8"/>
    </row>
    <row r="5" spans="1:4" ht="5" customHeight="1"/>
    <row r="6" spans="1:4" ht="69" customHeight="1">
      <c r="B6" s="10" t="s">
        <v>180</v>
      </c>
      <c r="C6" s="10"/>
      <c r="D6" s="10"/>
    </row>
    <row r="8" spans="1:4" ht="21" customHeight="1">
      <c r="B8" s="8" t="s">
        <v>181</v>
      </c>
      <c r="C8" s="8"/>
      <c r="D8" s="8"/>
    </row>
    <row r="9" spans="1:4" ht="5" customHeight="1"/>
    <row r="10" spans="1:4" ht="20" customHeight="1">
      <c r="B10" s="53" t="s">
        <v>182</v>
      </c>
      <c r="C10" s="53" t="s">
        <v>183</v>
      </c>
      <c r="D10" s="33" t="s">
        <v>184</v>
      </c>
    </row>
    <row r="11" spans="1:4" ht="30.4" customHeight="1">
      <c r="B11" s="62" t="s">
        <v>185</v>
      </c>
      <c r="C11" s="63" t="s">
        <v>186</v>
      </c>
      <c r="D11" s="64" t="s">
        <v>187</v>
      </c>
    </row>
    <row r="12" spans="1:4" ht="30.4" customHeight="1">
      <c r="B12" s="62" t="s">
        <v>188</v>
      </c>
      <c r="C12" s="63" t="s">
        <v>189</v>
      </c>
      <c r="D12" s="64" t="s">
        <v>190</v>
      </c>
    </row>
    <row r="13" spans="1:4" ht="17.2" customHeight="1">
      <c r="B13" s="62" t="s">
        <v>191</v>
      </c>
      <c r="C13" s="63" t="s">
        <v>192</v>
      </c>
      <c r="D13" s="64" t="s">
        <v>190</v>
      </c>
    </row>
    <row r="14" spans="1:4" ht="17.2" customHeight="1">
      <c r="B14" s="62" t="s">
        <v>193</v>
      </c>
      <c r="C14" s="63" t="s">
        <v>194</v>
      </c>
      <c r="D14" s="64" t="s">
        <v>195</v>
      </c>
    </row>
    <row r="15" spans="1:4" ht="30.4" customHeight="1">
      <c r="B15" s="62" t="s">
        <v>196</v>
      </c>
      <c r="C15" s="63" t="s">
        <v>197</v>
      </c>
      <c r="D15" s="64" t="s">
        <v>190</v>
      </c>
    </row>
    <row r="16" spans="1:4" ht="17.2" customHeight="1">
      <c r="B16" s="62" t="s">
        <v>198</v>
      </c>
      <c r="C16" s="63" t="s">
        <v>199</v>
      </c>
      <c r="D16" s="64" t="s">
        <v>190</v>
      </c>
    </row>
    <row r="17" spans="2:4" ht="30.4" customHeight="1">
      <c r="B17" s="62" t="s">
        <v>200</v>
      </c>
      <c r="C17" s="63" t="s">
        <v>201</v>
      </c>
      <c r="D17" s="64" t="s">
        <v>190</v>
      </c>
    </row>
    <row r="18" spans="2:4" ht="17.2" customHeight="1">
      <c r="B18" s="62" t="s">
        <v>202</v>
      </c>
      <c r="C18" s="63" t="s">
        <v>203</v>
      </c>
      <c r="D18" s="64" t="s">
        <v>190</v>
      </c>
    </row>
    <row r="19" spans="2:4" ht="17.2" customHeight="1">
      <c r="B19" s="62" t="s">
        <v>140</v>
      </c>
      <c r="C19" s="63" t="s">
        <v>204</v>
      </c>
      <c r="D19" s="64" t="s">
        <v>195</v>
      </c>
    </row>
    <row r="20" spans="2:4" ht="30.4" customHeight="1">
      <c r="B20" s="62" t="s">
        <v>141</v>
      </c>
      <c r="C20" s="63" t="s">
        <v>205</v>
      </c>
      <c r="D20" s="64" t="s">
        <v>195</v>
      </c>
    </row>
    <row r="21" spans="2:4" ht="30.4" customHeight="1">
      <c r="B21" s="62" t="s">
        <v>206</v>
      </c>
      <c r="C21" s="63" t="s">
        <v>207</v>
      </c>
      <c r="D21" s="64" t="s">
        <v>208</v>
      </c>
    </row>
    <row r="22" spans="2:4" ht="30.4" customHeight="1">
      <c r="B22" s="62" t="s">
        <v>38</v>
      </c>
      <c r="C22" s="63" t="s">
        <v>209</v>
      </c>
      <c r="D22" s="64" t="s">
        <v>210</v>
      </c>
    </row>
    <row r="23" spans="2:4" ht="30.4" customHeight="1">
      <c r="B23" s="62" t="s">
        <v>211</v>
      </c>
      <c r="C23" s="63" t="s">
        <v>212</v>
      </c>
      <c r="D23" s="64" t="s">
        <v>210</v>
      </c>
    </row>
    <row r="25" spans="2:4" ht="21" customHeight="1">
      <c r="B25" s="8" t="s">
        <v>213</v>
      </c>
      <c r="C25" s="8"/>
      <c r="D25" s="8"/>
    </row>
    <row r="26" spans="2:4" ht="5" customHeight="1"/>
    <row r="27" spans="2:4" ht="16.2" customHeight="1">
      <c r="B27" s="26" t="s">
        <v>57</v>
      </c>
      <c r="C27" s="10" t="s">
        <v>214</v>
      </c>
      <c r="D27" s="10"/>
    </row>
    <row r="28" spans="2:4" ht="29.4" customHeight="1">
      <c r="B28" s="26" t="s">
        <v>57</v>
      </c>
      <c r="C28" s="10" t="s">
        <v>215</v>
      </c>
      <c r="D28" s="10"/>
    </row>
    <row r="29" spans="2:4" ht="16.2" customHeight="1">
      <c r="B29" s="26" t="s">
        <v>57</v>
      </c>
      <c r="C29" s="10" t="s">
        <v>216</v>
      </c>
      <c r="D29" s="10"/>
    </row>
    <row r="31" spans="2:4" ht="21" customHeight="1">
      <c r="B31" s="8" t="s">
        <v>217</v>
      </c>
      <c r="C31" s="8"/>
      <c r="D31" s="8"/>
    </row>
    <row r="32" spans="2:4" ht="5" customHeight="1"/>
    <row r="33" spans="2:4" ht="29.4" customHeight="1">
      <c r="B33" s="26" t="s">
        <v>57</v>
      </c>
      <c r="C33" s="10" t="s">
        <v>218</v>
      </c>
      <c r="D33" s="10"/>
    </row>
    <row r="34" spans="2:4" ht="16.2" customHeight="1">
      <c r="B34" s="26" t="s">
        <v>57</v>
      </c>
      <c r="C34" s="10" t="s">
        <v>219</v>
      </c>
      <c r="D34" s="10"/>
    </row>
    <row r="35" spans="2:4" ht="29.4" customHeight="1">
      <c r="B35" s="26" t="s">
        <v>57</v>
      </c>
      <c r="C35" s="10" t="s">
        <v>220</v>
      </c>
      <c r="D35" s="10"/>
    </row>
    <row r="36" spans="2:4" ht="29.4" customHeight="1">
      <c r="B36" s="26" t="s">
        <v>57</v>
      </c>
      <c r="C36" s="10" t="s">
        <v>221</v>
      </c>
      <c r="D36" s="10"/>
    </row>
    <row r="38" spans="2:4" ht="21" customHeight="1">
      <c r="B38" s="8" t="s">
        <v>222</v>
      </c>
      <c r="C38" s="8"/>
      <c r="D38" s="8"/>
    </row>
    <row r="39" spans="2:4" ht="5" customHeight="1"/>
    <row r="40" spans="2:4" ht="82.2" customHeight="1">
      <c r="B40" s="10" t="s">
        <v>223</v>
      </c>
      <c r="C40" s="10"/>
      <c r="D40" s="10"/>
    </row>
    <row r="41" spans="2:4">
      <c r="B41" s="24" t="s">
        <v>224</v>
      </c>
      <c r="C41" s="24"/>
      <c r="D41" s="24"/>
    </row>
    <row r="43" spans="2:4" ht="21" customHeight="1">
      <c r="B43" s="8" t="s">
        <v>44</v>
      </c>
      <c r="C43" s="8"/>
      <c r="D43" s="8"/>
    </row>
    <row r="44" spans="2:4" ht="5" customHeight="1"/>
    <row r="45" spans="2:4" ht="42.6" customHeight="1">
      <c r="B45" s="10" t="s">
        <v>225</v>
      </c>
      <c r="C45" s="10"/>
      <c r="D45" s="10"/>
    </row>
    <row r="47" spans="2:4" ht="21" customHeight="1">
      <c r="B47" s="8" t="s">
        <v>226</v>
      </c>
      <c r="C47" s="8"/>
      <c r="D47" s="8"/>
    </row>
    <row r="48" spans="2:4" ht="5" customHeight="1"/>
    <row r="49" spans="2:4" ht="29.4" customHeight="1">
      <c r="B49" s="26" t="s">
        <v>57</v>
      </c>
      <c r="C49" s="10" t="s">
        <v>227</v>
      </c>
      <c r="D49" s="10"/>
    </row>
    <row r="50" spans="2:4" ht="16.2" customHeight="1">
      <c r="B50" s="26" t="s">
        <v>57</v>
      </c>
      <c r="C50" s="10" t="s">
        <v>228</v>
      </c>
      <c r="D50" s="10"/>
    </row>
    <row r="51" spans="2:4" ht="16.2" customHeight="1">
      <c r="B51" s="26" t="s">
        <v>57</v>
      </c>
      <c r="C51" s="10" t="s">
        <v>229</v>
      </c>
      <c r="D51" s="10"/>
    </row>
    <row r="52" spans="2:4">
      <c r="B52" s="21" t="s">
        <v>230</v>
      </c>
      <c r="C52" s="21"/>
      <c r="D52" s="21"/>
    </row>
    <row r="54" spans="2:4" ht="21" customHeight="1">
      <c r="B54" s="8" t="s">
        <v>231</v>
      </c>
      <c r="C54" s="8"/>
      <c r="D54" s="8"/>
    </row>
    <row r="55" spans="2:4" ht="5" customHeight="1"/>
    <row r="56" spans="2:4">
      <c r="B56" s="53" t="s">
        <v>52</v>
      </c>
      <c r="C56" s="53" t="s">
        <v>232</v>
      </c>
      <c r="D56" s="33" t="s">
        <v>126</v>
      </c>
    </row>
    <row r="57" spans="2:4" ht="16.2" customHeight="1">
      <c r="B57" s="65" t="s">
        <v>233</v>
      </c>
      <c r="C57" s="66" t="s">
        <v>234</v>
      </c>
      <c r="D57" s="67" t="s">
        <v>235</v>
      </c>
    </row>
    <row r="59" spans="2:4">
      <c r="B59" s="21" t="s">
        <v>63</v>
      </c>
      <c r="C59" s="21"/>
      <c r="D59" s="21"/>
    </row>
  </sheetData>
  <sheetProtection sheet="1" formatColumns="0" formatRows="0"/>
  <mergeCells count="26">
    <mergeCell ref="A1:D1"/>
    <mergeCell ref="B2:C2"/>
    <mergeCell ref="B4:D4"/>
    <mergeCell ref="B6:D6"/>
    <mergeCell ref="B8:D8"/>
    <mergeCell ref="B25:D25"/>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Labor Efficiency Tracker&amp;R&amp;8&amp;A</oddHeader>
    <oddFooter>&amp;L&amp;8mfgcalcs.com - free manufacturing templates&amp;R&amp;8Page &amp;P of &amp;N</oddFooter>
  </headerFooter>
  <rowBreaks count="1" manualBreakCount="1">
    <brk id="29"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O58"/>
  <sheetViews>
    <sheetView showGridLines="0" workbookViewId="0"/>
  </sheetViews>
  <sheetFormatPr defaultRowHeight="15"/>
  <cols>
    <col min="1" max="1" width="2.7109375" customWidth="1"/>
    <col min="2" max="19" width="12.7109375" customWidth="1"/>
  </cols>
  <sheetData>
    <row r="1" spans="1:15" ht="30" customHeight="1">
      <c r="A1" s="1" t="s">
        <v>0</v>
      </c>
      <c r="B1" s="1"/>
      <c r="C1" s="1"/>
      <c r="D1" s="1"/>
      <c r="E1" s="1"/>
      <c r="F1" s="1"/>
      <c r="G1" s="1"/>
      <c r="H1" s="1"/>
      <c r="I1" s="1"/>
      <c r="J1" s="1"/>
      <c r="K1" s="1"/>
      <c r="L1" s="1"/>
      <c r="M1" s="1"/>
      <c r="N1" s="1"/>
      <c r="O1" s="1"/>
    </row>
    <row r="2" spans="1:15" ht="21" customHeight="1">
      <c r="B2" s="2" t="s">
        <v>30</v>
      </c>
      <c r="C2" s="2"/>
      <c r="D2" s="2"/>
      <c r="E2" s="2"/>
      <c r="F2" s="2"/>
      <c r="G2" s="2"/>
      <c r="H2" s="2"/>
      <c r="I2" s="2"/>
      <c r="J2" s="2"/>
      <c r="K2" s="2"/>
      <c r="L2" s="2"/>
      <c r="M2" s="2"/>
      <c r="N2" s="2"/>
      <c r="O2" s="3" t="s">
        <v>2</v>
      </c>
    </row>
    <row r="3" spans="1:15" ht="6" customHeight="1"/>
    <row r="4" spans="1:15" ht="30" customHeight="1">
      <c r="B4" s="68" t="s">
        <v>236</v>
      </c>
      <c r="C4" s="68"/>
      <c r="D4" s="22" t="str">
        <f>IF(COUNTIF($K$11:$K$27,"PASS")=17,"PASS","FAIL")</f>
        <v>PASS</v>
      </c>
      <c r="E4" s="22"/>
      <c r="F4" s="23" t="str">
        <f>COUNTIF($K$11:$K$27,"PASS")&amp;" of 17 checks pass"</f>
        <v>17 of 17 checks pass</v>
      </c>
      <c r="G4" s="23"/>
      <c r="H4" s="23"/>
      <c r="I4" s="23"/>
      <c r="J4" s="23"/>
    </row>
    <row r="6" spans="1:15" ht="29.4" customHeight="1">
      <c r="B6" s="10" t="s">
        <v>237</v>
      </c>
      <c r="C6" s="10"/>
      <c r="D6" s="10"/>
      <c r="E6" s="10"/>
      <c r="F6" s="10"/>
      <c r="G6" s="10"/>
      <c r="H6" s="10"/>
      <c r="I6" s="10"/>
      <c r="J6" s="10"/>
      <c r="K6" s="10"/>
      <c r="L6" s="10"/>
    </row>
    <row r="8" spans="1:15" ht="21" customHeight="1">
      <c r="B8" s="8" t="s">
        <v>238</v>
      </c>
      <c r="C8" s="8"/>
      <c r="D8" s="8"/>
      <c r="E8" s="8"/>
      <c r="F8" s="8"/>
      <c r="G8" s="8"/>
      <c r="H8" s="8"/>
      <c r="I8" s="8"/>
      <c r="J8" s="8"/>
      <c r="K8" s="8"/>
      <c r="L8" s="8"/>
    </row>
    <row r="9" spans="1:15" ht="5" customHeight="1"/>
    <row r="10" spans="1:15" ht="30" customHeight="1">
      <c r="B10" s="33" t="s">
        <v>239</v>
      </c>
      <c r="C10" s="53" t="s">
        <v>134</v>
      </c>
      <c r="D10" s="53"/>
      <c r="E10" s="53"/>
      <c r="F10" s="53"/>
      <c r="G10" s="33" t="s">
        <v>240</v>
      </c>
      <c r="H10" s="33" t="s">
        <v>241</v>
      </c>
      <c r="I10" s="33" t="s">
        <v>242</v>
      </c>
      <c r="J10" s="33" t="s">
        <v>243</v>
      </c>
      <c r="K10" s="33" t="s">
        <v>244</v>
      </c>
    </row>
    <row r="11" spans="1:15" ht="16.2" customHeight="1">
      <c r="B11" s="69">
        <v>1</v>
      </c>
      <c r="C11" s="66" t="s">
        <v>245</v>
      </c>
      <c r="D11" s="66"/>
      <c r="E11" s="66"/>
      <c r="F11" s="66"/>
      <c r="G11" s="70">
        <v>340</v>
      </c>
      <c r="H11" s="38">
        <f>$I$48</f>
        <v>340</v>
      </c>
      <c r="I11" s="71">
        <f>IF(AND(ISNUMBER($G$11),ISNUMBER($H$11)),ABS($H$11-$G$11),"")</f>
        <v>0</v>
      </c>
      <c r="J11" s="72">
        <v>1E-09</v>
      </c>
      <c r="K11" s="39" t="str">
        <f>IF(AND(ISNUMBER($G$11),ISNUMBER($H$11)),IF(ABS($H$11-$G$11)&lt;=$J$11,"PASS","FAIL"),"FAIL")</f>
        <v>PASS</v>
      </c>
    </row>
    <row r="12" spans="1:15" ht="16.2" customHeight="1">
      <c r="B12" s="69">
        <v>2</v>
      </c>
      <c r="C12" s="66" t="s">
        <v>246</v>
      </c>
      <c r="D12" s="66"/>
      <c r="E12" s="66"/>
      <c r="F12" s="66"/>
      <c r="G12" s="56">
        <v>0.85</v>
      </c>
      <c r="H12" s="31">
        <f>$J$48</f>
        <v>0.85</v>
      </c>
      <c r="I12" s="71">
        <f>IF(AND(ISNUMBER($G$12),ISNUMBER($H$12)),ABS($H$12-$G$12),"")</f>
        <v>0</v>
      </c>
      <c r="J12" s="72">
        <v>1E-09</v>
      </c>
      <c r="K12" s="39" t="str">
        <f>IF(AND(ISNUMBER($G$12),ISNUMBER($H$12)),IF(ABS($H$12-$G$12)&lt;=$J$12,"PASS","FAIL"),"FAIL")</f>
        <v>PASS</v>
      </c>
    </row>
    <row r="13" spans="1:15" ht="16.2" customHeight="1">
      <c r="B13" s="69">
        <v>3</v>
      </c>
      <c r="C13" s="66" t="s">
        <v>247</v>
      </c>
      <c r="D13" s="66"/>
      <c r="E13" s="66"/>
      <c r="F13" s="66"/>
      <c r="G13" s="65" t="s">
        <v>248</v>
      </c>
      <c r="H13" s="37" t="str">
        <f>$K$48</f>
        <v>Below target</v>
      </c>
      <c r="I13" s="37"/>
      <c r="J13" s="67" t="s">
        <v>249</v>
      </c>
      <c r="K13" s="39" t="str">
        <f>IF($H$13&amp;""=$G$13&amp;"","PASS","FAIL")</f>
        <v>PASS</v>
      </c>
    </row>
    <row r="14" spans="1:15" ht="16.2" customHeight="1">
      <c r="B14" s="69">
        <v>4</v>
      </c>
      <c r="C14" s="66" t="s">
        <v>250</v>
      </c>
      <c r="D14" s="66"/>
      <c r="E14" s="66"/>
      <c r="F14" s="66"/>
      <c r="G14" s="56">
        <v>1.05</v>
      </c>
      <c r="H14" s="31">
        <f>$J$49</f>
        <v>1.05</v>
      </c>
      <c r="I14" s="71">
        <f>IF(AND(ISNUMBER($G$14),ISNUMBER($H$14)),ABS($H$14-$G$14),"")</f>
        <v>0</v>
      </c>
      <c r="J14" s="72">
        <v>1E-09</v>
      </c>
      <c r="K14" s="39" t="str">
        <f>IF(AND(ISNUMBER($G$14),ISNUMBER($H$14)),IF(ABS($H$14-$G$14)&lt;=$J$14,"PASS","FAIL"),"FAIL")</f>
        <v>PASS</v>
      </c>
    </row>
    <row r="15" spans="1:15" ht="16.2" customHeight="1">
      <c r="B15" s="69">
        <v>5</v>
      </c>
      <c r="C15" s="66" t="s">
        <v>251</v>
      </c>
      <c r="D15" s="66"/>
      <c r="E15" s="66"/>
      <c r="F15" s="66"/>
      <c r="G15" s="70">
        <v>-1</v>
      </c>
      <c r="H15" s="38">
        <f>$L$49</f>
        <v>-1</v>
      </c>
      <c r="I15" s="71">
        <f>IF(AND(ISNUMBER($G$15),ISNUMBER($H$15)),ABS($H$15-$G$15),"")</f>
        <v>0</v>
      </c>
      <c r="J15" s="72">
        <v>1E-09</v>
      </c>
      <c r="K15" s="39" t="str">
        <f>IF(AND(ISNUMBER($G$15),ISNUMBER($H$15)),IF(ABS($H$15-$G$15)&lt;=$J$15,"PASS","FAIL"),"FAIL")</f>
        <v>PASS</v>
      </c>
    </row>
    <row r="16" spans="1:15" ht="16.2" customHeight="1">
      <c r="B16" s="69">
        <v>6</v>
      </c>
      <c r="C16" s="66" t="s">
        <v>252</v>
      </c>
      <c r="D16" s="66"/>
      <c r="E16" s="66"/>
      <c r="F16" s="66"/>
      <c r="G16" s="56">
        <v>1.05</v>
      </c>
      <c r="H16" s="31">
        <f>$J$50</f>
        <v>1.05</v>
      </c>
      <c r="I16" s="71">
        <f>IF(AND(ISNUMBER($G$16),ISNUMBER($H$16)),ABS($H$16-$G$16),"")</f>
        <v>0</v>
      </c>
      <c r="J16" s="72">
        <v>1E-09</v>
      </c>
      <c r="K16" s="39" t="str">
        <f>IF(AND(ISNUMBER($G$16),ISNUMBER($H$16)),IF(ABS($H$16-$G$16)&lt;=$J$16,"PASS","FAIL"),"FAIL")</f>
        <v>PASS</v>
      </c>
    </row>
    <row r="17" spans="2:12" ht="16.2" customHeight="1">
      <c r="B17" s="69">
        <v>7</v>
      </c>
      <c r="C17" s="66" t="s">
        <v>253</v>
      </c>
      <c r="D17" s="66"/>
      <c r="E17" s="66"/>
      <c r="F17" s="66"/>
      <c r="G17" s="65" t="s">
        <v>254</v>
      </c>
      <c r="H17" s="37" t="str">
        <f>$N$51</f>
        <v>Above high-efficiency flag</v>
      </c>
      <c r="I17" s="37"/>
      <c r="J17" s="67" t="s">
        <v>249</v>
      </c>
      <c r="K17" s="39" t="str">
        <f>IF($H$17&amp;""=$G$17&amp;"","PASS","FAIL")</f>
        <v>PASS</v>
      </c>
    </row>
    <row r="18" spans="2:12" ht="16.2" customHeight="1">
      <c r="B18" s="69">
        <v>8</v>
      </c>
      <c r="C18" s="66" t="s">
        <v>255</v>
      </c>
      <c r="D18" s="66"/>
      <c r="E18" s="66"/>
      <c r="F18" s="66"/>
      <c r="G18" s="70">
        <v>420</v>
      </c>
      <c r="H18" s="38">
        <f>$F$55</f>
        <v>420</v>
      </c>
      <c r="I18" s="71">
        <f>IF(AND(ISNUMBER($G$18),ISNUMBER($H$18)),ABS($H$18-$G$18),"")</f>
        <v>0</v>
      </c>
      <c r="J18" s="72">
        <v>1E-09</v>
      </c>
      <c r="K18" s="39" t="str">
        <f>IF(AND(ISNUMBER($G$18),ISNUMBER($H$18)),IF(ABS($H$18-$G$18)&lt;=$J$18,"PASS","FAIL"),"FAIL")</f>
        <v>PASS</v>
      </c>
    </row>
    <row r="19" spans="2:12" ht="16.2" customHeight="1">
      <c r="B19" s="69">
        <v>9</v>
      </c>
      <c r="C19" s="66" t="s">
        <v>256</v>
      </c>
      <c r="D19" s="66"/>
      <c r="E19" s="66"/>
      <c r="F19" s="66"/>
      <c r="G19" s="70">
        <v>60</v>
      </c>
      <c r="H19" s="38">
        <f>$H$55</f>
        <v>60</v>
      </c>
      <c r="I19" s="71">
        <f>IF(AND(ISNUMBER($G$19),ISNUMBER($H$19)),ABS($H$19-$G$19),"")</f>
        <v>0</v>
      </c>
      <c r="J19" s="72">
        <v>1E-09</v>
      </c>
      <c r="K19" s="39" t="str">
        <f>IF(AND(ISNUMBER($G$19),ISNUMBER($H$19)),IF(ABS($H$19-$G$19)&lt;=$J$19,"PASS","FAIL"),"FAIL")</f>
        <v>PASS</v>
      </c>
    </row>
    <row r="20" spans="2:12" ht="16.2" customHeight="1">
      <c r="B20" s="69">
        <v>10</v>
      </c>
      <c r="C20" s="66" t="s">
        <v>257</v>
      </c>
      <c r="D20" s="66"/>
      <c r="E20" s="66"/>
      <c r="F20" s="66"/>
      <c r="G20" s="56">
        <v>0.875</v>
      </c>
      <c r="H20" s="31">
        <f>$I$55</f>
        <v>0.875</v>
      </c>
      <c r="I20" s="71">
        <f>IF(AND(ISNUMBER($G$20),ISNUMBER($H$20)),ABS($H$20-$G$20),"")</f>
        <v>0</v>
      </c>
      <c r="J20" s="72">
        <v>1E-09</v>
      </c>
      <c r="K20" s="39" t="str">
        <f>IF(AND(ISNUMBER($G$20),ISNUMBER($H$20)),IF(ABS($H$20-$G$20)&lt;=$J$20,"PASS","FAIL"),"FAIL")</f>
        <v>PASS</v>
      </c>
    </row>
    <row r="21" spans="2:12" ht="16.2" customHeight="1">
      <c r="B21" s="69">
        <v>11</v>
      </c>
      <c r="C21" s="66" t="s">
        <v>258</v>
      </c>
      <c r="D21" s="66"/>
      <c r="E21" s="66"/>
      <c r="F21" s="66"/>
      <c r="G21" s="56">
        <v>0.7520833333333333</v>
      </c>
      <c r="H21" s="31">
        <f>$J$55</f>
        <v>0.752083333333333</v>
      </c>
      <c r="I21" s="71">
        <f>IF(AND(ISNUMBER($G$21),ISNUMBER($H$21)),ABS($H$21-$G$21),"")</f>
        <v>0</v>
      </c>
      <c r="J21" s="72">
        <v>1E-09</v>
      </c>
      <c r="K21" s="39" t="str">
        <f>IF(AND(ISNUMBER($G$21),ISNUMBER($H$21)),IF(ABS($H$21-$G$21)&lt;=$J$21,"PASS","FAIL"),"FAIL")</f>
        <v>PASS</v>
      </c>
    </row>
    <row r="22" spans="2:12" ht="16.2" customHeight="1">
      <c r="B22" s="69">
        <v>12</v>
      </c>
      <c r="C22" s="66" t="s">
        <v>259</v>
      </c>
      <c r="D22" s="66"/>
      <c r="E22" s="66"/>
      <c r="F22" s="66"/>
      <c r="G22" s="56">
        <v>0.8</v>
      </c>
      <c r="H22" s="31">
        <f>$I$56</f>
        <v>0.8</v>
      </c>
      <c r="I22" s="71">
        <f>IF(AND(ISNUMBER($G$22),ISNUMBER($H$22)),ABS($H$22-$G$22),"")</f>
        <v>0</v>
      </c>
      <c r="J22" s="72">
        <v>1E-09</v>
      </c>
      <c r="K22" s="39" t="str">
        <f>IF(AND(ISNUMBER($G$22),ISNUMBER($H$22)),IF(ABS($H$22-$G$22)&lt;=$J$22,"PASS","FAIL"),"FAIL")</f>
        <v>PASS</v>
      </c>
    </row>
    <row r="23" spans="2:12" ht="16.2" customHeight="1">
      <c r="B23" s="69">
        <v>13</v>
      </c>
      <c r="C23" s="66" t="s">
        <v>260</v>
      </c>
      <c r="D23" s="66"/>
      <c r="E23" s="66"/>
      <c r="F23" s="66"/>
      <c r="G23" s="65" t="s">
        <v>261</v>
      </c>
      <c r="H23" s="37" t="str">
        <f>$M$58</f>
        <v>No Labor Log rows</v>
      </c>
      <c r="I23" s="37"/>
      <c r="J23" s="67" t="s">
        <v>249</v>
      </c>
      <c r="K23" s="39" t="str">
        <f>IF($H$23&amp;""=$G$23&amp;"","PASS","FAIL")</f>
        <v>PASS</v>
      </c>
    </row>
    <row r="24" spans="2:12" ht="16.2" customHeight="1">
      <c r="B24" s="69">
        <v>14</v>
      </c>
      <c r="C24" s="66" t="s">
        <v>262</v>
      </c>
      <c r="D24" s="66"/>
      <c r="E24" s="66"/>
      <c r="F24" s="66"/>
      <c r="G24" s="56">
        <v>0.9787234042553191</v>
      </c>
      <c r="H24" s="31">
        <f>IF((SUMIFS(tblVerifyLabor[Actual hours (person-h)],tblVerifyLabor[View date],"&gt;0"))=0,"",(SUMIFS(tblVerifyLabor[Earned hours (person-h)],tblVerifyLabor[View date],"&gt;0"))/(SUMIFS(tblVerifyLabor[Actual hours (person-h)],tblVerifyLabor[View date],"&gt;0")))</f>
        <v>0.978723404255319</v>
      </c>
      <c r="I24" s="71">
        <f>IF(AND(ISNUMBER($G$24),ISNUMBER($H$24)),ABS($H$24-$G$24),"")</f>
        <v>0</v>
      </c>
      <c r="J24" s="72">
        <v>1E-09</v>
      </c>
      <c r="K24" s="39" t="str">
        <f>IF(AND(ISNUMBER($G$24),ISNUMBER($H$24)),IF(ABS($H$24-$G$24)&lt;=$J$24,"PASS","FAIL"),"FAIL")</f>
        <v>PASS</v>
      </c>
    </row>
    <row r="25" spans="2:12" ht="16.2" customHeight="1">
      <c r="B25" s="69">
        <v>15</v>
      </c>
      <c r="C25" s="66" t="s">
        <v>263</v>
      </c>
      <c r="D25" s="66"/>
      <c r="E25" s="66"/>
      <c r="F25" s="66"/>
      <c r="G25" s="56">
        <v>0.8468468468468469</v>
      </c>
      <c r="H25" s="31">
        <f>IF((SUMIFS(tblVerifyPaid[Paid hours (person-h)],tblVerifyPaid[View date],"&gt;0"))=0,"",(SUMIFS(tblVerifyPaid[Direct hours (person-h)],tblVerifyPaid[View date],"&gt;0"))/(SUMIFS(tblVerifyPaid[Paid hours (person-h)],tblVerifyPaid[View date],"&gt;0")))</f>
        <v>0.846846846846847</v>
      </c>
      <c r="I25" s="71">
        <f>IF(AND(ISNUMBER($G$25),ISNUMBER($H$25)),ABS($H$25-$G$25),"")</f>
        <v>0</v>
      </c>
      <c r="J25" s="72">
        <v>1E-09</v>
      </c>
      <c r="K25" s="39" t="str">
        <f>IF(AND(ISNUMBER($G$25),ISNUMBER($H$25)),IF(ABS($H$25-$G$25)&lt;=$J$25,"PASS","FAIL"),"FAIL")</f>
        <v>PASS</v>
      </c>
    </row>
    <row r="26" spans="2:12" ht="16.2" customHeight="1">
      <c r="B26" s="69">
        <v>16</v>
      </c>
      <c r="C26" s="66" t="s">
        <v>264</v>
      </c>
      <c r="D26" s="66"/>
      <c r="E26" s="66"/>
      <c r="F26" s="66"/>
      <c r="G26" s="56">
        <v>0.8288288288288288</v>
      </c>
      <c r="H26" s="31">
        <f>IF((SUMIFS(tblVerifyPaid[Paid hours (person-h)],tblVerifyPaid[View date],"&gt;0"))=0,"",(SUMIFS(tblVerifyPaid[Earned hours (person-h)],tblVerifyPaid[View date],"&gt;0"))/(SUMIFS(tblVerifyPaid[Paid hours (person-h)],tblVerifyPaid[View date],"&gt;0")))</f>
        <v>0.828828828828829</v>
      </c>
      <c r="I26" s="71">
        <f>IF(AND(ISNUMBER($G$26),ISNUMBER($H$26)),ABS($H$26-$G$26),"")</f>
        <v>0</v>
      </c>
      <c r="J26" s="72">
        <v>1E-09</v>
      </c>
      <c r="K26" s="39" t="str">
        <f>IF(AND(ISNUMBER($G$26),ISNUMBER($H$26)),IF(ABS($H$26-$G$26)&lt;=$J$26,"PASS","FAIL"),"FAIL")</f>
        <v>PASS</v>
      </c>
    </row>
    <row r="27" spans="2:12" ht="16.2" customHeight="1">
      <c r="B27" s="69">
        <v>17</v>
      </c>
      <c r="C27" s="66" t="s">
        <v>265</v>
      </c>
      <c r="D27" s="66"/>
      <c r="E27" s="66"/>
      <c r="F27" s="66"/>
      <c r="G27" s="56">
        <v>0.8288288288288288</v>
      </c>
      <c r="H27" s="31">
        <f>(IF((SUMIFS(tblVerifyLabor[Actual hours (person-h)],tblVerifyLabor[View date],"&gt;0"))=0,"",(SUMIFS(tblVerifyLabor[Earned hours (person-h)],tblVerifyLabor[View date],"&gt;0"))/(SUMIFS(tblVerifyLabor[Actual hours (person-h)],tblVerifyLabor[View date],"&gt;0"))))*(IF((SUMIFS(tblVerifyPaid[Paid hours (person-h)],tblVerifyPaid[View date],"&gt;0"))=0,"",(SUMIFS(tblVerifyPaid[Direct hours (person-h)],tblVerifyPaid[View date],"&gt;0"))/(SUMIFS(tblVerifyPaid[Paid hours (person-h)],tblVerifyPaid[View date],"&gt;0"))))</f>
        <v>0.828828828828829</v>
      </c>
      <c r="I27" s="71">
        <f>IF(AND(ISNUMBER($G$27),ISNUMBER($H$27)),ABS($H$27-$G$27),"")</f>
        <v>0</v>
      </c>
      <c r="J27" s="72">
        <v>1E-09</v>
      </c>
      <c r="K27" s="39" t="str">
        <f>IF(AND(ISNUMBER($G$27),ISNUMBER($H$27)),IF(ABS($H$27-$G$27)&lt;=$J$27,"PASS","FAIL"),"FAIL")</f>
        <v>PASS</v>
      </c>
    </row>
    <row r="29" spans="2:12" ht="21" customHeight="1">
      <c r="B29" s="8" t="s">
        <v>266</v>
      </c>
      <c r="C29" s="8"/>
      <c r="D29" s="8"/>
      <c r="E29" s="8"/>
      <c r="F29" s="8"/>
      <c r="G29" s="8"/>
      <c r="H29" s="8"/>
      <c r="I29" s="8"/>
      <c r="J29" s="8"/>
      <c r="K29" s="8"/>
      <c r="L29" s="8"/>
    </row>
    <row r="30" spans="2:12" ht="5" customHeight="1"/>
    <row r="31" spans="2:12">
      <c r="B31" s="21" t="s">
        <v>267</v>
      </c>
      <c r="C31" s="21"/>
      <c r="D31" s="21"/>
      <c r="E31" s="21"/>
      <c r="F31" s="21"/>
      <c r="G31" s="21"/>
      <c r="H31" s="21"/>
      <c r="I31" s="21"/>
      <c r="J31" s="21"/>
      <c r="K31" s="21"/>
      <c r="L31" s="21"/>
    </row>
    <row r="32" spans="2:12">
      <c r="B32" s="32" t="s">
        <v>268</v>
      </c>
      <c r="C32" s="32"/>
      <c r="D32" s="32"/>
      <c r="E32" s="32"/>
      <c r="F32" s="32"/>
    </row>
    <row r="33" spans="2:15">
      <c r="B33" s="27" t="s">
        <v>269</v>
      </c>
      <c r="C33" s="27"/>
      <c r="D33" s="27"/>
      <c r="E33" s="73">
        <v>0</v>
      </c>
      <c r="F33" s="7"/>
    </row>
    <row r="34" spans="2:15">
      <c r="B34" s="27" t="s">
        <v>270</v>
      </c>
      <c r="C34" s="27"/>
      <c r="D34" s="27"/>
      <c r="E34" s="73">
        <v>2958465</v>
      </c>
      <c r="F34" s="7"/>
    </row>
    <row r="35" spans="2:15">
      <c r="B35" s="27" t="s">
        <v>271</v>
      </c>
      <c r="C35" s="27"/>
      <c r="D35" s="27"/>
      <c r="E35" s="65" t="s">
        <v>136</v>
      </c>
      <c r="F35" s="65"/>
    </row>
    <row r="36" spans="2:15">
      <c r="B36" s="27" t="s">
        <v>78</v>
      </c>
      <c r="C36" s="27"/>
      <c r="D36" s="27"/>
      <c r="E36" s="56">
        <v>0.9</v>
      </c>
      <c r="F36" s="7"/>
    </row>
    <row r="37" spans="2:15">
      <c r="B37" s="27" t="s">
        <v>79</v>
      </c>
      <c r="C37" s="27"/>
      <c r="D37" s="27"/>
      <c r="E37" s="56">
        <v>0.85</v>
      </c>
      <c r="F37" s="7"/>
    </row>
    <row r="38" spans="2:15">
      <c r="B38" s="27" t="s">
        <v>272</v>
      </c>
      <c r="C38" s="27"/>
      <c r="D38" s="27"/>
      <c r="E38" s="56">
        <v>0.765</v>
      </c>
      <c r="F38" s="7"/>
    </row>
    <row r="39" spans="2:15">
      <c r="B39" s="27" t="s">
        <v>273</v>
      </c>
      <c r="C39" s="27"/>
      <c r="D39" s="27"/>
      <c r="E39" s="56">
        <v>1.3</v>
      </c>
      <c r="F39" s="7"/>
    </row>
    <row r="41" spans="2:15">
      <c r="B41" s="32" t="s">
        <v>274</v>
      </c>
      <c r="C41" s="32"/>
      <c r="D41" s="32"/>
      <c r="E41" s="32"/>
      <c r="F41" s="32"/>
      <c r="G41" s="32"/>
      <c r="H41" s="32"/>
      <c r="I41" s="32"/>
      <c r="J41" s="32"/>
      <c r="K41" s="32"/>
      <c r="L41" s="32"/>
    </row>
    <row r="42" spans="2:15" ht="20" customHeight="1">
      <c r="B42" s="33" t="s">
        <v>64</v>
      </c>
      <c r="C42" s="33" t="s">
        <v>65</v>
      </c>
      <c r="D42" s="33" t="s">
        <v>66</v>
      </c>
    </row>
    <row r="43" spans="2:15">
      <c r="B43" s="65" t="s">
        <v>275</v>
      </c>
      <c r="C43" s="65" t="s">
        <v>276</v>
      </c>
      <c r="D43" s="65" t="s">
        <v>136</v>
      </c>
    </row>
    <row r="44" spans="2:15">
      <c r="B44" s="65" t="s">
        <v>277</v>
      </c>
      <c r="C44" s="65" t="s">
        <v>276</v>
      </c>
      <c r="D44" s="65" t="s">
        <v>136</v>
      </c>
    </row>
    <row r="46" spans="2:15">
      <c r="B46" s="32" t="s">
        <v>278</v>
      </c>
      <c r="C46" s="32"/>
      <c r="D46" s="32"/>
      <c r="E46" s="32"/>
      <c r="F46" s="32"/>
      <c r="G46" s="32"/>
      <c r="H46" s="32"/>
      <c r="I46" s="32"/>
      <c r="J46" s="32"/>
      <c r="K46" s="32"/>
      <c r="L46" s="32"/>
    </row>
    <row r="47" spans="2:15" ht="45.5" customHeight="1">
      <c r="B47" s="33" t="s">
        <v>126</v>
      </c>
      <c r="C47" s="33" t="s">
        <v>67</v>
      </c>
      <c r="D47" s="33" t="s">
        <v>70</v>
      </c>
      <c r="E47" s="33" t="s">
        <v>127</v>
      </c>
      <c r="F47" s="33" t="s">
        <v>128</v>
      </c>
      <c r="G47" s="33" t="s">
        <v>64</v>
      </c>
      <c r="H47" s="33" t="s">
        <v>71</v>
      </c>
      <c r="I47" s="33" t="s">
        <v>129</v>
      </c>
      <c r="J47" s="33" t="s">
        <v>130</v>
      </c>
      <c r="K47" s="33" t="s">
        <v>131</v>
      </c>
      <c r="L47" s="33" t="s">
        <v>132</v>
      </c>
      <c r="M47" s="33" t="s">
        <v>133</v>
      </c>
      <c r="N47" s="33" t="s">
        <v>134</v>
      </c>
      <c r="O47" s="33" t="s">
        <v>69</v>
      </c>
    </row>
    <row r="48" spans="2:15">
      <c r="B48" s="74">
        <v>46027</v>
      </c>
      <c r="C48" s="65" t="s">
        <v>98</v>
      </c>
      <c r="D48" s="65" t="s">
        <v>279</v>
      </c>
      <c r="E48" s="73">
        <v>1200</v>
      </c>
      <c r="F48" s="70">
        <v>400</v>
      </c>
      <c r="G48" s="65" t="s">
        <v>275</v>
      </c>
      <c r="H48" s="70">
        <v>17</v>
      </c>
      <c r="I48" s="38">
        <f>IF(tblVerifyLabor[[#This Row],[Date]]="","",IF(tblVerifyLabor[[#This Row],[Std (min/unit)]]="","",tblVerifyLabor[[#This Row],[Good units]]*tblVerifyLabor[[#This Row],[Std (min/unit)]]/60))</f>
        <v>340</v>
      </c>
      <c r="J48" s="31">
        <f>IF(tblVerifyLabor[[#This Row],[Date]]="","",IF(AND(tblVerifyLabor[[#This Row],[Actual hours (person-h)]]&gt;0,ISNUMBER(tblVerifyLabor[[#This Row],[Earned hours (person-h)]])),tblVerifyLabor[[#This Row],[Earned hours (person-h)]]/tblVerifyLabor[[#This Row],[Actual hours (person-h)]],""))</f>
        <v>0.85</v>
      </c>
      <c r="K48" s="39" t="str">
        <f>IF(NOT(ISNUMBER(tblVerifyLabor[[#This Row],[Efficiency]])),"",IF(tblVerifyLabor[[#This Row],[Efficiency]]&gt;=$E$36,"On target",IF(tblVerifyLabor[[#This Row],[Efficiency]]&gt;=$E$36*(1-0.05),"Near target","Below target")))</f>
        <v>Below target</v>
      </c>
      <c r="L48" s="40">
        <f>IF(tblVerifyLabor[[#This Row],[Date]]="","",IF(ISNUMBER(tblVerifyLabor[[#This Row],[Earned hours (person-h)]]),tblVerifyLabor[[#This Row],[Actual hours (person-h)]]-tblVerifyLabor[[#This Row],[Earned hours (person-h)]],""))</f>
        <v>60</v>
      </c>
      <c r="M48" s="41">
        <f>IF(tblVerifyLabor[[#This Row],[Date]]="","",IF(AND(tblVerifyLabor[[#This Row],[Date]]&gt;=$E$33,tblVerifyLabor[[#This Row],[Date]]&lt;=$E$34,OR($E$35="",tblVerifyLabor[[#This Row],[Cell]]=$E$35)),tblVerifyLabor[[#This Row],[Date]],""))</f>
        <v>46027</v>
      </c>
      <c r="N48" s="42" t="str">
        <f>IF(tblVerifyLabor[[#This Row],[Date]]="","",IF(tblVerifyLabor[[#This Row],[Shift]]="","Missing shift",IF(tblVerifyLabor[[#This Row],[Operation]]="","Missing operation",IF(tblVerifyLabor[[#This Row],[Good units]]="","Missing good units",IF(tblVerifyLabor[[#This Row],[Actual hours (person-h)]]="","Missing actual hours",IF(tblVerifyLabor[[#This Row],[Cell]]="","Operation not on Setup list",IF(AND(tblVerifyLabor[[#This Row],[Actual hours (person-h)]]=0,tblVerifyLabor[[#This Row],[Good units]]&gt;0),"Units with no hours",IF(AND(ISNUMBER(tblVerifyLabor[[#This Row],[Efficiency]]),tblVerifyLabor[[#This Row],[Efficiency]]&gt;$E$39),"Above high-efficiency flag",IF(COUNTIFS(tblVerifyLabor[Date],tblVerifyLabor[[#This Row],[Date]],tblVerifyLabor[Shift],tblVerifyLabor[[#This Row],[Shift]],tblVerifyLabor[Operation],tblVerifyLabor[[#This Row],[Operation]])&gt;1,"Duplicate row",IF(AND(COUNT(tblVerifyPaid[Paid hours (person-h)])&gt;0,COUNTIFS(tblVerifyPaid[Date],tblVerifyLabor[[#This Row],[Date]],tblVerifyPaid[Shift],tblVerifyLabor[[#This Row],[Shift]],tblVerifyPaid[Cell],tblVerifyLabor[[#This Row],[Cell]])=0),"No matching Paid Hours row","OK"))))))))))</f>
        <v>OK</v>
      </c>
      <c r="O48" s="65"/>
    </row>
    <row r="49" spans="2:15">
      <c r="B49" s="74">
        <v>46027</v>
      </c>
      <c r="C49" s="65" t="s">
        <v>98</v>
      </c>
      <c r="D49" s="65" t="s">
        <v>280</v>
      </c>
      <c r="E49" s="73">
        <v>150</v>
      </c>
      <c r="F49" s="70">
        <v>20</v>
      </c>
      <c r="G49" s="65" t="s">
        <v>275</v>
      </c>
      <c r="H49" s="70">
        <v>8.4</v>
      </c>
      <c r="I49" s="38">
        <f>IF(tblVerifyLabor[[#This Row],[Date]]="","",IF(tblVerifyLabor[[#This Row],[Std (min/unit)]]="","",tblVerifyLabor[[#This Row],[Good units]]*tblVerifyLabor[[#This Row],[Std (min/unit)]]/60))</f>
        <v>21</v>
      </c>
      <c r="J49" s="31">
        <f>IF(tblVerifyLabor[[#This Row],[Date]]="","",IF(AND(tblVerifyLabor[[#This Row],[Actual hours (person-h)]]&gt;0,ISNUMBER(tblVerifyLabor[[#This Row],[Earned hours (person-h)]])),tblVerifyLabor[[#This Row],[Earned hours (person-h)]]/tblVerifyLabor[[#This Row],[Actual hours (person-h)]],""))</f>
        <v>1.05</v>
      </c>
      <c r="K49" s="39" t="str">
        <f>IF(NOT(ISNUMBER(tblVerifyLabor[[#This Row],[Efficiency]])),"",IF(tblVerifyLabor[[#This Row],[Efficiency]]&gt;=$E$36,"On target",IF(tblVerifyLabor[[#This Row],[Efficiency]]&gt;=$E$36*(1-0.05),"Near target","Below target")))</f>
        <v>On target</v>
      </c>
      <c r="L49" s="40">
        <f>IF(tblVerifyLabor[[#This Row],[Date]]="","",IF(ISNUMBER(tblVerifyLabor[[#This Row],[Earned hours (person-h)]]),tblVerifyLabor[[#This Row],[Actual hours (person-h)]]-tblVerifyLabor[[#This Row],[Earned hours (person-h)]],""))</f>
        <v>-1</v>
      </c>
      <c r="M49" s="41">
        <f>IF(tblVerifyLabor[[#This Row],[Date]]="","",IF(AND(tblVerifyLabor[[#This Row],[Date]]&gt;=$E$33,tblVerifyLabor[[#This Row],[Date]]&lt;=$E$34,OR($E$35="",tblVerifyLabor[[#This Row],[Cell]]=$E$35)),tblVerifyLabor[[#This Row],[Date]],""))</f>
        <v>46027</v>
      </c>
      <c r="N49" s="42" t="str">
        <f>IF(tblVerifyLabor[[#This Row],[Date]]="","",IF(tblVerifyLabor[[#This Row],[Shift]]="","Missing shift",IF(tblVerifyLabor[[#This Row],[Operation]]="","Missing operation",IF(tblVerifyLabor[[#This Row],[Good units]]="","Missing good units",IF(tblVerifyLabor[[#This Row],[Actual hours (person-h)]]="","Missing actual hours",IF(tblVerifyLabor[[#This Row],[Cell]]="","Operation not on Setup list",IF(AND(tblVerifyLabor[[#This Row],[Actual hours (person-h)]]=0,tblVerifyLabor[[#This Row],[Good units]]&gt;0),"Units with no hours",IF(AND(ISNUMBER(tblVerifyLabor[[#This Row],[Efficiency]]),tblVerifyLabor[[#This Row],[Efficiency]]&gt;$E$39),"Above high-efficiency flag",IF(COUNTIFS(tblVerifyLabor[Date],tblVerifyLabor[[#This Row],[Date]],tblVerifyLabor[Shift],tblVerifyLabor[[#This Row],[Shift]],tblVerifyLabor[Operation],tblVerifyLabor[[#This Row],[Operation]])&gt;1,"Duplicate row",IF(AND(COUNT(tblVerifyPaid[Paid hours (person-h)])&gt;0,COUNTIFS(tblVerifyPaid[Date],tblVerifyLabor[[#This Row],[Date]],tblVerifyPaid[Shift],tblVerifyLabor[[#This Row],[Shift]],tblVerifyPaid[Cell],tblVerifyLabor[[#This Row],[Cell]])=0),"No matching Paid Hours row","OK"))))))))))</f>
        <v>OK</v>
      </c>
      <c r="O49" s="65"/>
    </row>
    <row r="50" spans="2:15">
      <c r="B50" s="74">
        <v>46027</v>
      </c>
      <c r="C50" s="65" t="s">
        <v>101</v>
      </c>
      <c r="D50" s="65" t="s">
        <v>281</v>
      </c>
      <c r="E50" s="73">
        <v>420</v>
      </c>
      <c r="F50" s="70">
        <v>30</v>
      </c>
      <c r="G50" s="65" t="s">
        <v>277</v>
      </c>
      <c r="H50" s="70">
        <v>4.5</v>
      </c>
      <c r="I50" s="38">
        <f>IF(tblVerifyLabor[[#This Row],[Date]]="","",IF(tblVerifyLabor[[#This Row],[Std (min/unit)]]="","",tblVerifyLabor[[#This Row],[Good units]]*tblVerifyLabor[[#This Row],[Std (min/unit)]]/60))</f>
        <v>31.5</v>
      </c>
      <c r="J50" s="31">
        <f>IF(tblVerifyLabor[[#This Row],[Date]]="","",IF(AND(tblVerifyLabor[[#This Row],[Actual hours (person-h)]]&gt;0,ISNUMBER(tblVerifyLabor[[#This Row],[Earned hours (person-h)]])),tblVerifyLabor[[#This Row],[Earned hours (person-h)]]/tblVerifyLabor[[#This Row],[Actual hours (person-h)]],""))</f>
        <v>1.05</v>
      </c>
      <c r="K50" s="39" t="str">
        <f>IF(NOT(ISNUMBER(tblVerifyLabor[[#This Row],[Efficiency]])),"",IF(tblVerifyLabor[[#This Row],[Efficiency]]&gt;=$E$36,"On target",IF(tblVerifyLabor[[#This Row],[Efficiency]]&gt;=$E$36*(1-0.05),"Near target","Below target")))</f>
        <v>On target</v>
      </c>
      <c r="L50" s="40">
        <f>IF(tblVerifyLabor[[#This Row],[Date]]="","",IF(ISNUMBER(tblVerifyLabor[[#This Row],[Earned hours (person-h)]]),tblVerifyLabor[[#This Row],[Actual hours (person-h)]]-tblVerifyLabor[[#This Row],[Earned hours (person-h)]],""))</f>
        <v>-1.5</v>
      </c>
      <c r="M50" s="41">
        <f>IF(tblVerifyLabor[[#This Row],[Date]]="","",IF(AND(tblVerifyLabor[[#This Row],[Date]]&gt;=$E$33,tblVerifyLabor[[#This Row],[Date]]&lt;=$E$34,OR($E$35="",tblVerifyLabor[[#This Row],[Cell]]=$E$35)),tblVerifyLabor[[#This Row],[Date]],""))</f>
        <v>46027</v>
      </c>
      <c r="N50" s="42" t="str">
        <f>IF(tblVerifyLabor[[#This Row],[Date]]="","",IF(tblVerifyLabor[[#This Row],[Shift]]="","Missing shift",IF(tblVerifyLabor[[#This Row],[Operation]]="","Missing operation",IF(tblVerifyLabor[[#This Row],[Good units]]="","Missing good units",IF(tblVerifyLabor[[#This Row],[Actual hours (person-h)]]="","Missing actual hours",IF(tblVerifyLabor[[#This Row],[Cell]]="","Operation not on Setup list",IF(AND(tblVerifyLabor[[#This Row],[Actual hours (person-h)]]=0,tblVerifyLabor[[#This Row],[Good units]]&gt;0),"Units with no hours",IF(AND(ISNUMBER(tblVerifyLabor[[#This Row],[Efficiency]]),tblVerifyLabor[[#This Row],[Efficiency]]&gt;$E$39),"Above high-efficiency flag",IF(COUNTIFS(tblVerifyLabor[Date],tblVerifyLabor[[#This Row],[Date]],tblVerifyLabor[Shift],tblVerifyLabor[[#This Row],[Shift]],tblVerifyLabor[Operation],tblVerifyLabor[[#This Row],[Operation]])&gt;1,"Duplicate row",IF(AND(COUNT(tblVerifyPaid[Paid hours (person-h)])&gt;0,COUNTIFS(tblVerifyPaid[Date],tblVerifyLabor[[#This Row],[Date]],tblVerifyPaid[Shift],tblVerifyLabor[[#This Row],[Shift]],tblVerifyPaid[Cell],tblVerifyLabor[[#This Row],[Cell]])=0),"No matching Paid Hours row","OK"))))))))))</f>
        <v>OK</v>
      </c>
      <c r="O50" s="65"/>
    </row>
    <row r="51" spans="2:15">
      <c r="B51" s="74">
        <v>46028</v>
      </c>
      <c r="C51" s="65" t="s">
        <v>98</v>
      </c>
      <c r="D51" s="65" t="s">
        <v>281</v>
      </c>
      <c r="E51" s="73">
        <v>900</v>
      </c>
      <c r="F51" s="70">
        <v>20</v>
      </c>
      <c r="G51" s="65" t="s">
        <v>277</v>
      </c>
      <c r="H51" s="70">
        <v>4.5</v>
      </c>
      <c r="I51" s="38">
        <f>IF(tblVerifyLabor[[#This Row],[Date]]="","",IF(tblVerifyLabor[[#This Row],[Std (min/unit)]]="","",tblVerifyLabor[[#This Row],[Good units]]*tblVerifyLabor[[#This Row],[Std (min/unit)]]/60))</f>
        <v>67.5</v>
      </c>
      <c r="J51" s="31">
        <f>IF(tblVerifyLabor[[#This Row],[Date]]="","",IF(AND(tblVerifyLabor[[#This Row],[Actual hours (person-h)]]&gt;0,ISNUMBER(tblVerifyLabor[[#This Row],[Earned hours (person-h)]])),tblVerifyLabor[[#This Row],[Earned hours (person-h)]]/tblVerifyLabor[[#This Row],[Actual hours (person-h)]],""))</f>
        <v>3.375</v>
      </c>
      <c r="K51" s="39" t="str">
        <f>IF(NOT(ISNUMBER(tblVerifyLabor[[#This Row],[Efficiency]])),"",IF(tblVerifyLabor[[#This Row],[Efficiency]]&gt;=$E$36,"On target",IF(tblVerifyLabor[[#This Row],[Efficiency]]&gt;=$E$36*(1-0.05),"Near target","Below target")))</f>
        <v>On target</v>
      </c>
      <c r="L51" s="40">
        <f>IF(tblVerifyLabor[[#This Row],[Date]]="","",IF(ISNUMBER(tblVerifyLabor[[#This Row],[Earned hours (person-h)]]),tblVerifyLabor[[#This Row],[Actual hours (person-h)]]-tblVerifyLabor[[#This Row],[Earned hours (person-h)]],""))</f>
        <v>-47.5</v>
      </c>
      <c r="M51" s="41">
        <f>IF(tblVerifyLabor[[#This Row],[Date]]="","",IF(AND(tblVerifyLabor[[#This Row],[Date]]&gt;=$E$33,tblVerifyLabor[[#This Row],[Date]]&lt;=$E$34,OR($E$35="",tblVerifyLabor[[#This Row],[Cell]]=$E$35)),tblVerifyLabor[[#This Row],[Date]],""))</f>
        <v>46028</v>
      </c>
      <c r="N51" s="42" t="str">
        <f>IF(tblVerifyLabor[[#This Row],[Date]]="","",IF(tblVerifyLabor[[#This Row],[Shift]]="","Missing shift",IF(tblVerifyLabor[[#This Row],[Operation]]="","Missing operation",IF(tblVerifyLabor[[#This Row],[Good units]]="","Missing good units",IF(tblVerifyLabor[[#This Row],[Actual hours (person-h)]]="","Missing actual hours",IF(tblVerifyLabor[[#This Row],[Cell]]="","Operation not on Setup list",IF(AND(tblVerifyLabor[[#This Row],[Actual hours (person-h)]]=0,tblVerifyLabor[[#This Row],[Good units]]&gt;0),"Units with no hours",IF(AND(ISNUMBER(tblVerifyLabor[[#This Row],[Efficiency]]),tblVerifyLabor[[#This Row],[Efficiency]]&gt;$E$39),"Above high-efficiency flag",IF(COUNTIFS(tblVerifyLabor[Date],tblVerifyLabor[[#This Row],[Date]],tblVerifyLabor[Shift],tblVerifyLabor[[#This Row],[Shift]],tblVerifyLabor[Operation],tblVerifyLabor[[#This Row],[Operation]])&gt;1,"Duplicate row",IF(AND(COUNT(tblVerifyPaid[Paid hours (person-h)])&gt;0,COUNTIFS(tblVerifyPaid[Date],tblVerifyLabor[[#This Row],[Date]],tblVerifyPaid[Shift],tblVerifyLabor[[#This Row],[Shift]],tblVerifyPaid[Cell],tblVerifyLabor[[#This Row],[Cell]])=0),"No matching Paid Hours row","OK"))))))))))</f>
        <v>Above high-efficiency flag</v>
      </c>
      <c r="O51" s="65"/>
    </row>
    <row r="53" spans="2:15">
      <c r="B53" s="32" t="s">
        <v>282</v>
      </c>
      <c r="C53" s="32"/>
      <c r="D53" s="32"/>
      <c r="E53" s="32"/>
      <c r="F53" s="32"/>
      <c r="G53" s="32"/>
      <c r="H53" s="32"/>
      <c r="I53" s="32"/>
      <c r="J53" s="32"/>
      <c r="K53" s="32"/>
      <c r="L53" s="32"/>
    </row>
    <row r="54" spans="2:15" ht="45.5" customHeight="1">
      <c r="B54" s="33" t="s">
        <v>126</v>
      </c>
      <c r="C54" s="33" t="s">
        <v>67</v>
      </c>
      <c r="D54" s="33" t="s">
        <v>64</v>
      </c>
      <c r="E54" s="33" t="s">
        <v>137</v>
      </c>
      <c r="F54" s="33" t="s">
        <v>138</v>
      </c>
      <c r="G54" s="33" t="s">
        <v>129</v>
      </c>
      <c r="H54" s="33" t="s">
        <v>139</v>
      </c>
      <c r="I54" s="33" t="s">
        <v>140</v>
      </c>
      <c r="J54" s="33" t="s">
        <v>141</v>
      </c>
      <c r="K54" s="33" t="s">
        <v>142</v>
      </c>
      <c r="L54" s="33" t="s">
        <v>133</v>
      </c>
      <c r="M54" s="33" t="s">
        <v>134</v>
      </c>
      <c r="N54" s="33" t="s">
        <v>69</v>
      </c>
    </row>
    <row r="55" spans="2:15">
      <c r="B55" s="74">
        <v>46027</v>
      </c>
      <c r="C55" s="65" t="s">
        <v>98</v>
      </c>
      <c r="D55" s="65" t="s">
        <v>275</v>
      </c>
      <c r="E55" s="70">
        <v>480</v>
      </c>
      <c r="F55" s="38">
        <f>IF(tblVerifyPaid[[#This Row],[Date]]="","",SUMIFS(tblVerifyLabor[Actual hours (person-h)],tblVerifyLabor[Date],tblVerifyPaid[[#This Row],[Date]],tblVerifyLabor[Shift],tblVerifyPaid[[#This Row],[Shift]],tblVerifyLabor[Cell],tblVerifyPaid[[#This Row],[Cell]]))</f>
        <v>420</v>
      </c>
      <c r="G55" s="38">
        <f>IF(tblVerifyPaid[[#This Row],[Date]]="","",SUMIFS(tblVerifyLabor[Earned hours (person-h)],tblVerifyLabor[Date],tblVerifyPaid[[#This Row],[Date]],tblVerifyLabor[Shift],tblVerifyPaid[[#This Row],[Shift]],tblVerifyLabor[Cell],tblVerifyPaid[[#This Row],[Cell]]))</f>
        <v>361</v>
      </c>
      <c r="H55" s="38">
        <f>IF(tblVerifyPaid[[#This Row],[Date]]="","",tblVerifyPaid[[#This Row],[Paid hours (person-h)]]-tblVerifyPaid[[#This Row],[Direct hours (person-h)]])</f>
        <v>60</v>
      </c>
      <c r="I55" s="31">
        <f>IF(tblVerifyPaid[[#This Row],[Date]]="","",IF(tblVerifyPaid[[#This Row],[Paid hours (person-h)]]&gt;0,tblVerifyPaid[[#This Row],[Direct hours (person-h)]]/tblVerifyPaid[[#This Row],[Paid hours (person-h)]],""))</f>
        <v>0.875</v>
      </c>
      <c r="J55" s="31">
        <f>IF(tblVerifyPaid[[#This Row],[Date]]="","",IF(tblVerifyPaid[[#This Row],[Paid hours (person-h)]]&gt;0,tblVerifyPaid[[#This Row],[Earned hours (person-h)]]/tblVerifyPaid[[#This Row],[Paid hours (person-h)]],""))</f>
        <v>0.752083333333333</v>
      </c>
      <c r="K55" s="39" t="str">
        <f>IF(NOT(ISNUMBER(tblVerifyPaid[[#This Row],[Utilization]])),"",IF(tblVerifyPaid[[#This Row],[Utilization]]&gt;=$E$37,"On target",IF(tblVerifyPaid[[#This Row],[Utilization]]&gt;=$E$37*(1-0.05),"Near target","Below target")))</f>
        <v>On target</v>
      </c>
      <c r="L55" s="41">
        <f>IF(tblVerifyPaid[[#This Row],[Date]]="","",IF(AND(tblVerifyPaid[[#This Row],[Date]]&gt;=$E$33,tblVerifyPaid[[#This Row],[Date]]&lt;=$E$34,OR($E$35="",tblVerifyPaid[[#This Row],[Cell]]=$E$35)),tblVerifyPaid[[#This Row],[Date]],""))</f>
        <v>46027</v>
      </c>
      <c r="M55" s="42" t="str">
        <f>IF(tblVerifyPaid[[#This Row],[Date]]="","",IF(tblVerifyPaid[[#This Row],[Shift]]="","Missing shift",IF(tblVerifyPaid[[#This Row],[Cell]]="","Missing cell",IF(tblVerifyPaid[[#This Row],[Paid hours (person-h)]]="","Missing paid hours",IF(COUNTIF(tblVerifyCells[Cell],tblVerifyPaid[[#This Row],[Cell]])=0,"Cell not on Setup list",IF(tblVerifyPaid[[#This Row],[Direct hours (person-h)]]&gt;tblVerifyPaid[[#This Row],[Paid hours (person-h)]],"Labor Log hours exceed paid hours",IF(COUNTIFS(tblVerifyPaid[Date],tblVerifyPaid[[#This Row],[Date]],tblVerifyPaid[Shift],tblVerifyPaid[[#This Row],[Shift]],tblVerifyPaid[Cell],tblVerifyPaid[[#This Row],[Cell]])&gt;1,"Duplicate row",IF(tblVerifyPaid[[#This Row],[Direct hours (person-h)]]=0,"No Labor Log rows","OK"))))))))</f>
        <v>OK</v>
      </c>
      <c r="N55" s="65"/>
    </row>
    <row r="56" spans="2:15">
      <c r="B56" s="74">
        <v>46027</v>
      </c>
      <c r="C56" s="65" t="s">
        <v>101</v>
      </c>
      <c r="D56" s="65" t="s">
        <v>277</v>
      </c>
      <c r="E56" s="70">
        <v>37.5</v>
      </c>
      <c r="F56" s="38">
        <f>IF(tblVerifyPaid[[#This Row],[Date]]="","",SUMIFS(tblVerifyLabor[Actual hours (person-h)],tblVerifyLabor[Date],tblVerifyPaid[[#This Row],[Date]],tblVerifyLabor[Shift],tblVerifyPaid[[#This Row],[Shift]],tblVerifyLabor[Cell],tblVerifyPaid[[#This Row],[Cell]]))</f>
        <v>30</v>
      </c>
      <c r="G56" s="38">
        <f>IF(tblVerifyPaid[[#This Row],[Date]]="","",SUMIFS(tblVerifyLabor[Earned hours (person-h)],tblVerifyLabor[Date],tblVerifyPaid[[#This Row],[Date]],tblVerifyLabor[Shift],tblVerifyPaid[[#This Row],[Shift]],tblVerifyLabor[Cell],tblVerifyPaid[[#This Row],[Cell]]))</f>
        <v>31.5</v>
      </c>
      <c r="H56" s="38">
        <f>IF(tblVerifyPaid[[#This Row],[Date]]="","",tblVerifyPaid[[#This Row],[Paid hours (person-h)]]-tblVerifyPaid[[#This Row],[Direct hours (person-h)]])</f>
        <v>7.5</v>
      </c>
      <c r="I56" s="31">
        <f>IF(tblVerifyPaid[[#This Row],[Date]]="","",IF(tblVerifyPaid[[#This Row],[Paid hours (person-h)]]&gt;0,tblVerifyPaid[[#This Row],[Direct hours (person-h)]]/tblVerifyPaid[[#This Row],[Paid hours (person-h)]],""))</f>
        <v>0.8</v>
      </c>
      <c r="J56" s="31">
        <f>IF(tblVerifyPaid[[#This Row],[Date]]="","",IF(tblVerifyPaid[[#This Row],[Paid hours (person-h)]]&gt;0,tblVerifyPaid[[#This Row],[Earned hours (person-h)]]/tblVerifyPaid[[#This Row],[Paid hours (person-h)]],""))</f>
        <v>0.84</v>
      </c>
      <c r="K56" s="39" t="str">
        <f>IF(NOT(ISNUMBER(tblVerifyPaid[[#This Row],[Utilization]])),"",IF(tblVerifyPaid[[#This Row],[Utilization]]&gt;=$E$37,"On target",IF(tblVerifyPaid[[#This Row],[Utilization]]&gt;=$E$37*(1-0.05),"Near target","Below target")))</f>
        <v>Below target</v>
      </c>
      <c r="L56" s="41">
        <f>IF(tblVerifyPaid[[#This Row],[Date]]="","",IF(AND(tblVerifyPaid[[#This Row],[Date]]&gt;=$E$33,tblVerifyPaid[[#This Row],[Date]]&lt;=$E$34,OR($E$35="",tblVerifyPaid[[#This Row],[Cell]]=$E$35)),tblVerifyPaid[[#This Row],[Date]],""))</f>
        <v>46027</v>
      </c>
      <c r="M56" s="42" t="str">
        <f>IF(tblVerifyPaid[[#This Row],[Date]]="","",IF(tblVerifyPaid[[#This Row],[Shift]]="","Missing shift",IF(tblVerifyPaid[[#This Row],[Cell]]="","Missing cell",IF(tblVerifyPaid[[#This Row],[Paid hours (person-h)]]="","Missing paid hours",IF(COUNTIF(tblVerifyCells[Cell],tblVerifyPaid[[#This Row],[Cell]])=0,"Cell not on Setup list",IF(tblVerifyPaid[[#This Row],[Direct hours (person-h)]]&gt;tblVerifyPaid[[#This Row],[Paid hours (person-h)]],"Labor Log hours exceed paid hours",IF(COUNTIFS(tblVerifyPaid[Date],tblVerifyPaid[[#This Row],[Date]],tblVerifyPaid[Shift],tblVerifyPaid[[#This Row],[Shift]],tblVerifyPaid[Cell],tblVerifyPaid[[#This Row],[Cell]])&gt;1,"Duplicate row",IF(tblVerifyPaid[[#This Row],[Direct hours (person-h)]]=0,"No Labor Log rows","OK"))))))))</f>
        <v>OK</v>
      </c>
      <c r="N56" s="65"/>
    </row>
    <row r="57" spans="2:15">
      <c r="B57" s="74">
        <v>46028</v>
      </c>
      <c r="C57" s="65" t="s">
        <v>98</v>
      </c>
      <c r="D57" s="65" t="s">
        <v>277</v>
      </c>
      <c r="E57" s="70">
        <v>22.5</v>
      </c>
      <c r="F57" s="38">
        <f>IF(tblVerifyPaid[[#This Row],[Date]]="","",SUMIFS(tblVerifyLabor[Actual hours (person-h)],tblVerifyLabor[Date],tblVerifyPaid[[#This Row],[Date]],tblVerifyLabor[Shift],tblVerifyPaid[[#This Row],[Shift]],tblVerifyLabor[Cell],tblVerifyPaid[[#This Row],[Cell]]))</f>
        <v>20</v>
      </c>
      <c r="G57" s="38">
        <f>IF(tblVerifyPaid[[#This Row],[Date]]="","",SUMIFS(tblVerifyLabor[Earned hours (person-h)],tblVerifyLabor[Date],tblVerifyPaid[[#This Row],[Date]],tblVerifyLabor[Shift],tblVerifyPaid[[#This Row],[Shift]],tblVerifyLabor[Cell],tblVerifyPaid[[#This Row],[Cell]]))</f>
        <v>67.5</v>
      </c>
      <c r="H57" s="38">
        <f>IF(tblVerifyPaid[[#This Row],[Date]]="","",tblVerifyPaid[[#This Row],[Paid hours (person-h)]]-tblVerifyPaid[[#This Row],[Direct hours (person-h)]])</f>
        <v>2.5</v>
      </c>
      <c r="I57" s="31">
        <f>IF(tblVerifyPaid[[#This Row],[Date]]="","",IF(tblVerifyPaid[[#This Row],[Paid hours (person-h)]]&gt;0,tblVerifyPaid[[#This Row],[Direct hours (person-h)]]/tblVerifyPaid[[#This Row],[Paid hours (person-h)]],""))</f>
        <v>0.888888888888889</v>
      </c>
      <c r="J57" s="31">
        <f>IF(tblVerifyPaid[[#This Row],[Date]]="","",IF(tblVerifyPaid[[#This Row],[Paid hours (person-h)]]&gt;0,tblVerifyPaid[[#This Row],[Earned hours (person-h)]]/tblVerifyPaid[[#This Row],[Paid hours (person-h)]],""))</f>
        <v>3</v>
      </c>
      <c r="K57" s="39" t="str">
        <f>IF(NOT(ISNUMBER(tblVerifyPaid[[#This Row],[Utilization]])),"",IF(tblVerifyPaid[[#This Row],[Utilization]]&gt;=$E$37,"On target",IF(tblVerifyPaid[[#This Row],[Utilization]]&gt;=$E$37*(1-0.05),"Near target","Below target")))</f>
        <v>On target</v>
      </c>
      <c r="L57" s="41">
        <f>IF(tblVerifyPaid[[#This Row],[Date]]="","",IF(AND(tblVerifyPaid[[#This Row],[Date]]&gt;=$E$33,tblVerifyPaid[[#This Row],[Date]]&lt;=$E$34,OR($E$35="",tblVerifyPaid[[#This Row],[Cell]]=$E$35)),tblVerifyPaid[[#This Row],[Date]],""))</f>
        <v>46028</v>
      </c>
      <c r="M57" s="42" t="str">
        <f>IF(tblVerifyPaid[[#This Row],[Date]]="","",IF(tblVerifyPaid[[#This Row],[Shift]]="","Missing shift",IF(tblVerifyPaid[[#This Row],[Cell]]="","Missing cell",IF(tblVerifyPaid[[#This Row],[Paid hours (person-h)]]="","Missing paid hours",IF(COUNTIF(tblVerifyCells[Cell],tblVerifyPaid[[#This Row],[Cell]])=0,"Cell not on Setup list",IF(tblVerifyPaid[[#This Row],[Direct hours (person-h)]]&gt;tblVerifyPaid[[#This Row],[Paid hours (person-h)]],"Labor Log hours exceed paid hours",IF(COUNTIFS(tblVerifyPaid[Date],tblVerifyPaid[[#This Row],[Date]],tblVerifyPaid[Shift],tblVerifyPaid[[#This Row],[Shift]],tblVerifyPaid[Cell],tblVerifyPaid[[#This Row],[Cell]])&gt;1,"Duplicate row",IF(tblVerifyPaid[[#This Row],[Direct hours (person-h)]]=0,"No Labor Log rows","OK"))))))))</f>
        <v>OK</v>
      </c>
      <c r="N57" s="65"/>
    </row>
    <row r="58" spans="2:15">
      <c r="B58" s="74">
        <v>46028</v>
      </c>
      <c r="C58" s="65" t="s">
        <v>101</v>
      </c>
      <c r="D58" s="65" t="s">
        <v>277</v>
      </c>
      <c r="E58" s="70">
        <v>15</v>
      </c>
      <c r="F58" s="38">
        <f>IF(tblVerifyPaid[[#This Row],[Date]]="","",SUMIFS(tblVerifyLabor[Actual hours (person-h)],tblVerifyLabor[Date],tblVerifyPaid[[#This Row],[Date]],tblVerifyLabor[Shift],tblVerifyPaid[[#This Row],[Shift]],tblVerifyLabor[Cell],tblVerifyPaid[[#This Row],[Cell]]))</f>
        <v>0</v>
      </c>
      <c r="G58" s="38">
        <f>IF(tblVerifyPaid[[#This Row],[Date]]="","",SUMIFS(tblVerifyLabor[Earned hours (person-h)],tblVerifyLabor[Date],tblVerifyPaid[[#This Row],[Date]],tblVerifyLabor[Shift],tblVerifyPaid[[#This Row],[Shift]],tblVerifyLabor[Cell],tblVerifyPaid[[#This Row],[Cell]]))</f>
        <v>0</v>
      </c>
      <c r="H58" s="38">
        <f>IF(tblVerifyPaid[[#This Row],[Date]]="","",tblVerifyPaid[[#This Row],[Paid hours (person-h)]]-tblVerifyPaid[[#This Row],[Direct hours (person-h)]])</f>
        <v>15</v>
      </c>
      <c r="I58" s="31">
        <f>IF(tblVerifyPaid[[#This Row],[Date]]="","",IF(tblVerifyPaid[[#This Row],[Paid hours (person-h)]]&gt;0,tblVerifyPaid[[#This Row],[Direct hours (person-h)]]/tblVerifyPaid[[#This Row],[Paid hours (person-h)]],""))</f>
        <v>0</v>
      </c>
      <c r="J58" s="31">
        <f>IF(tblVerifyPaid[[#This Row],[Date]]="","",IF(tblVerifyPaid[[#This Row],[Paid hours (person-h)]]&gt;0,tblVerifyPaid[[#This Row],[Earned hours (person-h)]]/tblVerifyPaid[[#This Row],[Paid hours (person-h)]],""))</f>
        <v>0</v>
      </c>
      <c r="K58" s="39" t="str">
        <f>IF(NOT(ISNUMBER(tblVerifyPaid[[#This Row],[Utilization]])),"",IF(tblVerifyPaid[[#This Row],[Utilization]]&gt;=$E$37,"On target",IF(tblVerifyPaid[[#This Row],[Utilization]]&gt;=$E$37*(1-0.05),"Near target","Below target")))</f>
        <v>Below target</v>
      </c>
      <c r="L58" s="41">
        <f>IF(tblVerifyPaid[[#This Row],[Date]]="","",IF(AND(tblVerifyPaid[[#This Row],[Date]]&gt;=$E$33,tblVerifyPaid[[#This Row],[Date]]&lt;=$E$34,OR($E$35="",tblVerifyPaid[[#This Row],[Cell]]=$E$35)),tblVerifyPaid[[#This Row],[Date]],""))</f>
        <v>46028</v>
      </c>
      <c r="M58" s="42" t="str">
        <f>IF(tblVerifyPaid[[#This Row],[Date]]="","",IF(tblVerifyPaid[[#This Row],[Shift]]="","Missing shift",IF(tblVerifyPaid[[#This Row],[Cell]]="","Missing cell",IF(tblVerifyPaid[[#This Row],[Paid hours (person-h)]]="","Missing paid hours",IF(COUNTIF(tblVerifyCells[Cell],tblVerifyPaid[[#This Row],[Cell]])=0,"Cell not on Setup list",IF(tblVerifyPaid[[#This Row],[Direct hours (person-h)]]&gt;tblVerifyPaid[[#This Row],[Paid hours (person-h)]],"Labor Log hours exceed paid hours",IF(COUNTIFS(tblVerifyPaid[Date],tblVerifyPaid[[#This Row],[Date]],tblVerifyPaid[Shift],tblVerifyPaid[[#This Row],[Shift]],tblVerifyPaid[Cell],tblVerifyPaid[[#This Row],[Cell]])&gt;1,"Duplicate row",IF(tblVerifyPaid[[#This Row],[Direct hours (person-h)]]=0,"No Labor Log rows","OK"))))))))</f>
        <v>No Labor Log rows</v>
      </c>
      <c r="N58" s="65"/>
    </row>
  </sheetData>
  <sheetProtection sheet="1" formatColumns="0" formatRows="0"/>
  <mergeCells count="39">
    <mergeCell ref="A1:O1"/>
    <mergeCell ref="B2:N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E35:F35"/>
    <mergeCell ref="B36:D36"/>
    <mergeCell ref="B37:D37"/>
    <mergeCell ref="B38:D38"/>
    <mergeCell ref="B39:D39"/>
    <mergeCell ref="B41:L41"/>
    <mergeCell ref="B46:L46"/>
    <mergeCell ref="B53:L5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55:M58">
    <cfRule type="expression" dxfId="3" priority="43">
      <formula>$M55="OK"</formula>
    </cfRule>
    <cfRule type="expression" dxfId="1" priority="44">
      <formula>AND($M55&lt;&gt;"",$M55&lt;&gt;"OK")</formula>
    </cfRule>
  </conditionalFormatting>
  <conditionalFormatting sqref="N48:N51">
    <cfRule type="expression" dxfId="3" priority="41">
      <formula>$N48="OK"</formula>
    </cfRule>
    <cfRule type="expression" dxfId="1" priority="42">
      <formula>AND($N48&lt;&gt;"",$N48&lt;&gt;"OK")</formula>
    </cfRule>
  </conditionalFormatting>
  <hyperlinks>
    <hyperlink ref="O2" r:id="rId1" tooltip="Free manufacturing calculators and templates"/>
  </hyperlinks>
  <printOptions horizontalCentered="1"/>
  <pageMargins left="0.4" right="0.4" top="0.7" bottom="0.65" header="0.3" footer="0.3"/>
  <pageSetup fitToHeight="0" orientation="landscape"/>
  <headerFooter>
    <oddHeader>&amp;L&amp;8MFG Calcs - Labor Efficiency Tracker&amp;R&amp;8&amp;A</oddHeader>
    <oddFooter>&amp;L&amp;8mfgcalcs.com - free manufacturing templates&amp;R&amp;8Page &amp;P of &amp;N</oddFooter>
  </headerFooter>
  <rowBreaks count="1" manualBreakCount="1">
    <brk id="31"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30</vt:i4>
      </vt:variant>
    </vt:vector>
  </HeadingPairs>
  <TitlesOfParts>
    <vt:vector size="37" baseType="lpstr">
      <vt:lpstr>Start Here</vt:lpstr>
      <vt:lpstr>Setup</vt:lpstr>
      <vt:lpstr>Labor Log</vt:lpstr>
      <vt:lpstr>Paid Hours</vt:lpstr>
      <vt:lpstr>Dashboard</vt:lpstr>
      <vt:lpstr>Method</vt:lpstr>
      <vt:lpstr>Verify</vt:lpstr>
      <vt:lpstr>Currency</vt:lpstr>
      <vt:lpstr>DashCell</vt:lpstr>
      <vt:lpstr>DashFrom</vt:lpstr>
      <vt:lpstr>DashTo</vt:lpstr>
      <vt:lpstr>HighEff</vt:lpstr>
      <vt:lpstr>KpiActual</vt:lpstr>
      <vt:lpstr>KpiEarned</vt:lpstr>
      <vt:lpstr>KpiEff</vt:lpstr>
      <vt:lpstr>KpiIndirect</vt:lpstr>
      <vt:lpstr>KpiLost</vt:lpstr>
      <vt:lpstr>KpiLowCell</vt:lpstr>
      <vt:lpstr>KpiProd</vt:lpstr>
      <vt:lpstr>KpiUtil</vt:lpstr>
      <vt:lpstr>LaborRate</vt:lpstr>
      <vt:lpstr>PlantName</vt:lpstr>
      <vt:lpstr>Dashboard!Print_Area</vt:lpstr>
      <vt:lpstr>'Labor Log'!Print_Area</vt:lpstr>
      <vt:lpstr>Method!Print_Area</vt:lpstr>
      <vt:lpstr>'Paid Hours'!Print_Area</vt:lpstr>
      <vt:lpstr>Setup!Print_Area</vt:lpstr>
      <vt:lpstr>'Start Here'!Print_Area</vt:lpstr>
      <vt:lpstr>Verify!Print_Area</vt:lpstr>
      <vt:lpstr>'Labor Log'!Print_Titles</vt:lpstr>
      <vt:lpstr>Method!Print_Titles</vt:lpstr>
      <vt:lpstr>'Paid Hours'!Print_Titles</vt:lpstr>
      <vt:lpstr>SelfCheck</vt:lpstr>
      <vt:lpstr>SelfCheckSummary</vt:lpstr>
      <vt:lpstr>TargetEff</vt:lpstr>
      <vt:lpstr>TargetProd</vt:lpstr>
      <vt:lpstr>TargetUtil</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Labor Efficiency Tracker - free Excel template from MFG Calcs</dc:title>
  <dc:subject>Log output and hours by cell and shift, and see labor efficiency, utilization, productivity and the hours lost against standard update as you type.</dc:subject>
  <dc:creator>MFG Calcs</dc:creator>
  <cp:keywords>labor efficiency, earned hours, standard hours, utilization, labor productivity, direct labor, work cell, labor report</cp:keywords>
  <dc:description>https://www.mfgcalcs.com/templates/labor-efficiency-tracker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labor-efficiency-tracker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https://www.mfgcalcs.com/templates/labor-efficiency-tracker</vt:lpwstr>
  </property>
  <property fmtid="{D5CDD505-2E9C-101B-9397-08002B2CF9AE}" pid="7" name="Template sheet roles">
    <vt:lpwstr>Start Here=start;Setup=setup;Labor Log=work;Paid Hours=work;Dashboard=dashboard;Method=method;Verify=verify</vt:lpwstr>
  </property>
</Properties>
</file>