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Landed Cost Log" sheetId="3" r:id="rId3"/>
    <sheet name="Dashboard" sheetId="4" r:id="rId4"/>
    <sheet name="Method" sheetId="5" r:id="rId5"/>
    <sheet name="Verify" sheetId="6" r:id="rId6"/>
  </sheets>
  <definedNames>
    <definedName name="CoName">Setup!$C$6</definedName>
    <definedName name="Currency">Setup!$C$7</definedName>
    <definedName name="DashFrom">Dashboard!$G$4</definedName>
    <definedName name="DashOrigin">Dashboard!$C$4</definedName>
    <definedName name="DashTo">Dashboard!$K$4</definedName>
    <definedName name="DutyBase">Setup!$C$8</definedName>
    <definedName name="FFrom">IF(DashFrom="",0,DashFrom)</definedName>
    <definedName name="FTo">IF(DashTo="",2958465,DashTo)</definedName>
    <definedName name="KpiCustoms">Dashboard!$G$33</definedName>
    <definedName name="KpiDuty">Dashboard!$G$8</definedName>
    <definedName name="KpiLanded">Dashboard!$B$8</definedName>
    <definedName name="KpiTariff">Dashboard!$J$8</definedName>
    <definedName name="KpiUplift">Dashboard!$D$8</definedName>
    <definedName name="KpiWhatIf">Dashboard!$B$33</definedName>
    <definedName name="KpiWhatIfUplift">Dashboard!$D$33</definedName>
    <definedName name="KpiWorst">Dashboard!$J$33</definedName>
    <definedName name="Origins">tblOrigins[Origin]</definedName>
    <definedName name="Parts">tblParts[Part]</definedName>
    <definedName name="_xlnm.Print_Area" localSheetId="3">Dashboard!$A$1:$L$71</definedName>
    <definedName name="_xlnm.Print_Area" localSheetId="2">'Landed Cost Log'!$A$1:$Z$53</definedName>
    <definedName name="_xlnm.Print_Area" localSheetId="4">Method!$A$1:$D$58</definedName>
    <definedName name="_xlnm.Print_Area" localSheetId="1">Setup!$A$1:$E$43</definedName>
    <definedName name="_xlnm.Print_Area" localSheetId="0">'Start Here'!$A$1:$F$55</definedName>
    <definedName name="_xlnm.Print_Area" localSheetId="5">Verify!$A$1:$Z$63</definedName>
    <definedName name="_xlnm.Print_Titles" localSheetId="2">'Landed Cost Log'!$1:$6</definedName>
    <definedName name="_xlnm.Print_Titles" localSheetId="4">Method!$1:$2</definedName>
    <definedName name="SelfCheck">Verify!$D$4</definedName>
    <definedName name="SelfCheckSummary">Verify!$F$4</definedName>
    <definedName name="Suppliers">tblSuppliers[Supplier]</definedName>
    <definedName name="UpliftLimit">Setup!$C$9</definedName>
    <definedName name="WhatIfPts">Dashboard!$C$31</definedName>
  </definedNames>
  <calcPr calcId="124519" fullCalcOnLoad="1"/>
</workbook>
</file>

<file path=xl/sharedStrings.xml><?xml version="1.0" encoding="utf-8"?>
<sst xmlns="http://schemas.openxmlformats.org/spreadsheetml/2006/main" count="747" uniqueCount="336">
  <si>
    <t>Landed Cost and Tariff Tracker</t>
  </si>
  <si>
    <t>Read this first: what the workbook does and how to use it.</t>
  </si>
  <si>
    <t>mfgcalcs.com</t>
  </si>
  <si>
    <t>Turn every import entry into landed cost per unit, see how much of it is duty and extra tariffs, and test a tariff change before it lands.</t>
  </si>
  <si>
    <t>For: Buyers, importers, supply-chain and cost analysts, and owners who buy parts or materials from other countries.</t>
  </si>
  <si>
    <t>Version 1.0.0  ·  updated 15 October 2026</t>
  </si>
  <si>
    <t>Quick start</t>
  </si>
  <si>
    <t>1.</t>
  </si>
  <si>
    <t>On Setup, type your company and currency, choose the duty base your customs authority uses (FOB or CIF) and set your landed-cost uplift limit.</t>
  </si>
  <si>
    <t>2.</t>
  </si>
  <si>
    <t>Replace the example suppliers, origins and parts (with their HS codes) with your own.</t>
  </si>
  <si>
    <t>3.</t>
  </si>
  <si>
    <t>On Landed Cost Log, add one row per part line of each import entry: units, unit price, freight, insurance, duty rate, any extra tariff, brokerage and inland freight.</t>
  </si>
  <si>
    <t>4.</t>
  </si>
  <si>
    <t>Read the Check column, then open the Dashboard: filter by origin or dates, compare landed cost per unit by part and origin, and try a tariff what-if.</t>
  </si>
  <si>
    <t>What is in this workbook</t>
  </si>
  <si>
    <t>Start Here</t>
  </si>
  <si>
    <t>Setup</t>
  </si>
  <si>
    <t>Your company, currency, duty base and uplift limit, and the supplier, origin and part lists.</t>
  </si>
  <si>
    <t>Landed Cost Log</t>
  </si>
  <si>
    <t>One row per part line of an import entry: price, freight, duty, tariffs and fees to landed cost per unit.</t>
  </si>
  <si>
    <t>Dashboard</t>
  </si>
  <si>
    <t>Landed cost, duty and extra tariffs by origin and part, for the origin and dates you choose, with a tariff what-if.</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</si>
  <si>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</si>
  <si>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</si>
  <si>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</si>
  <si>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</si>
  <si>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</si>
  <si>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</si>
  <si>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</si>
  <si>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</si>
  <si>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</si>
  <si>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</si>
  <si>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</si>
  <si>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</si>
  <si>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</si>
  <si>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</si>
  <si>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</si>
  <si>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</si>
  <si>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</si>
  <si>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</si>
  <si>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</si>
  <si>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</si>
  <si>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Landed Cost Calculator on mfgcalcs.com</t>
  </si>
  <si>
    <t>Latest version</t>
  </si>
  <si>
    <t>mfgcalcs.com/templates/landed-cost-tariff</t>
  </si>
  <si>
    <t>More free templates</t>
  </si>
  <si>
    <t>mfgcalcs.com/templates</t>
  </si>
  <si>
    <t>Version</t>
  </si>
  <si>
    <t>1.0.0 (updated 15 October 2026)</t>
  </si>
  <si>
    <t>About the example data</t>
  </si>
  <si>
    <t>Every number already in this workbook is example data for Corvale Pumps, a fictional business invented for this template, so the dashboard and charts show something meaningful on day one. It covers 47 part lines of import entries from five origins (July to September 2026), generated from a fixed seed. Prices, freight, duty and tariff rates are invented examples, not current tariff rates.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</si>
  <si>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</si>
  <si>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</si>
  <si>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</si>
  <si>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</si>
  <si>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</si>
  <si>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</si>
  <si>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</si>
  <si>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</si>
  <si>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Origin</t>
  </si>
  <si>
    <t>Region</t>
  </si>
  <si>
    <t>Notes</t>
  </si>
  <si>
    <t>Supplier</t>
  </si>
  <si>
    <t>Part</t>
  </si>
  <si>
    <t>HS code</t>
  </si>
  <si>
    <t>Unit</t>
  </si>
  <si>
    <t>Company and customs settings</t>
  </si>
  <si>
    <t>Company or plant</t>
  </si>
  <si>
    <t>Corvale Pumps (example)</t>
  </si>
  <si>
    <t>Currency label</t>
  </si>
  <si>
    <t>USD</t>
  </si>
  <si>
    <t>Duty is charged on</t>
  </si>
  <si>
    <t>FOB value</t>
  </si>
  <si>
    <t>Landed cost uplift limit</t>
  </si>
  <si>
    <t>Customs valuation differs by country. For example, the United States values most imports at the transaction value without international freight and insurance (FOB), while the European Union, the United Kingdom and India add freight and insurance to the border (CIF). Check your customs authority's rules or ask your broker. The uplift limit is yours to set; nothing here assumes an industry benchmark.</t>
  </si>
  <si>
    <t>Lists that feed the dropdowns</t>
  </si>
  <si>
    <t>Every dropdown on the Landed Cost Log reads these lists. Keep names unique. Duty and extra tariff rates depend on the HS code and the origin, so they are typed on each log row from the entry or your broker.</t>
  </si>
  <si>
    <t>Countries of origin</t>
  </si>
  <si>
    <t>China</t>
  </si>
  <si>
    <t>Asia</t>
  </si>
  <si>
    <t>Example extra tariff 25% on the housing and motor lines</t>
  </si>
  <si>
    <t>Vietnam</t>
  </si>
  <si>
    <t/>
  </si>
  <si>
    <t>India</t>
  </si>
  <si>
    <t>Mexico</t>
  </si>
  <si>
    <t>North America</t>
  </si>
  <si>
    <t>Second source for the housing from August</t>
  </si>
  <si>
    <t>Germany</t>
  </si>
  <si>
    <t>Europe</t>
  </si>
  <si>
    <t>Suppliers (fictional)</t>
  </si>
  <si>
    <t>Eastport Castings</t>
  </si>
  <si>
    <t>Housing PH-40</t>
  </si>
  <si>
    <t>Norte Castings</t>
  </si>
  <si>
    <t>Housing PH-40, second source</t>
  </si>
  <si>
    <t>Mekong Rotor Works</t>
  </si>
  <si>
    <t>Impellers</t>
  </si>
  <si>
    <t>Jadeway Motors</t>
  </si>
  <si>
    <t>Motors</t>
  </si>
  <si>
    <t>Rheinfeld Components</t>
  </si>
  <si>
    <t>Seals and switches</t>
  </si>
  <si>
    <t>Bajio Electronics</t>
  </si>
  <si>
    <t>Control boards</t>
  </si>
  <si>
    <t>Pune Fastening</t>
  </si>
  <si>
    <t>Fastener kits and glands</t>
  </si>
  <si>
    <t>Parts and HS codes (example codes)</t>
  </si>
  <si>
    <t>Pump housing PH-40</t>
  </si>
  <si>
    <t>8413.91.90</t>
  </si>
  <si>
    <t>Cast iron housing</t>
  </si>
  <si>
    <t>ea</t>
  </si>
  <si>
    <t>Impeller IM-12</t>
  </si>
  <si>
    <t>Bronze impeller</t>
  </si>
  <si>
    <t>Motor 0.75 kW M-75</t>
  </si>
  <si>
    <t>8501.52.40</t>
  </si>
  <si>
    <t>3-phase motor</t>
  </si>
  <si>
    <t>Shaft seal SS-20</t>
  </si>
  <si>
    <t>8484.20.00</t>
  </si>
  <si>
    <t>Mechanical seal</t>
  </si>
  <si>
    <t>Control board CB-3</t>
  </si>
  <si>
    <t>8537.10.90</t>
  </si>
  <si>
    <t>Pump controller</t>
  </si>
  <si>
    <t>Fastener kit FK-8</t>
  </si>
  <si>
    <t>7318.15.20</t>
  </si>
  <si>
    <t>Bolts, nuts, washers</t>
  </si>
  <si>
    <t>kit</t>
  </si>
  <si>
    <t>Cable gland CG-16</t>
  </si>
  <si>
    <t>8547.20.00</t>
  </si>
  <si>
    <t>Pressure switch PS-6</t>
  </si>
  <si>
    <t>9026.20.40</t>
  </si>
  <si>
    <t>Date</t>
  </si>
  <si>
    <t>Entry ref</t>
  </si>
  <si>
    <t>Units</t>
  </si>
  <si>
    <t>Unit price</t>
  </si>
  <si>
    <t>Freight intl</t>
  </si>
  <si>
    <t>Insurance</t>
  </si>
  <si>
    <t>Duty rate</t>
  </si>
  <si>
    <t>Extra tariff</t>
  </si>
  <si>
    <t>Brokerage and fees</t>
  </si>
  <si>
    <t>Inland freight</t>
  </si>
  <si>
    <t>Goods value</t>
  </si>
  <si>
    <t>Customs value</t>
  </si>
  <si>
    <t>Duty</t>
  </si>
  <si>
    <t>Tariff</t>
  </si>
  <si>
    <t>Landed cost</t>
  </si>
  <si>
    <t>Landed per unit</t>
  </si>
  <si>
    <t>Uplift</t>
  </si>
  <si>
    <t>Uplift status</t>
  </si>
  <si>
    <t>View date</t>
  </si>
  <si>
    <t>Check</t>
  </si>
  <si>
    <t>Example data for Corvale Pumps (fictional). Rates are invented examples, not current tariffs. Replace it with your own: select the example rows, right-click, Delete &gt; Table Rows. Yellow = you type; blue = calculated.</t>
  </si>
  <si>
    <t>% of goods</t>
  </si>
  <si>
    <t>E-2607-031</t>
  </si>
  <si>
    <t>E-2607-016</t>
  </si>
  <si>
    <t>E-2607-021</t>
  </si>
  <si>
    <t>Example extra tariff on this HS code and origin</t>
  </si>
  <si>
    <t>E-2607-034</t>
  </si>
  <si>
    <t>E-2607-039</t>
  </si>
  <si>
    <t>E-2607-041</t>
  </si>
  <si>
    <t>E-2607-011</t>
  </si>
  <si>
    <t>E-2607-027</t>
  </si>
  <si>
    <t>E-2607-024</t>
  </si>
  <si>
    <t>E-2607-036</t>
  </si>
  <si>
    <t>E-2607-033</t>
  </si>
  <si>
    <t>E-2607-018</t>
  </si>
  <si>
    <t>E-2607-014</t>
  </si>
  <si>
    <t>E-2607-030</t>
  </si>
  <si>
    <t>E-2607-040</t>
  </si>
  <si>
    <t>E-2608-064</t>
  </si>
  <si>
    <t>E-2608-051</t>
  </si>
  <si>
    <t>E-2608-053</t>
  </si>
  <si>
    <t>E-2608-070</t>
  </si>
  <si>
    <t>E-2608-057</t>
  </si>
  <si>
    <t>E-2608-060</t>
  </si>
  <si>
    <t>E-2608-043</t>
  </si>
  <si>
    <t>E-2608-072</t>
  </si>
  <si>
    <t>E-2608-048</t>
  </si>
  <si>
    <t>First lot from the second source</t>
  </si>
  <si>
    <t>E-2608-046</t>
  </si>
  <si>
    <t>E-2608-067</t>
  </si>
  <si>
    <t>E-2608-058</t>
  </si>
  <si>
    <t>E-2608-052</t>
  </si>
  <si>
    <t>E-2608-054</t>
  </si>
  <si>
    <t>E-2608-071</t>
  </si>
  <si>
    <t>E-2608-061</t>
  </si>
  <si>
    <t>E-2609-077</t>
  </si>
  <si>
    <t>E-2609-079</t>
  </si>
  <si>
    <t>E-2609-088</t>
  </si>
  <si>
    <t>E-2609-096</t>
  </si>
  <si>
    <t>E-2609-105</t>
  </si>
  <si>
    <t>E-2609-083</t>
  </si>
  <si>
    <t>E-2609-092</t>
  </si>
  <si>
    <t>E-2609-075</t>
  </si>
  <si>
    <t>E-2609-101</t>
  </si>
  <si>
    <t>E-2609-085</t>
  </si>
  <si>
    <t>E-2609-089</t>
  </si>
  <si>
    <t>E-2609-099</t>
  </si>
  <si>
    <t>E-2609-104</t>
  </si>
  <si>
    <t>E-2609-095</t>
  </si>
  <si>
    <t>E-2609-080</t>
  </si>
  <si>
    <t>E-2609-076</t>
  </si>
  <si>
    <t>From</t>
  </si>
  <si>
    <t>To</t>
  </si>
  <si>
    <t>UPLIFT OVER GOODS VALUE</t>
  </si>
  <si>
    <t>Goods + freight + duty + tariffs + fees</t>
  </si>
  <si>
    <t>Duty + extra tariffs on the entries in view</t>
  </si>
  <si>
    <t>On top of the normal duty rate</t>
  </si>
  <si>
    <t>Tariff what-if: add percentage points of tariff on the customs value in view</t>
  </si>
  <si>
    <t>Extra tariff to test</t>
  </si>
  <si>
    <t>UPLIFT WITH THE WHAT-IF</t>
  </si>
  <si>
    <t>HIGHEST-UPLIFT ORIGIN</t>
  </si>
  <si>
    <t>Customs value in view x extra points</t>
  </si>
  <si>
    <t>Landed cost above goods value</t>
  </si>
  <si>
    <t>Landed cost per unit by part and origin (compare two sources of the same part)</t>
  </si>
  <si>
    <t>Part \ origin</t>
  </si>
  <si>
    <t>By origin</t>
  </si>
  <si>
    <t>Freight and insurance</t>
  </si>
  <si>
    <t>Extra tariffs</t>
  </si>
  <si>
    <t>Brokerage and inland</t>
  </si>
  <si>
    <t>Uplift limit</t>
  </si>
  <si>
    <t>Status</t>
  </si>
  <si>
    <t>%</t>
  </si>
  <si>
    <t>By part (averages are totals / units, weighted by quantity)</t>
  </si>
  <si>
    <t>Avg unit price</t>
  </si>
  <si>
    <t>Duty and tariffs per unit</t>
  </si>
  <si>
    <t>Lines</t>
  </si>
  <si>
    <t>units</t>
  </si>
  <si>
    <t>lines</t>
  </si>
  <si>
    <t>The Dashboard shows the 5 origins and 8 parts of the Setup lists. If you add more, extend the origin, part and matrix blocks (see Method) or they will not appear here. A blank matrix cell means no units of that part from that origin are in view.</t>
  </si>
  <si>
    <t>What this workbook calculates</t>
  </si>
  <si>
    <t>Landed cost is everything it takes to get a purchased part to your door: the goods, international freight and insurance, duty and any extra tariffs, brokerage and fees, and inland freight. This workbook builds it per part line of each import entry, so the cost of a part from two origins can be compared per unit, and shows how much of the uplift over the goods value is tariff. Duty is charged on the customs value, which is the goods value alone (FOB) or goods plus international freight and insurance (CIF), as you set on Setup.</t>
  </si>
  <si>
    <t>Calculations</t>
  </si>
  <si>
    <t>Quantity</t>
  </si>
  <si>
    <t>How it is calculated</t>
  </si>
  <si>
    <t>Units x unit price (invoice price, converted to your currency at the entry's rate).</t>
  </si>
  <si>
    <t>currency</t>
  </si>
  <si>
    <t>Goods value, plus international freight and insurance when the duty base on Setup is CIF value.</t>
  </si>
  <si>
    <t>Customs value x duty rate (the rate for the HS code and origin, after any preference).</t>
  </si>
  <si>
    <t>Customs value x extra tariff rate (anti-dumping, safeguard, retaliatory or other additional duties).</t>
  </si>
  <si>
    <t>Goods value + international freight + insurance + duty + extra tariff + brokerage and fees + inland freight.</t>
  </si>
  <si>
    <t>Landed cost / units. Over several lines: total landed cost / total units, so large lots weigh more.</t>
  </si>
  <si>
    <t>currency/unit</t>
  </si>
  <si>
    <t>Landed cost / goods value - 1: what it costs to land the goods, as a % of what they cost. Over several lines it is formed from the sums.</t>
  </si>
  <si>
    <t>On target at or below the uplift limit on Setup, Near target up to 5% above it, Above target beyond.</t>
  </si>
  <si>
    <t>-</t>
  </si>
  <si>
    <t>Tariff what-if</t>
  </si>
  <si>
    <t>Customs value of the entries in view x the extra percentage points you type. The uplift with the what-if adds that cost to landed cost.</t>
  </si>
  <si>
    <t>currency, %</t>
  </si>
  <si>
    <t>Part x origin matrix</t>
  </si>
  <si>
    <t>SUMIFS(landed cost) / SUMIFS(units) for each part and origin in view; blank where none were bought.</t>
  </si>
  <si>
    <t>Dashboard roll-ups</t>
  </si>
  <si>
    <t>Every figure is a SUMIFS or COUNTIFS over the log restricted to rows whose View date is filled in (inside the origin and date filters).</t>
  </si>
  <si>
    <t>Assumptions</t>
  </si>
  <si>
    <t>Every amount is in the currency on Setup; foreign invoices and freight bills are converted at the rate on the customs entry before typing.</t>
  </si>
  <si>
    <t>Duty and extra tariffs are ad valorem (a % of customs value). A specific duty (an amount per kg or per unit) can be typed as an equivalent % or added to Brokerage and fees.</t>
  </si>
  <si>
    <t>Freight, insurance and fees shared by several lines of one entry are split between the lines by you (by weight, volume or value).</t>
  </si>
  <si>
    <t>Rates are typed per line, as entered, so a rate change does not rewrite past entries.</t>
  </si>
  <si>
    <t>Limitations</t>
  </si>
  <si>
    <t>The workbook does not classify goods, look up tariff rates or decide customs value; your broker or customs authority does. The example HS codes and rates are illustrations, not advice.</t>
  </si>
  <si>
    <t>Recoverable import taxes (VAT, GST, IGST) are not included, because most manufacturers reclaim them; add any non-recoverable tax to Brokerage and fees.</t>
  </si>
  <si>
    <t>Inventory carrying cost, quality losses and payment terms are not in landed cost here (see the Reshoring TCO template for the wider total cost).</t>
  </si>
  <si>
    <t>The Dashboard has fixed blocks for the number of origins and parts in the example lists; longer lists need the blocks extended (a warning appears).</t>
  </si>
  <si>
    <t>Agreement with the live calculator</t>
  </si>
  <si>
    <t>For one log row, this workbook and the live Landed Cost calculator agree: goods cost = units x unit price; arrival adders = freight + duty + brokerage, insurance and handling; landed cost = goods + adders; landed cost per unit = landed cost / units. The calculator takes duty as an amount; this workbook computes it from the customs value and the duty and extra tariff rates, and adds inland freight (count it in the calculator's handling). The build checks the reference implementation against the calculator's engine for its own example (1,000 units at 12.00, freight 1,200, duty 600 = 5% of a FOB value of 12,000, brokerage, insurance and handling 600: landed cost 14,400, 14.40 per unit) and for one row of the example data.</t>
  </si>
  <si>
    <t>Open the Landed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</si>
  <si>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</si>
  <si>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</si>
  <si>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WTO Agreement on Customs Valuation (Article VII of GATT 1994): transaction value as the primary basis of customs value; members choose whether freight and insurance to the border are included.</t>
  </si>
  <si>
    <t>World Customs Organization, Harmonized System nomenclature: the 6-digit HS code that national tariffs extend.</t>
  </si>
  <si>
    <t>MFG Calcs Landed Cost calculator: goods cost, arrival adders and landed cost per unit for one shipment.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</si>
  <si>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</si>
  <si>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</si>
  <si>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</si>
  <si>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</si>
  <si>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</si>
  <si>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</si>
  <si>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</si>
  <si>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</si>
  <si>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</si>
  <si>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</si>
  <si>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</si>
  <si>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</si>
  <si>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</si>
  <si>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</si>
  <si>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</si>
  <si>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duty</t>
  </si>
  <si>
    <t>Row 1 (calculator example): extra tariff</t>
  </si>
  <si>
    <t>Row 1 (calculator example): landed cost</t>
  </si>
  <si>
    <t>Row 1 (calculator example): landed per unit</t>
  </si>
  <si>
    <t>Row 1 (calculator example): uplift</t>
  </si>
  <si>
    <t>Row 2 (extra tariff): duty</t>
  </si>
  <si>
    <t>Row 2 (extra tariff): extra tariff</t>
  </si>
  <si>
    <t>Row 2 (extra tariff): landed cost</t>
  </si>
  <si>
    <t>Row 2 (extra tariff): landed per unit</t>
  </si>
  <si>
    <t>Row 2 (extra tariff): uplift</t>
  </si>
  <si>
    <t>Row 3 (duty-free): duty</t>
  </si>
  <si>
    <t>Row 3 (duty-free): extra tariff</t>
  </si>
  <si>
    <t>Row 3 (duty-free): landed cost</t>
  </si>
  <si>
    <t>Row 3 (duty-free): landed per unit</t>
  </si>
  <si>
    <t>Row 3 (duty-free): uplift</t>
  </si>
  <si>
    <t>Row 1: uplift status (20% against a 25% limit)</t>
  </si>
  <si>
    <t>On target</t>
  </si>
  <si>
    <t>exact</t>
  </si>
  <si>
    <t>Row 2: uplift status</t>
  </si>
  <si>
    <t>Above target</t>
  </si>
  <si>
    <t>Row 4: Check reports the unknown part</t>
  </si>
  <si>
    <t>Part not on Setup list</t>
  </si>
  <si>
    <t>Row 1: Check is OK</t>
  </si>
  <si>
    <t>OK</t>
  </si>
  <si>
    <t>All rows: landed cost (Dashboard formula)</t>
  </si>
  <si>
    <t>All rows: uplift (Dashboard formula)</t>
  </si>
  <si>
    <t>All rows: duty and tariffs (Dashboard formula)</t>
  </si>
  <si>
    <t>All rows: what-if added cost at +10 points (Dashboard formula)</t>
  </si>
  <si>
    <t>All rows, CIF base: duty (Dashboard formula with the CIF customs value)</t>
  </si>
  <si>
    <t>Fixed test inputs</t>
  </si>
  <si>
    <t>White cells are fixed test inputs; blue cells are the workbook's formulas evaluated on them.</t>
  </si>
  <si>
    <t>Parameters</t>
  </si>
  <si>
    <t>Filter: from (0 = no limit)</t>
  </si>
  <si>
    <t>Filter: to (2958465 = no limit)</t>
  </si>
  <si>
    <t>Filter: origin (blank = all)</t>
  </si>
  <si>
    <t>Duty base</t>
  </si>
  <si>
    <t>What-if extra tariff</t>
  </si>
  <si>
    <t>Test table: Parts</t>
  </si>
  <si>
    <t>P1</t>
  </si>
  <si>
    <t>0000.00</t>
  </si>
  <si>
    <t>P2</t>
  </si>
  <si>
    <t>Test table: Suppliers</t>
  </si>
  <si>
    <t>S1</t>
  </si>
  <si>
    <t>O1</t>
  </si>
  <si>
    <t>S2</t>
  </si>
  <si>
    <t>O2</t>
  </si>
  <si>
    <t>Test table: Shipments</t>
  </si>
  <si>
    <t>E-1</t>
  </si>
  <si>
    <t>E-2</t>
  </si>
  <si>
    <t>E-3</t>
  </si>
  <si>
    <t>E-4</t>
  </si>
  <si>
    <t>Typo</t>
  </si>
</sst>
</file>

<file path=xl/styles.xml><?xml version="1.0" encoding="utf-8"?>
<styleSheet xmlns="http://schemas.openxmlformats.org/spreadsheetml/2006/main">
  <numFmts count="7">
    <numFmt numFmtId="164" formatCode="0.0%"/>
    <numFmt numFmtId="165" formatCode="d mmm yyyy"/>
    <numFmt numFmtId="166" formatCode="#,##0"/>
    <numFmt numFmtId="167" formatCode="#,##0.00"/>
    <numFmt numFmtId="168" formatCode="#,##0.0000"/>
    <numFmt numFmtId="169" formatCode="&quot;Limit &quot;0.0%"/>
    <numFmt numFmtId="170"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1" fillId="4" borderId="3" xfId="0" applyFont="1" applyFill="1" applyBorder="1" applyAlignment="1">
      <alignment vertical="center"/>
    </xf>
    <xf numFmtId="165"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7" fontId="10" fillId="4" borderId="3" xfId="0" applyNumberFormat="1" applyFont="1" applyFill="1" applyBorder="1" applyAlignment="1">
      <alignment horizontal="center" vertical="center"/>
    </xf>
    <xf numFmtId="166" fontId="10" fillId="4" borderId="3" xfId="0" applyNumberFormat="1" applyFont="1" applyFill="1" applyBorder="1" applyAlignment="1">
      <alignment vertical="center"/>
    </xf>
    <xf numFmtId="166" fontId="9" fillId="4" borderId="3" xfId="0" applyNumberFormat="1" applyFont="1" applyFill="1" applyBorder="1" applyAlignment="1">
      <alignment vertical="center"/>
    </xf>
    <xf numFmtId="164" fontId="10" fillId="0" borderId="9" xfId="0" applyNumberFormat="1" applyFont="1" applyBorder="1" applyAlignment="1">
      <alignment vertical="center"/>
    </xf>
    <xf numFmtId="167" fontId="9"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8"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Landed cost by origin</a:t>
            </a:r>
          </a:p>
        </c:rich>
      </c:tx>
      <c:layout/>
    </c:title>
    <c:plotArea>
      <c:layout/>
      <c:barChart>
        <c:barDir val="bar"/>
        <c:grouping val="stacked"/>
        <c:ser>
          <c:idx val="0"/>
          <c:order val="0"/>
          <c:tx>
            <c:v>Goods value</c:v>
          </c:tx>
          <c:spPr>
            <a:solidFill>
              <a:srgbClr val="3B64D8"/>
            </a:solidFill>
            <a:ln w="9525">
              <a:solidFill>
                <a:srgbClr val="FFFFFF"/>
              </a:solidFill>
            </a:ln>
          </c:spPr>
          <c:cat>
            <c:strRef>
              <c:f>Dashboard!$B$52:$B$56</c:f>
              <c:strCache>
                <c:ptCount val="5"/>
                <c:pt idx="0">
                  <c:v>China</c:v>
                </c:pt>
                <c:pt idx="1">
                  <c:v>Vietnam</c:v>
                </c:pt>
                <c:pt idx="2">
                  <c:v>India</c:v>
                </c:pt>
                <c:pt idx="3">
                  <c:v>Mexico</c:v>
                </c:pt>
                <c:pt idx="4">
                  <c:v>Germany</c:v>
                </c:pt>
              </c:strCache>
            </c:strRef>
          </c:cat>
          <c:val>
            <c:numRef>
              <c:f>Dashboard!$C$52:$C$56</c:f>
              <c:numCache>
                <c:formatCode>General</c:formatCode>
                <c:ptCount val="5"/>
                <c:pt idx="0">
                  <c:v>282834.5</c:v>
                </c:pt>
                <c:pt idx="1">
                  <c:v>60258.5</c:v>
                </c:pt>
                <c:pt idx="2">
                  <c:v>47174</c:v>
                </c:pt>
                <c:pt idx="3">
                  <c:v>151996.5</c:v>
                </c:pt>
                <c:pt idx="4">
                  <c:v>97063</c:v>
                </c:pt>
              </c:numCache>
            </c:numRef>
          </c:val>
        </c:ser>
        <c:ser>
          <c:idx val="1"/>
          <c:order val="1"/>
          <c:tx>
            <c:v>Freight and insurance</c:v>
          </c:tx>
          <c:spPr>
            <a:solidFill>
              <a:srgbClr val="E8702A"/>
            </a:solidFill>
            <a:ln w="9525">
              <a:solidFill>
                <a:srgbClr val="FFFFFF"/>
              </a:solidFill>
            </a:ln>
          </c:spPr>
          <c:cat>
            <c:strRef>
              <c:f>Dashboard!$B$52:$B$56</c:f>
              <c:strCache>
                <c:ptCount val="5"/>
                <c:pt idx="0">
                  <c:v>China</c:v>
                </c:pt>
                <c:pt idx="1">
                  <c:v>Vietnam</c:v>
                </c:pt>
                <c:pt idx="2">
                  <c:v>India</c:v>
                </c:pt>
                <c:pt idx="3">
                  <c:v>Mexico</c:v>
                </c:pt>
                <c:pt idx="4">
                  <c:v>Germany</c:v>
                </c:pt>
              </c:strCache>
            </c:strRef>
          </c:cat>
          <c:val>
            <c:numRef>
              <c:f>Dashboard!$D$52:$D$56</c:f>
              <c:numCache>
                <c:formatCode>General</c:formatCode>
                <c:ptCount val="5"/>
                <c:pt idx="0">
                  <c:v>15958.51</c:v>
                </c:pt>
                <c:pt idx="1">
                  <c:v>3250.78</c:v>
                </c:pt>
                <c:pt idx="2">
                  <c:v>3501.52</c:v>
                </c:pt>
                <c:pt idx="3">
                  <c:v>3735.99</c:v>
                </c:pt>
                <c:pt idx="4">
                  <c:v>4691.19</c:v>
                </c:pt>
              </c:numCache>
            </c:numRef>
          </c:val>
        </c:ser>
        <c:ser>
          <c:idx val="2"/>
          <c:order val="2"/>
          <c:tx>
            <c:v>Duty</c:v>
          </c:tx>
          <c:spPr>
            <a:solidFill>
              <a:srgbClr val="1BA37A"/>
            </a:solidFill>
            <a:ln w="9525">
              <a:solidFill>
                <a:srgbClr val="FFFFFF"/>
              </a:solidFill>
            </a:ln>
          </c:spPr>
          <c:cat>
            <c:strRef>
              <c:f>Dashboard!$B$52:$B$56</c:f>
              <c:strCache>
                <c:ptCount val="5"/>
                <c:pt idx="0">
                  <c:v>China</c:v>
                </c:pt>
                <c:pt idx="1">
                  <c:v>Vietnam</c:v>
                </c:pt>
                <c:pt idx="2">
                  <c:v>India</c:v>
                </c:pt>
                <c:pt idx="3">
                  <c:v>Mexico</c:v>
                </c:pt>
                <c:pt idx="4">
                  <c:v>Germany</c:v>
                </c:pt>
              </c:strCache>
            </c:strRef>
          </c:cat>
          <c:val>
            <c:numRef>
              <c:f>Dashboard!$E$52:$E$56</c:f>
              <c:numCache>
                <c:formatCode>General</c:formatCode>
                <c:ptCount val="5"/>
                <c:pt idx="0">
                  <c:v>4614.12</c:v>
                </c:pt>
                <c:pt idx="1">
                  <c:v>0</c:v>
                </c:pt>
                <c:pt idx="2">
                  <c:v>2301.954</c:v>
                </c:pt>
                <c:pt idx="3">
                  <c:v>0</c:v>
                </c:pt>
                <c:pt idx="4">
                  <c:v>1704</c:v>
                </c:pt>
              </c:numCache>
            </c:numRef>
          </c:val>
        </c:ser>
        <c:ser>
          <c:idx val="3"/>
          <c:order val="3"/>
          <c:tx>
            <c:v>Extra tariffs</c:v>
          </c:tx>
          <c:spPr>
            <a:solidFill>
              <a:srgbClr val="E0A100"/>
            </a:solidFill>
            <a:ln w="9525">
              <a:solidFill>
                <a:srgbClr val="FFFFFF"/>
              </a:solidFill>
            </a:ln>
          </c:spPr>
          <c:cat>
            <c:strRef>
              <c:f>Dashboard!$B$52:$B$56</c:f>
              <c:strCache>
                <c:ptCount val="5"/>
                <c:pt idx="0">
                  <c:v>China</c:v>
                </c:pt>
                <c:pt idx="1">
                  <c:v>Vietnam</c:v>
                </c:pt>
                <c:pt idx="2">
                  <c:v>India</c:v>
                </c:pt>
                <c:pt idx="3">
                  <c:v>Mexico</c:v>
                </c:pt>
                <c:pt idx="4">
                  <c:v>Germany</c:v>
                </c:pt>
              </c:strCache>
            </c:strRef>
          </c:cat>
          <c:val>
            <c:numRef>
              <c:f>Dashboard!$F$52:$F$56</c:f>
              <c:numCache>
                <c:formatCode>General</c:formatCode>
                <c:ptCount val="5"/>
                <c:pt idx="0">
                  <c:v>70708.625</c:v>
                </c:pt>
                <c:pt idx="1">
                  <c:v>0</c:v>
                </c:pt>
                <c:pt idx="2">
                  <c:v>0</c:v>
                </c:pt>
                <c:pt idx="3">
                  <c:v>0</c:v>
                </c:pt>
                <c:pt idx="4">
                  <c:v>0</c:v>
                </c:pt>
              </c:numCache>
            </c:numRef>
          </c:val>
        </c:ser>
        <c:ser>
          <c:idx val="4"/>
          <c:order val="4"/>
          <c:tx>
            <c:v>Brokerage and inland</c:v>
          </c:tx>
          <c:spPr>
            <a:solidFill>
              <a:srgbClr val="D0558A"/>
            </a:solidFill>
            <a:ln w="9525">
              <a:solidFill>
                <a:srgbClr val="FFFFFF"/>
              </a:solidFill>
            </a:ln>
          </c:spPr>
          <c:cat>
            <c:strRef>
              <c:f>Dashboard!$B$52:$B$56</c:f>
              <c:strCache>
                <c:ptCount val="5"/>
                <c:pt idx="0">
                  <c:v>China</c:v>
                </c:pt>
                <c:pt idx="1">
                  <c:v>Vietnam</c:v>
                </c:pt>
                <c:pt idx="2">
                  <c:v>India</c:v>
                </c:pt>
                <c:pt idx="3">
                  <c:v>Mexico</c:v>
                </c:pt>
                <c:pt idx="4">
                  <c:v>Germany</c:v>
                </c:pt>
              </c:strCache>
            </c:strRef>
          </c:cat>
          <c:val>
            <c:numRef>
              <c:f>Dashboard!$G$52:$G$56</c:f>
              <c:numCache>
                <c:formatCode>General</c:formatCode>
                <c:ptCount val="5"/>
                <c:pt idx="0">
                  <c:v>5170</c:v>
                </c:pt>
                <c:pt idx="1">
                  <c:v>2275</c:v>
                </c:pt>
                <c:pt idx="2">
                  <c:v>5455</c:v>
                </c:pt>
                <c:pt idx="3">
                  <c:v>4025</c:v>
                </c:pt>
                <c:pt idx="4">
                  <c:v>4030</c:v>
                </c:pt>
              </c:numCache>
            </c:numRef>
          </c:val>
        </c:ser>
        <c:gapWidth val="6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Uplift over goods value by origin</a:t>
            </a:r>
          </a:p>
        </c:rich>
      </c:tx>
      <c:layout/>
    </c:title>
    <c:plotArea>
      <c:layout/>
      <c:barChart>
        <c:barDir val="col"/>
        <c:grouping val="clustered"/>
        <c:ser>
          <c:idx val="0"/>
          <c:order val="0"/>
          <c:tx>
            <c:v>Uplift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Dashboard!$B$52:$B$56</c:f>
              <c:strCache>
                <c:ptCount val="5"/>
                <c:pt idx="0">
                  <c:v>China</c:v>
                </c:pt>
                <c:pt idx="1">
                  <c:v>Vietnam</c:v>
                </c:pt>
                <c:pt idx="2">
                  <c:v>India</c:v>
                </c:pt>
                <c:pt idx="3">
                  <c:v>Mexico</c:v>
                </c:pt>
                <c:pt idx="4">
                  <c:v>Germany</c:v>
                </c:pt>
              </c:strCache>
            </c:strRef>
          </c:cat>
          <c:val>
            <c:numRef>
              <c:f>Dashboard!$I$52:$I$56</c:f>
              <c:numCache>
                <c:formatCode>General</c:formatCode>
                <c:ptCount val="5"/>
                <c:pt idx="0">
                  <c:v>0.341016583903307</c:v>
                </c:pt>
                <c:pt idx="1">
                  <c:v>0.091701253765029</c:v>
                </c:pt>
                <c:pt idx="2">
                  <c:v>0.238658455929114</c:v>
                </c:pt>
                <c:pt idx="3">
                  <c:v>0.0510603204679054</c:v>
                </c:pt>
                <c:pt idx="4">
                  <c:v>0.107406426753758</c:v>
                </c:pt>
              </c:numCache>
            </c:numRef>
          </c:val>
        </c:ser>
        <c:gapWidth val="60"/>
        <c:overlap val="-10"/>
        <c:axId val="50020001"/>
        <c:axId val="50020002"/>
      </c:barChart>
      <c:lineChart>
        <c:grouping val="standard"/>
        <c:ser>
          <c:idx val="1"/>
          <c:order val="1"/>
          <c:tx>
            <c:v>Limit</c:v>
          </c:tx>
          <c:spPr>
            <a:ln w="19050">
              <a:solidFill>
                <a:srgbClr val="B3000C"/>
              </a:solidFill>
              <a:prstDash val="dash"/>
            </a:ln>
          </c:spPr>
          <c:marker>
            <c:symbol val="none"/>
          </c:marker>
          <c:cat>
            <c:strRef>
              <c:f>Dashboard!$B$52:$B$56</c:f>
              <c:strCache>
                <c:ptCount val="5"/>
                <c:pt idx="0">
                  <c:v>China</c:v>
                </c:pt>
                <c:pt idx="1">
                  <c:v>Vietnam</c:v>
                </c:pt>
                <c:pt idx="2">
                  <c:v>India</c:v>
                </c:pt>
                <c:pt idx="3">
                  <c:v>Mexico</c:v>
                </c:pt>
                <c:pt idx="4">
                  <c:v>Germany</c:v>
                </c:pt>
              </c:strCache>
            </c:strRef>
          </c:cat>
          <c:val>
            <c:numRef>
              <c:f>Dashboard!$J$52:$J$56</c:f>
              <c:numCache>
                <c:formatCode>General</c:formatCode>
                <c:ptCount val="5"/>
                <c:pt idx="0">
                  <c:v>0.25</c:v>
                </c:pt>
                <c:pt idx="1">
                  <c:v>0.25</c:v>
                </c:pt>
                <c:pt idx="2">
                  <c:v>0.25</c:v>
                </c:pt>
                <c:pt idx="3">
                  <c:v>0.25</c:v>
                </c:pt>
                <c:pt idx="4">
                  <c:v>0.25</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bar chart splitting each origin's landed cost into goods value, freight and insurance, duty, extra tariffs, and brokerage and inland freigh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landed cost above the goods value, as a percentage, for each origin, with your uplift limit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Origins" displayName="tblOrigins" ref="B17:D22" totalsRowShown="0">
  <autoFilter ref="B17:D22"/>
  <tableColumns count="3">
    <tableColumn id="1" name="Origin"/>
    <tableColumn id="2" name="Region"/>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Suppliers" displayName="tblSuppliers" ref="B25:D32" totalsRowShown="0">
  <autoFilter ref="B25:D32"/>
  <tableColumns count="3">
    <tableColumn id="1" name="Supplier"/>
    <tableColumn id="2" name="Origin"/>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Parts" displayName="tblParts" ref="B35:E43" totalsRowShown="0">
  <autoFilter ref="B35:E43"/>
  <tableColumns count="4">
    <tableColumn id="1" name="Part"/>
    <tableColumn id="2" name="HS code"/>
    <tableColumn id="3" name="Notes"/>
    <tableColumn id="4" name="Unit"/>
  </tableColumns>
  <tableStyleInfo name="TableStyleLight1" showFirstColumn="0" showLastColumn="0" showRowStripes="0" showColumnStripes="0"/>
</table>
</file>

<file path=xl/tables/table4.xml><?xml version="1.0" encoding="utf-8"?>
<table xmlns="http://schemas.openxmlformats.org/spreadsheetml/2006/main" id="4" name="tblShipments" displayName="tblShipments" ref="B6:Z53" totalsRowShown="0">
  <autoFilter ref="B6:Z53"/>
  <tableColumns count="25">
    <tableColumn id="1" name="Date"/>
    <tableColumn id="2" name="Entry ref"/>
    <tableColumn id="3" name="Supplier"/>
    <tableColumn id="4" name="Origin"/>
    <tableColumn id="5" name="Part"/>
    <tableColumn id="6" name="HS code">
      <calculatedColumnFormula>IF(tblShipments[[#This Row],[Date]]="","",IFERROR(INDEX(tblParts[HS code],MATCH(tblShipments[[#This Row],[Part]],tblParts[Part],0)),""))</calculatedColumnFormula>
    </tableColumn>
    <tableColumn id="7" name="Units"/>
    <tableColumn id="8" name="Unit price"/>
    <tableColumn id="9" name="Freight intl"/>
    <tableColumn id="10" name="Insurance"/>
    <tableColumn id="11" name="Duty rate"/>
    <tableColumn id="12" name="Extra tariff"/>
    <tableColumn id="13" name="Brokerage and fees"/>
    <tableColumn id="14" name="Inland freight"/>
    <tableColumn id="15" name="Goods value">
      <calculatedColumnFormula>IF(tblShipments[[#This Row],[Date]]="","",tblShipments[[#This Row],[Units]]*tblShipments[[#This Row],[Unit price]])</calculatedColumnFormula>
    </tableColumn>
    <tableColumn id="16" name="Customs value">
      <calculatedColumnFormula>IF(tblShipments[[#This Row],[Date]]="","",tblShipments[[#This Row],[Goods value]]+IF(DutyBase="CIF value",tblShipments[[#This Row],[Freight intl]]+tblShipments[[#This Row],[Insurance]],0))</calculatedColumnFormula>
    </tableColumn>
    <tableColumn id="17" name="Duty">
      <calculatedColumnFormula>IF(tblShipments[[#This Row],[Date]]="","",tblShipments[[#This Row],[Customs value]]*tblShipments[[#This Row],[Duty rate]])</calculatedColumnFormula>
    </tableColumn>
    <tableColumn id="18" name="Tariff">
      <calculatedColumnFormula>IF(tblShipments[[#This Row],[Date]]="","",tblShipments[[#This Row],[Customs value]]*tblShipments[[#This Row],[Extra tariff]])</calculatedColumnFormula>
    </tableColumn>
    <tableColumn id="19" name="Landed cost">
      <calculatedColumnFormula>IF(tblShipments[[#This Row],[Date]]="","",tblShipments[[#This Row],[Goods value]]+tblShipments[[#This Row],[Freight intl]]+tblShipments[[#This Row],[Insurance]]+tblShipments[[#This Row],[Duty]]+tblShipments[[#This Row],[Tariff]]+tblShipments[[#This Row],[Brokerage and fees]]+tblShipments[[#This Row],[Inland freight]])</calculatedColumnFormula>
    </tableColumn>
    <tableColumn id="20" name="Landed per unit">
      <calculatedColumnFormula>IF(tblShipments[[#This Row],[Date]]="","",IF(tblShipments[[#This Row],[Units]]&gt;0,tblShipments[[#This Row],[Landed cost]]/tblShipments[[#This Row],[Units]],""))</calculatedColumnFormula>
    </tableColumn>
    <tableColumn id="21" name="Uplift">
      <calculatedColumnFormula>IF(tblShipments[[#This Row],[Date]]="","",IF(tblShipments[[#This Row],[Goods value]]&gt;0,tblShipments[[#This Row],[Landed cost]]/tblShipments[[#This Row],[Goods value]]-1,""))</calculatedColumnFormula>
    </tableColumn>
    <tableColumn id="22" name="Uplift status">
      <calculatedColumnFormula>IF(NOT(ISNUMBER(tblShipments[[#This Row],[Uplift]])),"",IF(tblShipments[[#This Row],[Uplift]]&lt;=UpliftLimit,"On target",IF(tblShipments[[#This Row],[Uplift]]&lt;=UpliftLimit*(1+0.05),"Near target","Above target")))</calculatedColumnFormula>
    </tableColumn>
    <tableColumn id="23" name="View date">
      <calculatedColumnFormula>IF(tblShipments[[#This Row],[Date]]="","",IF(AND(tblShipments[[#This Row],[Date]]&gt;=FFrom,tblShipments[[#This Row],[Date]]&lt;=FTo,OR(DashOrigin="",tblShipments[[#This Row],[Origin]]=DashOrigin)),tblShipments[[#This Row],[Date]],""))</calculatedColumnFormula>
    </tableColumn>
    <tableColumn id="24" name="Check">
      <calculatedColumnFormula>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calculatedColumnFormula>
    </tableColumn>
    <tableColumn id="25" name="Notes"/>
  </tableColumns>
  <tableStyleInfo name="TableStyleLight1" showFirstColumn="0" showLastColumn="0" showRowStripes="0" showColumnStripes="0"/>
</table>
</file>

<file path=xl/tables/table5.xml><?xml version="1.0" encoding="utf-8"?>
<table xmlns="http://schemas.openxmlformats.org/spreadsheetml/2006/main" id="5" name="tblVerifyParts" displayName="tblVerifyParts" ref="B48:E50" totalsRowShown="0">
  <tableColumns count="4">
    <tableColumn id="1" name="Part"/>
    <tableColumn id="2" name="HS code"/>
    <tableColumn id="3" name="Notes"/>
    <tableColumn id="4" name="Unit"/>
  </tableColumns>
  <tableStyleInfo name="TableStyleLight1" showFirstColumn="0" showLastColumn="0" showRowStripes="0" showColumnStripes="0"/>
</table>
</file>

<file path=xl/tables/table6.xml><?xml version="1.0" encoding="utf-8"?>
<table xmlns="http://schemas.openxmlformats.org/spreadsheetml/2006/main" id="6" name="tblVerifySuppliers" displayName="tblVerifySuppliers" ref="B53:D55" totalsRowShown="0">
  <tableColumns count="3">
    <tableColumn id="1" name="Supplier"/>
    <tableColumn id="2" name="Origin"/>
    <tableColumn id="3" name="Notes"/>
  </tableColumns>
  <tableStyleInfo name="TableStyleLight1" showFirstColumn="0" showLastColumn="0" showRowStripes="0" showColumnStripes="0"/>
</table>
</file>

<file path=xl/tables/table7.xml><?xml version="1.0" encoding="utf-8"?>
<table xmlns="http://schemas.openxmlformats.org/spreadsheetml/2006/main" id="7" name="tblVerifyShipments" displayName="tblVerifyShipments" ref="B59:Z63" totalsRowShown="0">
  <tableColumns count="25">
    <tableColumn id="1" name="Date"/>
    <tableColumn id="2" name="Entry ref"/>
    <tableColumn id="3" name="Supplier"/>
    <tableColumn id="4" name="Origin"/>
    <tableColumn id="5" name="Part"/>
    <tableColumn id="6" name="HS code"/>
    <tableColumn id="7" name="Units"/>
    <tableColumn id="8" name="Unit price"/>
    <tableColumn id="9" name="Freight intl"/>
    <tableColumn id="10" name="Insurance"/>
    <tableColumn id="11" name="Duty rate"/>
    <tableColumn id="12" name="Extra tariff"/>
    <tableColumn id="13" name="Brokerage and fees"/>
    <tableColumn id="14" name="Inland freight"/>
    <tableColumn id="15" name="Goods value">
      <calculatedColumnFormula>IF(tblVerifyShipments[[#This Row],[Date]]="","",tblVerifyShipments[[#This Row],[Units]]*tblVerifyShipments[[#This Row],[Unit price]])</calculatedColumnFormula>
    </tableColumn>
    <tableColumn id="16" name="Customs value">
      <calculatedColumnFormula>IF(tblVerifyShipments[[#This Row],[Date]]="","",tblVerifyShipments[[#This Row],[Goods value]]+IF($E$43="CIF value",tblVerifyShipments[[#This Row],[Freight intl]]+tblVerifyShipments[[#This Row],[Insurance]],0))</calculatedColumnFormula>
    </tableColumn>
    <tableColumn id="17" name="Duty">
      <calculatedColumnFormula>IF(tblVerifyShipments[[#This Row],[Date]]="","",tblVerifyShipments[[#This Row],[Customs value]]*tblVerifyShipments[[#This Row],[Duty rate]])</calculatedColumnFormula>
    </tableColumn>
    <tableColumn id="18" name="Tariff">
      <calculatedColumnFormula>IF(tblVerifyShipments[[#This Row],[Date]]="","",tblVerifyShipments[[#This Row],[Customs value]]*tblVerifyShipments[[#This Row],[Extra tariff]])</calculatedColumnFormula>
    </tableColumn>
    <tableColumn id="19" name="Landed cost">
      <calculatedColumnFormula>IF(tblVerifyShipments[[#This Row],[Date]]="","",tblVerifyShipments[[#This Row],[Goods value]]+tblVerifyShipments[[#This Row],[Freight intl]]+tblVerifyShipments[[#This Row],[Insurance]]+tblVerifyShipments[[#This Row],[Duty]]+tblVerifyShipments[[#This Row],[Tariff]]+tblVerifyShipments[[#This Row],[Brokerage and fees]]+tblVerifyShipments[[#This Row],[Inland freight]])</calculatedColumnFormula>
    </tableColumn>
    <tableColumn id="20" name="Landed per unit">
      <calculatedColumnFormula>IF(tblVerifyShipments[[#This Row],[Date]]="","",IF(tblVerifyShipments[[#This Row],[Units]]&gt;0,tblVerifyShipments[[#This Row],[Landed cost]]/tblVerifyShipments[[#This Row],[Units]],""))</calculatedColumnFormula>
    </tableColumn>
    <tableColumn id="21" name="Uplift">
      <calculatedColumnFormula>IF(tblVerifyShipments[[#This Row],[Date]]="","",IF(tblVerifyShipments[[#This Row],[Goods value]]&gt;0,tblVerifyShipments[[#This Row],[Landed cost]]/tblVerifyShipments[[#This Row],[Goods value]]-1,""))</calculatedColumnFormula>
    </tableColumn>
    <tableColumn id="22" name="Uplift status">
      <calculatedColumnFormula>IF(NOT(ISNUMBER(tblVerifyShipments[[#This Row],[Uplift]])),"",IF(tblVerifyShipments[[#This Row],[Uplift]]&lt;=$E$44,"On target",IF(tblVerifyShipments[[#This Row],[Uplift]]&lt;=$E$44*(1+0.05),"Near target","Above target")))</calculatedColumnFormula>
    </tableColumn>
    <tableColumn id="23" name="View date">
      <calculatedColumnFormula>IF(tblVerifyShipments[[#This Row],[Date]]="","",IF(AND(tblVerifyShipments[[#This Row],[Date]]&gt;=$E$40,tblVerifyShipments[[#This Row],[Date]]&lt;=$E$41,OR($E$42="",tblVerifyShipments[[#This Row],[Origin]]=$E$42)),tblVerifyShipments[[#This Row],[Date]],""))</calculatedColumnFormula>
    </tableColumn>
    <tableColumn id="24" name="Check">
      <calculatedColumnFormula>IF(tblVerifyShipments[[#This Row],[Date]]="","",IF(tblVerifyShipments[[#This Row],[Entry ref]]="","Missing entry ref",IF(tblVerifyShipments[[#This Row],[Origin]]="","Missing origin",IF(tblVerifyShipments[[#This Row],[Part]]="","Missing part",IF(tblVerifyShipments[[#This Row],[Units]]="","Missing units",IF(tblVerifyShipments[[#This Row],[Unit price]]="","Missing unit price",IF(COUNTIF(tblVerifyParts[Part],tblVerifyShipments[[#This Row],[Part]])=0,"Part not on Setup list",IF(COUNTIF(tblVerifySuppliers[Supplier],tblVerifyShipments[[#This Row],[Supplier]])=0,"Supplier not on Setup list",IF(tblVerifyShipments[[#This Row],[Units]]&lt;=0,"Units must be above zero",IF(tblVerifyShipments[[#This Row],[Freight intl]]&gt;tblVerifyShipments[[#This Row],[Goods value]],"Freight above goods value: check",IF(COUNTIFS(tblVerifyShipments[Entry ref],tblVerifyShipments[[#This Row],[Entry ref]],tblVerifyShipments[Part],tblVerifyShipments[[#This Row],[Part]])&gt;1,"Duplicate entry line","OK")))))))))))</calculatedColumnFormula>
    </tableColumn>
    <tableColumn id="2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nded-cost-tariff" TargetMode="External"/><Relationship Id="rId2" Type="http://schemas.openxmlformats.org/officeDocument/2006/relationships/hyperlink" Target="https://www.mfgcalcs.com/calculators/supply-chain-procurement-inventory/landed-cost-calculator?utm_source=mfgcalcs-template&amp;utm_medium=xlsx&amp;utm_campaign=landed-cost-tariff" TargetMode="External"/><Relationship Id="rId3" Type="http://schemas.openxmlformats.org/officeDocument/2006/relationships/hyperlink" Target="https://www.mfgcalcs.com/templates/landed-cost-tariff?utm_source=mfgcalcs-template&amp;utm_medium=xlsx&amp;utm_campaign=landed-cost-tariff" TargetMode="External"/><Relationship Id="rId4" Type="http://schemas.openxmlformats.org/officeDocument/2006/relationships/hyperlink" Target="https://www.mfgcalcs.com/templates?utm_source=mfgcalcs-template&amp;utm_medium=xlsx&amp;utm_campaign=landed-cost-tariff"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nded-cost-tariff"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nded-cost-tariff"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nded-cost-tariff"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nded-cost-tariff" TargetMode="External"/><Relationship Id="rId2" Type="http://schemas.openxmlformats.org/officeDocument/2006/relationships/hyperlink" Target="https://www.mfgcalcs.com/calculators/supply-chain-procurement-inventory/landed-cost-calculator?utm_source=mfgcalcs-template&amp;utm_medium=xlsx&amp;utm_campaign=landed-cost-tarif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nded-cost-tariff"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24 of 24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Landed Cost Log'!A1" tooltip="Go to Landed Cost Log" display="Landed Cost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Landed Cost and Tariff Tracker&amp;R&amp;8&amp;A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3"/>
  <sheetViews>
    <sheetView showGridLines="0" workbookViewId="0"/>
  </sheetViews>
  <sheetFormatPr defaultRowHeight="15"/>
  <cols>
    <col min="1" max="1" width="2.7109375" customWidth="1"/>
    <col min="2" max="2" width="30.7109375" customWidth="1"/>
    <col min="3" max="3" width="22.7109375" customWidth="1"/>
    <col min="4" max="4" width="44.7109375" customWidth="1"/>
    <col min="5" max="5" width="14.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67</v>
      </c>
      <c r="C4" s="8"/>
      <c r="D4" s="8"/>
      <c r="E4" s="8"/>
    </row>
    <row r="5" spans="1:5" ht="5" customHeight="1"/>
    <row r="6" spans="1:5">
      <c r="B6" s="27" t="s">
        <v>68</v>
      </c>
      <c r="C6" s="28" t="s">
        <v>69</v>
      </c>
      <c r="D6" s="28"/>
    </row>
    <row r="7" spans="1:5">
      <c r="B7" s="27" t="s">
        <v>70</v>
      </c>
      <c r="C7" s="28" t="s">
        <v>71</v>
      </c>
      <c r="D7" s="28"/>
    </row>
    <row r="8" spans="1:5">
      <c r="B8" s="27" t="s">
        <v>72</v>
      </c>
      <c r="C8" s="28" t="s">
        <v>73</v>
      </c>
      <c r="D8" s="28"/>
    </row>
    <row r="9" spans="1:5">
      <c r="B9" s="27" t="s">
        <v>74</v>
      </c>
      <c r="C9" s="29">
        <v>0.25</v>
      </c>
      <c r="D9" s="7"/>
    </row>
    <row r="11" spans="1:5" ht="48.6" customHeight="1">
      <c r="B11" s="25" t="s">
        <v>75</v>
      </c>
      <c r="C11" s="25"/>
      <c r="D11" s="25"/>
      <c r="E11" s="25"/>
    </row>
    <row r="13" spans="1:5" ht="21" customHeight="1">
      <c r="B13" s="8" t="s">
        <v>76</v>
      </c>
      <c r="C13" s="8"/>
      <c r="D13" s="8"/>
      <c r="E13" s="8"/>
    </row>
    <row r="14" spans="1:5" ht="5" customHeight="1"/>
    <row r="15" spans="1:5" ht="26.76" customHeight="1">
      <c r="B15" s="21" t="s">
        <v>77</v>
      </c>
      <c r="C15" s="21"/>
      <c r="D15" s="21"/>
      <c r="E15" s="21"/>
    </row>
    <row r="16" spans="1:5">
      <c r="B16" s="30" t="s">
        <v>78</v>
      </c>
      <c r="C16" s="30"/>
      <c r="D16" s="30"/>
    </row>
    <row r="17" spans="2:4" ht="20" customHeight="1">
      <c r="B17" s="31" t="s">
        <v>60</v>
      </c>
      <c r="C17" s="31" t="s">
        <v>61</v>
      </c>
      <c r="D17" s="31" t="s">
        <v>62</v>
      </c>
    </row>
    <row r="18" spans="2:4">
      <c r="B18" s="28" t="s">
        <v>79</v>
      </c>
      <c r="C18" s="28" t="s">
        <v>80</v>
      </c>
      <c r="D18" s="28" t="s">
        <v>81</v>
      </c>
    </row>
    <row r="19" spans="2:4">
      <c r="B19" s="28" t="s">
        <v>82</v>
      </c>
      <c r="C19" s="28" t="s">
        <v>80</v>
      </c>
      <c r="D19" s="28" t="s">
        <v>83</v>
      </c>
    </row>
    <row r="20" spans="2:4">
      <c r="B20" s="28" t="s">
        <v>84</v>
      </c>
      <c r="C20" s="28" t="s">
        <v>80</v>
      </c>
      <c r="D20" s="28" t="s">
        <v>83</v>
      </c>
    </row>
    <row r="21" spans="2:4">
      <c r="B21" s="28" t="s">
        <v>85</v>
      </c>
      <c r="C21" s="28" t="s">
        <v>86</v>
      </c>
      <c r="D21" s="28" t="s">
        <v>87</v>
      </c>
    </row>
    <row r="22" spans="2:4">
      <c r="B22" s="28" t="s">
        <v>88</v>
      </c>
      <c r="C22" s="28" t="s">
        <v>89</v>
      </c>
      <c r="D22" s="28" t="s">
        <v>83</v>
      </c>
    </row>
    <row r="24" spans="2:4">
      <c r="B24" s="30" t="s">
        <v>90</v>
      </c>
      <c r="C24" s="30"/>
      <c r="D24" s="30"/>
    </row>
    <row r="25" spans="2:4" ht="20" customHeight="1">
      <c r="B25" s="31" t="s">
        <v>63</v>
      </c>
      <c r="C25" s="31" t="s">
        <v>60</v>
      </c>
      <c r="D25" s="31" t="s">
        <v>62</v>
      </c>
    </row>
    <row r="26" spans="2:4">
      <c r="B26" s="28" t="s">
        <v>91</v>
      </c>
      <c r="C26" s="28" t="s">
        <v>79</v>
      </c>
      <c r="D26" s="28" t="s">
        <v>92</v>
      </c>
    </row>
    <row r="27" spans="2:4">
      <c r="B27" s="28" t="s">
        <v>93</v>
      </c>
      <c r="C27" s="28" t="s">
        <v>85</v>
      </c>
      <c r="D27" s="28" t="s">
        <v>94</v>
      </c>
    </row>
    <row r="28" spans="2:4">
      <c r="B28" s="28" t="s">
        <v>95</v>
      </c>
      <c r="C28" s="28" t="s">
        <v>82</v>
      </c>
      <c r="D28" s="28" t="s">
        <v>96</v>
      </c>
    </row>
    <row r="29" spans="2:4">
      <c r="B29" s="28" t="s">
        <v>97</v>
      </c>
      <c r="C29" s="28" t="s">
        <v>79</v>
      </c>
      <c r="D29" s="28" t="s">
        <v>98</v>
      </c>
    </row>
    <row r="30" spans="2:4">
      <c r="B30" s="28" t="s">
        <v>99</v>
      </c>
      <c r="C30" s="28" t="s">
        <v>88</v>
      </c>
      <c r="D30" s="28" t="s">
        <v>100</v>
      </c>
    </row>
    <row r="31" spans="2:4">
      <c r="B31" s="28" t="s">
        <v>101</v>
      </c>
      <c r="C31" s="28" t="s">
        <v>85</v>
      </c>
      <c r="D31" s="28" t="s">
        <v>102</v>
      </c>
    </row>
    <row r="32" spans="2:4">
      <c r="B32" s="28" t="s">
        <v>103</v>
      </c>
      <c r="C32" s="28" t="s">
        <v>84</v>
      </c>
      <c r="D32" s="28" t="s">
        <v>104</v>
      </c>
    </row>
    <row r="34" spans="2:5">
      <c r="B34" s="30" t="s">
        <v>105</v>
      </c>
      <c r="C34" s="30"/>
      <c r="D34" s="30"/>
      <c r="E34" s="30"/>
    </row>
    <row r="35" spans="2:5" ht="20" customHeight="1">
      <c r="B35" s="31" t="s">
        <v>64</v>
      </c>
      <c r="C35" s="31" t="s">
        <v>65</v>
      </c>
      <c r="D35" s="31" t="s">
        <v>62</v>
      </c>
      <c r="E35" s="31" t="s">
        <v>66</v>
      </c>
    </row>
    <row r="36" spans="2:5">
      <c r="B36" s="28" t="s">
        <v>106</v>
      </c>
      <c r="C36" s="28" t="s">
        <v>107</v>
      </c>
      <c r="D36" s="28" t="s">
        <v>108</v>
      </c>
      <c r="E36" s="28" t="s">
        <v>109</v>
      </c>
    </row>
    <row r="37" spans="2:5">
      <c r="B37" s="28" t="s">
        <v>110</v>
      </c>
      <c r="C37" s="28" t="s">
        <v>107</v>
      </c>
      <c r="D37" s="28" t="s">
        <v>111</v>
      </c>
      <c r="E37" s="28" t="s">
        <v>109</v>
      </c>
    </row>
    <row r="38" spans="2:5">
      <c r="B38" s="28" t="s">
        <v>112</v>
      </c>
      <c r="C38" s="28" t="s">
        <v>113</v>
      </c>
      <c r="D38" s="28" t="s">
        <v>114</v>
      </c>
      <c r="E38" s="28" t="s">
        <v>109</v>
      </c>
    </row>
    <row r="39" spans="2:5">
      <c r="B39" s="28" t="s">
        <v>115</v>
      </c>
      <c r="C39" s="28" t="s">
        <v>116</v>
      </c>
      <c r="D39" s="28" t="s">
        <v>117</v>
      </c>
      <c r="E39" s="28" t="s">
        <v>109</v>
      </c>
    </row>
    <row r="40" spans="2:5">
      <c r="B40" s="28" t="s">
        <v>118</v>
      </c>
      <c r="C40" s="28" t="s">
        <v>119</v>
      </c>
      <c r="D40" s="28" t="s">
        <v>120</v>
      </c>
      <c r="E40" s="28" t="s">
        <v>109</v>
      </c>
    </row>
    <row r="41" spans="2:5">
      <c r="B41" s="28" t="s">
        <v>121</v>
      </c>
      <c r="C41" s="28" t="s">
        <v>122</v>
      </c>
      <c r="D41" s="28" t="s">
        <v>123</v>
      </c>
      <c r="E41" s="28" t="s">
        <v>124</v>
      </c>
    </row>
    <row r="42" spans="2:5">
      <c r="B42" s="28" t="s">
        <v>125</v>
      </c>
      <c r="C42" s="28" t="s">
        <v>126</v>
      </c>
      <c r="D42" s="28" t="s">
        <v>83</v>
      </c>
      <c r="E42" s="28" t="s">
        <v>109</v>
      </c>
    </row>
    <row r="43" spans="2:5">
      <c r="B43" s="28" t="s">
        <v>127</v>
      </c>
      <c r="C43" s="28" t="s">
        <v>128</v>
      </c>
      <c r="D43" s="28" t="s">
        <v>83</v>
      </c>
      <c r="E43" s="28" t="s">
        <v>109</v>
      </c>
    </row>
  </sheetData>
  <mergeCells count="12">
    <mergeCell ref="A1:E1"/>
    <mergeCell ref="B2:D2"/>
    <mergeCell ref="B4:E4"/>
    <mergeCell ref="C6:D6"/>
    <mergeCell ref="C7:D7"/>
    <mergeCell ref="C8:D8"/>
    <mergeCell ref="B11:E11"/>
    <mergeCell ref="B13:E13"/>
    <mergeCell ref="B15:E15"/>
    <mergeCell ref="B16:D16"/>
    <mergeCell ref="B24:D24"/>
    <mergeCell ref="B34:E34"/>
  </mergeCells>
  <dataValidations count="14">
    <dataValidation type="textLength" allowBlank="1" showInputMessage="1" showErrorMessage="1" errorTitle="Check this entry" error="Text up to 80 characters." promptTitle="Company or plant"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convert invoice prices to this currency at the entry's rate before you type them. Text up to 12 characters." sqref="C7">
      <formula1>0</formula1>
      <formula2>12</formula2>
    </dataValidation>
    <dataValidation type="list" allowBlank="1" showInputMessage="1" showErrorMessage="1" errorTitle="Check this entry" error="Pick one of: FOB value, CIF value." promptTitle="Duty is charged on" prompt="FOB value = goods only. CIF value = goods + international freight + insurance. Use the basis of your customs authority. Pick one of: FOB value, CIF value." sqref="C8">
      <formula1>"FOB value,CIF value"</formula1>
    </dataValidation>
    <dataValidation type="decimal" allowBlank="1" showInputMessage="1" showErrorMessage="1" errorTitle="Check this entry" error="Enter a percentage from 0% to 1000% (type 85% or 0.85)." promptTitle="Landed cost uplift limit" prompt="Your own limit for landed cost above the goods value. Lines and origins above it show 'Above target'. Enter a percentage from 0% to 1000% (type 85% or 0.85)." sqref="C9">
      <formula1>0</formula1>
      <formula2>10</formula2>
    </dataValidation>
    <dataValidation type="textLength" allowBlank="1" showInputMessage="1" showErrorMessage="1" errorTitle="Check this entry" error="Text up to 40 characters." promptTitle="Origin" prompt="Text up to 40 characters." sqref="B18:B122">
      <formula1>0</formula1>
      <formula2>40</formula2>
    </dataValidation>
    <dataValidation type="textLength" allowBlank="1" showInputMessage="1" showErrorMessage="1" errorTitle="Check this entry" error="Text up to 40 characters." promptTitle="Region" prompt="Text up to 40 characters." sqref="C18:C122">
      <formula1>0</formula1>
      <formula2>40</formula2>
    </dataValidation>
    <dataValidation type="textLength" allowBlank="1" showInputMessage="1" showErrorMessage="1" errorTitle="Check this entry" error="Text up to 120 characters." promptTitle="Notes" prompt="Text up to 120 characters." sqref="D18:D122">
      <formula1>0</formula1>
      <formula2>120</formula2>
    </dataValidation>
    <dataValidation type="textLength" allowBlank="1" showInputMessage="1" showErrorMessage="1" errorTitle="Check this entry" error="Text up to 60 characters." promptTitle="Supplier" prompt="Text up to 60 characters." sqref="B26:B132">
      <formula1>0</formula1>
      <formula2>60</formula2>
    </dataValidation>
    <dataValidation type="list" allowBlank="1" showInputMessage="1" showErrorMessage="1" errorTitle="Check this entry" error="Pick from the list (edit the list on Setup: Origins)." promptTitle="Origin" prompt="Pick from the list (edit the list on Setup: Origins)." sqref="C26:C132">
      <formula1>Origins</formula1>
    </dataValidation>
    <dataValidation type="textLength" allowBlank="1" showInputMessage="1" showErrorMessage="1" errorTitle="Check this entry" error="Text up to 120 characters." promptTitle="Notes" prompt="Text up to 120 characters." sqref="D26:D132">
      <formula1>0</formula1>
      <formula2>120</formula2>
    </dataValidation>
    <dataValidation type="textLength" allowBlank="1" showInputMessage="1" showErrorMessage="1" errorTitle="Check this entry" error="Text up to 60 characters." promptTitle="Part" prompt="Text up to 60 characters." sqref="B36:B143">
      <formula1>0</formula1>
      <formula2>60</formula2>
    </dataValidation>
    <dataValidation type="textLength" allowBlank="1" showInputMessage="1" showErrorMessage="1" errorTitle="Check this entry" error="Text up to 14 characters." promptTitle="HS code" prompt="Tariff classification (HS code, 6 digits or your country's longer code). Confirm with your broker. Text up to 14 characters." sqref="C36:C143">
      <formula1>0</formula1>
      <formula2>14</formula2>
    </dataValidation>
    <dataValidation type="textLength" allowBlank="1" showInputMessage="1" showErrorMessage="1" errorTitle="Check this entry" error="Text up to 120 characters." promptTitle="Notes" prompt="Text up to 120 characters." sqref="D36:D143">
      <formula1>0</formula1>
      <formula2>120</formula2>
    </dataValidation>
    <dataValidation type="textLength" allowBlank="1" showInputMessage="1" showErrorMessage="1" errorTitle="Check this entry" error="Text up to 12 characters." promptTitle="Unit" prompt="Unit the price and units are counted in: ea, kit, kg. Text up to 12 characters." sqref="E36:E143">
      <formula1>0</formula1>
      <formula2>12</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Landed Cost and Tariff Tracker&amp;R&amp;8&amp;A</oddHeader>
    <oddFooter>&amp;L&amp;8mfgcalcs.com - free manufacturing templates&amp;R&amp;8Page &amp;P of &amp;N</oddFooter>
  </headerFooter>
  <rowBreaks count="1" manualBreakCount="1">
    <brk id="23"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Z53"/>
  <sheetViews>
    <sheetView workbookViewId="0">
      <pane xSplit="6" ySplit="6" topLeftCell="G7" activePane="bottomRight" state="frozen"/>
      <selection pane="topRight" activeCell="G1" sqref="G1"/>
      <selection pane="bottomLeft" activeCell="A7" sqref="A7"/>
      <selection pane="bottomRight"/>
    </sheetView>
  </sheetViews>
  <sheetFormatPr defaultRowHeight="15"/>
  <cols>
    <col min="1" max="1" width="2.7109375" customWidth="1"/>
    <col min="2" max="2" width="12.28515625" customWidth="1"/>
    <col min="3" max="3" width="11.28515625" customWidth="1"/>
    <col min="4" max="4" width="16.7109375" customWidth="1"/>
    <col min="5" max="5" width="9.7109375" customWidth="1"/>
    <col min="6" max="6" width="17.7109375" customWidth="1"/>
    <col min="7" max="8" width="8.7109375" customWidth="1"/>
    <col min="9" max="9" width="9.7109375" customWidth="1"/>
    <col min="10" max="10" width="10.28515625" customWidth="1"/>
    <col min="11" max="11" width="9.7109375" customWidth="1"/>
    <col min="12" max="13" width="8.7109375" customWidth="1"/>
    <col min="14" max="14" width="10.7109375" customWidth="1"/>
    <col min="15" max="15" width="9.7109375" customWidth="1"/>
    <col min="16" max="17" width="11.7109375" customWidth="1"/>
    <col min="18" max="19" width="10.28515625" customWidth="1"/>
    <col min="20" max="20" width="12.28515625" customWidth="1"/>
    <col min="21" max="21" width="10.7109375" customWidth="1"/>
    <col min="22" max="22" width="8.7109375" customWidth="1"/>
    <col min="23" max="24" width="12.28515625" customWidth="1"/>
    <col min="25" max="25" width="24.7109375" customWidth="1"/>
    <col min="26" max="26" width="28.7109375" customWidth="1"/>
  </cols>
  <sheetData>
    <row r="1" spans="1:26" ht="30"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 customHeight="1">
      <c r="B2" s="2" t="s">
        <v>20</v>
      </c>
      <c r="C2" s="2"/>
      <c r="D2" s="2"/>
      <c r="E2" s="2"/>
      <c r="F2" s="2"/>
      <c r="G2" s="2"/>
      <c r="H2" s="2"/>
      <c r="I2" s="2"/>
      <c r="J2" s="2"/>
      <c r="K2" s="2"/>
      <c r="L2" s="2"/>
      <c r="M2" s="2"/>
      <c r="N2" s="2"/>
      <c r="O2" s="2"/>
      <c r="P2" s="2"/>
      <c r="Q2" s="2"/>
      <c r="R2" s="2"/>
      <c r="S2" s="2"/>
      <c r="T2" s="2"/>
      <c r="U2" s="2"/>
      <c r="V2" s="2"/>
      <c r="W2" s="2"/>
      <c r="X2" s="2"/>
      <c r="Y2" s="2"/>
      <c r="Z2" s="3" t="s">
        <v>2</v>
      </c>
    </row>
    <row r="3" spans="1:26" ht="6" customHeight="1"/>
    <row r="4" spans="1:26" ht="18" customHeight="1">
      <c r="B4" s="32" t="s">
        <v>149</v>
      </c>
      <c r="C4" s="32"/>
      <c r="D4" s="32"/>
      <c r="E4" s="32"/>
      <c r="F4" s="32"/>
      <c r="G4" s="32"/>
      <c r="H4" s="32"/>
      <c r="I4" s="32"/>
      <c r="J4" s="32"/>
      <c r="K4" s="32"/>
      <c r="L4" s="32"/>
      <c r="M4" s="32"/>
      <c r="N4" s="32"/>
      <c r="O4" s="32"/>
      <c r="P4" s="32"/>
      <c r="Q4" s="32"/>
      <c r="R4" s="32"/>
      <c r="S4" s="32"/>
      <c r="T4" s="32"/>
      <c r="U4" s="32"/>
      <c r="V4" s="32"/>
      <c r="W4" s="32"/>
      <c r="X4" s="32"/>
      <c r="Y4" s="32"/>
      <c r="Z4" s="32"/>
    </row>
    <row r="5" spans="1:26" ht="14" customHeight="1">
      <c r="B5" s="33"/>
      <c r="C5" s="33"/>
      <c r="D5" s="33"/>
      <c r="E5" s="33"/>
      <c r="F5" s="33"/>
      <c r="G5" s="33"/>
      <c r="H5" s="33"/>
      <c r="I5" s="33" t="str">
        <f>Currency&amp;"/unit"</f>
        <v>USD/unit</v>
      </c>
      <c r="J5" s="33" t="str">
        <f>Currency</f>
        <v>USD</v>
      </c>
      <c r="K5" s="33" t="str">
        <f>Currency</f>
        <v>USD</v>
      </c>
      <c r="L5" s="33"/>
      <c r="M5" s="33"/>
      <c r="N5" s="33" t="str">
        <f>Currency</f>
        <v>USD</v>
      </c>
      <c r="O5" s="33" t="str">
        <f>Currency</f>
        <v>USD</v>
      </c>
      <c r="P5" s="33" t="str">
        <f>Currency</f>
        <v>USD</v>
      </c>
      <c r="Q5" s="33" t="str">
        <f>Currency</f>
        <v>USD</v>
      </c>
      <c r="R5" s="33" t="str">
        <f>Currency</f>
        <v>USD</v>
      </c>
      <c r="S5" s="33" t="str">
        <f>Currency</f>
        <v>USD</v>
      </c>
      <c r="T5" s="33" t="str">
        <f>Currency</f>
        <v>USD</v>
      </c>
      <c r="U5" s="33" t="str">
        <f>Currency&amp;"/unit"</f>
        <v>USD/unit</v>
      </c>
      <c r="V5" s="33" t="s">
        <v>150</v>
      </c>
      <c r="W5" s="33"/>
      <c r="X5" s="33"/>
      <c r="Y5" s="33"/>
      <c r="Z5" s="33"/>
    </row>
    <row r="6" spans="1:26" ht="32" customHeight="1">
      <c r="B6" s="31" t="s">
        <v>129</v>
      </c>
      <c r="C6" s="31" t="s">
        <v>130</v>
      </c>
      <c r="D6" s="31" t="s">
        <v>63</v>
      </c>
      <c r="E6" s="31" t="s">
        <v>60</v>
      </c>
      <c r="F6" s="31" t="s">
        <v>64</v>
      </c>
      <c r="G6" s="31" t="s">
        <v>65</v>
      </c>
      <c r="H6" s="31" t="s">
        <v>131</v>
      </c>
      <c r="I6" s="31" t="s">
        <v>132</v>
      </c>
      <c r="J6" s="31" t="s">
        <v>133</v>
      </c>
      <c r="K6" s="31" t="s">
        <v>134</v>
      </c>
      <c r="L6" s="31" t="s">
        <v>135</v>
      </c>
      <c r="M6" s="31" t="s">
        <v>136</v>
      </c>
      <c r="N6" s="31" t="s">
        <v>137</v>
      </c>
      <c r="O6" s="31" t="s">
        <v>138</v>
      </c>
      <c r="P6" s="31" t="s">
        <v>139</v>
      </c>
      <c r="Q6" s="31" t="s">
        <v>140</v>
      </c>
      <c r="R6" s="31" t="s">
        <v>141</v>
      </c>
      <c r="S6" s="31" t="s">
        <v>142</v>
      </c>
      <c r="T6" s="31" t="s">
        <v>143</v>
      </c>
      <c r="U6" s="31" t="s">
        <v>144</v>
      </c>
      <c r="V6" s="31" t="s">
        <v>145</v>
      </c>
      <c r="W6" s="31" t="s">
        <v>146</v>
      </c>
      <c r="X6" s="31" t="s">
        <v>147</v>
      </c>
      <c r="Y6" s="31" t="s">
        <v>148</v>
      </c>
      <c r="Z6" s="31" t="s">
        <v>62</v>
      </c>
    </row>
    <row r="7" spans="1:26">
      <c r="B7" s="34">
        <v>46206</v>
      </c>
      <c r="C7" s="28" t="s">
        <v>151</v>
      </c>
      <c r="D7" s="28" t="s">
        <v>101</v>
      </c>
      <c r="E7" s="28" t="s">
        <v>85</v>
      </c>
      <c r="F7" s="28" t="s">
        <v>118</v>
      </c>
      <c r="G7" s="35" t="str">
        <f>IF(tblShipments[[#This Row],[Date]]="","",IFERROR(INDEX(tblParts[HS code],MATCH(tblShipments[[#This Row],[Part]],tblParts[Part],0)),""))</f>
        <v>8537.10.90</v>
      </c>
      <c r="H7" s="36">
        <v>750</v>
      </c>
      <c r="I7" s="37">
        <v>31.41</v>
      </c>
      <c r="J7" s="37">
        <v>470</v>
      </c>
      <c r="K7" s="37">
        <v>70.67</v>
      </c>
      <c r="L7" s="29">
        <v>0</v>
      </c>
      <c r="M7" s="29">
        <v>0</v>
      </c>
      <c r="N7" s="37">
        <v>95</v>
      </c>
      <c r="O7" s="37">
        <v>390</v>
      </c>
      <c r="P7" s="38">
        <f>IF(tblShipments[[#This Row],[Date]]="","",tblShipments[[#This Row],[Units]]*tblShipments[[#This Row],[Unit price]])</f>
        <v>23557.5</v>
      </c>
      <c r="Q7" s="38">
        <f>IF(tblShipments[[#This Row],[Date]]="","",tblShipments[[#This Row],[Goods value]]+IF(DutyBase="CIF value",tblShipments[[#This Row],[Freight intl]]+tblShipments[[#This Row],[Insurance]],0))</f>
        <v>23557.5</v>
      </c>
      <c r="R7" s="38">
        <f>IF(tblShipments[[#This Row],[Date]]="","",tblShipments[[#This Row],[Customs value]]*tblShipments[[#This Row],[Duty rate]])</f>
        <v>0</v>
      </c>
      <c r="S7" s="38">
        <f>IF(tblShipments[[#This Row],[Date]]="","",tblShipments[[#This Row],[Customs value]]*tblShipments[[#This Row],[Extra tariff]])</f>
        <v>0</v>
      </c>
      <c r="T7" s="38">
        <f>IF(tblShipments[[#This Row],[Date]]="","",tblShipments[[#This Row],[Goods value]]+tblShipments[[#This Row],[Freight intl]]+tblShipments[[#This Row],[Insurance]]+tblShipments[[#This Row],[Duty]]+tblShipments[[#This Row],[Tariff]]+tblShipments[[#This Row],[Brokerage and fees]]+tblShipments[[#This Row],[Inland freight]])</f>
        <v>24583.17</v>
      </c>
      <c r="U7" s="39">
        <f>IF(tblShipments[[#This Row],[Date]]="","",IF(tblShipments[[#This Row],[Units]]&gt;0,tblShipments[[#This Row],[Landed cost]]/tblShipments[[#This Row],[Units]],""))</f>
        <v>32.77756</v>
      </c>
      <c r="V7" s="40">
        <f>IF(tblShipments[[#This Row],[Date]]="","",IF(tblShipments[[#This Row],[Goods value]]&gt;0,tblShipments[[#This Row],[Landed cost]]/tblShipments[[#This Row],[Goods value]]-1,""))</f>
        <v>0.0435390003183698</v>
      </c>
      <c r="W7" s="41" t="str">
        <f>IF(NOT(ISNUMBER(tblShipments[[#This Row],[Uplift]])),"",IF(tblShipments[[#This Row],[Uplift]]&lt;=UpliftLimit,"On target",IF(tblShipments[[#This Row],[Uplift]]&lt;=UpliftLimit*(1+0.05),"Near target","Above target")))</f>
        <v>On target</v>
      </c>
      <c r="X7" s="42">
        <f>IF(tblShipments[[#This Row],[Date]]="","",IF(AND(tblShipments[[#This Row],[Date]]&gt;=FFrom,tblShipments[[#This Row],[Date]]&lt;=FTo,OR(DashOrigin="",tblShipments[[#This Row],[Origin]]=DashOrigin)),tblShipments[[#This Row],[Date]],""))</f>
        <v>46206</v>
      </c>
      <c r="Y7"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7" s="28" t="s">
        <v>83</v>
      </c>
    </row>
    <row r="8" spans="1:26">
      <c r="B8" s="34">
        <v>46209</v>
      </c>
      <c r="C8" s="28" t="s">
        <v>152</v>
      </c>
      <c r="D8" s="28" t="s">
        <v>95</v>
      </c>
      <c r="E8" s="28" t="s">
        <v>82</v>
      </c>
      <c r="F8" s="28" t="s">
        <v>110</v>
      </c>
      <c r="G8" s="35" t="str">
        <f>IF(tblShipments[[#This Row],[Date]]="","",IFERROR(INDEX(tblParts[HS code],MATCH(tblShipments[[#This Row],[Part]],tblParts[Part],0)),""))</f>
        <v>8413.91.90</v>
      </c>
      <c r="H8" s="36">
        <v>1400</v>
      </c>
      <c r="I8" s="37">
        <v>8.73</v>
      </c>
      <c r="J8" s="37">
        <v>620</v>
      </c>
      <c r="K8" s="37">
        <v>36.67</v>
      </c>
      <c r="L8" s="29">
        <v>0</v>
      </c>
      <c r="M8" s="29">
        <v>0</v>
      </c>
      <c r="N8" s="37">
        <v>175</v>
      </c>
      <c r="O8" s="37">
        <v>240</v>
      </c>
      <c r="P8" s="38">
        <f>IF(tblShipments[[#This Row],[Date]]="","",tblShipments[[#This Row],[Units]]*tblShipments[[#This Row],[Unit price]])</f>
        <v>12222</v>
      </c>
      <c r="Q8" s="38">
        <f>IF(tblShipments[[#This Row],[Date]]="","",tblShipments[[#This Row],[Goods value]]+IF(DutyBase="CIF value",tblShipments[[#This Row],[Freight intl]]+tblShipments[[#This Row],[Insurance]],0))</f>
        <v>12222</v>
      </c>
      <c r="R8" s="38">
        <f>IF(tblShipments[[#This Row],[Date]]="","",tblShipments[[#This Row],[Customs value]]*tblShipments[[#This Row],[Duty rate]])</f>
        <v>0</v>
      </c>
      <c r="S8" s="38">
        <f>IF(tblShipments[[#This Row],[Date]]="","",tblShipments[[#This Row],[Customs value]]*tblShipments[[#This Row],[Extra tariff]])</f>
        <v>0</v>
      </c>
      <c r="T8" s="38">
        <f>IF(tblShipments[[#This Row],[Date]]="","",tblShipments[[#This Row],[Goods value]]+tblShipments[[#This Row],[Freight intl]]+tblShipments[[#This Row],[Insurance]]+tblShipments[[#This Row],[Duty]]+tblShipments[[#This Row],[Tariff]]+tblShipments[[#This Row],[Brokerage and fees]]+tblShipments[[#This Row],[Inland freight]])</f>
        <v>13293.67</v>
      </c>
      <c r="U8" s="39">
        <f>IF(tblShipments[[#This Row],[Date]]="","",IF(tblShipments[[#This Row],[Units]]&gt;0,tblShipments[[#This Row],[Landed cost]]/tblShipments[[#This Row],[Units]],""))</f>
        <v>9.49547857142857</v>
      </c>
      <c r="V8" s="40">
        <f>IF(tblShipments[[#This Row],[Date]]="","",IF(tblShipments[[#This Row],[Goods value]]&gt;0,tblShipments[[#This Row],[Landed cost]]/tblShipments[[#This Row],[Goods value]]-1,""))</f>
        <v>0.0876836851579119</v>
      </c>
      <c r="W8" s="41" t="str">
        <f>IF(NOT(ISNUMBER(tblShipments[[#This Row],[Uplift]])),"",IF(tblShipments[[#This Row],[Uplift]]&lt;=UpliftLimit,"On target",IF(tblShipments[[#This Row],[Uplift]]&lt;=UpliftLimit*(1+0.05),"Near target","Above target")))</f>
        <v>On target</v>
      </c>
      <c r="X8" s="42">
        <f>IF(tblShipments[[#This Row],[Date]]="","",IF(AND(tblShipments[[#This Row],[Date]]&gt;=FFrom,tblShipments[[#This Row],[Date]]&lt;=FTo,OR(DashOrigin="",tblShipments[[#This Row],[Origin]]=DashOrigin)),tblShipments[[#This Row],[Date]],""))</f>
        <v>46209</v>
      </c>
      <c r="Y8"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8" s="28" t="s">
        <v>83</v>
      </c>
    </row>
    <row r="9" spans="1:26">
      <c r="B9" s="34">
        <v>46209</v>
      </c>
      <c r="C9" s="28" t="s">
        <v>153</v>
      </c>
      <c r="D9" s="28" t="s">
        <v>97</v>
      </c>
      <c r="E9" s="28" t="s">
        <v>79</v>
      </c>
      <c r="F9" s="28" t="s">
        <v>112</v>
      </c>
      <c r="G9" s="35" t="str">
        <f>IF(tblShipments[[#This Row],[Date]]="","",IFERROR(INDEX(tblParts[HS code],MATCH(tblShipments[[#This Row],[Part]],tblParts[Part],0)),""))</f>
        <v>8501.52.40</v>
      </c>
      <c r="H9" s="36">
        <v>500</v>
      </c>
      <c r="I9" s="37">
        <v>46.88</v>
      </c>
      <c r="J9" s="37">
        <v>1000</v>
      </c>
      <c r="K9" s="37">
        <v>70.31999999999999</v>
      </c>
      <c r="L9" s="29">
        <v>0.028</v>
      </c>
      <c r="M9" s="29">
        <v>0.25</v>
      </c>
      <c r="N9" s="37">
        <v>120</v>
      </c>
      <c r="O9" s="37">
        <v>230</v>
      </c>
      <c r="P9" s="38">
        <f>IF(tblShipments[[#This Row],[Date]]="","",tblShipments[[#This Row],[Units]]*tblShipments[[#This Row],[Unit price]])</f>
        <v>23440</v>
      </c>
      <c r="Q9" s="38">
        <f>IF(tblShipments[[#This Row],[Date]]="","",tblShipments[[#This Row],[Goods value]]+IF(DutyBase="CIF value",tblShipments[[#This Row],[Freight intl]]+tblShipments[[#This Row],[Insurance]],0))</f>
        <v>23440</v>
      </c>
      <c r="R9" s="38">
        <f>IF(tblShipments[[#This Row],[Date]]="","",tblShipments[[#This Row],[Customs value]]*tblShipments[[#This Row],[Duty rate]])</f>
        <v>656.32</v>
      </c>
      <c r="S9" s="38">
        <f>IF(tblShipments[[#This Row],[Date]]="","",tblShipments[[#This Row],[Customs value]]*tblShipments[[#This Row],[Extra tariff]])</f>
        <v>5860</v>
      </c>
      <c r="T9" s="38">
        <f>IF(tblShipments[[#This Row],[Date]]="","",tblShipments[[#This Row],[Goods value]]+tblShipments[[#This Row],[Freight intl]]+tblShipments[[#This Row],[Insurance]]+tblShipments[[#This Row],[Duty]]+tblShipments[[#This Row],[Tariff]]+tblShipments[[#This Row],[Brokerage and fees]]+tblShipments[[#This Row],[Inland freight]])</f>
        <v>31376.64</v>
      </c>
      <c r="U9" s="39">
        <f>IF(tblShipments[[#This Row],[Date]]="","",IF(tblShipments[[#This Row],[Units]]&gt;0,tblShipments[[#This Row],[Landed cost]]/tblShipments[[#This Row],[Units]],""))</f>
        <v>62.75328</v>
      </c>
      <c r="V9" s="40">
        <f>IF(tblShipments[[#This Row],[Date]]="","",IF(tblShipments[[#This Row],[Goods value]]&gt;0,tblShipments[[#This Row],[Landed cost]]/tblShipments[[#This Row],[Goods value]]-1,""))</f>
        <v>0.33859385665529</v>
      </c>
      <c r="W9" s="41" t="str">
        <f>IF(NOT(ISNUMBER(tblShipments[[#This Row],[Uplift]])),"",IF(tblShipments[[#This Row],[Uplift]]&lt;=UpliftLimit,"On target",IF(tblShipments[[#This Row],[Uplift]]&lt;=UpliftLimit*(1+0.05),"Near target","Above target")))</f>
        <v>Above target</v>
      </c>
      <c r="X9" s="42">
        <f>IF(tblShipments[[#This Row],[Date]]="","",IF(AND(tblShipments[[#This Row],[Date]]&gt;=FFrom,tblShipments[[#This Row],[Date]]&lt;=FTo,OR(DashOrigin="",tblShipments[[#This Row],[Origin]]=DashOrigin)),tblShipments[[#This Row],[Date]],""))</f>
        <v>46209</v>
      </c>
      <c r="Y9"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9" s="28" t="s">
        <v>154</v>
      </c>
    </row>
    <row r="10" spans="1:26">
      <c r="B10" s="34">
        <v>46209</v>
      </c>
      <c r="C10" s="28" t="s">
        <v>155</v>
      </c>
      <c r="D10" s="28" t="s">
        <v>103</v>
      </c>
      <c r="E10" s="28" t="s">
        <v>84</v>
      </c>
      <c r="F10" s="28" t="s">
        <v>121</v>
      </c>
      <c r="G10" s="35" t="str">
        <f>IF(tblShipments[[#This Row],[Date]]="","",IFERROR(INDEX(tblParts[HS code],MATCH(tblShipments[[#This Row],[Part]],tblParts[Part],0)),""))</f>
        <v>7318.15.20</v>
      </c>
      <c r="H10" s="36">
        <v>2050</v>
      </c>
      <c r="I10" s="37">
        <v>2.34</v>
      </c>
      <c r="J10" s="37">
        <v>300</v>
      </c>
      <c r="K10" s="37">
        <v>14.39</v>
      </c>
      <c r="L10" s="29">
        <v>0.06</v>
      </c>
      <c r="M10" s="29">
        <v>0</v>
      </c>
      <c r="N10" s="37">
        <v>95</v>
      </c>
      <c r="O10" s="37">
        <v>340</v>
      </c>
      <c r="P10" s="38">
        <f>IF(tblShipments[[#This Row],[Date]]="","",tblShipments[[#This Row],[Units]]*tblShipments[[#This Row],[Unit price]])</f>
        <v>4797</v>
      </c>
      <c r="Q10" s="38">
        <f>IF(tblShipments[[#This Row],[Date]]="","",tblShipments[[#This Row],[Goods value]]+IF(DutyBase="CIF value",tblShipments[[#This Row],[Freight intl]]+tblShipments[[#This Row],[Insurance]],0))</f>
        <v>4797</v>
      </c>
      <c r="R10" s="38">
        <f>IF(tblShipments[[#This Row],[Date]]="","",tblShipments[[#This Row],[Customs value]]*tblShipments[[#This Row],[Duty rate]])</f>
        <v>287.82</v>
      </c>
      <c r="S10" s="38">
        <f>IF(tblShipments[[#This Row],[Date]]="","",tblShipments[[#This Row],[Customs value]]*tblShipments[[#This Row],[Extra tariff]])</f>
        <v>0</v>
      </c>
      <c r="T10" s="38">
        <f>IF(tblShipments[[#This Row],[Date]]="","",tblShipments[[#This Row],[Goods value]]+tblShipments[[#This Row],[Freight intl]]+tblShipments[[#This Row],[Insurance]]+tblShipments[[#This Row],[Duty]]+tblShipments[[#This Row],[Tariff]]+tblShipments[[#This Row],[Brokerage and fees]]+tblShipments[[#This Row],[Inland freight]])</f>
        <v>5834.21</v>
      </c>
      <c r="U10" s="39">
        <f>IF(tblShipments[[#This Row],[Date]]="","",IF(tblShipments[[#This Row],[Units]]&gt;0,tblShipments[[#This Row],[Landed cost]]/tblShipments[[#This Row],[Units]],""))</f>
        <v>2.84595609756098</v>
      </c>
      <c r="V10" s="40">
        <f>IF(tblShipments[[#This Row],[Date]]="","",IF(tblShipments[[#This Row],[Goods value]]&gt;0,tblShipments[[#This Row],[Landed cost]]/tblShipments[[#This Row],[Goods value]]-1,""))</f>
        <v>0.216220554513237</v>
      </c>
      <c r="W10" s="41" t="str">
        <f>IF(NOT(ISNUMBER(tblShipments[[#This Row],[Uplift]])),"",IF(tblShipments[[#This Row],[Uplift]]&lt;=UpliftLimit,"On target",IF(tblShipments[[#This Row],[Uplift]]&lt;=UpliftLimit*(1+0.05),"Near target","Above target")))</f>
        <v>On target</v>
      </c>
      <c r="X10" s="42">
        <f>IF(tblShipments[[#This Row],[Date]]="","",IF(AND(tblShipments[[#This Row],[Date]]&gt;=FFrom,tblShipments[[#This Row],[Date]]&lt;=FTo,OR(DashOrigin="",tblShipments[[#This Row],[Origin]]=DashOrigin)),tblShipments[[#This Row],[Date]],""))</f>
        <v>46209</v>
      </c>
      <c r="Y10"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0" s="28" t="s">
        <v>83</v>
      </c>
    </row>
    <row r="11" spans="1:26">
      <c r="B11" s="34">
        <v>46209</v>
      </c>
      <c r="C11" s="28" t="s">
        <v>156</v>
      </c>
      <c r="D11" s="28" t="s">
        <v>103</v>
      </c>
      <c r="E11" s="28" t="s">
        <v>84</v>
      </c>
      <c r="F11" s="28" t="s">
        <v>125</v>
      </c>
      <c r="G11" s="35" t="str">
        <f>IF(tblShipments[[#This Row],[Date]]="","",IFERROR(INDEX(tblParts[HS code],MATCH(tblShipments[[#This Row],[Part]],tblParts[Part],0)),""))</f>
        <v>8547.20.00</v>
      </c>
      <c r="H11" s="36">
        <v>2600</v>
      </c>
      <c r="I11" s="37">
        <v>0.95</v>
      </c>
      <c r="J11" s="37">
        <v>220</v>
      </c>
      <c r="K11" s="37">
        <v>7.41</v>
      </c>
      <c r="L11" s="29">
        <v>0.032</v>
      </c>
      <c r="M11" s="29">
        <v>0</v>
      </c>
      <c r="N11" s="37">
        <v>175</v>
      </c>
      <c r="O11" s="37">
        <v>250</v>
      </c>
      <c r="P11" s="38">
        <f>IF(tblShipments[[#This Row],[Date]]="","",tblShipments[[#This Row],[Units]]*tblShipments[[#This Row],[Unit price]])</f>
        <v>2470</v>
      </c>
      <c r="Q11" s="38">
        <f>IF(tblShipments[[#This Row],[Date]]="","",tblShipments[[#This Row],[Goods value]]+IF(DutyBase="CIF value",tblShipments[[#This Row],[Freight intl]]+tblShipments[[#This Row],[Insurance]],0))</f>
        <v>2470</v>
      </c>
      <c r="R11" s="38">
        <f>IF(tblShipments[[#This Row],[Date]]="","",tblShipments[[#This Row],[Customs value]]*tblShipments[[#This Row],[Duty rate]])</f>
        <v>79.04</v>
      </c>
      <c r="S11" s="38">
        <f>IF(tblShipments[[#This Row],[Date]]="","",tblShipments[[#This Row],[Customs value]]*tblShipments[[#This Row],[Extra tariff]])</f>
        <v>0</v>
      </c>
      <c r="T11" s="38">
        <f>IF(tblShipments[[#This Row],[Date]]="","",tblShipments[[#This Row],[Goods value]]+tblShipments[[#This Row],[Freight intl]]+tblShipments[[#This Row],[Insurance]]+tblShipments[[#This Row],[Duty]]+tblShipments[[#This Row],[Tariff]]+tblShipments[[#This Row],[Brokerage and fees]]+tblShipments[[#This Row],[Inland freight]])</f>
        <v>3201.45</v>
      </c>
      <c r="U11" s="39">
        <f>IF(tblShipments[[#This Row],[Date]]="","",IF(tblShipments[[#This Row],[Units]]&gt;0,tblShipments[[#This Row],[Landed cost]]/tblShipments[[#This Row],[Units]],""))</f>
        <v>1.23132692307692</v>
      </c>
      <c r="V11" s="40">
        <f>IF(tblShipments[[#This Row],[Date]]="","",IF(tblShipments[[#This Row],[Goods value]]&gt;0,tblShipments[[#This Row],[Landed cost]]/tblShipments[[#This Row],[Goods value]]-1,""))</f>
        <v>0.296133603238866</v>
      </c>
      <c r="W11" s="41" t="str">
        <f>IF(NOT(ISNUMBER(tblShipments[[#This Row],[Uplift]])),"",IF(tblShipments[[#This Row],[Uplift]]&lt;=UpliftLimit,"On target",IF(tblShipments[[#This Row],[Uplift]]&lt;=UpliftLimit*(1+0.05),"Near target","Above target")))</f>
        <v>Above target</v>
      </c>
      <c r="X11" s="42">
        <f>IF(tblShipments[[#This Row],[Date]]="","",IF(AND(tblShipments[[#This Row],[Date]]&gt;=FFrom,tblShipments[[#This Row],[Date]]&lt;=FTo,OR(DashOrigin="",tblShipments[[#This Row],[Origin]]=DashOrigin)),tblShipments[[#This Row],[Date]],""))</f>
        <v>46209</v>
      </c>
      <c r="Y11"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1" s="28" t="s">
        <v>83</v>
      </c>
    </row>
    <row r="12" spans="1:26">
      <c r="B12" s="34">
        <v>46209</v>
      </c>
      <c r="C12" s="28" t="s">
        <v>157</v>
      </c>
      <c r="D12" s="28" t="s">
        <v>99</v>
      </c>
      <c r="E12" s="28" t="s">
        <v>88</v>
      </c>
      <c r="F12" s="28" t="s">
        <v>127</v>
      </c>
      <c r="G12" s="35" t="str">
        <f>IF(tblShipments[[#This Row],[Date]]="","",IFERROR(INDEX(tblParts[HS code],MATCH(tblShipments[[#This Row],[Part]],tblParts[Part],0)),""))</f>
        <v>9026.20.40</v>
      </c>
      <c r="H12" s="36">
        <v>400</v>
      </c>
      <c r="I12" s="37">
        <v>18.86</v>
      </c>
      <c r="J12" s="37">
        <v>340</v>
      </c>
      <c r="K12" s="37">
        <v>22.63</v>
      </c>
      <c r="L12" s="29">
        <v>0</v>
      </c>
      <c r="M12" s="29">
        <v>0</v>
      </c>
      <c r="N12" s="37">
        <v>145</v>
      </c>
      <c r="O12" s="37">
        <v>220</v>
      </c>
      <c r="P12" s="38">
        <f>IF(tblShipments[[#This Row],[Date]]="","",tblShipments[[#This Row],[Units]]*tblShipments[[#This Row],[Unit price]])</f>
        <v>7544</v>
      </c>
      <c r="Q12" s="38">
        <f>IF(tblShipments[[#This Row],[Date]]="","",tblShipments[[#This Row],[Goods value]]+IF(DutyBase="CIF value",tblShipments[[#This Row],[Freight intl]]+tblShipments[[#This Row],[Insurance]],0))</f>
        <v>7544</v>
      </c>
      <c r="R12" s="38">
        <f>IF(tblShipments[[#This Row],[Date]]="","",tblShipments[[#This Row],[Customs value]]*tblShipments[[#This Row],[Duty rate]])</f>
        <v>0</v>
      </c>
      <c r="S12" s="38">
        <f>IF(tblShipments[[#This Row],[Date]]="","",tblShipments[[#This Row],[Customs value]]*tblShipments[[#This Row],[Extra tariff]])</f>
        <v>0</v>
      </c>
      <c r="T12" s="38">
        <f>IF(tblShipments[[#This Row],[Date]]="","",tblShipments[[#This Row],[Goods value]]+tblShipments[[#This Row],[Freight intl]]+tblShipments[[#This Row],[Insurance]]+tblShipments[[#This Row],[Duty]]+tblShipments[[#This Row],[Tariff]]+tblShipments[[#This Row],[Brokerage and fees]]+tblShipments[[#This Row],[Inland freight]])</f>
        <v>8271.63</v>
      </c>
      <c r="U12" s="39">
        <f>IF(tblShipments[[#This Row],[Date]]="","",IF(tblShipments[[#This Row],[Units]]&gt;0,tblShipments[[#This Row],[Landed cost]]/tblShipments[[#This Row],[Units]],""))</f>
        <v>20.679075</v>
      </c>
      <c r="V12" s="40">
        <f>IF(tblShipments[[#This Row],[Date]]="","",IF(tblShipments[[#This Row],[Goods value]]&gt;0,tblShipments[[#This Row],[Landed cost]]/tblShipments[[#This Row],[Goods value]]-1,""))</f>
        <v>0.096451484623542</v>
      </c>
      <c r="W12" s="41" t="str">
        <f>IF(NOT(ISNUMBER(tblShipments[[#This Row],[Uplift]])),"",IF(tblShipments[[#This Row],[Uplift]]&lt;=UpliftLimit,"On target",IF(tblShipments[[#This Row],[Uplift]]&lt;=UpliftLimit*(1+0.05),"Near target","Above target")))</f>
        <v>On target</v>
      </c>
      <c r="X12" s="42">
        <f>IF(tblShipments[[#This Row],[Date]]="","",IF(AND(tblShipments[[#This Row],[Date]]&gt;=FFrom,tblShipments[[#This Row],[Date]]&lt;=FTo,OR(DashOrigin="",tblShipments[[#This Row],[Origin]]=DashOrigin)),tblShipments[[#This Row],[Date]],""))</f>
        <v>46209</v>
      </c>
      <c r="Y12"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2" s="28" t="s">
        <v>83</v>
      </c>
    </row>
    <row r="13" spans="1:26">
      <c r="B13" s="34">
        <v>46210</v>
      </c>
      <c r="C13" s="28" t="s">
        <v>158</v>
      </c>
      <c r="D13" s="28" t="s">
        <v>91</v>
      </c>
      <c r="E13" s="28" t="s">
        <v>79</v>
      </c>
      <c r="F13" s="28" t="s">
        <v>106</v>
      </c>
      <c r="G13" s="35" t="str">
        <f>IF(tblShipments[[#This Row],[Date]]="","",IFERROR(INDEX(tblParts[HS code],MATCH(tblShipments[[#This Row],[Part]],tblParts[Part],0)),""))</f>
        <v>8413.91.90</v>
      </c>
      <c r="H13" s="36">
        <v>600</v>
      </c>
      <c r="I13" s="37">
        <v>21.18</v>
      </c>
      <c r="J13" s="37">
        <v>880</v>
      </c>
      <c r="K13" s="37">
        <v>38.12</v>
      </c>
      <c r="L13" s="29">
        <v>0</v>
      </c>
      <c r="M13" s="29">
        <v>0.25</v>
      </c>
      <c r="N13" s="37">
        <v>120</v>
      </c>
      <c r="O13" s="37">
        <v>520</v>
      </c>
      <c r="P13" s="38">
        <f>IF(tblShipments[[#This Row],[Date]]="","",tblShipments[[#This Row],[Units]]*tblShipments[[#This Row],[Unit price]])</f>
        <v>12708</v>
      </c>
      <c r="Q13" s="38">
        <f>IF(tblShipments[[#This Row],[Date]]="","",tblShipments[[#This Row],[Goods value]]+IF(DutyBase="CIF value",tblShipments[[#This Row],[Freight intl]]+tblShipments[[#This Row],[Insurance]],0))</f>
        <v>12708</v>
      </c>
      <c r="R13" s="38">
        <f>IF(tblShipments[[#This Row],[Date]]="","",tblShipments[[#This Row],[Customs value]]*tblShipments[[#This Row],[Duty rate]])</f>
        <v>0</v>
      </c>
      <c r="S13" s="38">
        <f>IF(tblShipments[[#This Row],[Date]]="","",tblShipments[[#This Row],[Customs value]]*tblShipments[[#This Row],[Extra tariff]])</f>
        <v>3177</v>
      </c>
      <c r="T13" s="38">
        <f>IF(tblShipments[[#This Row],[Date]]="","",tblShipments[[#This Row],[Goods value]]+tblShipments[[#This Row],[Freight intl]]+tblShipments[[#This Row],[Insurance]]+tblShipments[[#This Row],[Duty]]+tblShipments[[#This Row],[Tariff]]+tblShipments[[#This Row],[Brokerage and fees]]+tblShipments[[#This Row],[Inland freight]])</f>
        <v>17443.12</v>
      </c>
      <c r="U13" s="39">
        <f>IF(tblShipments[[#This Row],[Date]]="","",IF(tblShipments[[#This Row],[Units]]&gt;0,tblShipments[[#This Row],[Landed cost]]/tblShipments[[#This Row],[Units]],""))</f>
        <v>29.0718666666667</v>
      </c>
      <c r="V13" s="40">
        <f>IF(tblShipments[[#This Row],[Date]]="","",IF(tblShipments[[#This Row],[Goods value]]&gt;0,tblShipments[[#This Row],[Landed cost]]/tblShipments[[#This Row],[Goods value]]-1,""))</f>
        <v>0.372609379918162</v>
      </c>
      <c r="W13" s="41" t="str">
        <f>IF(NOT(ISNUMBER(tblShipments[[#This Row],[Uplift]])),"",IF(tblShipments[[#This Row],[Uplift]]&lt;=UpliftLimit,"On target",IF(tblShipments[[#This Row],[Uplift]]&lt;=UpliftLimit*(1+0.05),"Near target","Above target")))</f>
        <v>Above target</v>
      </c>
      <c r="X13" s="42">
        <f>IF(tblShipments[[#This Row],[Date]]="","",IF(AND(tblShipments[[#This Row],[Date]]&gt;=FFrom,tblShipments[[#This Row],[Date]]&lt;=FTo,OR(DashOrigin="",tblShipments[[#This Row],[Origin]]=DashOrigin)),tblShipments[[#This Row],[Date]],""))</f>
        <v>46210</v>
      </c>
      <c r="Y13"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3" s="28" t="s">
        <v>83</v>
      </c>
    </row>
    <row r="14" spans="1:26">
      <c r="B14" s="34">
        <v>46216</v>
      </c>
      <c r="C14" s="28" t="s">
        <v>159</v>
      </c>
      <c r="D14" s="28" t="s">
        <v>99</v>
      </c>
      <c r="E14" s="28" t="s">
        <v>88</v>
      </c>
      <c r="F14" s="28" t="s">
        <v>115</v>
      </c>
      <c r="G14" s="35" t="str">
        <f>IF(tblShipments[[#This Row],[Date]]="","",IFERROR(INDEX(tblParts[HS code],MATCH(tblShipments[[#This Row],[Part]],tblParts[Part],0)),""))</f>
        <v>8484.20.00</v>
      </c>
      <c r="H14" s="36">
        <v>1150</v>
      </c>
      <c r="I14" s="37">
        <v>12.11</v>
      </c>
      <c r="J14" s="37">
        <v>580</v>
      </c>
      <c r="K14" s="37">
        <v>41.78</v>
      </c>
      <c r="L14" s="29">
        <v>0.025</v>
      </c>
      <c r="M14" s="29">
        <v>0</v>
      </c>
      <c r="N14" s="37">
        <v>95</v>
      </c>
      <c r="O14" s="37">
        <v>290</v>
      </c>
      <c r="P14" s="38">
        <f>IF(tblShipments[[#This Row],[Date]]="","",tblShipments[[#This Row],[Units]]*tblShipments[[#This Row],[Unit price]])</f>
        <v>13926.5</v>
      </c>
      <c r="Q14" s="38">
        <f>IF(tblShipments[[#This Row],[Date]]="","",tblShipments[[#This Row],[Goods value]]+IF(DutyBase="CIF value",tblShipments[[#This Row],[Freight intl]]+tblShipments[[#This Row],[Insurance]],0))</f>
        <v>13926.5</v>
      </c>
      <c r="R14" s="38">
        <f>IF(tblShipments[[#This Row],[Date]]="","",tblShipments[[#This Row],[Customs value]]*tblShipments[[#This Row],[Duty rate]])</f>
        <v>348.1625</v>
      </c>
      <c r="S14" s="38">
        <f>IF(tblShipments[[#This Row],[Date]]="","",tblShipments[[#This Row],[Customs value]]*tblShipments[[#This Row],[Extra tariff]])</f>
        <v>0</v>
      </c>
      <c r="T14" s="38">
        <f>IF(tblShipments[[#This Row],[Date]]="","",tblShipments[[#This Row],[Goods value]]+tblShipments[[#This Row],[Freight intl]]+tblShipments[[#This Row],[Insurance]]+tblShipments[[#This Row],[Duty]]+tblShipments[[#This Row],[Tariff]]+tblShipments[[#This Row],[Brokerage and fees]]+tblShipments[[#This Row],[Inland freight]])</f>
        <v>15281.4425</v>
      </c>
      <c r="U14" s="39">
        <f>IF(tblShipments[[#This Row],[Date]]="","",IF(tblShipments[[#This Row],[Units]]&gt;0,tblShipments[[#This Row],[Landed cost]]/tblShipments[[#This Row],[Units]],""))</f>
        <v>13.2882108695652</v>
      </c>
      <c r="V14" s="40">
        <f>IF(tblShipments[[#This Row],[Date]]="","",IF(tblShipments[[#This Row],[Goods value]]&gt;0,tblShipments[[#This Row],[Landed cost]]/tblShipments[[#This Row],[Goods value]]-1,""))</f>
        <v>0.0972923922019173</v>
      </c>
      <c r="W14" s="41" t="str">
        <f>IF(NOT(ISNUMBER(tblShipments[[#This Row],[Uplift]])),"",IF(tblShipments[[#This Row],[Uplift]]&lt;=UpliftLimit,"On target",IF(tblShipments[[#This Row],[Uplift]]&lt;=UpliftLimit*(1+0.05),"Near target","Above target")))</f>
        <v>On target</v>
      </c>
      <c r="X14" s="42">
        <f>IF(tblShipments[[#This Row],[Date]]="","",IF(AND(tblShipments[[#This Row],[Date]]&gt;=FFrom,tblShipments[[#This Row],[Date]]&lt;=FTo,OR(DashOrigin="",tblShipments[[#This Row],[Origin]]=DashOrigin)),tblShipments[[#This Row],[Date]],""))</f>
        <v>46216</v>
      </c>
      <c r="Y14"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4" s="28" t="s">
        <v>83</v>
      </c>
    </row>
    <row r="15" spans="1:26">
      <c r="B15" s="34">
        <v>46220</v>
      </c>
      <c r="C15" s="28" t="s">
        <v>160</v>
      </c>
      <c r="D15" s="28" t="s">
        <v>97</v>
      </c>
      <c r="E15" s="28" t="s">
        <v>79</v>
      </c>
      <c r="F15" s="28" t="s">
        <v>112</v>
      </c>
      <c r="G15" s="35" t="str">
        <f>IF(tblShipments[[#This Row],[Date]]="","",IFERROR(INDEX(tblParts[HS code],MATCH(tblShipments[[#This Row],[Part]],tblParts[Part],0)),""))</f>
        <v>8501.52.40</v>
      </c>
      <c r="H15" s="36">
        <v>700</v>
      </c>
      <c r="I15" s="37">
        <v>46.03</v>
      </c>
      <c r="J15" s="37">
        <v>1590</v>
      </c>
      <c r="K15" s="37">
        <v>96.66</v>
      </c>
      <c r="L15" s="29">
        <v>0.028</v>
      </c>
      <c r="M15" s="29">
        <v>0.25</v>
      </c>
      <c r="N15" s="37">
        <v>145</v>
      </c>
      <c r="O15" s="37">
        <v>200</v>
      </c>
      <c r="P15" s="38">
        <f>IF(tblShipments[[#This Row],[Date]]="","",tblShipments[[#This Row],[Units]]*tblShipments[[#This Row],[Unit price]])</f>
        <v>32221</v>
      </c>
      <c r="Q15" s="38">
        <f>IF(tblShipments[[#This Row],[Date]]="","",tblShipments[[#This Row],[Goods value]]+IF(DutyBase="CIF value",tblShipments[[#This Row],[Freight intl]]+tblShipments[[#This Row],[Insurance]],0))</f>
        <v>32221</v>
      </c>
      <c r="R15" s="38">
        <f>IF(tblShipments[[#This Row],[Date]]="","",tblShipments[[#This Row],[Customs value]]*tblShipments[[#This Row],[Duty rate]])</f>
        <v>902.188</v>
      </c>
      <c r="S15" s="38">
        <f>IF(tblShipments[[#This Row],[Date]]="","",tblShipments[[#This Row],[Customs value]]*tblShipments[[#This Row],[Extra tariff]])</f>
        <v>8055.25</v>
      </c>
      <c r="T15" s="38">
        <f>IF(tblShipments[[#This Row],[Date]]="","",tblShipments[[#This Row],[Goods value]]+tblShipments[[#This Row],[Freight intl]]+tblShipments[[#This Row],[Insurance]]+tblShipments[[#This Row],[Duty]]+tblShipments[[#This Row],[Tariff]]+tblShipments[[#This Row],[Brokerage and fees]]+tblShipments[[#This Row],[Inland freight]])</f>
        <v>43210.098</v>
      </c>
      <c r="U15" s="39">
        <f>IF(tblShipments[[#This Row],[Date]]="","",IF(tblShipments[[#This Row],[Units]]&gt;0,tblShipments[[#This Row],[Landed cost]]/tblShipments[[#This Row],[Units]],""))</f>
        <v>61.7287114285714</v>
      </c>
      <c r="V15" s="40">
        <f>IF(tblShipments[[#This Row],[Date]]="","",IF(tblShipments[[#This Row],[Goods value]]&gt;0,tblShipments[[#This Row],[Landed cost]]/tblShipments[[#This Row],[Goods value]]-1,""))</f>
        <v>0.341053908941374</v>
      </c>
      <c r="W15" s="41" t="str">
        <f>IF(NOT(ISNUMBER(tblShipments[[#This Row],[Uplift]])),"",IF(tblShipments[[#This Row],[Uplift]]&lt;=UpliftLimit,"On target",IF(tblShipments[[#This Row],[Uplift]]&lt;=UpliftLimit*(1+0.05),"Near target","Above target")))</f>
        <v>Above target</v>
      </c>
      <c r="X15" s="42">
        <f>IF(tblShipments[[#This Row],[Date]]="","",IF(AND(tblShipments[[#This Row],[Date]]&gt;=FFrom,tblShipments[[#This Row],[Date]]&lt;=FTo,OR(DashOrigin="",tblShipments[[#This Row],[Origin]]=DashOrigin)),tblShipments[[#This Row],[Date]],""))</f>
        <v>46220</v>
      </c>
      <c r="Y15"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5" s="28" t="s">
        <v>83</v>
      </c>
    </row>
    <row r="16" spans="1:26">
      <c r="B16" s="34">
        <v>46220</v>
      </c>
      <c r="C16" s="28" t="s">
        <v>161</v>
      </c>
      <c r="D16" s="28" t="s">
        <v>103</v>
      </c>
      <c r="E16" s="28" t="s">
        <v>84</v>
      </c>
      <c r="F16" s="28" t="s">
        <v>121</v>
      </c>
      <c r="G16" s="35" t="str">
        <f>IF(tblShipments[[#This Row],[Date]]="","",IFERROR(INDEX(tblParts[HS code],MATCH(tblShipments[[#This Row],[Part]],tblParts[Part],0)),""))</f>
        <v>7318.15.20</v>
      </c>
      <c r="H16" s="36">
        <v>2150</v>
      </c>
      <c r="I16" s="37">
        <v>2.35</v>
      </c>
      <c r="J16" s="37">
        <v>340</v>
      </c>
      <c r="K16" s="37">
        <v>15.16</v>
      </c>
      <c r="L16" s="29">
        <v>0.06</v>
      </c>
      <c r="M16" s="29">
        <v>0</v>
      </c>
      <c r="N16" s="37">
        <v>120</v>
      </c>
      <c r="O16" s="37">
        <v>460</v>
      </c>
      <c r="P16" s="38">
        <f>IF(tblShipments[[#This Row],[Date]]="","",tblShipments[[#This Row],[Units]]*tblShipments[[#This Row],[Unit price]])</f>
        <v>5052.5</v>
      </c>
      <c r="Q16" s="38">
        <f>IF(tblShipments[[#This Row],[Date]]="","",tblShipments[[#This Row],[Goods value]]+IF(DutyBase="CIF value",tblShipments[[#This Row],[Freight intl]]+tblShipments[[#This Row],[Insurance]],0))</f>
        <v>5052.5</v>
      </c>
      <c r="R16" s="38">
        <f>IF(tblShipments[[#This Row],[Date]]="","",tblShipments[[#This Row],[Customs value]]*tblShipments[[#This Row],[Duty rate]])</f>
        <v>303.15</v>
      </c>
      <c r="S16" s="38">
        <f>IF(tblShipments[[#This Row],[Date]]="","",tblShipments[[#This Row],[Customs value]]*tblShipments[[#This Row],[Extra tariff]])</f>
        <v>0</v>
      </c>
      <c r="T16" s="38">
        <f>IF(tblShipments[[#This Row],[Date]]="","",tblShipments[[#This Row],[Goods value]]+tblShipments[[#This Row],[Freight intl]]+tblShipments[[#This Row],[Insurance]]+tblShipments[[#This Row],[Duty]]+tblShipments[[#This Row],[Tariff]]+tblShipments[[#This Row],[Brokerage and fees]]+tblShipments[[#This Row],[Inland freight]])</f>
        <v>6290.81</v>
      </c>
      <c r="U16" s="39">
        <f>IF(tblShipments[[#This Row],[Date]]="","",IF(tblShipments[[#This Row],[Units]]&gt;0,tblShipments[[#This Row],[Landed cost]]/tblShipments[[#This Row],[Units]],""))</f>
        <v>2.92595813953488</v>
      </c>
      <c r="V16" s="40">
        <f>IF(tblShipments[[#This Row],[Date]]="","",IF(tblShipments[[#This Row],[Goods value]]&gt;0,tblShipments[[#This Row],[Landed cost]]/tblShipments[[#This Row],[Goods value]]-1,""))</f>
        <v>0.245088570014844</v>
      </c>
      <c r="W16" s="41" t="str">
        <f>IF(NOT(ISNUMBER(tblShipments[[#This Row],[Uplift]])),"",IF(tblShipments[[#This Row],[Uplift]]&lt;=UpliftLimit,"On target",IF(tblShipments[[#This Row],[Uplift]]&lt;=UpliftLimit*(1+0.05),"Near target","Above target")))</f>
        <v>On target</v>
      </c>
      <c r="X16" s="42">
        <f>IF(tblShipments[[#This Row],[Date]]="","",IF(AND(tblShipments[[#This Row],[Date]]&gt;=FFrom,tblShipments[[#This Row],[Date]]&lt;=FTo,OR(DashOrigin="",tblShipments[[#This Row],[Origin]]=DashOrigin)),tblShipments[[#This Row],[Date]],""))</f>
        <v>46220</v>
      </c>
      <c r="Y16"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6" s="28" t="s">
        <v>83</v>
      </c>
    </row>
    <row r="17" spans="2:26">
      <c r="B17" s="34">
        <v>46223</v>
      </c>
      <c r="C17" s="28" t="s">
        <v>162</v>
      </c>
      <c r="D17" s="28" t="s">
        <v>101</v>
      </c>
      <c r="E17" s="28" t="s">
        <v>85</v>
      </c>
      <c r="F17" s="28" t="s">
        <v>118</v>
      </c>
      <c r="G17" s="35" t="str">
        <f>IF(tblShipments[[#This Row],[Date]]="","",IFERROR(INDEX(tblParts[HS code],MATCH(tblShipments[[#This Row],[Part]],tblParts[Part],0)),""))</f>
        <v>8537.10.90</v>
      </c>
      <c r="H17" s="36">
        <v>550</v>
      </c>
      <c r="I17" s="37">
        <v>32.21</v>
      </c>
      <c r="J17" s="37">
        <v>280</v>
      </c>
      <c r="K17" s="37">
        <v>53.15</v>
      </c>
      <c r="L17" s="29">
        <v>0</v>
      </c>
      <c r="M17" s="29">
        <v>0</v>
      </c>
      <c r="N17" s="37">
        <v>175</v>
      </c>
      <c r="O17" s="37">
        <v>590</v>
      </c>
      <c r="P17" s="38">
        <f>IF(tblShipments[[#This Row],[Date]]="","",tblShipments[[#This Row],[Units]]*tblShipments[[#This Row],[Unit price]])</f>
        <v>17715.5</v>
      </c>
      <c r="Q17" s="38">
        <f>IF(tblShipments[[#This Row],[Date]]="","",tblShipments[[#This Row],[Goods value]]+IF(DutyBase="CIF value",tblShipments[[#This Row],[Freight intl]]+tblShipments[[#This Row],[Insurance]],0))</f>
        <v>17715.5</v>
      </c>
      <c r="R17" s="38">
        <f>IF(tblShipments[[#This Row],[Date]]="","",tblShipments[[#This Row],[Customs value]]*tblShipments[[#This Row],[Duty rate]])</f>
        <v>0</v>
      </c>
      <c r="S17" s="38">
        <f>IF(tblShipments[[#This Row],[Date]]="","",tblShipments[[#This Row],[Customs value]]*tblShipments[[#This Row],[Extra tariff]])</f>
        <v>0</v>
      </c>
      <c r="T17" s="38">
        <f>IF(tblShipments[[#This Row],[Date]]="","",tblShipments[[#This Row],[Goods value]]+tblShipments[[#This Row],[Freight intl]]+tblShipments[[#This Row],[Insurance]]+tblShipments[[#This Row],[Duty]]+tblShipments[[#This Row],[Tariff]]+tblShipments[[#This Row],[Brokerage and fees]]+tblShipments[[#This Row],[Inland freight]])</f>
        <v>18813.65</v>
      </c>
      <c r="U17" s="39">
        <f>IF(tblShipments[[#This Row],[Date]]="","",IF(tblShipments[[#This Row],[Units]]&gt;0,tblShipments[[#This Row],[Landed cost]]/tblShipments[[#This Row],[Units]],""))</f>
        <v>34.2066363636364</v>
      </c>
      <c r="V17" s="40">
        <f>IF(tblShipments[[#This Row],[Date]]="","",IF(tblShipments[[#This Row],[Goods value]]&gt;0,tblShipments[[#This Row],[Landed cost]]/tblShipments[[#This Row],[Goods value]]-1,""))</f>
        <v>0.0619880895261213</v>
      </c>
      <c r="W17" s="41" t="str">
        <f>IF(NOT(ISNUMBER(tblShipments[[#This Row],[Uplift]])),"",IF(tblShipments[[#This Row],[Uplift]]&lt;=UpliftLimit,"On target",IF(tblShipments[[#This Row],[Uplift]]&lt;=UpliftLimit*(1+0.05),"Near target","Above target")))</f>
        <v>On target</v>
      </c>
      <c r="X17" s="42">
        <f>IF(tblShipments[[#This Row],[Date]]="","",IF(AND(tblShipments[[#This Row],[Date]]&gt;=FFrom,tblShipments[[#This Row],[Date]]&lt;=FTo,OR(DashOrigin="",tblShipments[[#This Row],[Origin]]=DashOrigin)),tblShipments[[#This Row],[Date]],""))</f>
        <v>46223</v>
      </c>
      <c r="Y17"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7" s="28" t="s">
        <v>83</v>
      </c>
    </row>
    <row r="18" spans="2:26">
      <c r="B18" s="34">
        <v>46224</v>
      </c>
      <c r="C18" s="28" t="s">
        <v>163</v>
      </c>
      <c r="D18" s="28" t="s">
        <v>95</v>
      </c>
      <c r="E18" s="28" t="s">
        <v>82</v>
      </c>
      <c r="F18" s="28" t="s">
        <v>110</v>
      </c>
      <c r="G18" s="35" t="str">
        <f>IF(tblShipments[[#This Row],[Date]]="","",IFERROR(INDEX(tblParts[HS code],MATCH(tblShipments[[#This Row],[Part]],tblParts[Part],0)),""))</f>
        <v>8413.91.90</v>
      </c>
      <c r="H18" s="36">
        <v>850</v>
      </c>
      <c r="I18" s="37">
        <v>8.83</v>
      </c>
      <c r="J18" s="37">
        <v>380</v>
      </c>
      <c r="K18" s="37">
        <v>22.52</v>
      </c>
      <c r="L18" s="29">
        <v>0</v>
      </c>
      <c r="M18" s="29">
        <v>0</v>
      </c>
      <c r="N18" s="37">
        <v>95</v>
      </c>
      <c r="O18" s="37">
        <v>240</v>
      </c>
      <c r="P18" s="38">
        <f>IF(tblShipments[[#This Row],[Date]]="","",tblShipments[[#This Row],[Units]]*tblShipments[[#This Row],[Unit price]])</f>
        <v>7505.5</v>
      </c>
      <c r="Q18" s="38">
        <f>IF(tblShipments[[#This Row],[Date]]="","",tblShipments[[#This Row],[Goods value]]+IF(DutyBase="CIF value",tblShipments[[#This Row],[Freight intl]]+tblShipments[[#This Row],[Insurance]],0))</f>
        <v>7505.5</v>
      </c>
      <c r="R18" s="38">
        <f>IF(tblShipments[[#This Row],[Date]]="","",tblShipments[[#This Row],[Customs value]]*tblShipments[[#This Row],[Duty rate]])</f>
        <v>0</v>
      </c>
      <c r="S18" s="38">
        <f>IF(tblShipments[[#This Row],[Date]]="","",tblShipments[[#This Row],[Customs value]]*tblShipments[[#This Row],[Extra tariff]])</f>
        <v>0</v>
      </c>
      <c r="T18" s="38">
        <f>IF(tblShipments[[#This Row],[Date]]="","",tblShipments[[#This Row],[Goods value]]+tblShipments[[#This Row],[Freight intl]]+tblShipments[[#This Row],[Insurance]]+tblShipments[[#This Row],[Duty]]+tblShipments[[#This Row],[Tariff]]+tblShipments[[#This Row],[Brokerage and fees]]+tblShipments[[#This Row],[Inland freight]])</f>
        <v>8243.02</v>
      </c>
      <c r="U18" s="39">
        <f>IF(tblShipments[[#This Row],[Date]]="","",IF(tblShipments[[#This Row],[Units]]&gt;0,tblShipments[[#This Row],[Landed cost]]/tblShipments[[#This Row],[Units]],""))</f>
        <v>9.69767058823529</v>
      </c>
      <c r="V18" s="40">
        <f>IF(tblShipments[[#This Row],[Date]]="","",IF(tblShipments[[#This Row],[Goods value]]&gt;0,tblShipments[[#This Row],[Landed cost]]/tblShipments[[#This Row],[Goods value]]-1,""))</f>
        <v>0.0982639397774965</v>
      </c>
      <c r="W18" s="41" t="str">
        <f>IF(NOT(ISNUMBER(tblShipments[[#This Row],[Uplift]])),"",IF(tblShipments[[#This Row],[Uplift]]&lt;=UpliftLimit,"On target",IF(tblShipments[[#This Row],[Uplift]]&lt;=UpliftLimit*(1+0.05),"Near target","Above target")))</f>
        <v>On target</v>
      </c>
      <c r="X18" s="42">
        <f>IF(tblShipments[[#This Row],[Date]]="","",IF(AND(tblShipments[[#This Row],[Date]]&gt;=FFrom,tblShipments[[#This Row],[Date]]&lt;=FTo,OR(DashOrigin="",tblShipments[[#This Row],[Origin]]=DashOrigin)),tblShipments[[#This Row],[Date]],""))</f>
        <v>46224</v>
      </c>
      <c r="Y18"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8" s="28" t="s">
        <v>83</v>
      </c>
    </row>
    <row r="19" spans="2:26">
      <c r="B19" s="34">
        <v>46230</v>
      </c>
      <c r="C19" s="28" t="s">
        <v>164</v>
      </c>
      <c r="D19" s="28" t="s">
        <v>91</v>
      </c>
      <c r="E19" s="28" t="s">
        <v>79</v>
      </c>
      <c r="F19" s="28" t="s">
        <v>106</v>
      </c>
      <c r="G19" s="35" t="str">
        <f>IF(tblShipments[[#This Row],[Date]]="","",IFERROR(INDEX(tblParts[HS code],MATCH(tblShipments[[#This Row],[Part]],tblParts[Part],0)),""))</f>
        <v>8413.91.90</v>
      </c>
      <c r="H19" s="36">
        <v>1000</v>
      </c>
      <c r="I19" s="37">
        <v>21.25</v>
      </c>
      <c r="J19" s="37">
        <v>1280</v>
      </c>
      <c r="K19" s="37">
        <v>63.75</v>
      </c>
      <c r="L19" s="29">
        <v>0</v>
      </c>
      <c r="M19" s="29">
        <v>0.25</v>
      </c>
      <c r="N19" s="37">
        <v>120</v>
      </c>
      <c r="O19" s="37">
        <v>220</v>
      </c>
      <c r="P19" s="38">
        <f>IF(tblShipments[[#This Row],[Date]]="","",tblShipments[[#This Row],[Units]]*tblShipments[[#This Row],[Unit price]])</f>
        <v>21250</v>
      </c>
      <c r="Q19" s="38">
        <f>IF(tblShipments[[#This Row],[Date]]="","",tblShipments[[#This Row],[Goods value]]+IF(DutyBase="CIF value",tblShipments[[#This Row],[Freight intl]]+tblShipments[[#This Row],[Insurance]],0))</f>
        <v>21250</v>
      </c>
      <c r="R19" s="38">
        <f>IF(tblShipments[[#This Row],[Date]]="","",tblShipments[[#This Row],[Customs value]]*tblShipments[[#This Row],[Duty rate]])</f>
        <v>0</v>
      </c>
      <c r="S19" s="38">
        <f>IF(tblShipments[[#This Row],[Date]]="","",tblShipments[[#This Row],[Customs value]]*tblShipments[[#This Row],[Extra tariff]])</f>
        <v>5312.5</v>
      </c>
      <c r="T19" s="38">
        <f>IF(tblShipments[[#This Row],[Date]]="","",tblShipments[[#This Row],[Goods value]]+tblShipments[[#This Row],[Freight intl]]+tblShipments[[#This Row],[Insurance]]+tblShipments[[#This Row],[Duty]]+tblShipments[[#This Row],[Tariff]]+tblShipments[[#This Row],[Brokerage and fees]]+tblShipments[[#This Row],[Inland freight]])</f>
        <v>28246.25</v>
      </c>
      <c r="U19" s="39">
        <f>IF(tblShipments[[#This Row],[Date]]="","",IF(tblShipments[[#This Row],[Units]]&gt;0,tblShipments[[#This Row],[Landed cost]]/tblShipments[[#This Row],[Units]],""))</f>
        <v>28.24625</v>
      </c>
      <c r="V19" s="40">
        <f>IF(tblShipments[[#This Row],[Date]]="","",IF(tblShipments[[#This Row],[Goods value]]&gt;0,tblShipments[[#This Row],[Landed cost]]/tblShipments[[#This Row],[Goods value]]-1,""))</f>
        <v>0.329235294117647</v>
      </c>
      <c r="W19" s="41" t="str">
        <f>IF(NOT(ISNUMBER(tblShipments[[#This Row],[Uplift]])),"",IF(tblShipments[[#This Row],[Uplift]]&lt;=UpliftLimit,"On target",IF(tblShipments[[#This Row],[Uplift]]&lt;=UpliftLimit*(1+0.05),"Near target","Above target")))</f>
        <v>Above target</v>
      </c>
      <c r="X19" s="42">
        <f>IF(tblShipments[[#This Row],[Date]]="","",IF(AND(tblShipments[[#This Row],[Date]]&gt;=FFrom,tblShipments[[#This Row],[Date]]&lt;=FTo,OR(DashOrigin="",tblShipments[[#This Row],[Origin]]=DashOrigin)),tblShipments[[#This Row],[Date]],""))</f>
        <v>46230</v>
      </c>
      <c r="Y19"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19" s="28" t="s">
        <v>83</v>
      </c>
    </row>
    <row r="20" spans="2:26">
      <c r="B20" s="34">
        <v>46230</v>
      </c>
      <c r="C20" s="28" t="s">
        <v>165</v>
      </c>
      <c r="D20" s="28" t="s">
        <v>99</v>
      </c>
      <c r="E20" s="28" t="s">
        <v>88</v>
      </c>
      <c r="F20" s="28" t="s">
        <v>115</v>
      </c>
      <c r="G20" s="35" t="str">
        <f>IF(tblShipments[[#This Row],[Date]]="","",IFERROR(INDEX(tblParts[HS code],MATCH(tblShipments[[#This Row],[Part]],tblParts[Part],0)),""))</f>
        <v>8484.20.00</v>
      </c>
      <c r="H20" s="36">
        <v>1050</v>
      </c>
      <c r="I20" s="37">
        <v>12.16</v>
      </c>
      <c r="J20" s="37">
        <v>680</v>
      </c>
      <c r="K20" s="37">
        <v>38.3</v>
      </c>
      <c r="L20" s="29">
        <v>0.025</v>
      </c>
      <c r="M20" s="29">
        <v>0</v>
      </c>
      <c r="N20" s="37">
        <v>120</v>
      </c>
      <c r="O20" s="37">
        <v>250</v>
      </c>
      <c r="P20" s="38">
        <f>IF(tblShipments[[#This Row],[Date]]="","",tblShipments[[#This Row],[Units]]*tblShipments[[#This Row],[Unit price]])</f>
        <v>12768</v>
      </c>
      <c r="Q20" s="38">
        <f>IF(tblShipments[[#This Row],[Date]]="","",tblShipments[[#This Row],[Goods value]]+IF(DutyBase="CIF value",tblShipments[[#This Row],[Freight intl]]+tblShipments[[#This Row],[Insurance]],0))</f>
        <v>12768</v>
      </c>
      <c r="R20" s="38">
        <f>IF(tblShipments[[#This Row],[Date]]="","",tblShipments[[#This Row],[Customs value]]*tblShipments[[#This Row],[Duty rate]])</f>
        <v>319.2</v>
      </c>
      <c r="S20" s="38">
        <f>IF(tblShipments[[#This Row],[Date]]="","",tblShipments[[#This Row],[Customs value]]*tblShipments[[#This Row],[Extra tariff]])</f>
        <v>0</v>
      </c>
      <c r="T20" s="38">
        <f>IF(tblShipments[[#This Row],[Date]]="","",tblShipments[[#This Row],[Goods value]]+tblShipments[[#This Row],[Freight intl]]+tblShipments[[#This Row],[Insurance]]+tblShipments[[#This Row],[Duty]]+tblShipments[[#This Row],[Tariff]]+tblShipments[[#This Row],[Brokerage and fees]]+tblShipments[[#This Row],[Inland freight]])</f>
        <v>14175.5</v>
      </c>
      <c r="U20" s="39">
        <f>IF(tblShipments[[#This Row],[Date]]="","",IF(tblShipments[[#This Row],[Units]]&gt;0,tblShipments[[#This Row],[Landed cost]]/tblShipments[[#This Row],[Units]],""))</f>
        <v>13.5004761904762</v>
      </c>
      <c r="V20" s="40">
        <f>IF(tblShipments[[#This Row],[Date]]="","",IF(tblShipments[[#This Row],[Goods value]]&gt;0,tblShipments[[#This Row],[Landed cost]]/tblShipments[[#This Row],[Goods value]]-1,""))</f>
        <v>0.110236528822055</v>
      </c>
      <c r="W20" s="41" t="str">
        <f>IF(NOT(ISNUMBER(tblShipments[[#This Row],[Uplift]])),"",IF(tblShipments[[#This Row],[Uplift]]&lt;=UpliftLimit,"On target",IF(tblShipments[[#This Row],[Uplift]]&lt;=UpliftLimit*(1+0.05),"Near target","Above target")))</f>
        <v>On target</v>
      </c>
      <c r="X20" s="42">
        <f>IF(tblShipments[[#This Row],[Date]]="","",IF(AND(tblShipments[[#This Row],[Date]]&gt;=FFrom,tblShipments[[#This Row],[Date]]&lt;=FTo,OR(DashOrigin="",tblShipments[[#This Row],[Origin]]=DashOrigin)),tblShipments[[#This Row],[Date]],""))</f>
        <v>46230</v>
      </c>
      <c r="Y20"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0" s="28" t="s">
        <v>83</v>
      </c>
    </row>
    <row r="21" spans="2:26">
      <c r="B21" s="34">
        <v>46230</v>
      </c>
      <c r="C21" s="28" t="s">
        <v>166</v>
      </c>
      <c r="D21" s="28" t="s">
        <v>103</v>
      </c>
      <c r="E21" s="28" t="s">
        <v>84</v>
      </c>
      <c r="F21" s="28" t="s">
        <v>125</v>
      </c>
      <c r="G21" s="35" t="str">
        <f>IF(tblShipments[[#This Row],[Date]]="","",IFERROR(INDEX(tblParts[HS code],MATCH(tblShipments[[#This Row],[Part]],tblParts[Part],0)),""))</f>
        <v>8547.20.00</v>
      </c>
      <c r="H21" s="36">
        <v>3050</v>
      </c>
      <c r="I21" s="37">
        <v>0.95</v>
      </c>
      <c r="J21" s="37">
        <v>240</v>
      </c>
      <c r="K21" s="37">
        <v>8.69</v>
      </c>
      <c r="L21" s="29">
        <v>0.032</v>
      </c>
      <c r="M21" s="29">
        <v>0</v>
      </c>
      <c r="N21" s="37">
        <v>95</v>
      </c>
      <c r="O21" s="37">
        <v>240</v>
      </c>
      <c r="P21" s="38">
        <f>IF(tblShipments[[#This Row],[Date]]="","",tblShipments[[#This Row],[Units]]*tblShipments[[#This Row],[Unit price]])</f>
        <v>2897.5</v>
      </c>
      <c r="Q21" s="38">
        <f>IF(tblShipments[[#This Row],[Date]]="","",tblShipments[[#This Row],[Goods value]]+IF(DutyBase="CIF value",tblShipments[[#This Row],[Freight intl]]+tblShipments[[#This Row],[Insurance]],0))</f>
        <v>2897.5</v>
      </c>
      <c r="R21" s="38">
        <f>IF(tblShipments[[#This Row],[Date]]="","",tblShipments[[#This Row],[Customs value]]*tblShipments[[#This Row],[Duty rate]])</f>
        <v>92.72</v>
      </c>
      <c r="S21" s="38">
        <f>IF(tblShipments[[#This Row],[Date]]="","",tblShipments[[#This Row],[Customs value]]*tblShipments[[#This Row],[Extra tariff]])</f>
        <v>0</v>
      </c>
      <c r="T21" s="38">
        <f>IF(tblShipments[[#This Row],[Date]]="","",tblShipments[[#This Row],[Goods value]]+tblShipments[[#This Row],[Freight intl]]+tblShipments[[#This Row],[Insurance]]+tblShipments[[#This Row],[Duty]]+tblShipments[[#This Row],[Tariff]]+tblShipments[[#This Row],[Brokerage and fees]]+tblShipments[[#This Row],[Inland freight]])</f>
        <v>3573.91</v>
      </c>
      <c r="U21" s="39">
        <f>IF(tblShipments[[#This Row],[Date]]="","",IF(tblShipments[[#This Row],[Units]]&gt;0,tblShipments[[#This Row],[Landed cost]]/tblShipments[[#This Row],[Units]],""))</f>
        <v>1.1717737704918</v>
      </c>
      <c r="V21" s="40">
        <f>IF(tblShipments[[#This Row],[Date]]="","",IF(tblShipments[[#This Row],[Goods value]]&gt;0,tblShipments[[#This Row],[Landed cost]]/tblShipments[[#This Row],[Goods value]]-1,""))</f>
        <v>0.233446074201898</v>
      </c>
      <c r="W21" s="41" t="str">
        <f>IF(NOT(ISNUMBER(tblShipments[[#This Row],[Uplift]])),"",IF(tblShipments[[#This Row],[Uplift]]&lt;=UpliftLimit,"On target",IF(tblShipments[[#This Row],[Uplift]]&lt;=UpliftLimit*(1+0.05),"Near target","Above target")))</f>
        <v>On target</v>
      </c>
      <c r="X21" s="42">
        <f>IF(tblShipments[[#This Row],[Date]]="","",IF(AND(tblShipments[[#This Row],[Date]]&gt;=FFrom,tblShipments[[#This Row],[Date]]&lt;=FTo,OR(DashOrigin="",tblShipments[[#This Row],[Origin]]=DashOrigin)),tblShipments[[#This Row],[Date]],""))</f>
        <v>46230</v>
      </c>
      <c r="Y21"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1" s="28" t="s">
        <v>83</v>
      </c>
    </row>
    <row r="22" spans="2:26">
      <c r="B22" s="34">
        <v>46237</v>
      </c>
      <c r="C22" s="28" t="s">
        <v>167</v>
      </c>
      <c r="D22" s="28" t="s">
        <v>103</v>
      </c>
      <c r="E22" s="28" t="s">
        <v>84</v>
      </c>
      <c r="F22" s="28" t="s">
        <v>121</v>
      </c>
      <c r="G22" s="35" t="str">
        <f>IF(tblShipments[[#This Row],[Date]]="","",IFERROR(INDEX(tblParts[HS code],MATCH(tblShipments[[#This Row],[Part]],tblParts[Part],0)),""))</f>
        <v>7318.15.20</v>
      </c>
      <c r="H22" s="36">
        <v>2700</v>
      </c>
      <c r="I22" s="37">
        <v>2.37</v>
      </c>
      <c r="J22" s="37">
        <v>450</v>
      </c>
      <c r="K22" s="37">
        <v>19.2</v>
      </c>
      <c r="L22" s="29">
        <v>0.06</v>
      </c>
      <c r="M22" s="29">
        <v>0</v>
      </c>
      <c r="N22" s="37">
        <v>145</v>
      </c>
      <c r="O22" s="37">
        <v>400</v>
      </c>
      <c r="P22" s="38">
        <f>IF(tblShipments[[#This Row],[Date]]="","",tblShipments[[#This Row],[Units]]*tblShipments[[#This Row],[Unit price]])</f>
        <v>6399</v>
      </c>
      <c r="Q22" s="38">
        <f>IF(tblShipments[[#This Row],[Date]]="","",tblShipments[[#This Row],[Goods value]]+IF(DutyBase="CIF value",tblShipments[[#This Row],[Freight intl]]+tblShipments[[#This Row],[Insurance]],0))</f>
        <v>6399</v>
      </c>
      <c r="R22" s="38">
        <f>IF(tblShipments[[#This Row],[Date]]="","",tblShipments[[#This Row],[Customs value]]*tblShipments[[#This Row],[Duty rate]])</f>
        <v>383.94</v>
      </c>
      <c r="S22" s="38">
        <f>IF(tblShipments[[#This Row],[Date]]="","",tblShipments[[#This Row],[Customs value]]*tblShipments[[#This Row],[Extra tariff]])</f>
        <v>0</v>
      </c>
      <c r="T22" s="38">
        <f>IF(tblShipments[[#This Row],[Date]]="","",tblShipments[[#This Row],[Goods value]]+tblShipments[[#This Row],[Freight intl]]+tblShipments[[#This Row],[Insurance]]+tblShipments[[#This Row],[Duty]]+tblShipments[[#This Row],[Tariff]]+tblShipments[[#This Row],[Brokerage and fees]]+tblShipments[[#This Row],[Inland freight]])</f>
        <v>7797.14</v>
      </c>
      <c r="U22" s="39">
        <f>IF(tblShipments[[#This Row],[Date]]="","",IF(tblShipments[[#This Row],[Units]]&gt;0,tblShipments[[#This Row],[Landed cost]]/tblShipments[[#This Row],[Units]],""))</f>
        <v>2.88782962962963</v>
      </c>
      <c r="V22" s="40">
        <f>IF(tblShipments[[#This Row],[Date]]="","",IF(tblShipments[[#This Row],[Goods value]]&gt;0,tblShipments[[#This Row],[Landed cost]]/tblShipments[[#This Row],[Goods value]]-1,""))</f>
        <v>0.218493514611658</v>
      </c>
      <c r="W22" s="41" t="str">
        <f>IF(NOT(ISNUMBER(tblShipments[[#This Row],[Uplift]])),"",IF(tblShipments[[#This Row],[Uplift]]&lt;=UpliftLimit,"On target",IF(tblShipments[[#This Row],[Uplift]]&lt;=UpliftLimit*(1+0.05),"Near target","Above target")))</f>
        <v>On target</v>
      </c>
      <c r="X22" s="42">
        <f>IF(tblShipments[[#This Row],[Date]]="","",IF(AND(tblShipments[[#This Row],[Date]]&gt;=FFrom,tblShipments[[#This Row],[Date]]&lt;=FTo,OR(DashOrigin="",tblShipments[[#This Row],[Origin]]=DashOrigin)),tblShipments[[#This Row],[Date]],""))</f>
        <v>46237</v>
      </c>
      <c r="Y22"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2" s="28" t="s">
        <v>83</v>
      </c>
    </row>
    <row r="23" spans="2:26">
      <c r="B23" s="34">
        <v>46240</v>
      </c>
      <c r="C23" s="28" t="s">
        <v>168</v>
      </c>
      <c r="D23" s="28" t="s">
        <v>95</v>
      </c>
      <c r="E23" s="28" t="s">
        <v>82</v>
      </c>
      <c r="F23" s="28" t="s">
        <v>110</v>
      </c>
      <c r="G23" s="35" t="str">
        <f>IF(tblShipments[[#This Row],[Date]]="","",IFERROR(INDEX(tblParts[HS code],MATCH(tblShipments[[#This Row],[Part]],tblParts[Part],0)),""))</f>
        <v>8413.91.90</v>
      </c>
      <c r="H23" s="36">
        <v>1300</v>
      </c>
      <c r="I23" s="37">
        <v>8.67</v>
      </c>
      <c r="J23" s="37">
        <v>640</v>
      </c>
      <c r="K23" s="37">
        <v>33.81</v>
      </c>
      <c r="L23" s="29">
        <v>0</v>
      </c>
      <c r="M23" s="29">
        <v>0</v>
      </c>
      <c r="N23" s="37">
        <v>175</v>
      </c>
      <c r="O23" s="37">
        <v>250</v>
      </c>
      <c r="P23" s="38">
        <f>IF(tblShipments[[#This Row],[Date]]="","",tblShipments[[#This Row],[Units]]*tblShipments[[#This Row],[Unit price]])</f>
        <v>11271</v>
      </c>
      <c r="Q23" s="38">
        <f>IF(tblShipments[[#This Row],[Date]]="","",tblShipments[[#This Row],[Goods value]]+IF(DutyBase="CIF value",tblShipments[[#This Row],[Freight intl]]+tblShipments[[#This Row],[Insurance]],0))</f>
        <v>11271</v>
      </c>
      <c r="R23" s="38">
        <f>IF(tblShipments[[#This Row],[Date]]="","",tblShipments[[#This Row],[Customs value]]*tblShipments[[#This Row],[Duty rate]])</f>
        <v>0</v>
      </c>
      <c r="S23" s="38">
        <f>IF(tblShipments[[#This Row],[Date]]="","",tblShipments[[#This Row],[Customs value]]*tblShipments[[#This Row],[Extra tariff]])</f>
        <v>0</v>
      </c>
      <c r="T23" s="38">
        <f>IF(tblShipments[[#This Row],[Date]]="","",tblShipments[[#This Row],[Goods value]]+tblShipments[[#This Row],[Freight intl]]+tblShipments[[#This Row],[Insurance]]+tblShipments[[#This Row],[Duty]]+tblShipments[[#This Row],[Tariff]]+tblShipments[[#This Row],[Brokerage and fees]]+tblShipments[[#This Row],[Inland freight]])</f>
        <v>12369.81</v>
      </c>
      <c r="U23" s="39">
        <f>IF(tblShipments[[#This Row],[Date]]="","",IF(tblShipments[[#This Row],[Units]]&gt;0,tblShipments[[#This Row],[Landed cost]]/tblShipments[[#This Row],[Units]],""))</f>
        <v>9.51523846153846</v>
      </c>
      <c r="V23" s="40">
        <f>IF(tblShipments[[#This Row],[Date]]="","",IF(tblShipments[[#This Row],[Goods value]]&gt;0,tblShipments[[#This Row],[Landed cost]]/tblShipments[[#This Row],[Goods value]]-1,""))</f>
        <v>0.097490018631887</v>
      </c>
      <c r="W23" s="41" t="str">
        <f>IF(NOT(ISNUMBER(tblShipments[[#This Row],[Uplift]])),"",IF(tblShipments[[#This Row],[Uplift]]&lt;=UpliftLimit,"On target",IF(tblShipments[[#This Row],[Uplift]]&lt;=UpliftLimit*(1+0.05),"Near target","Above target")))</f>
        <v>On target</v>
      </c>
      <c r="X23" s="42">
        <f>IF(tblShipments[[#This Row],[Date]]="","",IF(AND(tblShipments[[#This Row],[Date]]&gt;=FFrom,tblShipments[[#This Row],[Date]]&lt;=FTo,OR(DashOrigin="",tblShipments[[#This Row],[Origin]]=DashOrigin)),tblShipments[[#This Row],[Date]],""))</f>
        <v>46240</v>
      </c>
      <c r="Y23"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3" s="28" t="s">
        <v>83</v>
      </c>
    </row>
    <row r="24" spans="2:26">
      <c r="B24" s="34">
        <v>46240</v>
      </c>
      <c r="C24" s="28" t="s">
        <v>169</v>
      </c>
      <c r="D24" s="28" t="s">
        <v>97</v>
      </c>
      <c r="E24" s="28" t="s">
        <v>79</v>
      </c>
      <c r="F24" s="28" t="s">
        <v>112</v>
      </c>
      <c r="G24" s="35" t="str">
        <f>IF(tblShipments[[#This Row],[Date]]="","",IFERROR(INDEX(tblParts[HS code],MATCH(tblShipments[[#This Row],[Part]],tblParts[Part],0)),""))</f>
        <v>8501.52.40</v>
      </c>
      <c r="H24" s="36">
        <v>650</v>
      </c>
      <c r="I24" s="37">
        <v>46.04</v>
      </c>
      <c r="J24" s="37">
        <v>1370</v>
      </c>
      <c r="K24" s="37">
        <v>89.78</v>
      </c>
      <c r="L24" s="29">
        <v>0.028</v>
      </c>
      <c r="M24" s="29">
        <v>0.25</v>
      </c>
      <c r="N24" s="37">
        <v>95</v>
      </c>
      <c r="O24" s="37">
        <v>510</v>
      </c>
      <c r="P24" s="38">
        <f>IF(tblShipments[[#This Row],[Date]]="","",tblShipments[[#This Row],[Units]]*tblShipments[[#This Row],[Unit price]])</f>
        <v>29926</v>
      </c>
      <c r="Q24" s="38">
        <f>IF(tblShipments[[#This Row],[Date]]="","",tblShipments[[#This Row],[Goods value]]+IF(DutyBase="CIF value",tblShipments[[#This Row],[Freight intl]]+tblShipments[[#This Row],[Insurance]],0))</f>
        <v>29926</v>
      </c>
      <c r="R24" s="38">
        <f>IF(tblShipments[[#This Row],[Date]]="","",tblShipments[[#This Row],[Customs value]]*tblShipments[[#This Row],[Duty rate]])</f>
        <v>837.928</v>
      </c>
      <c r="S24" s="38">
        <f>IF(tblShipments[[#This Row],[Date]]="","",tblShipments[[#This Row],[Customs value]]*tblShipments[[#This Row],[Extra tariff]])</f>
        <v>7481.5</v>
      </c>
      <c r="T24" s="38">
        <f>IF(tblShipments[[#This Row],[Date]]="","",tblShipments[[#This Row],[Goods value]]+tblShipments[[#This Row],[Freight intl]]+tblShipments[[#This Row],[Insurance]]+tblShipments[[#This Row],[Duty]]+tblShipments[[#This Row],[Tariff]]+tblShipments[[#This Row],[Brokerage and fees]]+tblShipments[[#This Row],[Inland freight]])</f>
        <v>40310.208</v>
      </c>
      <c r="U24" s="39">
        <f>IF(tblShipments[[#This Row],[Date]]="","",IF(tblShipments[[#This Row],[Units]]&gt;0,tblShipments[[#This Row],[Landed cost]]/tblShipments[[#This Row],[Units]],""))</f>
        <v>62.0157046153846</v>
      </c>
      <c r="V24" s="40">
        <f>IF(tblShipments[[#This Row],[Date]]="","",IF(tblShipments[[#This Row],[Goods value]]&gt;0,tblShipments[[#This Row],[Landed cost]]/tblShipments[[#This Row],[Goods value]]-1,""))</f>
        <v>0.346996190603489</v>
      </c>
      <c r="W24" s="41" t="str">
        <f>IF(NOT(ISNUMBER(tblShipments[[#This Row],[Uplift]])),"",IF(tblShipments[[#This Row],[Uplift]]&lt;=UpliftLimit,"On target",IF(tblShipments[[#This Row],[Uplift]]&lt;=UpliftLimit*(1+0.05),"Near target","Above target")))</f>
        <v>Above target</v>
      </c>
      <c r="X24" s="42">
        <f>IF(tblShipments[[#This Row],[Date]]="","",IF(AND(tblShipments[[#This Row],[Date]]&gt;=FFrom,tblShipments[[#This Row],[Date]]&lt;=FTo,OR(DashOrigin="",tblShipments[[#This Row],[Origin]]=DashOrigin)),tblShipments[[#This Row],[Date]],""))</f>
        <v>46240</v>
      </c>
      <c r="Y24"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4" s="28" t="s">
        <v>83</v>
      </c>
    </row>
    <row r="25" spans="2:26">
      <c r="B25" s="34">
        <v>46240</v>
      </c>
      <c r="C25" s="28" t="s">
        <v>170</v>
      </c>
      <c r="D25" s="28" t="s">
        <v>103</v>
      </c>
      <c r="E25" s="28" t="s">
        <v>84</v>
      </c>
      <c r="F25" s="28" t="s">
        <v>125</v>
      </c>
      <c r="G25" s="35" t="str">
        <f>IF(tblShipments[[#This Row],[Date]]="","",IFERROR(INDEX(tblParts[HS code],MATCH(tblShipments[[#This Row],[Part]],tblParts[Part],0)),""))</f>
        <v>8547.20.00</v>
      </c>
      <c r="H25" s="36">
        <v>3150</v>
      </c>
      <c r="I25" s="37">
        <v>0.96</v>
      </c>
      <c r="J25" s="37">
        <v>260</v>
      </c>
      <c r="K25" s="37">
        <v>9.07</v>
      </c>
      <c r="L25" s="29">
        <v>0.032</v>
      </c>
      <c r="M25" s="29">
        <v>0</v>
      </c>
      <c r="N25" s="37">
        <v>120</v>
      </c>
      <c r="O25" s="37">
        <v>300</v>
      </c>
      <c r="P25" s="38">
        <f>IF(tblShipments[[#This Row],[Date]]="","",tblShipments[[#This Row],[Units]]*tblShipments[[#This Row],[Unit price]])</f>
        <v>3024</v>
      </c>
      <c r="Q25" s="38">
        <f>IF(tblShipments[[#This Row],[Date]]="","",tblShipments[[#This Row],[Goods value]]+IF(DutyBase="CIF value",tblShipments[[#This Row],[Freight intl]]+tblShipments[[#This Row],[Insurance]],0))</f>
        <v>3024</v>
      </c>
      <c r="R25" s="38">
        <f>IF(tblShipments[[#This Row],[Date]]="","",tblShipments[[#This Row],[Customs value]]*tblShipments[[#This Row],[Duty rate]])</f>
        <v>96.768</v>
      </c>
      <c r="S25" s="38">
        <f>IF(tblShipments[[#This Row],[Date]]="","",tblShipments[[#This Row],[Customs value]]*tblShipments[[#This Row],[Extra tariff]])</f>
        <v>0</v>
      </c>
      <c r="T25" s="38">
        <f>IF(tblShipments[[#This Row],[Date]]="","",tblShipments[[#This Row],[Goods value]]+tblShipments[[#This Row],[Freight intl]]+tblShipments[[#This Row],[Insurance]]+tblShipments[[#This Row],[Duty]]+tblShipments[[#This Row],[Tariff]]+tblShipments[[#This Row],[Brokerage and fees]]+tblShipments[[#This Row],[Inland freight]])</f>
        <v>3809.838</v>
      </c>
      <c r="U25" s="39">
        <f>IF(tblShipments[[#This Row],[Date]]="","",IF(tblShipments[[#This Row],[Units]]&gt;0,tblShipments[[#This Row],[Landed cost]]/tblShipments[[#This Row],[Units]],""))</f>
        <v>1.20947238095238</v>
      </c>
      <c r="V25" s="40">
        <f>IF(tblShipments[[#This Row],[Date]]="","",IF(tblShipments[[#This Row],[Goods value]]&gt;0,tblShipments[[#This Row],[Landed cost]]/tblShipments[[#This Row],[Goods value]]-1,""))</f>
        <v>0.259867063492063</v>
      </c>
      <c r="W25" s="41" t="str">
        <f>IF(NOT(ISNUMBER(tblShipments[[#This Row],[Uplift]])),"",IF(tblShipments[[#This Row],[Uplift]]&lt;=UpliftLimit,"On target",IF(tblShipments[[#This Row],[Uplift]]&lt;=UpliftLimit*(1+0.05),"Near target","Above target")))</f>
        <v>Near target</v>
      </c>
      <c r="X25" s="42">
        <f>IF(tblShipments[[#This Row],[Date]]="","",IF(AND(tblShipments[[#This Row],[Date]]&gt;=FFrom,tblShipments[[#This Row],[Date]]&lt;=FTo,OR(DashOrigin="",tblShipments[[#This Row],[Origin]]=DashOrigin)),tblShipments[[#This Row],[Date]],""))</f>
        <v>46240</v>
      </c>
      <c r="Y25"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5" s="28" t="s">
        <v>83</v>
      </c>
    </row>
    <row r="26" spans="2:26">
      <c r="B26" s="34">
        <v>46244</v>
      </c>
      <c r="C26" s="28" t="s">
        <v>171</v>
      </c>
      <c r="D26" s="28" t="s">
        <v>99</v>
      </c>
      <c r="E26" s="28" t="s">
        <v>88</v>
      </c>
      <c r="F26" s="28" t="s">
        <v>115</v>
      </c>
      <c r="G26" s="35" t="str">
        <f>IF(tblShipments[[#This Row],[Date]]="","",IFERROR(INDEX(tblParts[HS code],MATCH(tblShipments[[#This Row],[Part]],tblParts[Part],0)),""))</f>
        <v>8484.20.00</v>
      </c>
      <c r="H26" s="36">
        <v>850</v>
      </c>
      <c r="I26" s="37">
        <v>12.05</v>
      </c>
      <c r="J26" s="37">
        <v>470</v>
      </c>
      <c r="K26" s="37">
        <v>30.73</v>
      </c>
      <c r="L26" s="29">
        <v>0.025</v>
      </c>
      <c r="M26" s="29">
        <v>0</v>
      </c>
      <c r="N26" s="37">
        <v>175</v>
      </c>
      <c r="O26" s="37">
        <v>220</v>
      </c>
      <c r="P26" s="38">
        <f>IF(tblShipments[[#This Row],[Date]]="","",tblShipments[[#This Row],[Units]]*tblShipments[[#This Row],[Unit price]])</f>
        <v>10242.5</v>
      </c>
      <c r="Q26" s="38">
        <f>IF(tblShipments[[#This Row],[Date]]="","",tblShipments[[#This Row],[Goods value]]+IF(DutyBase="CIF value",tblShipments[[#This Row],[Freight intl]]+tblShipments[[#This Row],[Insurance]],0))</f>
        <v>10242.5</v>
      </c>
      <c r="R26" s="38">
        <f>IF(tblShipments[[#This Row],[Date]]="","",tblShipments[[#This Row],[Customs value]]*tblShipments[[#This Row],[Duty rate]])</f>
        <v>256.0625</v>
      </c>
      <c r="S26" s="38">
        <f>IF(tblShipments[[#This Row],[Date]]="","",tblShipments[[#This Row],[Customs value]]*tblShipments[[#This Row],[Extra tariff]])</f>
        <v>0</v>
      </c>
      <c r="T26" s="38">
        <f>IF(tblShipments[[#This Row],[Date]]="","",tblShipments[[#This Row],[Goods value]]+tblShipments[[#This Row],[Freight intl]]+tblShipments[[#This Row],[Insurance]]+tblShipments[[#This Row],[Duty]]+tblShipments[[#This Row],[Tariff]]+tblShipments[[#This Row],[Brokerage and fees]]+tblShipments[[#This Row],[Inland freight]])</f>
        <v>11394.2925</v>
      </c>
      <c r="U26" s="39">
        <f>IF(tblShipments[[#This Row],[Date]]="","",IF(tblShipments[[#This Row],[Units]]&gt;0,tblShipments[[#This Row],[Landed cost]]/tblShipments[[#This Row],[Units]],""))</f>
        <v>13.40505</v>
      </c>
      <c r="V26" s="40">
        <f>IF(tblShipments[[#This Row],[Date]]="","",IF(tblShipments[[#This Row],[Goods value]]&gt;0,tblShipments[[#This Row],[Landed cost]]/tblShipments[[#This Row],[Goods value]]-1,""))</f>
        <v>0.112452282157676</v>
      </c>
      <c r="W26" s="41" t="str">
        <f>IF(NOT(ISNUMBER(tblShipments[[#This Row],[Uplift]])),"",IF(tblShipments[[#This Row],[Uplift]]&lt;=UpliftLimit,"On target",IF(tblShipments[[#This Row],[Uplift]]&lt;=UpliftLimit*(1+0.05),"Near target","Above target")))</f>
        <v>On target</v>
      </c>
      <c r="X26" s="42">
        <f>IF(tblShipments[[#This Row],[Date]]="","",IF(AND(tblShipments[[#This Row],[Date]]&gt;=FFrom,tblShipments[[#This Row],[Date]]&lt;=FTo,OR(DashOrigin="",tblShipments[[#This Row],[Origin]]=DashOrigin)),tblShipments[[#This Row],[Date]],""))</f>
        <v>46244</v>
      </c>
      <c r="Y26"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6" s="28" t="s">
        <v>83</v>
      </c>
    </row>
    <row r="27" spans="2:26">
      <c r="B27" s="34">
        <v>46244</v>
      </c>
      <c r="C27" s="28" t="s">
        <v>172</v>
      </c>
      <c r="D27" s="28" t="s">
        <v>101</v>
      </c>
      <c r="E27" s="28" t="s">
        <v>85</v>
      </c>
      <c r="F27" s="28" t="s">
        <v>118</v>
      </c>
      <c r="G27" s="35" t="str">
        <f>IF(tblShipments[[#This Row],[Date]]="","",IFERROR(INDEX(tblParts[HS code],MATCH(tblShipments[[#This Row],[Part]],tblParts[Part],0)),""))</f>
        <v>8537.10.90</v>
      </c>
      <c r="H27" s="36">
        <v>700</v>
      </c>
      <c r="I27" s="37">
        <v>32.25</v>
      </c>
      <c r="J27" s="37">
        <v>460</v>
      </c>
      <c r="K27" s="37">
        <v>67.72</v>
      </c>
      <c r="L27" s="29">
        <v>0</v>
      </c>
      <c r="M27" s="29">
        <v>0</v>
      </c>
      <c r="N27" s="37">
        <v>175</v>
      </c>
      <c r="O27" s="37">
        <v>260</v>
      </c>
      <c r="P27" s="38">
        <f>IF(tblShipments[[#This Row],[Date]]="","",tblShipments[[#This Row],[Units]]*tblShipments[[#This Row],[Unit price]])</f>
        <v>22575</v>
      </c>
      <c r="Q27" s="38">
        <f>IF(tblShipments[[#This Row],[Date]]="","",tblShipments[[#This Row],[Goods value]]+IF(DutyBase="CIF value",tblShipments[[#This Row],[Freight intl]]+tblShipments[[#This Row],[Insurance]],0))</f>
        <v>22575</v>
      </c>
      <c r="R27" s="38">
        <f>IF(tblShipments[[#This Row],[Date]]="","",tblShipments[[#This Row],[Customs value]]*tblShipments[[#This Row],[Duty rate]])</f>
        <v>0</v>
      </c>
      <c r="S27" s="38">
        <f>IF(tblShipments[[#This Row],[Date]]="","",tblShipments[[#This Row],[Customs value]]*tblShipments[[#This Row],[Extra tariff]])</f>
        <v>0</v>
      </c>
      <c r="T27" s="38">
        <f>IF(tblShipments[[#This Row],[Date]]="","",tblShipments[[#This Row],[Goods value]]+tblShipments[[#This Row],[Freight intl]]+tblShipments[[#This Row],[Insurance]]+tblShipments[[#This Row],[Duty]]+tblShipments[[#This Row],[Tariff]]+tblShipments[[#This Row],[Brokerage and fees]]+tblShipments[[#This Row],[Inland freight]])</f>
        <v>23537.72</v>
      </c>
      <c r="U27" s="39">
        <f>IF(tblShipments[[#This Row],[Date]]="","",IF(tblShipments[[#This Row],[Units]]&gt;0,tblShipments[[#This Row],[Landed cost]]/tblShipments[[#This Row],[Units]],""))</f>
        <v>33.6253142857143</v>
      </c>
      <c r="V27" s="40">
        <f>IF(tblShipments[[#This Row],[Date]]="","",IF(tblShipments[[#This Row],[Goods value]]&gt;0,tblShipments[[#This Row],[Landed cost]]/tblShipments[[#This Row],[Goods value]]-1,""))</f>
        <v>0.042645404208195</v>
      </c>
      <c r="W27" s="41" t="str">
        <f>IF(NOT(ISNUMBER(tblShipments[[#This Row],[Uplift]])),"",IF(tblShipments[[#This Row],[Uplift]]&lt;=UpliftLimit,"On target",IF(tblShipments[[#This Row],[Uplift]]&lt;=UpliftLimit*(1+0.05),"Near target","Above target")))</f>
        <v>On target</v>
      </c>
      <c r="X27" s="42">
        <f>IF(tblShipments[[#This Row],[Date]]="","",IF(AND(tblShipments[[#This Row],[Date]]&gt;=FFrom,tblShipments[[#This Row],[Date]]&lt;=FTo,OR(DashOrigin="",tblShipments[[#This Row],[Origin]]=DashOrigin)),tblShipments[[#This Row],[Date]],""))</f>
        <v>46244</v>
      </c>
      <c r="Y27"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7" s="28" t="s">
        <v>83</v>
      </c>
    </row>
    <row r="28" spans="2:26">
      <c r="B28" s="34">
        <v>46245</v>
      </c>
      <c r="C28" s="28" t="s">
        <v>173</v>
      </c>
      <c r="D28" s="28" t="s">
        <v>91</v>
      </c>
      <c r="E28" s="28" t="s">
        <v>79</v>
      </c>
      <c r="F28" s="28" t="s">
        <v>106</v>
      </c>
      <c r="G28" s="35" t="str">
        <f>IF(tblShipments[[#This Row],[Date]]="","",IFERROR(INDEX(tblParts[HS code],MATCH(tblShipments[[#This Row],[Part]],tblParts[Part],0)),""))</f>
        <v>8413.91.90</v>
      </c>
      <c r="H28" s="36">
        <v>1000</v>
      </c>
      <c r="I28" s="37">
        <v>21.71</v>
      </c>
      <c r="J28" s="37">
        <v>1320</v>
      </c>
      <c r="K28" s="37">
        <v>65.13</v>
      </c>
      <c r="L28" s="29">
        <v>0</v>
      </c>
      <c r="M28" s="29">
        <v>0.25</v>
      </c>
      <c r="N28" s="37">
        <v>120</v>
      </c>
      <c r="O28" s="37">
        <v>410</v>
      </c>
      <c r="P28" s="38">
        <f>IF(tblShipments[[#This Row],[Date]]="","",tblShipments[[#This Row],[Units]]*tblShipments[[#This Row],[Unit price]])</f>
        <v>21710</v>
      </c>
      <c r="Q28" s="38">
        <f>IF(tblShipments[[#This Row],[Date]]="","",tblShipments[[#This Row],[Goods value]]+IF(DutyBase="CIF value",tblShipments[[#This Row],[Freight intl]]+tblShipments[[#This Row],[Insurance]],0))</f>
        <v>21710</v>
      </c>
      <c r="R28" s="38">
        <f>IF(tblShipments[[#This Row],[Date]]="","",tblShipments[[#This Row],[Customs value]]*tblShipments[[#This Row],[Duty rate]])</f>
        <v>0</v>
      </c>
      <c r="S28" s="38">
        <f>IF(tblShipments[[#This Row],[Date]]="","",tblShipments[[#This Row],[Customs value]]*tblShipments[[#This Row],[Extra tariff]])</f>
        <v>5427.5</v>
      </c>
      <c r="T28" s="38">
        <f>IF(tblShipments[[#This Row],[Date]]="","",tblShipments[[#This Row],[Goods value]]+tblShipments[[#This Row],[Freight intl]]+tblShipments[[#This Row],[Insurance]]+tblShipments[[#This Row],[Duty]]+tblShipments[[#This Row],[Tariff]]+tblShipments[[#This Row],[Brokerage and fees]]+tblShipments[[#This Row],[Inland freight]])</f>
        <v>29052.63</v>
      </c>
      <c r="U28" s="39">
        <f>IF(tblShipments[[#This Row],[Date]]="","",IF(tblShipments[[#This Row],[Units]]&gt;0,tblShipments[[#This Row],[Landed cost]]/tblShipments[[#This Row],[Units]],""))</f>
        <v>29.05263</v>
      </c>
      <c r="V28" s="40">
        <f>IF(tblShipments[[#This Row],[Date]]="","",IF(tblShipments[[#This Row],[Goods value]]&gt;0,tblShipments[[#This Row],[Landed cost]]/tblShipments[[#This Row],[Goods value]]-1,""))</f>
        <v>0.338214187010594</v>
      </c>
      <c r="W28" s="41" t="str">
        <f>IF(NOT(ISNUMBER(tblShipments[[#This Row],[Uplift]])),"",IF(tblShipments[[#This Row],[Uplift]]&lt;=UpliftLimit,"On target",IF(tblShipments[[#This Row],[Uplift]]&lt;=UpliftLimit*(1+0.05),"Near target","Above target")))</f>
        <v>Above target</v>
      </c>
      <c r="X28" s="42">
        <f>IF(tblShipments[[#This Row],[Date]]="","",IF(AND(tblShipments[[#This Row],[Date]]&gt;=FFrom,tblShipments[[#This Row],[Date]]&lt;=FTo,OR(DashOrigin="",tblShipments[[#This Row],[Origin]]=DashOrigin)),tblShipments[[#This Row],[Date]],""))</f>
        <v>46245</v>
      </c>
      <c r="Y28"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8" s="28" t="s">
        <v>83</v>
      </c>
    </row>
    <row r="29" spans="2:26">
      <c r="B29" s="34">
        <v>46245</v>
      </c>
      <c r="C29" s="28" t="s">
        <v>174</v>
      </c>
      <c r="D29" s="28" t="s">
        <v>99</v>
      </c>
      <c r="E29" s="28" t="s">
        <v>88</v>
      </c>
      <c r="F29" s="28" t="s">
        <v>127</v>
      </c>
      <c r="G29" s="35" t="str">
        <f>IF(tblShipments[[#This Row],[Date]]="","",IFERROR(INDEX(tblParts[HS code],MATCH(tblShipments[[#This Row],[Part]],tblParts[Part],0)),""))</f>
        <v>9026.20.40</v>
      </c>
      <c r="H29" s="36">
        <v>500</v>
      </c>
      <c r="I29" s="37">
        <v>18.72</v>
      </c>
      <c r="J29" s="37">
        <v>300</v>
      </c>
      <c r="K29" s="37">
        <v>28.08</v>
      </c>
      <c r="L29" s="29">
        <v>0</v>
      </c>
      <c r="M29" s="29">
        <v>0</v>
      </c>
      <c r="N29" s="37">
        <v>95</v>
      </c>
      <c r="O29" s="37">
        <v>310</v>
      </c>
      <c r="P29" s="38">
        <f>IF(tblShipments[[#This Row],[Date]]="","",tblShipments[[#This Row],[Units]]*tblShipments[[#This Row],[Unit price]])</f>
        <v>9360</v>
      </c>
      <c r="Q29" s="38">
        <f>IF(tblShipments[[#This Row],[Date]]="","",tblShipments[[#This Row],[Goods value]]+IF(DutyBase="CIF value",tblShipments[[#This Row],[Freight intl]]+tblShipments[[#This Row],[Insurance]],0))</f>
        <v>9360</v>
      </c>
      <c r="R29" s="38">
        <f>IF(tblShipments[[#This Row],[Date]]="","",tblShipments[[#This Row],[Customs value]]*tblShipments[[#This Row],[Duty rate]])</f>
        <v>0</v>
      </c>
      <c r="S29" s="38">
        <f>IF(tblShipments[[#This Row],[Date]]="","",tblShipments[[#This Row],[Customs value]]*tblShipments[[#This Row],[Extra tariff]])</f>
        <v>0</v>
      </c>
      <c r="T29" s="38">
        <f>IF(tblShipments[[#This Row],[Date]]="","",tblShipments[[#This Row],[Goods value]]+tblShipments[[#This Row],[Freight intl]]+tblShipments[[#This Row],[Insurance]]+tblShipments[[#This Row],[Duty]]+tblShipments[[#This Row],[Tariff]]+tblShipments[[#This Row],[Brokerage and fees]]+tblShipments[[#This Row],[Inland freight]])</f>
        <v>10093.08</v>
      </c>
      <c r="U29" s="39">
        <f>IF(tblShipments[[#This Row],[Date]]="","",IF(tblShipments[[#This Row],[Units]]&gt;0,tblShipments[[#This Row],[Landed cost]]/tblShipments[[#This Row],[Units]],""))</f>
        <v>20.18616</v>
      </c>
      <c r="V29" s="40">
        <f>IF(tblShipments[[#This Row],[Date]]="","",IF(tblShipments[[#This Row],[Goods value]]&gt;0,tblShipments[[#This Row],[Landed cost]]/tblShipments[[#This Row],[Goods value]]-1,""))</f>
        <v>0.0783205128205129</v>
      </c>
      <c r="W29" s="41" t="str">
        <f>IF(NOT(ISNUMBER(tblShipments[[#This Row],[Uplift]])),"",IF(tblShipments[[#This Row],[Uplift]]&lt;=UpliftLimit,"On target",IF(tblShipments[[#This Row],[Uplift]]&lt;=UpliftLimit*(1+0.05),"Near target","Above target")))</f>
        <v>On target</v>
      </c>
      <c r="X29" s="42">
        <f>IF(tblShipments[[#This Row],[Date]]="","",IF(AND(tblShipments[[#This Row],[Date]]&gt;=FFrom,tblShipments[[#This Row],[Date]]&lt;=FTo,OR(DashOrigin="",tblShipments[[#This Row],[Origin]]=DashOrigin)),tblShipments[[#This Row],[Date]],""))</f>
        <v>46245</v>
      </c>
      <c r="Y29"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29" s="28" t="s">
        <v>83</v>
      </c>
    </row>
    <row r="30" spans="2:26">
      <c r="B30" s="34">
        <v>46246</v>
      </c>
      <c r="C30" s="28" t="s">
        <v>175</v>
      </c>
      <c r="D30" s="28" t="s">
        <v>93</v>
      </c>
      <c r="E30" s="28" t="s">
        <v>85</v>
      </c>
      <c r="F30" s="28" t="s">
        <v>106</v>
      </c>
      <c r="G30" s="35" t="str">
        <f>IF(tblShipments[[#This Row],[Date]]="","",IFERROR(INDEX(tblParts[HS code],MATCH(tblShipments[[#This Row],[Part]],tblParts[Part],0)),""))</f>
        <v>8413.91.90</v>
      </c>
      <c r="H30" s="36">
        <v>500</v>
      </c>
      <c r="I30" s="37">
        <v>25.75</v>
      </c>
      <c r="J30" s="37">
        <v>460</v>
      </c>
      <c r="K30" s="37">
        <v>38.62</v>
      </c>
      <c r="L30" s="29">
        <v>0</v>
      </c>
      <c r="M30" s="29">
        <v>0</v>
      </c>
      <c r="N30" s="37">
        <v>95</v>
      </c>
      <c r="O30" s="37">
        <v>370</v>
      </c>
      <c r="P30" s="38">
        <f>IF(tblShipments[[#This Row],[Date]]="","",tblShipments[[#This Row],[Units]]*tblShipments[[#This Row],[Unit price]])</f>
        <v>12875</v>
      </c>
      <c r="Q30" s="38">
        <f>IF(tblShipments[[#This Row],[Date]]="","",tblShipments[[#This Row],[Goods value]]+IF(DutyBase="CIF value",tblShipments[[#This Row],[Freight intl]]+tblShipments[[#This Row],[Insurance]],0))</f>
        <v>12875</v>
      </c>
      <c r="R30" s="38">
        <f>IF(tblShipments[[#This Row],[Date]]="","",tblShipments[[#This Row],[Customs value]]*tblShipments[[#This Row],[Duty rate]])</f>
        <v>0</v>
      </c>
      <c r="S30" s="38">
        <f>IF(tblShipments[[#This Row],[Date]]="","",tblShipments[[#This Row],[Customs value]]*tblShipments[[#This Row],[Extra tariff]])</f>
        <v>0</v>
      </c>
      <c r="T30" s="38">
        <f>IF(tblShipments[[#This Row],[Date]]="","",tblShipments[[#This Row],[Goods value]]+tblShipments[[#This Row],[Freight intl]]+tblShipments[[#This Row],[Insurance]]+tblShipments[[#This Row],[Duty]]+tblShipments[[#This Row],[Tariff]]+tblShipments[[#This Row],[Brokerage and fees]]+tblShipments[[#This Row],[Inland freight]])</f>
        <v>13838.62</v>
      </c>
      <c r="U30" s="39">
        <f>IF(tblShipments[[#This Row],[Date]]="","",IF(tblShipments[[#This Row],[Units]]&gt;0,tblShipments[[#This Row],[Landed cost]]/tblShipments[[#This Row],[Units]],""))</f>
        <v>27.67724</v>
      </c>
      <c r="V30" s="40">
        <f>IF(tblShipments[[#This Row],[Date]]="","",IF(tblShipments[[#This Row],[Goods value]]&gt;0,tblShipments[[#This Row],[Landed cost]]/tblShipments[[#This Row],[Goods value]]-1,""))</f>
        <v>0.0748442718446603</v>
      </c>
      <c r="W30" s="41" t="str">
        <f>IF(NOT(ISNUMBER(tblShipments[[#This Row],[Uplift]])),"",IF(tblShipments[[#This Row],[Uplift]]&lt;=UpliftLimit,"On target",IF(tblShipments[[#This Row],[Uplift]]&lt;=UpliftLimit*(1+0.05),"Near target","Above target")))</f>
        <v>On target</v>
      </c>
      <c r="X30" s="42">
        <f>IF(tblShipments[[#This Row],[Date]]="","",IF(AND(tblShipments[[#This Row],[Date]]&gt;=FFrom,tblShipments[[#This Row],[Date]]&lt;=FTo,OR(DashOrigin="",tblShipments[[#This Row],[Origin]]=DashOrigin)),tblShipments[[#This Row],[Date]],""))</f>
        <v>46246</v>
      </c>
      <c r="Y30"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0" s="28" t="s">
        <v>176</v>
      </c>
    </row>
    <row r="31" spans="2:26">
      <c r="B31" s="34">
        <v>46253</v>
      </c>
      <c r="C31" s="28" t="s">
        <v>177</v>
      </c>
      <c r="D31" s="28" t="s">
        <v>91</v>
      </c>
      <c r="E31" s="28" t="s">
        <v>79</v>
      </c>
      <c r="F31" s="28" t="s">
        <v>106</v>
      </c>
      <c r="G31" s="35" t="str">
        <f>IF(tblShipments[[#This Row],[Date]]="","",IFERROR(INDEX(tblParts[HS code],MATCH(tblShipments[[#This Row],[Part]],tblParts[Part],0)),""))</f>
        <v>8413.91.90</v>
      </c>
      <c r="H31" s="36">
        <v>950</v>
      </c>
      <c r="I31" s="37">
        <v>21.21</v>
      </c>
      <c r="J31" s="37">
        <v>1270</v>
      </c>
      <c r="K31" s="37">
        <v>60.45</v>
      </c>
      <c r="L31" s="29">
        <v>0</v>
      </c>
      <c r="M31" s="29">
        <v>0.25</v>
      </c>
      <c r="N31" s="37">
        <v>175</v>
      </c>
      <c r="O31" s="37">
        <v>190</v>
      </c>
      <c r="P31" s="38">
        <f>IF(tblShipments[[#This Row],[Date]]="","",tblShipments[[#This Row],[Units]]*tblShipments[[#This Row],[Unit price]])</f>
        <v>20149.5</v>
      </c>
      <c r="Q31" s="38">
        <f>IF(tblShipments[[#This Row],[Date]]="","",tblShipments[[#This Row],[Goods value]]+IF(DutyBase="CIF value",tblShipments[[#This Row],[Freight intl]]+tblShipments[[#This Row],[Insurance]],0))</f>
        <v>20149.5</v>
      </c>
      <c r="R31" s="38">
        <f>IF(tblShipments[[#This Row],[Date]]="","",tblShipments[[#This Row],[Customs value]]*tblShipments[[#This Row],[Duty rate]])</f>
        <v>0</v>
      </c>
      <c r="S31" s="38">
        <f>IF(tblShipments[[#This Row],[Date]]="","",tblShipments[[#This Row],[Customs value]]*tblShipments[[#This Row],[Extra tariff]])</f>
        <v>5037.375</v>
      </c>
      <c r="T31" s="38">
        <f>IF(tblShipments[[#This Row],[Date]]="","",tblShipments[[#This Row],[Goods value]]+tblShipments[[#This Row],[Freight intl]]+tblShipments[[#This Row],[Insurance]]+tblShipments[[#This Row],[Duty]]+tblShipments[[#This Row],[Tariff]]+tblShipments[[#This Row],[Brokerage and fees]]+tblShipments[[#This Row],[Inland freight]])</f>
        <v>26882.325</v>
      </c>
      <c r="U31" s="39">
        <f>IF(tblShipments[[#This Row],[Date]]="","",IF(tblShipments[[#This Row],[Units]]&gt;0,tblShipments[[#This Row],[Landed cost]]/tblShipments[[#This Row],[Units]],""))</f>
        <v>28.2971842105263</v>
      </c>
      <c r="V31" s="40">
        <f>IF(tblShipments[[#This Row],[Date]]="","",IF(tblShipments[[#This Row],[Goods value]]&gt;0,tblShipments[[#This Row],[Landed cost]]/tblShipments[[#This Row],[Goods value]]-1,""))</f>
        <v>0.334143527134668</v>
      </c>
      <c r="W31" s="41" t="str">
        <f>IF(NOT(ISNUMBER(tblShipments[[#This Row],[Uplift]])),"",IF(tblShipments[[#This Row],[Uplift]]&lt;=UpliftLimit,"On target",IF(tblShipments[[#This Row],[Uplift]]&lt;=UpliftLimit*(1+0.05),"Near target","Above target")))</f>
        <v>Above target</v>
      </c>
      <c r="X31" s="42">
        <f>IF(tblShipments[[#This Row],[Date]]="","",IF(AND(tblShipments[[#This Row],[Date]]&gt;=FFrom,tblShipments[[#This Row],[Date]]&lt;=FTo,OR(DashOrigin="",tblShipments[[#This Row],[Origin]]=DashOrigin)),tblShipments[[#This Row],[Date]],""))</f>
        <v>46253</v>
      </c>
      <c r="Y31"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1" s="28" t="s">
        <v>83</v>
      </c>
    </row>
    <row r="32" spans="2:26">
      <c r="B32" s="34">
        <v>46253</v>
      </c>
      <c r="C32" s="28" t="s">
        <v>178</v>
      </c>
      <c r="D32" s="28" t="s">
        <v>103</v>
      </c>
      <c r="E32" s="28" t="s">
        <v>84</v>
      </c>
      <c r="F32" s="28" t="s">
        <v>121</v>
      </c>
      <c r="G32" s="35" t="str">
        <f>IF(tblShipments[[#This Row],[Date]]="","",IFERROR(INDEX(tblParts[HS code],MATCH(tblShipments[[#This Row],[Part]],tblParts[Part],0)),""))</f>
        <v>7318.15.20</v>
      </c>
      <c r="H32" s="36">
        <v>1750</v>
      </c>
      <c r="I32" s="37">
        <v>2.36</v>
      </c>
      <c r="J32" s="37">
        <v>250</v>
      </c>
      <c r="K32" s="37">
        <v>12.39</v>
      </c>
      <c r="L32" s="29">
        <v>0.06</v>
      </c>
      <c r="M32" s="29">
        <v>0</v>
      </c>
      <c r="N32" s="37">
        <v>95</v>
      </c>
      <c r="O32" s="37">
        <v>350</v>
      </c>
      <c r="P32" s="38">
        <f>IF(tblShipments[[#This Row],[Date]]="","",tblShipments[[#This Row],[Units]]*tblShipments[[#This Row],[Unit price]])</f>
        <v>4130</v>
      </c>
      <c r="Q32" s="38">
        <f>IF(tblShipments[[#This Row],[Date]]="","",tblShipments[[#This Row],[Goods value]]+IF(DutyBase="CIF value",tblShipments[[#This Row],[Freight intl]]+tblShipments[[#This Row],[Insurance]],0))</f>
        <v>4130</v>
      </c>
      <c r="R32" s="38">
        <f>IF(tblShipments[[#This Row],[Date]]="","",tblShipments[[#This Row],[Customs value]]*tblShipments[[#This Row],[Duty rate]])</f>
        <v>247.8</v>
      </c>
      <c r="S32" s="38">
        <f>IF(tblShipments[[#This Row],[Date]]="","",tblShipments[[#This Row],[Customs value]]*tblShipments[[#This Row],[Extra tariff]])</f>
        <v>0</v>
      </c>
      <c r="T32" s="38">
        <f>IF(tblShipments[[#This Row],[Date]]="","",tblShipments[[#This Row],[Goods value]]+tblShipments[[#This Row],[Freight intl]]+tblShipments[[#This Row],[Insurance]]+tblShipments[[#This Row],[Duty]]+tblShipments[[#This Row],[Tariff]]+tblShipments[[#This Row],[Brokerage and fees]]+tblShipments[[#This Row],[Inland freight]])</f>
        <v>5085.19</v>
      </c>
      <c r="U32" s="39">
        <f>IF(tblShipments[[#This Row],[Date]]="","",IF(tblShipments[[#This Row],[Units]]&gt;0,tblShipments[[#This Row],[Landed cost]]/tblShipments[[#This Row],[Units]],""))</f>
        <v>2.90582285714286</v>
      </c>
      <c r="V32" s="40">
        <f>IF(tblShipments[[#This Row],[Date]]="","",IF(tblShipments[[#This Row],[Goods value]]&gt;0,tblShipments[[#This Row],[Landed cost]]/tblShipments[[#This Row],[Goods value]]-1,""))</f>
        <v>0.231280871670702</v>
      </c>
      <c r="W32" s="41" t="str">
        <f>IF(NOT(ISNUMBER(tblShipments[[#This Row],[Uplift]])),"",IF(tblShipments[[#This Row],[Uplift]]&lt;=UpliftLimit,"On target",IF(tblShipments[[#This Row],[Uplift]]&lt;=UpliftLimit*(1+0.05),"Near target","Above target")))</f>
        <v>On target</v>
      </c>
      <c r="X32" s="42">
        <f>IF(tblShipments[[#This Row],[Date]]="","",IF(AND(tblShipments[[#This Row],[Date]]&gt;=FFrom,tblShipments[[#This Row],[Date]]&lt;=FTo,OR(DashOrigin="",tblShipments[[#This Row],[Origin]]=DashOrigin)),tblShipments[[#This Row],[Date]],""))</f>
        <v>46253</v>
      </c>
      <c r="Y32"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2" s="28" t="s">
        <v>83</v>
      </c>
    </row>
    <row r="33" spans="2:26">
      <c r="B33" s="34">
        <v>46254</v>
      </c>
      <c r="C33" s="28" t="s">
        <v>179</v>
      </c>
      <c r="D33" s="28" t="s">
        <v>99</v>
      </c>
      <c r="E33" s="28" t="s">
        <v>88</v>
      </c>
      <c r="F33" s="28" t="s">
        <v>115</v>
      </c>
      <c r="G33" s="35" t="str">
        <f>IF(tblShipments[[#This Row],[Date]]="","",IFERROR(INDEX(tblParts[HS code],MATCH(tblShipments[[#This Row],[Part]],tblParts[Part],0)),""))</f>
        <v>8484.20.00</v>
      </c>
      <c r="H33" s="36">
        <v>1000</v>
      </c>
      <c r="I33" s="37">
        <v>12.36</v>
      </c>
      <c r="J33" s="37">
        <v>570</v>
      </c>
      <c r="K33" s="37">
        <v>37.08</v>
      </c>
      <c r="L33" s="29">
        <v>0.025</v>
      </c>
      <c r="M33" s="29">
        <v>0</v>
      </c>
      <c r="N33" s="37">
        <v>95</v>
      </c>
      <c r="O33" s="37">
        <v>330</v>
      </c>
      <c r="P33" s="38">
        <f>IF(tblShipments[[#This Row],[Date]]="","",tblShipments[[#This Row],[Units]]*tblShipments[[#This Row],[Unit price]])</f>
        <v>12360</v>
      </c>
      <c r="Q33" s="38">
        <f>IF(tblShipments[[#This Row],[Date]]="","",tblShipments[[#This Row],[Goods value]]+IF(DutyBase="CIF value",tblShipments[[#This Row],[Freight intl]]+tblShipments[[#This Row],[Insurance]],0))</f>
        <v>12360</v>
      </c>
      <c r="R33" s="38">
        <f>IF(tblShipments[[#This Row],[Date]]="","",tblShipments[[#This Row],[Customs value]]*tblShipments[[#This Row],[Duty rate]])</f>
        <v>309</v>
      </c>
      <c r="S33" s="38">
        <f>IF(tblShipments[[#This Row],[Date]]="","",tblShipments[[#This Row],[Customs value]]*tblShipments[[#This Row],[Extra tariff]])</f>
        <v>0</v>
      </c>
      <c r="T33" s="38">
        <f>IF(tblShipments[[#This Row],[Date]]="","",tblShipments[[#This Row],[Goods value]]+tblShipments[[#This Row],[Freight intl]]+tblShipments[[#This Row],[Insurance]]+tblShipments[[#This Row],[Duty]]+tblShipments[[#This Row],[Tariff]]+tblShipments[[#This Row],[Brokerage and fees]]+tblShipments[[#This Row],[Inland freight]])</f>
        <v>13701.08</v>
      </c>
      <c r="U33" s="39">
        <f>IF(tblShipments[[#This Row],[Date]]="","",IF(tblShipments[[#This Row],[Units]]&gt;0,tblShipments[[#This Row],[Landed cost]]/tblShipments[[#This Row],[Units]],""))</f>
        <v>13.70108</v>
      </c>
      <c r="V33" s="40">
        <f>IF(tblShipments[[#This Row],[Date]]="","",IF(tblShipments[[#This Row],[Goods value]]&gt;0,tblShipments[[#This Row],[Landed cost]]/tblShipments[[#This Row],[Goods value]]-1,""))</f>
        <v>0.108501618122977</v>
      </c>
      <c r="W33" s="41" t="str">
        <f>IF(NOT(ISNUMBER(tblShipments[[#This Row],[Uplift]])),"",IF(tblShipments[[#This Row],[Uplift]]&lt;=UpliftLimit,"On target",IF(tblShipments[[#This Row],[Uplift]]&lt;=UpliftLimit*(1+0.05),"Near target","Above target")))</f>
        <v>On target</v>
      </c>
      <c r="X33" s="42">
        <f>IF(tblShipments[[#This Row],[Date]]="","",IF(AND(tblShipments[[#This Row],[Date]]&gt;=FFrom,tblShipments[[#This Row],[Date]]&lt;=FTo,OR(DashOrigin="",tblShipments[[#This Row],[Origin]]=DashOrigin)),tblShipments[[#This Row],[Date]],""))</f>
        <v>46254</v>
      </c>
      <c r="Y33"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3" s="28" t="s">
        <v>83</v>
      </c>
    </row>
    <row r="34" spans="2:26">
      <c r="B34" s="34">
        <v>46255</v>
      </c>
      <c r="C34" s="28" t="s">
        <v>180</v>
      </c>
      <c r="D34" s="28" t="s">
        <v>95</v>
      </c>
      <c r="E34" s="28" t="s">
        <v>82</v>
      </c>
      <c r="F34" s="28" t="s">
        <v>110</v>
      </c>
      <c r="G34" s="35" t="str">
        <f>IF(tblShipments[[#This Row],[Date]]="","",IFERROR(INDEX(tblParts[HS code],MATCH(tblShipments[[#This Row],[Part]],tblParts[Part],0)),""))</f>
        <v>8413.91.90</v>
      </c>
      <c r="H34" s="36">
        <v>1500</v>
      </c>
      <c r="I34" s="37">
        <v>8.779999999999999</v>
      </c>
      <c r="J34" s="37">
        <v>560</v>
      </c>
      <c r="K34" s="37">
        <v>39.51</v>
      </c>
      <c r="L34" s="29">
        <v>0</v>
      </c>
      <c r="M34" s="29">
        <v>0</v>
      </c>
      <c r="N34" s="37">
        <v>95</v>
      </c>
      <c r="O34" s="37">
        <v>190</v>
      </c>
      <c r="P34" s="38">
        <f>IF(tblShipments[[#This Row],[Date]]="","",tblShipments[[#This Row],[Units]]*tblShipments[[#This Row],[Unit price]])</f>
        <v>13170</v>
      </c>
      <c r="Q34" s="38">
        <f>IF(tblShipments[[#This Row],[Date]]="","",tblShipments[[#This Row],[Goods value]]+IF(DutyBase="CIF value",tblShipments[[#This Row],[Freight intl]]+tblShipments[[#This Row],[Insurance]],0))</f>
        <v>13170</v>
      </c>
      <c r="R34" s="38">
        <f>IF(tblShipments[[#This Row],[Date]]="","",tblShipments[[#This Row],[Customs value]]*tblShipments[[#This Row],[Duty rate]])</f>
        <v>0</v>
      </c>
      <c r="S34" s="38">
        <f>IF(tblShipments[[#This Row],[Date]]="","",tblShipments[[#This Row],[Customs value]]*tblShipments[[#This Row],[Extra tariff]])</f>
        <v>0</v>
      </c>
      <c r="T34" s="38">
        <f>IF(tblShipments[[#This Row],[Date]]="","",tblShipments[[#This Row],[Goods value]]+tblShipments[[#This Row],[Freight intl]]+tblShipments[[#This Row],[Insurance]]+tblShipments[[#This Row],[Duty]]+tblShipments[[#This Row],[Tariff]]+tblShipments[[#This Row],[Brokerage and fees]]+tblShipments[[#This Row],[Inland freight]])</f>
        <v>14054.51</v>
      </c>
      <c r="U34" s="39">
        <f>IF(tblShipments[[#This Row],[Date]]="","",IF(tblShipments[[#This Row],[Units]]&gt;0,tblShipments[[#This Row],[Landed cost]]/tblShipments[[#This Row],[Units]],""))</f>
        <v>9.36967333333333</v>
      </c>
      <c r="V34" s="40">
        <f>IF(tblShipments[[#This Row],[Date]]="","",IF(tblShipments[[#This Row],[Goods value]]&gt;0,tblShipments[[#This Row],[Landed cost]]/tblShipments[[#This Row],[Goods value]]-1,""))</f>
        <v>0.0671609719058466</v>
      </c>
      <c r="W34" s="41" t="str">
        <f>IF(NOT(ISNUMBER(tblShipments[[#This Row],[Uplift]])),"",IF(tblShipments[[#This Row],[Uplift]]&lt;=UpliftLimit,"On target",IF(tblShipments[[#This Row],[Uplift]]&lt;=UpliftLimit*(1+0.05),"Near target","Above target")))</f>
        <v>On target</v>
      </c>
      <c r="X34" s="42">
        <f>IF(tblShipments[[#This Row],[Date]]="","",IF(AND(tblShipments[[#This Row],[Date]]&gt;=FFrom,tblShipments[[#This Row],[Date]]&lt;=FTo,OR(DashOrigin="",tblShipments[[#This Row],[Origin]]=DashOrigin)),tblShipments[[#This Row],[Date]],""))</f>
        <v>46255</v>
      </c>
      <c r="Y34"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4" s="28" t="s">
        <v>83</v>
      </c>
    </row>
    <row r="35" spans="2:26">
      <c r="B35" s="34">
        <v>46258</v>
      </c>
      <c r="C35" s="28" t="s">
        <v>181</v>
      </c>
      <c r="D35" s="28" t="s">
        <v>97</v>
      </c>
      <c r="E35" s="28" t="s">
        <v>79</v>
      </c>
      <c r="F35" s="28" t="s">
        <v>112</v>
      </c>
      <c r="G35" s="35" t="str">
        <f>IF(tblShipments[[#This Row],[Date]]="","",IFERROR(INDEX(tblParts[HS code],MATCH(tblShipments[[#This Row],[Part]],tblParts[Part],0)),""))</f>
        <v>8501.52.40</v>
      </c>
      <c r="H35" s="36">
        <v>600</v>
      </c>
      <c r="I35" s="37">
        <v>46.51</v>
      </c>
      <c r="J35" s="37">
        <v>1240</v>
      </c>
      <c r="K35" s="37">
        <v>83.72</v>
      </c>
      <c r="L35" s="29">
        <v>0.028</v>
      </c>
      <c r="M35" s="29">
        <v>0.25</v>
      </c>
      <c r="N35" s="37">
        <v>175</v>
      </c>
      <c r="O35" s="37">
        <v>190</v>
      </c>
      <c r="P35" s="38">
        <f>IF(tblShipments[[#This Row],[Date]]="","",tblShipments[[#This Row],[Units]]*tblShipments[[#This Row],[Unit price]])</f>
        <v>27906</v>
      </c>
      <c r="Q35" s="38">
        <f>IF(tblShipments[[#This Row],[Date]]="","",tblShipments[[#This Row],[Goods value]]+IF(DutyBase="CIF value",tblShipments[[#This Row],[Freight intl]]+tblShipments[[#This Row],[Insurance]],0))</f>
        <v>27906</v>
      </c>
      <c r="R35" s="38">
        <f>IF(tblShipments[[#This Row],[Date]]="","",tblShipments[[#This Row],[Customs value]]*tblShipments[[#This Row],[Duty rate]])</f>
        <v>781.368</v>
      </c>
      <c r="S35" s="38">
        <f>IF(tblShipments[[#This Row],[Date]]="","",tblShipments[[#This Row],[Customs value]]*tblShipments[[#This Row],[Extra tariff]])</f>
        <v>6976.5</v>
      </c>
      <c r="T35" s="38">
        <f>IF(tblShipments[[#This Row],[Date]]="","",tblShipments[[#This Row],[Goods value]]+tblShipments[[#This Row],[Freight intl]]+tblShipments[[#This Row],[Insurance]]+tblShipments[[#This Row],[Duty]]+tblShipments[[#This Row],[Tariff]]+tblShipments[[#This Row],[Brokerage and fees]]+tblShipments[[#This Row],[Inland freight]])</f>
        <v>37352.588</v>
      </c>
      <c r="U35" s="39">
        <f>IF(tblShipments[[#This Row],[Date]]="","",IF(tblShipments[[#This Row],[Units]]&gt;0,tblShipments[[#This Row],[Landed cost]]/tblShipments[[#This Row],[Units]],""))</f>
        <v>62.2543133333333</v>
      </c>
      <c r="V35" s="40">
        <f>IF(tblShipments[[#This Row],[Date]]="","",IF(tblShipments[[#This Row],[Goods value]]&gt;0,tblShipments[[#This Row],[Landed cost]]/tblShipments[[#This Row],[Goods value]]-1,""))</f>
        <v>0.33851458467713</v>
      </c>
      <c r="W35" s="41" t="str">
        <f>IF(NOT(ISNUMBER(tblShipments[[#This Row],[Uplift]])),"",IF(tblShipments[[#This Row],[Uplift]]&lt;=UpliftLimit,"On target",IF(tblShipments[[#This Row],[Uplift]]&lt;=UpliftLimit*(1+0.05),"Near target","Above target")))</f>
        <v>Above target</v>
      </c>
      <c r="X35" s="42">
        <f>IF(tblShipments[[#This Row],[Date]]="","",IF(AND(tblShipments[[#This Row],[Date]]&gt;=FFrom,tblShipments[[#This Row],[Date]]&lt;=FTo,OR(DashOrigin="",tblShipments[[#This Row],[Origin]]=DashOrigin)),tblShipments[[#This Row],[Date]],""))</f>
        <v>46258</v>
      </c>
      <c r="Y35"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5" s="28" t="s">
        <v>83</v>
      </c>
    </row>
    <row r="36" spans="2:26">
      <c r="B36" s="34">
        <v>46258</v>
      </c>
      <c r="C36" s="28" t="s">
        <v>182</v>
      </c>
      <c r="D36" s="28" t="s">
        <v>103</v>
      </c>
      <c r="E36" s="28" t="s">
        <v>84</v>
      </c>
      <c r="F36" s="28" t="s">
        <v>125</v>
      </c>
      <c r="G36" s="35" t="str">
        <f>IF(tblShipments[[#This Row],[Date]]="","",IFERROR(INDEX(tblParts[HS code],MATCH(tblShipments[[#This Row],[Part]],tblParts[Part],0)),""))</f>
        <v>8547.20.00</v>
      </c>
      <c r="H36" s="36">
        <v>3850</v>
      </c>
      <c r="I36" s="37">
        <v>0.9399999999999999</v>
      </c>
      <c r="J36" s="37">
        <v>320</v>
      </c>
      <c r="K36" s="37">
        <v>10.86</v>
      </c>
      <c r="L36" s="29">
        <v>0.032</v>
      </c>
      <c r="M36" s="29">
        <v>0</v>
      </c>
      <c r="N36" s="37">
        <v>95</v>
      </c>
      <c r="O36" s="37">
        <v>280</v>
      </c>
      <c r="P36" s="38">
        <f>IF(tblShipments[[#This Row],[Date]]="","",tblShipments[[#This Row],[Units]]*tblShipments[[#This Row],[Unit price]])</f>
        <v>3619</v>
      </c>
      <c r="Q36" s="38">
        <f>IF(tblShipments[[#This Row],[Date]]="","",tblShipments[[#This Row],[Goods value]]+IF(DutyBase="CIF value",tblShipments[[#This Row],[Freight intl]]+tblShipments[[#This Row],[Insurance]],0))</f>
        <v>3619</v>
      </c>
      <c r="R36" s="38">
        <f>IF(tblShipments[[#This Row],[Date]]="","",tblShipments[[#This Row],[Customs value]]*tblShipments[[#This Row],[Duty rate]])</f>
        <v>115.808</v>
      </c>
      <c r="S36" s="38">
        <f>IF(tblShipments[[#This Row],[Date]]="","",tblShipments[[#This Row],[Customs value]]*tblShipments[[#This Row],[Extra tariff]])</f>
        <v>0</v>
      </c>
      <c r="T36" s="38">
        <f>IF(tblShipments[[#This Row],[Date]]="","",tblShipments[[#This Row],[Goods value]]+tblShipments[[#This Row],[Freight intl]]+tblShipments[[#This Row],[Insurance]]+tblShipments[[#This Row],[Duty]]+tblShipments[[#This Row],[Tariff]]+tblShipments[[#This Row],[Brokerage and fees]]+tblShipments[[#This Row],[Inland freight]])</f>
        <v>4440.668</v>
      </c>
      <c r="U36" s="39">
        <f>IF(tblShipments[[#This Row],[Date]]="","",IF(tblShipments[[#This Row],[Units]]&gt;0,tblShipments[[#This Row],[Landed cost]]/tblShipments[[#This Row],[Units]],""))</f>
        <v>1.15342025974026</v>
      </c>
      <c r="V36" s="40">
        <f>IF(tblShipments[[#This Row],[Date]]="","",IF(tblShipments[[#This Row],[Goods value]]&gt;0,tblShipments[[#This Row],[Landed cost]]/tblShipments[[#This Row],[Goods value]]-1,""))</f>
        <v>0.227042829510915</v>
      </c>
      <c r="W36" s="41" t="str">
        <f>IF(NOT(ISNUMBER(tblShipments[[#This Row],[Uplift]])),"",IF(tblShipments[[#This Row],[Uplift]]&lt;=UpliftLimit,"On target",IF(tblShipments[[#This Row],[Uplift]]&lt;=UpliftLimit*(1+0.05),"Near target","Above target")))</f>
        <v>On target</v>
      </c>
      <c r="X36" s="42">
        <f>IF(tblShipments[[#This Row],[Date]]="","",IF(AND(tblShipments[[#This Row],[Date]]&gt;=FFrom,tblShipments[[#This Row],[Date]]&lt;=FTo,OR(DashOrigin="",tblShipments[[#This Row],[Origin]]=DashOrigin)),tblShipments[[#This Row],[Date]],""))</f>
        <v>46258</v>
      </c>
      <c r="Y36"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6" s="28" t="s">
        <v>83</v>
      </c>
    </row>
    <row r="37" spans="2:26">
      <c r="B37" s="34">
        <v>46259</v>
      </c>
      <c r="C37" s="28" t="s">
        <v>183</v>
      </c>
      <c r="D37" s="28" t="s">
        <v>101</v>
      </c>
      <c r="E37" s="28" t="s">
        <v>85</v>
      </c>
      <c r="F37" s="28" t="s">
        <v>118</v>
      </c>
      <c r="G37" s="35" t="str">
        <f>IF(tblShipments[[#This Row],[Date]]="","",IFERROR(INDEX(tblParts[HS code],MATCH(tblShipments[[#This Row],[Part]],tblParts[Part],0)),""))</f>
        <v>8537.10.90</v>
      </c>
      <c r="H37" s="36">
        <v>800</v>
      </c>
      <c r="I37" s="37">
        <v>31.44</v>
      </c>
      <c r="J37" s="37">
        <v>570</v>
      </c>
      <c r="K37" s="37">
        <v>75.45999999999999</v>
      </c>
      <c r="L37" s="29">
        <v>0</v>
      </c>
      <c r="M37" s="29">
        <v>0</v>
      </c>
      <c r="N37" s="37">
        <v>120</v>
      </c>
      <c r="O37" s="37">
        <v>350</v>
      </c>
      <c r="P37" s="38">
        <f>IF(tblShipments[[#This Row],[Date]]="","",tblShipments[[#This Row],[Units]]*tblShipments[[#This Row],[Unit price]])</f>
        <v>25152</v>
      </c>
      <c r="Q37" s="38">
        <f>IF(tblShipments[[#This Row],[Date]]="","",tblShipments[[#This Row],[Goods value]]+IF(DutyBase="CIF value",tblShipments[[#This Row],[Freight intl]]+tblShipments[[#This Row],[Insurance]],0))</f>
        <v>25152</v>
      </c>
      <c r="R37" s="38">
        <f>IF(tblShipments[[#This Row],[Date]]="","",tblShipments[[#This Row],[Customs value]]*tblShipments[[#This Row],[Duty rate]])</f>
        <v>0</v>
      </c>
      <c r="S37" s="38">
        <f>IF(tblShipments[[#This Row],[Date]]="","",tblShipments[[#This Row],[Customs value]]*tblShipments[[#This Row],[Extra tariff]])</f>
        <v>0</v>
      </c>
      <c r="T37" s="38">
        <f>IF(tblShipments[[#This Row],[Date]]="","",tblShipments[[#This Row],[Goods value]]+tblShipments[[#This Row],[Freight intl]]+tblShipments[[#This Row],[Insurance]]+tblShipments[[#This Row],[Duty]]+tblShipments[[#This Row],[Tariff]]+tblShipments[[#This Row],[Brokerage and fees]]+tblShipments[[#This Row],[Inland freight]])</f>
        <v>26267.46</v>
      </c>
      <c r="U37" s="39">
        <f>IF(tblShipments[[#This Row],[Date]]="","",IF(tblShipments[[#This Row],[Units]]&gt;0,tblShipments[[#This Row],[Landed cost]]/tblShipments[[#This Row],[Units]],""))</f>
        <v>32.834325</v>
      </c>
      <c r="V37" s="40">
        <f>IF(tblShipments[[#This Row],[Date]]="","",IF(tblShipments[[#This Row],[Goods value]]&gt;0,tblShipments[[#This Row],[Landed cost]]/tblShipments[[#This Row],[Goods value]]-1,""))</f>
        <v>0.0443487595419847</v>
      </c>
      <c r="W37" s="41" t="str">
        <f>IF(NOT(ISNUMBER(tblShipments[[#This Row],[Uplift]])),"",IF(tblShipments[[#This Row],[Uplift]]&lt;=UpliftLimit,"On target",IF(tblShipments[[#This Row],[Uplift]]&lt;=UpliftLimit*(1+0.05),"Near target","Above target")))</f>
        <v>On target</v>
      </c>
      <c r="X37" s="42">
        <f>IF(tblShipments[[#This Row],[Date]]="","",IF(AND(tblShipments[[#This Row],[Date]]&gt;=FFrom,tblShipments[[#This Row],[Date]]&lt;=FTo,OR(DashOrigin="",tblShipments[[#This Row],[Origin]]=DashOrigin)),tblShipments[[#This Row],[Date]],""))</f>
        <v>46259</v>
      </c>
      <c r="Y37"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7" s="28" t="s">
        <v>83</v>
      </c>
    </row>
    <row r="38" spans="2:26">
      <c r="B38" s="34">
        <v>46272</v>
      </c>
      <c r="C38" s="28" t="s">
        <v>184</v>
      </c>
      <c r="D38" s="28" t="s">
        <v>93</v>
      </c>
      <c r="E38" s="28" t="s">
        <v>85</v>
      </c>
      <c r="F38" s="28" t="s">
        <v>106</v>
      </c>
      <c r="G38" s="35" t="str">
        <f>IF(tblShipments[[#This Row],[Date]]="","",IFERROR(INDEX(tblParts[HS code],MATCH(tblShipments[[#This Row],[Part]],tblParts[Part],0)),""))</f>
        <v>8413.91.90</v>
      </c>
      <c r="H38" s="36">
        <v>350</v>
      </c>
      <c r="I38" s="37">
        <v>25.53</v>
      </c>
      <c r="J38" s="37">
        <v>260</v>
      </c>
      <c r="K38" s="37">
        <v>26.81</v>
      </c>
      <c r="L38" s="29">
        <v>0</v>
      </c>
      <c r="M38" s="29">
        <v>0</v>
      </c>
      <c r="N38" s="37">
        <v>95</v>
      </c>
      <c r="O38" s="37">
        <v>370</v>
      </c>
      <c r="P38" s="38">
        <f>IF(tblShipments[[#This Row],[Date]]="","",tblShipments[[#This Row],[Units]]*tblShipments[[#This Row],[Unit price]])</f>
        <v>8935.5</v>
      </c>
      <c r="Q38" s="38">
        <f>IF(tblShipments[[#This Row],[Date]]="","",tblShipments[[#This Row],[Goods value]]+IF(DutyBase="CIF value",tblShipments[[#This Row],[Freight intl]]+tblShipments[[#This Row],[Insurance]],0))</f>
        <v>8935.5</v>
      </c>
      <c r="R38" s="38">
        <f>IF(tblShipments[[#This Row],[Date]]="","",tblShipments[[#This Row],[Customs value]]*tblShipments[[#This Row],[Duty rate]])</f>
        <v>0</v>
      </c>
      <c r="S38" s="38">
        <f>IF(tblShipments[[#This Row],[Date]]="","",tblShipments[[#This Row],[Customs value]]*tblShipments[[#This Row],[Extra tariff]])</f>
        <v>0</v>
      </c>
      <c r="T38" s="38">
        <f>IF(tblShipments[[#This Row],[Date]]="","",tblShipments[[#This Row],[Goods value]]+tblShipments[[#This Row],[Freight intl]]+tblShipments[[#This Row],[Insurance]]+tblShipments[[#This Row],[Duty]]+tblShipments[[#This Row],[Tariff]]+tblShipments[[#This Row],[Brokerage and fees]]+tblShipments[[#This Row],[Inland freight]])</f>
        <v>9687.31</v>
      </c>
      <c r="U38" s="39">
        <f>IF(tblShipments[[#This Row],[Date]]="","",IF(tblShipments[[#This Row],[Units]]&gt;0,tblShipments[[#This Row],[Landed cost]]/tblShipments[[#This Row],[Units]],""))</f>
        <v>27.6780285714286</v>
      </c>
      <c r="V38" s="40">
        <f>IF(tblShipments[[#This Row],[Date]]="","",IF(tblShipments[[#This Row],[Goods value]]&gt;0,tblShipments[[#This Row],[Landed cost]]/tblShipments[[#This Row],[Goods value]]-1,""))</f>
        <v>0.0841374293548205</v>
      </c>
      <c r="W38" s="41" t="str">
        <f>IF(NOT(ISNUMBER(tblShipments[[#This Row],[Uplift]])),"",IF(tblShipments[[#This Row],[Uplift]]&lt;=UpliftLimit,"On target",IF(tblShipments[[#This Row],[Uplift]]&lt;=UpliftLimit*(1+0.05),"Near target","Above target")))</f>
        <v>On target</v>
      </c>
      <c r="X38" s="42">
        <f>IF(tblShipments[[#This Row],[Date]]="","",IF(AND(tblShipments[[#This Row],[Date]]&gt;=FFrom,tblShipments[[#This Row],[Date]]&lt;=FTo,OR(DashOrigin="",tblShipments[[#This Row],[Origin]]=DashOrigin)),tblShipments[[#This Row],[Date]],""))</f>
        <v>46272</v>
      </c>
      <c r="Y38"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8" s="28" t="s">
        <v>83</v>
      </c>
    </row>
    <row r="39" spans="2:26">
      <c r="B39" s="34">
        <v>46272</v>
      </c>
      <c r="C39" s="28" t="s">
        <v>185</v>
      </c>
      <c r="D39" s="28" t="s">
        <v>95</v>
      </c>
      <c r="E39" s="28" t="s">
        <v>82</v>
      </c>
      <c r="F39" s="28" t="s">
        <v>110</v>
      </c>
      <c r="G39" s="35" t="str">
        <f>IF(tblShipments[[#This Row],[Date]]="","",IFERROR(INDEX(tblParts[HS code],MATCH(tblShipments[[#This Row],[Part]],tblParts[Part],0)),""))</f>
        <v>8413.91.90</v>
      </c>
      <c r="H39" s="36">
        <v>800</v>
      </c>
      <c r="I39" s="37">
        <v>8.720000000000001</v>
      </c>
      <c r="J39" s="37">
        <v>320</v>
      </c>
      <c r="K39" s="37">
        <v>20.93</v>
      </c>
      <c r="L39" s="29">
        <v>0</v>
      </c>
      <c r="M39" s="29">
        <v>0</v>
      </c>
      <c r="N39" s="37">
        <v>95</v>
      </c>
      <c r="O39" s="37">
        <v>350</v>
      </c>
      <c r="P39" s="38">
        <f>IF(tblShipments[[#This Row],[Date]]="","",tblShipments[[#This Row],[Units]]*tblShipments[[#This Row],[Unit price]])</f>
        <v>6976</v>
      </c>
      <c r="Q39" s="38">
        <f>IF(tblShipments[[#This Row],[Date]]="","",tblShipments[[#This Row],[Goods value]]+IF(DutyBase="CIF value",tblShipments[[#This Row],[Freight intl]]+tblShipments[[#This Row],[Insurance]],0))</f>
        <v>6976</v>
      </c>
      <c r="R39" s="38">
        <f>IF(tblShipments[[#This Row],[Date]]="","",tblShipments[[#This Row],[Customs value]]*tblShipments[[#This Row],[Duty rate]])</f>
        <v>0</v>
      </c>
      <c r="S39" s="38">
        <f>IF(tblShipments[[#This Row],[Date]]="","",tblShipments[[#This Row],[Customs value]]*tblShipments[[#This Row],[Extra tariff]])</f>
        <v>0</v>
      </c>
      <c r="T39" s="38">
        <f>IF(tblShipments[[#This Row],[Date]]="","",tblShipments[[#This Row],[Goods value]]+tblShipments[[#This Row],[Freight intl]]+tblShipments[[#This Row],[Insurance]]+tblShipments[[#This Row],[Duty]]+tblShipments[[#This Row],[Tariff]]+tblShipments[[#This Row],[Brokerage and fees]]+tblShipments[[#This Row],[Inland freight]])</f>
        <v>7761.93</v>
      </c>
      <c r="U39" s="39">
        <f>IF(tblShipments[[#This Row],[Date]]="","",IF(tblShipments[[#This Row],[Units]]&gt;0,tblShipments[[#This Row],[Landed cost]]/tblShipments[[#This Row],[Units]],""))</f>
        <v>9.7024125</v>
      </c>
      <c r="V39" s="40">
        <f>IF(tblShipments[[#This Row],[Date]]="","",IF(tblShipments[[#This Row],[Goods value]]&gt;0,tblShipments[[#This Row],[Landed cost]]/tblShipments[[#This Row],[Goods value]]-1,""))</f>
        <v>0.112661983944954</v>
      </c>
      <c r="W39" s="41" t="str">
        <f>IF(NOT(ISNUMBER(tblShipments[[#This Row],[Uplift]])),"",IF(tblShipments[[#This Row],[Uplift]]&lt;=UpliftLimit,"On target",IF(tblShipments[[#This Row],[Uplift]]&lt;=UpliftLimit*(1+0.05),"Near target","Above target")))</f>
        <v>On target</v>
      </c>
      <c r="X39" s="42">
        <f>IF(tblShipments[[#This Row],[Date]]="","",IF(AND(tblShipments[[#This Row],[Date]]&gt;=FFrom,tblShipments[[#This Row],[Date]]&lt;=FTo,OR(DashOrigin="",tblShipments[[#This Row],[Origin]]=DashOrigin)),tblShipments[[#This Row],[Date]],""))</f>
        <v>46272</v>
      </c>
      <c r="Y39"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39" s="28" t="s">
        <v>83</v>
      </c>
    </row>
    <row r="40" spans="2:26">
      <c r="B40" s="34">
        <v>46272</v>
      </c>
      <c r="C40" s="28" t="s">
        <v>186</v>
      </c>
      <c r="D40" s="28" t="s">
        <v>99</v>
      </c>
      <c r="E40" s="28" t="s">
        <v>88</v>
      </c>
      <c r="F40" s="28" t="s">
        <v>115</v>
      </c>
      <c r="G40" s="35" t="str">
        <f>IF(tblShipments[[#This Row],[Date]]="","",IFERROR(INDEX(tblParts[HS code],MATCH(tblShipments[[#This Row],[Part]],tblParts[Part],0)),""))</f>
        <v>8484.20.00</v>
      </c>
      <c r="H40" s="36">
        <v>850</v>
      </c>
      <c r="I40" s="37">
        <v>12.12</v>
      </c>
      <c r="J40" s="37">
        <v>580</v>
      </c>
      <c r="K40" s="37">
        <v>30.91</v>
      </c>
      <c r="L40" s="29">
        <v>0.025</v>
      </c>
      <c r="M40" s="29">
        <v>0</v>
      </c>
      <c r="N40" s="37">
        <v>120</v>
      </c>
      <c r="O40" s="37">
        <v>500</v>
      </c>
      <c r="P40" s="38">
        <f>IF(tblShipments[[#This Row],[Date]]="","",tblShipments[[#This Row],[Units]]*tblShipments[[#This Row],[Unit price]])</f>
        <v>10302</v>
      </c>
      <c r="Q40" s="38">
        <f>IF(tblShipments[[#This Row],[Date]]="","",tblShipments[[#This Row],[Goods value]]+IF(DutyBase="CIF value",tblShipments[[#This Row],[Freight intl]]+tblShipments[[#This Row],[Insurance]],0))</f>
        <v>10302</v>
      </c>
      <c r="R40" s="38">
        <f>IF(tblShipments[[#This Row],[Date]]="","",tblShipments[[#This Row],[Customs value]]*tblShipments[[#This Row],[Duty rate]])</f>
        <v>257.55</v>
      </c>
      <c r="S40" s="38">
        <f>IF(tblShipments[[#This Row],[Date]]="","",tblShipments[[#This Row],[Customs value]]*tblShipments[[#This Row],[Extra tariff]])</f>
        <v>0</v>
      </c>
      <c r="T40" s="38">
        <f>IF(tblShipments[[#This Row],[Date]]="","",tblShipments[[#This Row],[Goods value]]+tblShipments[[#This Row],[Freight intl]]+tblShipments[[#This Row],[Insurance]]+tblShipments[[#This Row],[Duty]]+tblShipments[[#This Row],[Tariff]]+tblShipments[[#This Row],[Brokerage and fees]]+tblShipments[[#This Row],[Inland freight]])</f>
        <v>11790.46</v>
      </c>
      <c r="U40" s="39">
        <f>IF(tblShipments[[#This Row],[Date]]="","",IF(tblShipments[[#This Row],[Units]]&gt;0,tblShipments[[#This Row],[Landed cost]]/tblShipments[[#This Row],[Units]],""))</f>
        <v>13.8711294117647</v>
      </c>
      <c r="V40" s="40">
        <f>IF(tblShipments[[#This Row],[Date]]="","",IF(tblShipments[[#This Row],[Goods value]]&gt;0,tblShipments[[#This Row],[Landed cost]]/tblShipments[[#This Row],[Goods value]]-1,""))</f>
        <v>0.144482624733062</v>
      </c>
      <c r="W40" s="41" t="str">
        <f>IF(NOT(ISNUMBER(tblShipments[[#This Row],[Uplift]])),"",IF(tblShipments[[#This Row],[Uplift]]&lt;=UpliftLimit,"On target",IF(tblShipments[[#This Row],[Uplift]]&lt;=UpliftLimit*(1+0.05),"Near target","Above target")))</f>
        <v>On target</v>
      </c>
      <c r="X40" s="42">
        <f>IF(tblShipments[[#This Row],[Date]]="","",IF(AND(tblShipments[[#This Row],[Date]]&gt;=FFrom,tblShipments[[#This Row],[Date]]&lt;=FTo,OR(DashOrigin="",tblShipments[[#This Row],[Origin]]=DashOrigin)),tblShipments[[#This Row],[Date]],""))</f>
        <v>46272</v>
      </c>
      <c r="Y40"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0" s="28" t="s">
        <v>83</v>
      </c>
    </row>
    <row r="41" spans="2:26">
      <c r="B41" s="34">
        <v>46272</v>
      </c>
      <c r="C41" s="28" t="s">
        <v>187</v>
      </c>
      <c r="D41" s="28" t="s">
        <v>103</v>
      </c>
      <c r="E41" s="28" t="s">
        <v>84</v>
      </c>
      <c r="F41" s="28" t="s">
        <v>121</v>
      </c>
      <c r="G41" s="35" t="str">
        <f>IF(tblShipments[[#This Row],[Date]]="","",IFERROR(INDEX(tblParts[HS code],MATCH(tblShipments[[#This Row],[Part]],tblParts[Part],0)),""))</f>
        <v>7318.15.20</v>
      </c>
      <c r="H41" s="36">
        <v>1750</v>
      </c>
      <c r="I41" s="37">
        <v>2.32</v>
      </c>
      <c r="J41" s="37">
        <v>240</v>
      </c>
      <c r="K41" s="37">
        <v>12.18</v>
      </c>
      <c r="L41" s="29">
        <v>0.06</v>
      </c>
      <c r="M41" s="29">
        <v>0</v>
      </c>
      <c r="N41" s="37">
        <v>120</v>
      </c>
      <c r="O41" s="37">
        <v>510</v>
      </c>
      <c r="P41" s="38">
        <f>IF(tblShipments[[#This Row],[Date]]="","",tblShipments[[#This Row],[Units]]*tblShipments[[#This Row],[Unit price]])</f>
        <v>4060</v>
      </c>
      <c r="Q41" s="38">
        <f>IF(tblShipments[[#This Row],[Date]]="","",tblShipments[[#This Row],[Goods value]]+IF(DutyBase="CIF value",tblShipments[[#This Row],[Freight intl]]+tblShipments[[#This Row],[Insurance]],0))</f>
        <v>4060</v>
      </c>
      <c r="R41" s="38">
        <f>IF(tblShipments[[#This Row],[Date]]="","",tblShipments[[#This Row],[Customs value]]*tblShipments[[#This Row],[Duty rate]])</f>
        <v>243.6</v>
      </c>
      <c r="S41" s="38">
        <f>IF(tblShipments[[#This Row],[Date]]="","",tblShipments[[#This Row],[Customs value]]*tblShipments[[#This Row],[Extra tariff]])</f>
        <v>0</v>
      </c>
      <c r="T41" s="38">
        <f>IF(tblShipments[[#This Row],[Date]]="","",tblShipments[[#This Row],[Goods value]]+tblShipments[[#This Row],[Freight intl]]+tblShipments[[#This Row],[Insurance]]+tblShipments[[#This Row],[Duty]]+tblShipments[[#This Row],[Tariff]]+tblShipments[[#This Row],[Brokerage and fees]]+tblShipments[[#This Row],[Inland freight]])</f>
        <v>5185.78</v>
      </c>
      <c r="U41" s="39">
        <f>IF(tblShipments[[#This Row],[Date]]="","",IF(tblShipments[[#This Row],[Units]]&gt;0,tblShipments[[#This Row],[Landed cost]]/tblShipments[[#This Row],[Units]],""))</f>
        <v>2.96330285714286</v>
      </c>
      <c r="V41" s="40">
        <f>IF(tblShipments[[#This Row],[Date]]="","",IF(tblShipments[[#This Row],[Goods value]]&gt;0,tblShipments[[#This Row],[Landed cost]]/tblShipments[[#This Row],[Goods value]]-1,""))</f>
        <v>0.277285714285715</v>
      </c>
      <c r="W41" s="41" t="str">
        <f>IF(NOT(ISNUMBER(tblShipments[[#This Row],[Uplift]])),"",IF(tblShipments[[#This Row],[Uplift]]&lt;=UpliftLimit,"On target",IF(tblShipments[[#This Row],[Uplift]]&lt;=UpliftLimit*(1+0.05),"Near target","Above target")))</f>
        <v>Above target</v>
      </c>
      <c r="X41" s="42">
        <f>IF(tblShipments[[#This Row],[Date]]="","",IF(AND(tblShipments[[#This Row],[Date]]&gt;=FFrom,tblShipments[[#This Row],[Date]]&lt;=FTo,OR(DashOrigin="",tblShipments[[#This Row],[Origin]]=DashOrigin)),tblShipments[[#This Row],[Date]],""))</f>
        <v>46272</v>
      </c>
      <c r="Y41"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1" s="28" t="s">
        <v>83</v>
      </c>
    </row>
    <row r="42" spans="2:26">
      <c r="B42" s="34">
        <v>46272</v>
      </c>
      <c r="C42" s="28" t="s">
        <v>188</v>
      </c>
      <c r="D42" s="28" t="s">
        <v>99</v>
      </c>
      <c r="E42" s="28" t="s">
        <v>88</v>
      </c>
      <c r="F42" s="28" t="s">
        <v>127</v>
      </c>
      <c r="G42" s="35" t="str">
        <f>IF(tblShipments[[#This Row],[Date]]="","",IFERROR(INDEX(tblParts[HS code],MATCH(tblShipments[[#This Row],[Part]],tblParts[Part],0)),""))</f>
        <v>9026.20.40</v>
      </c>
      <c r="H42" s="36">
        <v>650</v>
      </c>
      <c r="I42" s="37">
        <v>18.46</v>
      </c>
      <c r="J42" s="37">
        <v>520</v>
      </c>
      <c r="K42" s="37">
        <v>36</v>
      </c>
      <c r="L42" s="29">
        <v>0</v>
      </c>
      <c r="M42" s="29">
        <v>0</v>
      </c>
      <c r="N42" s="37">
        <v>145</v>
      </c>
      <c r="O42" s="37">
        <v>290</v>
      </c>
      <c r="P42" s="38">
        <f>IF(tblShipments[[#This Row],[Date]]="","",tblShipments[[#This Row],[Units]]*tblShipments[[#This Row],[Unit price]])</f>
        <v>11999</v>
      </c>
      <c r="Q42" s="38">
        <f>IF(tblShipments[[#This Row],[Date]]="","",tblShipments[[#This Row],[Goods value]]+IF(DutyBase="CIF value",tblShipments[[#This Row],[Freight intl]]+tblShipments[[#This Row],[Insurance]],0))</f>
        <v>11999</v>
      </c>
      <c r="R42" s="38">
        <f>IF(tblShipments[[#This Row],[Date]]="","",tblShipments[[#This Row],[Customs value]]*tblShipments[[#This Row],[Duty rate]])</f>
        <v>0</v>
      </c>
      <c r="S42" s="38">
        <f>IF(tblShipments[[#This Row],[Date]]="","",tblShipments[[#This Row],[Customs value]]*tblShipments[[#This Row],[Extra tariff]])</f>
        <v>0</v>
      </c>
      <c r="T42" s="38">
        <f>IF(tblShipments[[#This Row],[Date]]="","",tblShipments[[#This Row],[Goods value]]+tblShipments[[#This Row],[Freight intl]]+tblShipments[[#This Row],[Insurance]]+tblShipments[[#This Row],[Duty]]+tblShipments[[#This Row],[Tariff]]+tblShipments[[#This Row],[Brokerage and fees]]+tblShipments[[#This Row],[Inland freight]])</f>
        <v>12990</v>
      </c>
      <c r="U42" s="39">
        <f>IF(tblShipments[[#This Row],[Date]]="","",IF(tblShipments[[#This Row],[Units]]&gt;0,tblShipments[[#This Row],[Landed cost]]/tblShipments[[#This Row],[Units]],""))</f>
        <v>19.9846153846154</v>
      </c>
      <c r="V42" s="40">
        <f>IF(tblShipments[[#This Row],[Date]]="","",IF(tblShipments[[#This Row],[Goods value]]&gt;0,tblShipments[[#This Row],[Landed cost]]/tblShipments[[#This Row],[Goods value]]-1,""))</f>
        <v>0.082590215851321</v>
      </c>
      <c r="W42" s="41" t="str">
        <f>IF(NOT(ISNUMBER(tblShipments[[#This Row],[Uplift]])),"",IF(tblShipments[[#This Row],[Uplift]]&lt;=UpliftLimit,"On target",IF(tblShipments[[#This Row],[Uplift]]&lt;=UpliftLimit*(1+0.05),"Near target","Above target")))</f>
        <v>On target</v>
      </c>
      <c r="X42" s="42">
        <f>IF(tblShipments[[#This Row],[Date]]="","",IF(AND(tblShipments[[#This Row],[Date]]&gt;=FFrom,tblShipments[[#This Row],[Date]]&lt;=FTo,OR(DashOrigin="",tblShipments[[#This Row],[Origin]]=DashOrigin)),tblShipments[[#This Row],[Date]],""))</f>
        <v>46272</v>
      </c>
      <c r="Y42"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2" s="28" t="s">
        <v>83</v>
      </c>
    </row>
    <row r="43" spans="2:26">
      <c r="B43" s="34">
        <v>46273</v>
      </c>
      <c r="C43" s="28" t="s">
        <v>189</v>
      </c>
      <c r="D43" s="28" t="s">
        <v>97</v>
      </c>
      <c r="E43" s="28" t="s">
        <v>79</v>
      </c>
      <c r="F43" s="28" t="s">
        <v>112</v>
      </c>
      <c r="G43" s="35" t="str">
        <f>IF(tblShipments[[#This Row],[Date]]="","",IFERROR(INDEX(tblParts[HS code],MATCH(tblShipments[[#This Row],[Part]],tblParts[Part],0)),""))</f>
        <v>8501.52.40</v>
      </c>
      <c r="H43" s="36">
        <v>500</v>
      </c>
      <c r="I43" s="37">
        <v>46.83</v>
      </c>
      <c r="J43" s="37">
        <v>1000</v>
      </c>
      <c r="K43" s="37">
        <v>70.25</v>
      </c>
      <c r="L43" s="29">
        <v>0.028</v>
      </c>
      <c r="M43" s="29">
        <v>0.25</v>
      </c>
      <c r="N43" s="37">
        <v>120</v>
      </c>
      <c r="O43" s="37">
        <v>260</v>
      </c>
      <c r="P43" s="38">
        <f>IF(tblShipments[[#This Row],[Date]]="","",tblShipments[[#This Row],[Units]]*tblShipments[[#This Row],[Unit price]])</f>
        <v>23415</v>
      </c>
      <c r="Q43" s="38">
        <f>IF(tblShipments[[#This Row],[Date]]="","",tblShipments[[#This Row],[Goods value]]+IF(DutyBase="CIF value",tblShipments[[#This Row],[Freight intl]]+tblShipments[[#This Row],[Insurance]],0))</f>
        <v>23415</v>
      </c>
      <c r="R43" s="38">
        <f>IF(tblShipments[[#This Row],[Date]]="","",tblShipments[[#This Row],[Customs value]]*tblShipments[[#This Row],[Duty rate]])</f>
        <v>655.62</v>
      </c>
      <c r="S43" s="38">
        <f>IF(tblShipments[[#This Row],[Date]]="","",tblShipments[[#This Row],[Customs value]]*tblShipments[[#This Row],[Extra tariff]])</f>
        <v>5853.75</v>
      </c>
      <c r="T43" s="38">
        <f>IF(tblShipments[[#This Row],[Date]]="","",tblShipments[[#This Row],[Goods value]]+tblShipments[[#This Row],[Freight intl]]+tblShipments[[#This Row],[Insurance]]+tblShipments[[#This Row],[Duty]]+tblShipments[[#This Row],[Tariff]]+tblShipments[[#This Row],[Brokerage and fees]]+tblShipments[[#This Row],[Inland freight]])</f>
        <v>31374.62</v>
      </c>
      <c r="U43" s="39">
        <f>IF(tblShipments[[#This Row],[Date]]="","",IF(tblShipments[[#This Row],[Units]]&gt;0,tblShipments[[#This Row],[Landed cost]]/tblShipments[[#This Row],[Units]],""))</f>
        <v>62.74924</v>
      </c>
      <c r="V43" s="40">
        <f>IF(tblShipments[[#This Row],[Date]]="","",IF(tblShipments[[#This Row],[Goods value]]&gt;0,tblShipments[[#This Row],[Landed cost]]/tblShipments[[#This Row],[Goods value]]-1,""))</f>
        <v>0.339936792654281</v>
      </c>
      <c r="W43" s="41" t="str">
        <f>IF(NOT(ISNUMBER(tblShipments[[#This Row],[Uplift]])),"",IF(tblShipments[[#This Row],[Uplift]]&lt;=UpliftLimit,"On target",IF(tblShipments[[#This Row],[Uplift]]&lt;=UpliftLimit*(1+0.05),"Near target","Above target")))</f>
        <v>Above target</v>
      </c>
      <c r="X43" s="42">
        <f>IF(tblShipments[[#This Row],[Date]]="","",IF(AND(tblShipments[[#This Row],[Date]]&gt;=FFrom,tblShipments[[#This Row],[Date]]&lt;=FTo,OR(DashOrigin="",tblShipments[[#This Row],[Origin]]=DashOrigin)),tblShipments[[#This Row],[Date]],""))</f>
        <v>46273</v>
      </c>
      <c r="Y43"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3" s="28" t="s">
        <v>83</v>
      </c>
    </row>
    <row r="44" spans="2:26">
      <c r="B44" s="34">
        <v>46274</v>
      </c>
      <c r="C44" s="28" t="s">
        <v>190</v>
      </c>
      <c r="D44" s="28" t="s">
        <v>101</v>
      </c>
      <c r="E44" s="28" t="s">
        <v>85</v>
      </c>
      <c r="F44" s="28" t="s">
        <v>118</v>
      </c>
      <c r="G44" s="35" t="str">
        <f>IF(tblShipments[[#This Row],[Date]]="","",IFERROR(INDEX(tblParts[HS code],MATCH(tblShipments[[#This Row],[Part]],tblParts[Part],0)),""))</f>
        <v>8537.10.90</v>
      </c>
      <c r="H44" s="36">
        <v>450</v>
      </c>
      <c r="I44" s="37">
        <v>31.59</v>
      </c>
      <c r="J44" s="37">
        <v>310</v>
      </c>
      <c r="K44" s="37">
        <v>42.65</v>
      </c>
      <c r="L44" s="29">
        <v>0</v>
      </c>
      <c r="M44" s="29">
        <v>0</v>
      </c>
      <c r="N44" s="37">
        <v>95</v>
      </c>
      <c r="O44" s="37">
        <v>370</v>
      </c>
      <c r="P44" s="38">
        <f>IF(tblShipments[[#This Row],[Date]]="","",tblShipments[[#This Row],[Units]]*tblShipments[[#This Row],[Unit price]])</f>
        <v>14215.5</v>
      </c>
      <c r="Q44" s="38">
        <f>IF(tblShipments[[#This Row],[Date]]="","",tblShipments[[#This Row],[Goods value]]+IF(DutyBase="CIF value",tblShipments[[#This Row],[Freight intl]]+tblShipments[[#This Row],[Insurance]],0))</f>
        <v>14215.5</v>
      </c>
      <c r="R44" s="38">
        <f>IF(tblShipments[[#This Row],[Date]]="","",tblShipments[[#This Row],[Customs value]]*tblShipments[[#This Row],[Duty rate]])</f>
        <v>0</v>
      </c>
      <c r="S44" s="38">
        <f>IF(tblShipments[[#This Row],[Date]]="","",tblShipments[[#This Row],[Customs value]]*tblShipments[[#This Row],[Extra tariff]])</f>
        <v>0</v>
      </c>
      <c r="T44" s="38">
        <f>IF(tblShipments[[#This Row],[Date]]="","",tblShipments[[#This Row],[Goods value]]+tblShipments[[#This Row],[Freight intl]]+tblShipments[[#This Row],[Insurance]]+tblShipments[[#This Row],[Duty]]+tblShipments[[#This Row],[Tariff]]+tblShipments[[#This Row],[Brokerage and fees]]+tblShipments[[#This Row],[Inland freight]])</f>
        <v>15033.15</v>
      </c>
      <c r="U44" s="39">
        <f>IF(tblShipments[[#This Row],[Date]]="","",IF(tblShipments[[#This Row],[Units]]&gt;0,tblShipments[[#This Row],[Landed cost]]/tblShipments[[#This Row],[Units]],""))</f>
        <v>33.407</v>
      </c>
      <c r="V44" s="40">
        <f>IF(tblShipments[[#This Row],[Date]]="","",IF(tblShipments[[#This Row],[Goods value]]&gt;0,tblShipments[[#This Row],[Landed cost]]/tblShipments[[#This Row],[Goods value]]-1,""))</f>
        <v>0.0575182019626463</v>
      </c>
      <c r="W44" s="41" t="str">
        <f>IF(NOT(ISNUMBER(tblShipments[[#This Row],[Uplift]])),"",IF(tblShipments[[#This Row],[Uplift]]&lt;=UpliftLimit,"On target",IF(tblShipments[[#This Row],[Uplift]]&lt;=UpliftLimit*(1+0.05),"Near target","Above target")))</f>
        <v>On target</v>
      </c>
      <c r="X44" s="42">
        <f>IF(tblShipments[[#This Row],[Date]]="","",IF(AND(tblShipments[[#This Row],[Date]]&gt;=FFrom,tblShipments[[#This Row],[Date]]&lt;=FTo,OR(DashOrigin="",tblShipments[[#This Row],[Origin]]=DashOrigin)),tblShipments[[#This Row],[Date]],""))</f>
        <v>46274</v>
      </c>
      <c r="Y44"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4" s="28" t="s">
        <v>83</v>
      </c>
    </row>
    <row r="45" spans="2:26">
      <c r="B45" s="34">
        <v>46276</v>
      </c>
      <c r="C45" s="28" t="s">
        <v>191</v>
      </c>
      <c r="D45" s="28" t="s">
        <v>91</v>
      </c>
      <c r="E45" s="28" t="s">
        <v>79</v>
      </c>
      <c r="F45" s="28" t="s">
        <v>106</v>
      </c>
      <c r="G45" s="35" t="str">
        <f>IF(tblShipments[[#This Row],[Date]]="","",IFERROR(INDEX(tblParts[HS code],MATCH(tblShipments[[#This Row],[Part]],tblParts[Part],0)),""))</f>
        <v>8413.91.90</v>
      </c>
      <c r="H45" s="36">
        <v>1100</v>
      </c>
      <c r="I45" s="37">
        <v>21.1</v>
      </c>
      <c r="J45" s="37">
        <v>1750</v>
      </c>
      <c r="K45" s="37">
        <v>69.63</v>
      </c>
      <c r="L45" s="29">
        <v>0</v>
      </c>
      <c r="M45" s="29">
        <v>0.25</v>
      </c>
      <c r="N45" s="37">
        <v>145</v>
      </c>
      <c r="O45" s="37">
        <v>360</v>
      </c>
      <c r="P45" s="38">
        <f>IF(tblShipments[[#This Row],[Date]]="","",tblShipments[[#This Row],[Units]]*tblShipments[[#This Row],[Unit price]])</f>
        <v>23210</v>
      </c>
      <c r="Q45" s="38">
        <f>IF(tblShipments[[#This Row],[Date]]="","",tblShipments[[#This Row],[Goods value]]+IF(DutyBase="CIF value",tblShipments[[#This Row],[Freight intl]]+tblShipments[[#This Row],[Insurance]],0))</f>
        <v>23210</v>
      </c>
      <c r="R45" s="38">
        <f>IF(tblShipments[[#This Row],[Date]]="","",tblShipments[[#This Row],[Customs value]]*tblShipments[[#This Row],[Duty rate]])</f>
        <v>0</v>
      </c>
      <c r="S45" s="38">
        <f>IF(tblShipments[[#This Row],[Date]]="","",tblShipments[[#This Row],[Customs value]]*tblShipments[[#This Row],[Extra tariff]])</f>
        <v>5802.5</v>
      </c>
      <c r="T45" s="38">
        <f>IF(tblShipments[[#This Row],[Date]]="","",tblShipments[[#This Row],[Goods value]]+tblShipments[[#This Row],[Freight intl]]+tblShipments[[#This Row],[Insurance]]+tblShipments[[#This Row],[Duty]]+tblShipments[[#This Row],[Tariff]]+tblShipments[[#This Row],[Brokerage and fees]]+tblShipments[[#This Row],[Inland freight]])</f>
        <v>31337.13</v>
      </c>
      <c r="U45" s="39">
        <f>IF(tblShipments[[#This Row],[Date]]="","",IF(tblShipments[[#This Row],[Units]]&gt;0,tblShipments[[#This Row],[Landed cost]]/tblShipments[[#This Row],[Units]],""))</f>
        <v>28.4883</v>
      </c>
      <c r="V45" s="40">
        <f>IF(tblShipments[[#This Row],[Date]]="","",IF(tblShipments[[#This Row],[Goods value]]&gt;0,tblShipments[[#This Row],[Landed cost]]/tblShipments[[#This Row],[Goods value]]-1,""))</f>
        <v>0.350156398104265</v>
      </c>
      <c r="W45" s="41" t="str">
        <f>IF(NOT(ISNUMBER(tblShipments[[#This Row],[Uplift]])),"",IF(tblShipments[[#This Row],[Uplift]]&lt;=UpliftLimit,"On target",IF(tblShipments[[#This Row],[Uplift]]&lt;=UpliftLimit*(1+0.05),"Near target","Above target")))</f>
        <v>Above target</v>
      </c>
      <c r="X45" s="42">
        <f>IF(tblShipments[[#This Row],[Date]]="","",IF(AND(tblShipments[[#This Row],[Date]]&gt;=FFrom,tblShipments[[#This Row],[Date]]&lt;=FTo,OR(DashOrigin="",tblShipments[[#This Row],[Origin]]=DashOrigin)),tblShipments[[#This Row],[Date]],""))</f>
        <v>46276</v>
      </c>
      <c r="Y45"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5" s="28" t="s">
        <v>83</v>
      </c>
    </row>
    <row r="46" spans="2:26">
      <c r="B46" s="34">
        <v>46276</v>
      </c>
      <c r="C46" s="28" t="s">
        <v>192</v>
      </c>
      <c r="D46" s="28" t="s">
        <v>103</v>
      </c>
      <c r="E46" s="28" t="s">
        <v>84</v>
      </c>
      <c r="F46" s="28" t="s">
        <v>125</v>
      </c>
      <c r="G46" s="35" t="str">
        <f>IF(tblShipments[[#This Row],[Date]]="","",IFERROR(INDEX(tblParts[HS code],MATCH(tblShipments[[#This Row],[Part]],tblParts[Part],0)),""))</f>
        <v>8547.20.00</v>
      </c>
      <c r="H46" s="36">
        <v>3800</v>
      </c>
      <c r="I46" s="37">
        <v>0.96</v>
      </c>
      <c r="J46" s="37">
        <v>230</v>
      </c>
      <c r="K46" s="37">
        <v>10.94</v>
      </c>
      <c r="L46" s="29">
        <v>0.032</v>
      </c>
      <c r="M46" s="29">
        <v>0</v>
      </c>
      <c r="N46" s="37">
        <v>145</v>
      </c>
      <c r="O46" s="37">
        <v>380</v>
      </c>
      <c r="P46" s="38">
        <f>IF(tblShipments[[#This Row],[Date]]="","",tblShipments[[#This Row],[Units]]*tblShipments[[#This Row],[Unit price]])</f>
        <v>3648</v>
      </c>
      <c r="Q46" s="38">
        <f>IF(tblShipments[[#This Row],[Date]]="","",tblShipments[[#This Row],[Goods value]]+IF(DutyBase="CIF value",tblShipments[[#This Row],[Freight intl]]+tblShipments[[#This Row],[Insurance]],0))</f>
        <v>3648</v>
      </c>
      <c r="R46" s="38">
        <f>IF(tblShipments[[#This Row],[Date]]="","",tblShipments[[#This Row],[Customs value]]*tblShipments[[#This Row],[Duty rate]])</f>
        <v>116.736</v>
      </c>
      <c r="S46" s="38">
        <f>IF(tblShipments[[#This Row],[Date]]="","",tblShipments[[#This Row],[Customs value]]*tblShipments[[#This Row],[Extra tariff]])</f>
        <v>0</v>
      </c>
      <c r="T46" s="38">
        <f>IF(tblShipments[[#This Row],[Date]]="","",tblShipments[[#This Row],[Goods value]]+tblShipments[[#This Row],[Freight intl]]+tblShipments[[#This Row],[Insurance]]+tblShipments[[#This Row],[Duty]]+tblShipments[[#This Row],[Tariff]]+tblShipments[[#This Row],[Brokerage and fees]]+tblShipments[[#This Row],[Inland freight]])</f>
        <v>4530.676</v>
      </c>
      <c r="U46" s="39">
        <f>IF(tblShipments[[#This Row],[Date]]="","",IF(tblShipments[[#This Row],[Units]]&gt;0,tblShipments[[#This Row],[Landed cost]]/tblShipments[[#This Row],[Units]],""))</f>
        <v>1.19228315789474</v>
      </c>
      <c r="V46" s="40">
        <f>IF(tblShipments[[#This Row],[Date]]="","",IF(tblShipments[[#This Row],[Goods value]]&gt;0,tblShipments[[#This Row],[Landed cost]]/tblShipments[[#This Row],[Goods value]]-1,""))</f>
        <v>0.241961622807017</v>
      </c>
      <c r="W46" s="41" t="str">
        <f>IF(NOT(ISNUMBER(tblShipments[[#This Row],[Uplift]])),"",IF(tblShipments[[#This Row],[Uplift]]&lt;=UpliftLimit,"On target",IF(tblShipments[[#This Row],[Uplift]]&lt;=UpliftLimit*(1+0.05),"Near target","Above target")))</f>
        <v>On target</v>
      </c>
      <c r="X46" s="42">
        <f>IF(tblShipments[[#This Row],[Date]]="","",IF(AND(tblShipments[[#This Row],[Date]]&gt;=FFrom,tblShipments[[#This Row],[Date]]&lt;=FTo,OR(DashOrigin="",tblShipments[[#This Row],[Origin]]=DashOrigin)),tblShipments[[#This Row],[Date]],""))</f>
        <v>46276</v>
      </c>
      <c r="Y46"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6" s="28" t="s">
        <v>83</v>
      </c>
    </row>
    <row r="47" spans="2:26">
      <c r="B47" s="34">
        <v>46283</v>
      </c>
      <c r="C47" s="28" t="s">
        <v>193</v>
      </c>
      <c r="D47" s="28" t="s">
        <v>97</v>
      </c>
      <c r="E47" s="28" t="s">
        <v>79</v>
      </c>
      <c r="F47" s="28" t="s">
        <v>112</v>
      </c>
      <c r="G47" s="35" t="str">
        <f>IF(tblShipments[[#This Row],[Date]]="","",IFERROR(INDEX(tblParts[HS code],MATCH(tblShipments[[#This Row],[Part]],tblParts[Part],0)),""))</f>
        <v>8501.52.40</v>
      </c>
      <c r="H47" s="36">
        <v>600</v>
      </c>
      <c r="I47" s="37">
        <v>46.47</v>
      </c>
      <c r="J47" s="37">
        <v>1230</v>
      </c>
      <c r="K47" s="37">
        <v>83.65000000000001</v>
      </c>
      <c r="L47" s="29">
        <v>0.028</v>
      </c>
      <c r="M47" s="29">
        <v>0.25</v>
      </c>
      <c r="N47" s="37">
        <v>95</v>
      </c>
      <c r="O47" s="37">
        <v>290</v>
      </c>
      <c r="P47" s="38">
        <f>IF(tblShipments[[#This Row],[Date]]="","",tblShipments[[#This Row],[Units]]*tblShipments[[#This Row],[Unit price]])</f>
        <v>27882</v>
      </c>
      <c r="Q47" s="38">
        <f>IF(tblShipments[[#This Row],[Date]]="","",tblShipments[[#This Row],[Goods value]]+IF(DutyBase="CIF value",tblShipments[[#This Row],[Freight intl]]+tblShipments[[#This Row],[Insurance]],0))</f>
        <v>27882</v>
      </c>
      <c r="R47" s="38">
        <f>IF(tblShipments[[#This Row],[Date]]="","",tblShipments[[#This Row],[Customs value]]*tblShipments[[#This Row],[Duty rate]])</f>
        <v>780.696</v>
      </c>
      <c r="S47" s="38">
        <f>IF(tblShipments[[#This Row],[Date]]="","",tblShipments[[#This Row],[Customs value]]*tblShipments[[#This Row],[Extra tariff]])</f>
        <v>6970.5</v>
      </c>
      <c r="T47" s="38">
        <f>IF(tblShipments[[#This Row],[Date]]="","",tblShipments[[#This Row],[Goods value]]+tblShipments[[#This Row],[Freight intl]]+tblShipments[[#This Row],[Insurance]]+tblShipments[[#This Row],[Duty]]+tblShipments[[#This Row],[Tariff]]+tblShipments[[#This Row],[Brokerage and fees]]+tblShipments[[#This Row],[Inland freight]])</f>
        <v>37331.846</v>
      </c>
      <c r="U47" s="39">
        <f>IF(tblShipments[[#This Row],[Date]]="","",IF(tblShipments[[#This Row],[Units]]&gt;0,tblShipments[[#This Row],[Landed cost]]/tblShipments[[#This Row],[Units]],""))</f>
        <v>62.2197433333333</v>
      </c>
      <c r="V47" s="40">
        <f>IF(tblShipments[[#This Row],[Date]]="","",IF(tblShipments[[#This Row],[Goods value]]&gt;0,tblShipments[[#This Row],[Landed cost]]/tblShipments[[#This Row],[Goods value]]-1,""))</f>
        <v>0.338922817588409</v>
      </c>
      <c r="W47" s="41" t="str">
        <f>IF(NOT(ISNUMBER(tblShipments[[#This Row],[Uplift]])),"",IF(tblShipments[[#This Row],[Uplift]]&lt;=UpliftLimit,"On target",IF(tblShipments[[#This Row],[Uplift]]&lt;=UpliftLimit*(1+0.05),"Near target","Above target")))</f>
        <v>Above target</v>
      </c>
      <c r="X47" s="42">
        <f>IF(tblShipments[[#This Row],[Date]]="","",IF(AND(tblShipments[[#This Row],[Date]]&gt;=FFrom,tblShipments[[#This Row],[Date]]&lt;=FTo,OR(DashOrigin="",tblShipments[[#This Row],[Origin]]=DashOrigin)),tblShipments[[#This Row],[Date]],""))</f>
        <v>46283</v>
      </c>
      <c r="Y47"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7" s="28" t="s">
        <v>83</v>
      </c>
    </row>
    <row r="48" spans="2:26">
      <c r="B48" s="34">
        <v>46283</v>
      </c>
      <c r="C48" s="28" t="s">
        <v>194</v>
      </c>
      <c r="D48" s="28" t="s">
        <v>99</v>
      </c>
      <c r="E48" s="28" t="s">
        <v>88</v>
      </c>
      <c r="F48" s="28" t="s">
        <v>115</v>
      </c>
      <c r="G48" s="35" t="str">
        <f>IF(tblShipments[[#This Row],[Date]]="","",IFERROR(INDEX(tblParts[HS code],MATCH(tblShipments[[#This Row],[Part]],tblParts[Part],0)),""))</f>
        <v>8484.20.00</v>
      </c>
      <c r="H48" s="36">
        <v>700</v>
      </c>
      <c r="I48" s="37">
        <v>12.23</v>
      </c>
      <c r="J48" s="37">
        <v>360</v>
      </c>
      <c r="K48" s="37">
        <v>25.68</v>
      </c>
      <c r="L48" s="29">
        <v>0.025</v>
      </c>
      <c r="M48" s="29">
        <v>0</v>
      </c>
      <c r="N48" s="37">
        <v>120</v>
      </c>
      <c r="O48" s="37">
        <v>510</v>
      </c>
      <c r="P48" s="38">
        <f>IF(tblShipments[[#This Row],[Date]]="","",tblShipments[[#This Row],[Units]]*tblShipments[[#This Row],[Unit price]])</f>
        <v>8561</v>
      </c>
      <c r="Q48" s="38">
        <f>IF(tblShipments[[#This Row],[Date]]="","",tblShipments[[#This Row],[Goods value]]+IF(DutyBase="CIF value",tblShipments[[#This Row],[Freight intl]]+tblShipments[[#This Row],[Insurance]],0))</f>
        <v>8561</v>
      </c>
      <c r="R48" s="38">
        <f>IF(tblShipments[[#This Row],[Date]]="","",tblShipments[[#This Row],[Customs value]]*tblShipments[[#This Row],[Duty rate]])</f>
        <v>214.025</v>
      </c>
      <c r="S48" s="38">
        <f>IF(tblShipments[[#This Row],[Date]]="","",tblShipments[[#This Row],[Customs value]]*tblShipments[[#This Row],[Extra tariff]])</f>
        <v>0</v>
      </c>
      <c r="T48" s="38">
        <f>IF(tblShipments[[#This Row],[Date]]="","",tblShipments[[#This Row],[Goods value]]+tblShipments[[#This Row],[Freight intl]]+tblShipments[[#This Row],[Insurance]]+tblShipments[[#This Row],[Duty]]+tblShipments[[#This Row],[Tariff]]+tblShipments[[#This Row],[Brokerage and fees]]+tblShipments[[#This Row],[Inland freight]])</f>
        <v>9790.705</v>
      </c>
      <c r="U48" s="39">
        <f>IF(tblShipments[[#This Row],[Date]]="","",IF(tblShipments[[#This Row],[Units]]&gt;0,tblShipments[[#This Row],[Landed cost]]/tblShipments[[#This Row],[Units]],""))</f>
        <v>13.9867214285714</v>
      </c>
      <c r="V48" s="40">
        <f>IF(tblShipments[[#This Row],[Date]]="","",IF(tblShipments[[#This Row],[Goods value]]&gt;0,tblShipments[[#This Row],[Landed cost]]/tblShipments[[#This Row],[Goods value]]-1,""))</f>
        <v>0.143640345754001</v>
      </c>
      <c r="W48" s="41" t="str">
        <f>IF(NOT(ISNUMBER(tblShipments[[#This Row],[Uplift]])),"",IF(tblShipments[[#This Row],[Uplift]]&lt;=UpliftLimit,"On target",IF(tblShipments[[#This Row],[Uplift]]&lt;=UpliftLimit*(1+0.05),"Near target","Above target")))</f>
        <v>On target</v>
      </c>
      <c r="X48" s="42">
        <f>IF(tblShipments[[#This Row],[Date]]="","",IF(AND(tblShipments[[#This Row],[Date]]&gt;=FFrom,tblShipments[[#This Row],[Date]]&lt;=FTo,OR(DashOrigin="",tblShipments[[#This Row],[Origin]]=DashOrigin)),tblShipments[[#This Row],[Date]],""))</f>
        <v>46283</v>
      </c>
      <c r="Y48"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8" s="28" t="s">
        <v>83</v>
      </c>
    </row>
    <row r="49" spans="2:26">
      <c r="B49" s="34">
        <v>46283</v>
      </c>
      <c r="C49" s="28" t="s">
        <v>195</v>
      </c>
      <c r="D49" s="28" t="s">
        <v>103</v>
      </c>
      <c r="E49" s="28" t="s">
        <v>84</v>
      </c>
      <c r="F49" s="28" t="s">
        <v>121</v>
      </c>
      <c r="G49" s="35" t="str">
        <f>IF(tblShipments[[#This Row],[Date]]="","",IFERROR(INDEX(tblParts[HS code],MATCH(tblShipments[[#This Row],[Part]],tblParts[Part],0)),""))</f>
        <v>7318.15.20</v>
      </c>
      <c r="H49" s="36">
        <v>1650</v>
      </c>
      <c r="I49" s="37">
        <v>2.34</v>
      </c>
      <c r="J49" s="37">
        <v>260</v>
      </c>
      <c r="K49" s="37">
        <v>11.58</v>
      </c>
      <c r="L49" s="29">
        <v>0.06</v>
      </c>
      <c r="M49" s="29">
        <v>0</v>
      </c>
      <c r="N49" s="37">
        <v>145</v>
      </c>
      <c r="O49" s="37">
        <v>300</v>
      </c>
      <c r="P49" s="38">
        <f>IF(tblShipments[[#This Row],[Date]]="","",tblShipments[[#This Row],[Units]]*tblShipments[[#This Row],[Unit price]])</f>
        <v>3861</v>
      </c>
      <c r="Q49" s="38">
        <f>IF(tblShipments[[#This Row],[Date]]="","",tblShipments[[#This Row],[Goods value]]+IF(DutyBase="CIF value",tblShipments[[#This Row],[Freight intl]]+tblShipments[[#This Row],[Insurance]],0))</f>
        <v>3861</v>
      </c>
      <c r="R49" s="38">
        <f>IF(tblShipments[[#This Row],[Date]]="","",tblShipments[[#This Row],[Customs value]]*tblShipments[[#This Row],[Duty rate]])</f>
        <v>231.66</v>
      </c>
      <c r="S49" s="38">
        <f>IF(tblShipments[[#This Row],[Date]]="","",tblShipments[[#This Row],[Customs value]]*tblShipments[[#This Row],[Extra tariff]])</f>
        <v>0</v>
      </c>
      <c r="T49" s="38">
        <f>IF(tblShipments[[#This Row],[Date]]="","",tblShipments[[#This Row],[Goods value]]+tblShipments[[#This Row],[Freight intl]]+tblShipments[[#This Row],[Insurance]]+tblShipments[[#This Row],[Duty]]+tblShipments[[#This Row],[Tariff]]+tblShipments[[#This Row],[Brokerage and fees]]+tblShipments[[#This Row],[Inland freight]])</f>
        <v>4809.24</v>
      </c>
      <c r="U49" s="39">
        <f>IF(tblShipments[[#This Row],[Date]]="","",IF(tblShipments[[#This Row],[Units]]&gt;0,tblShipments[[#This Row],[Landed cost]]/tblShipments[[#This Row],[Units]],""))</f>
        <v>2.91469090909091</v>
      </c>
      <c r="V49" s="40">
        <f>IF(tblShipments[[#This Row],[Date]]="","",IF(tblShipments[[#This Row],[Goods value]]&gt;0,tblShipments[[#This Row],[Landed cost]]/tblShipments[[#This Row],[Goods value]]-1,""))</f>
        <v>0.245594405594406</v>
      </c>
      <c r="W49" s="41" t="str">
        <f>IF(NOT(ISNUMBER(tblShipments[[#This Row],[Uplift]])),"",IF(tblShipments[[#This Row],[Uplift]]&lt;=UpliftLimit,"On target",IF(tblShipments[[#This Row],[Uplift]]&lt;=UpliftLimit*(1+0.05),"Near target","Above target")))</f>
        <v>On target</v>
      </c>
      <c r="X49" s="42">
        <f>IF(tblShipments[[#This Row],[Date]]="","",IF(AND(tblShipments[[#This Row],[Date]]&gt;=FFrom,tblShipments[[#This Row],[Date]]&lt;=FTo,OR(DashOrigin="",tblShipments[[#This Row],[Origin]]=DashOrigin)),tblShipments[[#This Row],[Date]],""))</f>
        <v>46283</v>
      </c>
      <c r="Y49"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49" s="28" t="s">
        <v>83</v>
      </c>
    </row>
    <row r="50" spans="2:26">
      <c r="B50" s="34">
        <v>46283</v>
      </c>
      <c r="C50" s="28" t="s">
        <v>196</v>
      </c>
      <c r="D50" s="28" t="s">
        <v>103</v>
      </c>
      <c r="E50" s="28" t="s">
        <v>84</v>
      </c>
      <c r="F50" s="28" t="s">
        <v>125</v>
      </c>
      <c r="G50" s="35" t="str">
        <f>IF(tblShipments[[#This Row],[Date]]="","",IFERROR(INDEX(tblParts[HS code],MATCH(tblShipments[[#This Row],[Part]],tblParts[Part],0)),""))</f>
        <v>8547.20.00</v>
      </c>
      <c r="H50" s="36">
        <v>3350</v>
      </c>
      <c r="I50" s="37">
        <v>0.96</v>
      </c>
      <c r="J50" s="37">
        <v>250</v>
      </c>
      <c r="K50" s="37">
        <v>9.65</v>
      </c>
      <c r="L50" s="29">
        <v>0.032</v>
      </c>
      <c r="M50" s="29">
        <v>0</v>
      </c>
      <c r="N50" s="37">
        <v>95</v>
      </c>
      <c r="O50" s="37">
        <v>200</v>
      </c>
      <c r="P50" s="38">
        <f>IF(tblShipments[[#This Row],[Date]]="","",tblShipments[[#This Row],[Units]]*tblShipments[[#This Row],[Unit price]])</f>
        <v>3216</v>
      </c>
      <c r="Q50" s="38">
        <f>IF(tblShipments[[#This Row],[Date]]="","",tblShipments[[#This Row],[Goods value]]+IF(DutyBase="CIF value",tblShipments[[#This Row],[Freight intl]]+tblShipments[[#This Row],[Insurance]],0))</f>
        <v>3216</v>
      </c>
      <c r="R50" s="38">
        <f>IF(tblShipments[[#This Row],[Date]]="","",tblShipments[[#This Row],[Customs value]]*tblShipments[[#This Row],[Duty rate]])</f>
        <v>102.912</v>
      </c>
      <c r="S50" s="38">
        <f>IF(tblShipments[[#This Row],[Date]]="","",tblShipments[[#This Row],[Customs value]]*tblShipments[[#This Row],[Extra tariff]])</f>
        <v>0</v>
      </c>
      <c r="T50" s="38">
        <f>IF(tblShipments[[#This Row],[Date]]="","",tblShipments[[#This Row],[Goods value]]+tblShipments[[#This Row],[Freight intl]]+tblShipments[[#This Row],[Insurance]]+tblShipments[[#This Row],[Duty]]+tblShipments[[#This Row],[Tariff]]+tblShipments[[#This Row],[Brokerage and fees]]+tblShipments[[#This Row],[Inland freight]])</f>
        <v>3873.562</v>
      </c>
      <c r="U50" s="39">
        <f>IF(tblShipments[[#This Row],[Date]]="","",IF(tblShipments[[#This Row],[Units]]&gt;0,tblShipments[[#This Row],[Landed cost]]/tblShipments[[#This Row],[Units]],""))</f>
        <v>1.1562871641791</v>
      </c>
      <c r="V50" s="40">
        <f>IF(tblShipments[[#This Row],[Date]]="","",IF(tblShipments[[#This Row],[Goods value]]&gt;0,tblShipments[[#This Row],[Landed cost]]/tblShipments[[#This Row],[Goods value]]-1,""))</f>
        <v>0.204465796019901</v>
      </c>
      <c r="W50" s="41" t="str">
        <f>IF(NOT(ISNUMBER(tblShipments[[#This Row],[Uplift]])),"",IF(tblShipments[[#This Row],[Uplift]]&lt;=UpliftLimit,"On target",IF(tblShipments[[#This Row],[Uplift]]&lt;=UpliftLimit*(1+0.05),"Near target","Above target")))</f>
        <v>On target</v>
      </c>
      <c r="X50" s="42">
        <f>IF(tblShipments[[#This Row],[Date]]="","",IF(AND(tblShipments[[#This Row],[Date]]&gt;=FFrom,tblShipments[[#This Row],[Date]]&lt;=FTo,OR(DashOrigin="",tblShipments[[#This Row],[Origin]]=DashOrigin)),tblShipments[[#This Row],[Date]],""))</f>
        <v>46283</v>
      </c>
      <c r="Y50"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50" s="28" t="s">
        <v>83</v>
      </c>
    </row>
    <row r="51" spans="2:26">
      <c r="B51" s="34">
        <v>46286</v>
      </c>
      <c r="C51" s="28" t="s">
        <v>197</v>
      </c>
      <c r="D51" s="28" t="s">
        <v>101</v>
      </c>
      <c r="E51" s="28" t="s">
        <v>85</v>
      </c>
      <c r="F51" s="28" t="s">
        <v>118</v>
      </c>
      <c r="G51" s="35" t="str">
        <f>IF(tblShipments[[#This Row],[Date]]="","",IFERROR(INDEX(tblParts[HS code],MATCH(tblShipments[[#This Row],[Part]],tblParts[Part],0)),""))</f>
        <v>8537.10.90</v>
      </c>
      <c r="H51" s="36">
        <v>850</v>
      </c>
      <c r="I51" s="37">
        <v>31.73</v>
      </c>
      <c r="J51" s="37">
        <v>470</v>
      </c>
      <c r="K51" s="37">
        <v>80.91</v>
      </c>
      <c r="L51" s="29">
        <v>0</v>
      </c>
      <c r="M51" s="29">
        <v>0</v>
      </c>
      <c r="N51" s="37">
        <v>145</v>
      </c>
      <c r="O51" s="37">
        <v>330</v>
      </c>
      <c r="P51" s="38">
        <f>IF(tblShipments[[#This Row],[Date]]="","",tblShipments[[#This Row],[Units]]*tblShipments[[#This Row],[Unit price]])</f>
        <v>26970.5</v>
      </c>
      <c r="Q51" s="38">
        <f>IF(tblShipments[[#This Row],[Date]]="","",tblShipments[[#This Row],[Goods value]]+IF(DutyBase="CIF value",tblShipments[[#This Row],[Freight intl]]+tblShipments[[#This Row],[Insurance]],0))</f>
        <v>26970.5</v>
      </c>
      <c r="R51" s="38">
        <f>IF(tblShipments[[#This Row],[Date]]="","",tblShipments[[#This Row],[Customs value]]*tblShipments[[#This Row],[Duty rate]])</f>
        <v>0</v>
      </c>
      <c r="S51" s="38">
        <f>IF(tblShipments[[#This Row],[Date]]="","",tblShipments[[#This Row],[Customs value]]*tblShipments[[#This Row],[Extra tariff]])</f>
        <v>0</v>
      </c>
      <c r="T51" s="38">
        <f>IF(tblShipments[[#This Row],[Date]]="","",tblShipments[[#This Row],[Goods value]]+tblShipments[[#This Row],[Freight intl]]+tblShipments[[#This Row],[Insurance]]+tblShipments[[#This Row],[Duty]]+tblShipments[[#This Row],[Tariff]]+tblShipments[[#This Row],[Brokerage and fees]]+tblShipments[[#This Row],[Inland freight]])</f>
        <v>27996.41</v>
      </c>
      <c r="U51" s="39">
        <f>IF(tblShipments[[#This Row],[Date]]="","",IF(tblShipments[[#This Row],[Units]]&gt;0,tblShipments[[#This Row],[Landed cost]]/tblShipments[[#This Row],[Units]],""))</f>
        <v>32.9369529411765</v>
      </c>
      <c r="V51" s="40">
        <f>IF(tblShipments[[#This Row],[Date]]="","",IF(tblShipments[[#This Row],[Goods value]]&gt;0,tblShipments[[#This Row],[Landed cost]]/tblShipments[[#This Row],[Goods value]]-1,""))</f>
        <v>0.0380382269516695</v>
      </c>
      <c r="W51" s="41" t="str">
        <f>IF(NOT(ISNUMBER(tblShipments[[#This Row],[Uplift]])),"",IF(tblShipments[[#This Row],[Uplift]]&lt;=UpliftLimit,"On target",IF(tblShipments[[#This Row],[Uplift]]&lt;=UpliftLimit*(1+0.05),"Near target","Above target")))</f>
        <v>On target</v>
      </c>
      <c r="X51" s="42">
        <f>IF(tblShipments[[#This Row],[Date]]="","",IF(AND(tblShipments[[#This Row],[Date]]&gt;=FFrom,tblShipments[[#This Row],[Date]]&lt;=FTo,OR(DashOrigin="",tblShipments[[#This Row],[Origin]]=DashOrigin)),tblShipments[[#This Row],[Date]],""))</f>
        <v>46286</v>
      </c>
      <c r="Y51"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51" s="28" t="s">
        <v>83</v>
      </c>
    </row>
    <row r="52" spans="2:26">
      <c r="B52" s="34">
        <v>46288</v>
      </c>
      <c r="C52" s="28" t="s">
        <v>198</v>
      </c>
      <c r="D52" s="28" t="s">
        <v>95</v>
      </c>
      <c r="E52" s="28" t="s">
        <v>82</v>
      </c>
      <c r="F52" s="28" t="s">
        <v>110</v>
      </c>
      <c r="G52" s="35" t="str">
        <f>IF(tblShipments[[#This Row],[Date]]="","",IFERROR(INDEX(tblParts[HS code],MATCH(tblShipments[[#This Row],[Part]],tblParts[Part],0)),""))</f>
        <v>8413.91.90</v>
      </c>
      <c r="H52" s="36">
        <v>1050</v>
      </c>
      <c r="I52" s="37">
        <v>8.68</v>
      </c>
      <c r="J52" s="37">
        <v>550</v>
      </c>
      <c r="K52" s="37">
        <v>27.34</v>
      </c>
      <c r="L52" s="29">
        <v>0</v>
      </c>
      <c r="M52" s="29">
        <v>0</v>
      </c>
      <c r="N52" s="37">
        <v>120</v>
      </c>
      <c r="O52" s="37">
        <v>250</v>
      </c>
      <c r="P52" s="38">
        <f>IF(tblShipments[[#This Row],[Date]]="","",tblShipments[[#This Row],[Units]]*tblShipments[[#This Row],[Unit price]])</f>
        <v>9114</v>
      </c>
      <c r="Q52" s="38">
        <f>IF(tblShipments[[#This Row],[Date]]="","",tblShipments[[#This Row],[Goods value]]+IF(DutyBase="CIF value",tblShipments[[#This Row],[Freight intl]]+tblShipments[[#This Row],[Insurance]],0))</f>
        <v>9114</v>
      </c>
      <c r="R52" s="38">
        <f>IF(tblShipments[[#This Row],[Date]]="","",tblShipments[[#This Row],[Customs value]]*tblShipments[[#This Row],[Duty rate]])</f>
        <v>0</v>
      </c>
      <c r="S52" s="38">
        <f>IF(tblShipments[[#This Row],[Date]]="","",tblShipments[[#This Row],[Customs value]]*tblShipments[[#This Row],[Extra tariff]])</f>
        <v>0</v>
      </c>
      <c r="T52" s="38">
        <f>IF(tblShipments[[#This Row],[Date]]="","",tblShipments[[#This Row],[Goods value]]+tblShipments[[#This Row],[Freight intl]]+tblShipments[[#This Row],[Insurance]]+tblShipments[[#This Row],[Duty]]+tblShipments[[#This Row],[Tariff]]+tblShipments[[#This Row],[Brokerage and fees]]+tblShipments[[#This Row],[Inland freight]])</f>
        <v>10061.34</v>
      </c>
      <c r="U52" s="39">
        <f>IF(tblShipments[[#This Row],[Date]]="","",IF(tblShipments[[#This Row],[Units]]&gt;0,tblShipments[[#This Row],[Landed cost]]/tblShipments[[#This Row],[Units]],""))</f>
        <v>9.58222857142857</v>
      </c>
      <c r="V52" s="40">
        <f>IF(tblShipments[[#This Row],[Date]]="","",IF(tblShipments[[#This Row],[Goods value]]&gt;0,tblShipments[[#This Row],[Landed cost]]/tblShipments[[#This Row],[Goods value]]-1,""))</f>
        <v>0.103943383805135</v>
      </c>
      <c r="W52" s="41" t="str">
        <f>IF(NOT(ISNUMBER(tblShipments[[#This Row],[Uplift]])),"",IF(tblShipments[[#This Row],[Uplift]]&lt;=UpliftLimit,"On target",IF(tblShipments[[#This Row],[Uplift]]&lt;=UpliftLimit*(1+0.05),"Near target","Above target")))</f>
        <v>On target</v>
      </c>
      <c r="X52" s="42">
        <f>IF(tblShipments[[#This Row],[Date]]="","",IF(AND(tblShipments[[#This Row],[Date]]&gt;=FFrom,tblShipments[[#This Row],[Date]]&lt;=FTo,OR(DashOrigin="",tblShipments[[#This Row],[Origin]]=DashOrigin)),tblShipments[[#This Row],[Date]],""))</f>
        <v>46288</v>
      </c>
      <c r="Y52"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52" s="28" t="s">
        <v>83</v>
      </c>
    </row>
    <row r="53" spans="2:26">
      <c r="B53" s="34">
        <v>46293</v>
      </c>
      <c r="C53" s="28" t="s">
        <v>199</v>
      </c>
      <c r="D53" s="28" t="s">
        <v>91</v>
      </c>
      <c r="E53" s="28" t="s">
        <v>79</v>
      </c>
      <c r="F53" s="28" t="s">
        <v>106</v>
      </c>
      <c r="G53" s="35" t="str">
        <f>IF(tblShipments[[#This Row],[Date]]="","",IFERROR(INDEX(tblParts[HS code],MATCH(tblShipments[[#This Row],[Part]],tblParts[Part],0)),""))</f>
        <v>8413.91.90</v>
      </c>
      <c r="H53" s="36">
        <v>900</v>
      </c>
      <c r="I53" s="37">
        <v>21.13</v>
      </c>
      <c r="J53" s="37">
        <v>1180</v>
      </c>
      <c r="K53" s="37">
        <v>57.05</v>
      </c>
      <c r="L53" s="29">
        <v>0</v>
      </c>
      <c r="M53" s="29">
        <v>0.25</v>
      </c>
      <c r="N53" s="37">
        <v>120</v>
      </c>
      <c r="O53" s="37">
        <v>240</v>
      </c>
      <c r="P53" s="38">
        <f>IF(tblShipments[[#This Row],[Date]]="","",tblShipments[[#This Row],[Units]]*tblShipments[[#This Row],[Unit price]])</f>
        <v>19017</v>
      </c>
      <c r="Q53" s="38">
        <f>IF(tblShipments[[#This Row],[Date]]="","",tblShipments[[#This Row],[Goods value]]+IF(DutyBase="CIF value",tblShipments[[#This Row],[Freight intl]]+tblShipments[[#This Row],[Insurance]],0))</f>
        <v>19017</v>
      </c>
      <c r="R53" s="38">
        <f>IF(tblShipments[[#This Row],[Date]]="","",tblShipments[[#This Row],[Customs value]]*tblShipments[[#This Row],[Duty rate]])</f>
        <v>0</v>
      </c>
      <c r="S53" s="38">
        <f>IF(tblShipments[[#This Row],[Date]]="","",tblShipments[[#This Row],[Customs value]]*tblShipments[[#This Row],[Extra tariff]])</f>
        <v>4754.25</v>
      </c>
      <c r="T53" s="38">
        <f>IF(tblShipments[[#This Row],[Date]]="","",tblShipments[[#This Row],[Goods value]]+tblShipments[[#This Row],[Freight intl]]+tblShipments[[#This Row],[Insurance]]+tblShipments[[#This Row],[Duty]]+tblShipments[[#This Row],[Tariff]]+tblShipments[[#This Row],[Brokerage and fees]]+tblShipments[[#This Row],[Inland freight]])</f>
        <v>25368.3</v>
      </c>
      <c r="U53" s="39">
        <f>IF(tblShipments[[#This Row],[Date]]="","",IF(tblShipments[[#This Row],[Units]]&gt;0,tblShipments[[#This Row],[Landed cost]]/tblShipments[[#This Row],[Units]],""))</f>
        <v>28.187</v>
      </c>
      <c r="V53" s="40">
        <f>IF(tblShipments[[#This Row],[Date]]="","",IF(tblShipments[[#This Row],[Goods value]]&gt;0,tblShipments[[#This Row],[Landed cost]]/tblShipments[[#This Row],[Goods value]]-1,""))</f>
        <v>0.333980123047799</v>
      </c>
      <c r="W53" s="41" t="str">
        <f>IF(NOT(ISNUMBER(tblShipments[[#This Row],[Uplift]])),"",IF(tblShipments[[#This Row],[Uplift]]&lt;=UpliftLimit,"On target",IF(tblShipments[[#This Row],[Uplift]]&lt;=UpliftLimit*(1+0.05),"Near target","Above target")))</f>
        <v>Above target</v>
      </c>
      <c r="X53" s="42">
        <f>IF(tblShipments[[#This Row],[Date]]="","",IF(AND(tblShipments[[#This Row],[Date]]&gt;=FFrom,tblShipments[[#This Row],[Date]]&lt;=FTo,OR(DashOrigin="",tblShipments[[#This Row],[Origin]]=DashOrigin)),tblShipments[[#This Row],[Date]],""))</f>
        <v>46293</v>
      </c>
      <c r="Y53" s="43" t="str">
        <f>IF(tblShipments[[#This Row],[Date]]="","",IF(tblShipments[[#This Row],[Entry ref]]="","Missing entry ref",IF(tblShipments[[#This Row],[Origin]]="","Missing origin",IF(tblShipments[[#This Row],[Part]]="","Missing part",IF(tblShipments[[#This Row],[Units]]="","Missing units",IF(tblShipments[[#This Row],[Unit price]]="","Missing unit price",IF(COUNTIF(tblParts[Part],tblShipments[[#This Row],[Part]])=0,"Part not on Setup list",IF(COUNTIF(tblSuppliers[Supplier],tblShipments[[#This Row],[Supplier]])=0,"Supplier not on Setup list",IF(tblShipments[[#This Row],[Units]]&lt;=0,"Units must be above zero",IF(tblShipments[[#This Row],[Freight intl]]&gt;tblShipments[[#This Row],[Goods value]],"Freight above goods value: check",IF(COUNTIFS(tblShipments[Entry ref],tblShipments[[#This Row],[Entry ref]],tblShipments[Part],tblShipments[[#This Row],[Part]])&gt;1,"Duplicate entry line","OK")))))))))))</f>
        <v>OK</v>
      </c>
      <c r="Z53" s="28" t="s">
        <v>83</v>
      </c>
    </row>
  </sheetData>
  <mergeCells count="3">
    <mergeCell ref="A1:Z1"/>
    <mergeCell ref="B2:Y2"/>
    <mergeCell ref="B4:Z4"/>
  </mergeCells>
  <conditionalFormatting sqref="W7:W55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Y7:Y553">
    <cfRule type="expression" dxfId="3" priority="21">
      <formula>$Y7="OK"</formula>
    </cfRule>
    <cfRule type="expression" dxfId="1" priority="22">
      <formula>AND($Y7&lt;&gt;"",$Y7&lt;&gt;"OK")</formula>
    </cfRule>
  </conditionalFormatting>
  <dataValidations count="14">
    <dataValidation type="date" allowBlank="1" showInputMessage="1" showErrorMessage="1" errorTitle="Check this entry" error="Enter a date between 01 Jan 2000 and 31 Dec 2100." promptTitle="Date" prompt="Customs entry or arrival date. Enter a date between 01 Jan 2000 and 31 Dec 2100." sqref="B7:B553">
      <formula1>36526</formula1>
      <formula2>73415</formula2>
    </dataValidation>
    <dataValidation type="textLength" allowBlank="1" showInputMessage="1" showErrorMessage="1" errorTitle="Check this entry" error="Text up to 30 characters." promptTitle="Entry ref" prompt="Customs entry, PO or shipment reference. Text up to 30 characters." sqref="C7:C553">
      <formula1>0</formula1>
      <formula2>30</formula2>
    </dataValidation>
    <dataValidation type="list" allowBlank="1" showInputMessage="1" showErrorMessage="1" errorTitle="Check this entry" error="Pick from the list (edit the list on Setup: Suppliers)." promptTitle="Supplier" prompt="Pick from the list (edit the list on Setup: Suppliers)." sqref="D7:D553">
      <formula1>Suppliers</formula1>
    </dataValidation>
    <dataValidation type="list" allowBlank="1" showInputMessage="1" showErrorMessage="1" errorTitle="Check this entry" error="Pick from the list (edit the list on Setup: Origins)." promptTitle="Origin" prompt="Country of origin of the goods (not the port of shipment). Pick from the list (edit the list on Setup: Origins)." sqref="E7:E553">
      <formula1>Origins</formula1>
    </dataValidation>
    <dataValidation type="list" allowBlank="1" showInputMessage="1" showErrorMessage="1" errorTitle="Check this entry" error="Pick from the list (edit the list on Setup: Parts)." promptTitle="Part" prompt="Pick from the list (edit the list on Setup: Parts)." sqref="F7:F553">
      <formula1>Parts</formula1>
    </dataValidation>
    <dataValidation type="decimal" allowBlank="1" showInputMessage="1" showErrorMessage="1" errorTitle="Check this entry" error="Enter a number of at least 0." promptTitle="Units" prompt="Enter a number of at least 0." sqref="H7:H553">
      <formula1>0</formula1>
      <formula2>1000000000.0</formula2>
    </dataValidation>
    <dataValidation type="decimal" allowBlank="1" showInputMessage="1" showErrorMessage="1" errorTitle="Check this entry" error="Enter a number of at least 0." promptTitle="Unit price" prompt="Invoice price per unit (ex-works or FOB), in your currency at the entry's exchange rate. Enter a number of at least 0." sqref="I7:I553">
      <formula1>0</formula1>
      <formula2>1000000000.0</formula2>
    </dataValidation>
    <dataValidation type="decimal" allowBlank="1" showInputMessage="1" showErrorMessage="1" errorTitle="Check this entry" error="Enter a number of at least 0." promptTitle="Freight intl" prompt="International freight for this line. Share a container's freight between lines by weight or value. Enter a number of at least 0." sqref="J7:J553">
      <formula1>0</formula1>
      <formula2>1000000000.0</formula2>
    </dataValidation>
    <dataValidation type="decimal" allowBlank="1" showInputMessage="1" showErrorMessage="1" errorTitle="Check this entry" error="Enter a number of at least 0." promptTitle="Insurance" prompt="Cargo insurance for this line. Enter a number of at least 0." sqref="K7:K553">
      <formula1>0</formula1>
      <formula2>1000000000.0</formula2>
    </dataValidation>
    <dataValidation type="decimal" allowBlank="1" showInputMessage="1" showErrorMessage="1" errorTitle="Check this entry" error="Enter a percentage from 0% to 1000% (type 85% or 0.85)." promptTitle="Duty rate" prompt="Normal duty rate for this HS code and origin, from the customs tariff or the broker's entry (after any trade-agreement preference). Enter a percentage from 0% to 1000% (type 85% or 0.85)." sqref="L7:L553">
      <formula1>0</formula1>
      <formula2>10</formula2>
    </dataValidation>
    <dataValidation type="decimal" allowBlank="1" showInputMessage="1" showErrorMessage="1" errorTitle="Check this entry" error="Enter a percentage from 0% to 1000% (type 85% or 0.85)." promptTitle="Extra tariff" prompt="Additional duties on top of the duty rate (anti-dumping, countervailing, safeguard, retaliatory or other special tariffs), as a % of customs value. 0 if none. Enter a percentage from 0% to 1000% (type 85% or 0.85)." sqref="M7:M553">
      <formula1>0</formula1>
      <formula2>10</formula2>
    </dataValidation>
    <dataValidation type="decimal" allowBlank="1" showInputMessage="1" showErrorMessage="1" errorTitle="Check this entry" error="Enter a number of at least 0." promptTitle="Brokerage and fees" prompt="Broker fee, customs processing and port fees, handling. Enter a number of at least 0." sqref="N7:N553">
      <formula1>0</formula1>
      <formula2>1000000000.0</formula2>
    </dataValidation>
    <dataValidation type="decimal" allowBlank="1" showInputMessage="1" showErrorMessage="1" errorTitle="Check this entry" error="Enter a number of at least 0." promptTitle="Inland freight" prompt="Port or border to your plant. Enter a number of at least 0." sqref="O7:O553">
      <formula1>0</formula1>
      <formula2>1000000000.0</formula2>
    </dataValidation>
    <dataValidation type="textLength" allowBlank="1" showInputMessage="1" showErrorMessage="1" errorTitle="Check this entry" error="Text up to 255 characters." promptTitle="Notes" prompt="Text up to 255 characters." sqref="Z7:Z553">
      <formula1>0</formula1>
      <formula2>255</formula2>
    </dataValidation>
  </dataValidations>
  <hyperlinks>
    <hyperlink ref="Z2" r:id="rId1" tooltip="Free manufacturing calculators and templates"/>
  </hyperlinks>
  <pageMargins left="0.4" right="0.4" top="0.7" bottom="0.65" header="0.3" footer="0.3"/>
  <pageSetup fitToHeight="0" orientation="landscape"/>
  <headerFooter>
    <oddHeader>&amp;L&amp;8MFG Calcs - Landed Cost and Tariff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1"/>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60</v>
      </c>
      <c r="C4" s="28"/>
      <c r="D4" s="28"/>
      <c r="F4" s="27" t="s">
        <v>200</v>
      </c>
      <c r="G4" s="44"/>
      <c r="H4" s="44"/>
      <c r="J4" s="27" t="s">
        <v>201</v>
      </c>
      <c r="K4" s="44"/>
      <c r="L4" s="44"/>
    </row>
    <row r="5" spans="1:12">
      <c r="B5" s="45" t="str">
        <f>"Showing "&amp;COUNTIFS(tblShipments[View date],"&gt;0")&amp;" entry lines for "&amp;CoName&amp;". Duty base: "&amp;DutyBase&amp;". Uplift = landed cost / goods value - 1. Leave the filters blank to include everything."</f>
        <v>Showing 47 entry lines for Corvale Pumps (example). Duty base: FOB value. Uplift = landed cost / goods value - 1. Leave the filters blank to include everything.</v>
      </c>
      <c r="C5" s="45"/>
      <c r="D5" s="45"/>
      <c r="E5" s="45"/>
      <c r="F5" s="45"/>
      <c r="G5" s="45"/>
      <c r="H5" s="45"/>
      <c r="I5" s="45"/>
      <c r="J5" s="45"/>
      <c r="K5" s="45"/>
      <c r="L5" s="45"/>
    </row>
    <row r="7" spans="1:12" ht="18" customHeight="1">
      <c r="B7" s="46" t="str">
        <f>"LANDED COST ("&amp;Currency&amp;")"</f>
        <v>LANDED COST (USD)</v>
      </c>
      <c r="C7" s="46"/>
      <c r="D7" s="46" t="s">
        <v>202</v>
      </c>
      <c r="E7" s="46"/>
      <c r="F7" s="46"/>
      <c r="G7" s="46" t="str">
        <f>"DUTY AND TARIFFS ("&amp;Currency&amp;")"</f>
        <v>DUTY AND TARIFFS (USD)</v>
      </c>
      <c r="H7" s="46"/>
      <c r="I7" s="46"/>
      <c r="J7" s="46" t="str">
        <f>"EXTRA TARIFFS ("&amp;Currency&amp;")"</f>
        <v>EXTRA TARIFFS (USD)</v>
      </c>
      <c r="K7" s="46"/>
      <c r="L7" s="46"/>
    </row>
    <row r="8" spans="1:12" ht="21" customHeight="1">
      <c r="B8" s="47">
        <f>SUMIFS(tblShipments[Landed cost],tblShipments[View date],"&gt;0")</f>
        <v>770748.189</v>
      </c>
      <c r="C8" s="47"/>
      <c r="D8" s="48">
        <f>IF(SUMIFS(tblShipments[Goods value],tblShipments[View date],"&gt;0")=0,"",SUMIFS(tblShipments[Landed cost],tblShipments[View date],"&gt;0")/SUMIFS(tblShipments[Goods value],tblShipments[View date],"&gt;0")-1)</f>
        <v>0.205562711697388</v>
      </c>
      <c r="E8" s="48"/>
      <c r="F8" s="48"/>
      <c r="G8" s="47">
        <f>SUMIFS(tblShipments[Duty],tblShipments[View date],"&gt;0")+SUMIFS(tblShipments[Tariff],tblShipments[View date],"&gt;0")</f>
        <v>79328.699</v>
      </c>
      <c r="H8" s="47"/>
      <c r="I8" s="47"/>
      <c r="J8" s="47">
        <f>SUMIFS(tblShipments[Tariff],tblShipments[View date],"&gt;0")</f>
        <v>70708.625</v>
      </c>
      <c r="K8" s="47"/>
      <c r="L8" s="47"/>
    </row>
    <row r="9" spans="1:12" ht="21" customHeight="1">
      <c r="B9" s="47"/>
      <c r="C9" s="47"/>
      <c r="D9" s="48"/>
      <c r="E9" s="48"/>
      <c r="F9" s="48"/>
      <c r="G9" s="47"/>
      <c r="H9" s="47"/>
      <c r="I9" s="47"/>
      <c r="J9" s="47"/>
      <c r="K9" s="47"/>
      <c r="L9" s="47"/>
    </row>
    <row r="10" spans="1:12">
      <c r="B10" s="49" t="s">
        <v>203</v>
      </c>
      <c r="C10" s="49"/>
      <c r="D10" s="50">
        <f>UpliftLimit</f>
        <v>0.25</v>
      </c>
      <c r="E10" s="50"/>
      <c r="F10" s="50"/>
      <c r="G10" s="49" t="s">
        <v>204</v>
      </c>
      <c r="H10" s="49"/>
      <c r="I10" s="49"/>
      <c r="J10" s="49" t="s">
        <v>205</v>
      </c>
      <c r="K10" s="49"/>
      <c r="L10" s="49"/>
    </row>
    <row r="11" spans="1:12" ht="18" customHeight="1">
      <c r="B11" s="51"/>
      <c r="C11" s="51"/>
      <c r="D11" s="51" t="str">
        <f>IF(NOT(ISNUMBER(KpiUplift)),"No data",IF(KpiUplift&lt;=(UpliftLimit),"On target",IF(KpiUplift&lt;=(UpliftLimit)*(1+0.05),"Near target","Above target")))</f>
        <v>On target</v>
      </c>
      <c r="E11" s="51"/>
      <c r="F11" s="51"/>
      <c r="G11" s="51"/>
      <c r="H11" s="51"/>
      <c r="I11" s="51"/>
      <c r="J11" s="51"/>
      <c r="K11" s="51"/>
      <c r="L11" s="51"/>
    </row>
    <row r="29" spans="2:12" ht="21" customHeight="1">
      <c r="B29" s="8" t="s">
        <v>206</v>
      </c>
      <c r="C29" s="8"/>
      <c r="D29" s="8"/>
      <c r="E29" s="8"/>
      <c r="F29" s="8"/>
      <c r="G29" s="8"/>
      <c r="H29" s="8"/>
      <c r="I29" s="8"/>
      <c r="J29" s="8"/>
      <c r="K29" s="8"/>
      <c r="L29" s="8"/>
    </row>
    <row r="30" spans="2:12" ht="5" customHeight="1"/>
    <row r="31" spans="2:12">
      <c r="B31" s="27" t="s">
        <v>207</v>
      </c>
      <c r="C31" s="29">
        <v>0.1</v>
      </c>
      <c r="D31" s="29"/>
    </row>
    <row r="32" spans="2:12" ht="18" customHeight="1">
      <c r="B32" s="46" t="str">
        <f>"ADDED COST ("&amp;Currency&amp;")"</f>
        <v>ADDED COST (USD)</v>
      </c>
      <c r="C32" s="46"/>
      <c r="D32" s="46" t="s">
        <v>208</v>
      </c>
      <c r="E32" s="46"/>
      <c r="F32" s="46"/>
      <c r="G32" s="46" t="str">
        <f>"CUSTOMS VALUE ("&amp;Currency&amp;")"</f>
        <v>CUSTOMS VALUE (USD)</v>
      </c>
      <c r="H32" s="46"/>
      <c r="I32" s="46"/>
      <c r="J32" s="46" t="s">
        <v>209</v>
      </c>
      <c r="K32" s="46"/>
      <c r="L32" s="46"/>
    </row>
    <row r="33" spans="2:12" ht="21" customHeight="1">
      <c r="B33" s="47">
        <f>SUMIFS(tblShipments[Customs value],tblShipments[View date],"&gt;0")*WhatIfPts</f>
        <v>63932.65</v>
      </c>
      <c r="C33" s="47"/>
      <c r="D33" s="48">
        <f>IF(SUMIFS(tblShipments[Goods value],tblShipments[View date],"&gt;0")=0,"",(SUMIFS(tblShipments[Landed cost],tblShipments[View date],"&gt;0")+SUMIFS(tblShipments[Customs value],tblShipments[View date],"&gt;0")*WhatIfPts)/SUMIFS(tblShipments[Goods value],tblShipments[View date],"&gt;0")-1)</f>
        <v>0.305562711697388</v>
      </c>
      <c r="E33" s="48"/>
      <c r="F33" s="48"/>
      <c r="G33" s="47">
        <f>SUMIFS(tblShipments[Customs value],tblShipments[View date],"&gt;0")</f>
        <v>639326.5</v>
      </c>
      <c r="H33" s="47"/>
      <c r="I33" s="47"/>
      <c r="J33" s="52" t="str">
        <f>IF(COUNT($I$52:$I$56)=0,"None in view",INDEX($B$52:$B$56,MATCH(MAX($I$52:$I$56),$I$52:$I$56,0)))</f>
        <v>China</v>
      </c>
      <c r="K33" s="52"/>
      <c r="L33" s="52"/>
    </row>
    <row r="34" spans="2:12" ht="21" customHeight="1">
      <c r="B34" s="47"/>
      <c r="C34" s="47"/>
      <c r="D34" s="48"/>
      <c r="E34" s="48"/>
      <c r="F34" s="48"/>
      <c r="G34" s="47"/>
      <c r="H34" s="47"/>
      <c r="I34" s="47"/>
      <c r="J34" s="52"/>
      <c r="K34" s="52"/>
      <c r="L34" s="52"/>
    </row>
    <row r="35" spans="2:12">
      <c r="B35" s="49" t="s">
        <v>210</v>
      </c>
      <c r="C35" s="49"/>
      <c r="D35" s="50">
        <f>UpliftLimit</f>
        <v>0.25</v>
      </c>
      <c r="E35" s="50"/>
      <c r="F35" s="50"/>
      <c r="G35" s="49" t="str">
        <f>"Duty base: "&amp;DutyBase</f>
        <v>Duty base: FOB value</v>
      </c>
      <c r="H35" s="49"/>
      <c r="I35" s="49"/>
      <c r="J35" s="49" t="s">
        <v>211</v>
      </c>
      <c r="K35" s="49"/>
      <c r="L35" s="49"/>
    </row>
    <row r="36" spans="2:12" ht="18" customHeight="1">
      <c r="B36" s="51"/>
      <c r="C36" s="51"/>
      <c r="D36" s="51" t="str">
        <f>IF(NOT(ISNUMBER(KpiWhatIfUplift)),"No data",IF(KpiWhatIfUplift&lt;=(UpliftLimit),"On target",IF(KpiWhatIfUplift&lt;=(UpliftLimit)*(1+0.05),"Near target","Above target")))</f>
        <v>Above target</v>
      </c>
      <c r="E36" s="51"/>
      <c r="F36" s="51"/>
      <c r="G36" s="51"/>
      <c r="H36" s="51"/>
      <c r="I36" s="51"/>
      <c r="J36" s="51"/>
      <c r="K36" s="51"/>
      <c r="L36" s="51"/>
    </row>
    <row r="38" spans="2:12">
      <c r="B38" s="30" t="s">
        <v>212</v>
      </c>
      <c r="C38" s="30"/>
      <c r="D38" s="30"/>
      <c r="E38" s="30"/>
      <c r="F38" s="30"/>
      <c r="G38" s="30"/>
    </row>
    <row r="39" spans="2:12">
      <c r="B39" s="53" t="s">
        <v>213</v>
      </c>
      <c r="C39" s="31" t="str">
        <f>IFERROR(INDEX(tblOrigins[Origin],1)&amp;"","")</f>
        <v>China</v>
      </c>
      <c r="D39" s="31" t="str">
        <f>IFERROR(INDEX(tblOrigins[Origin],2)&amp;"","")</f>
        <v>Vietnam</v>
      </c>
      <c r="E39" s="31" t="str">
        <f>IFERROR(INDEX(tblOrigins[Origin],3)&amp;"","")</f>
        <v>India</v>
      </c>
      <c r="F39" s="31" t="str">
        <f>IFERROR(INDEX(tblOrigins[Origin],4)&amp;"","")</f>
        <v>Mexico</v>
      </c>
      <c r="G39" s="31" t="str">
        <f>IFERROR(INDEX(tblOrigins[Origin],5)&amp;"","")</f>
        <v>Germany</v>
      </c>
    </row>
    <row r="40" spans="2:12">
      <c r="B40" s="54" t="str">
        <f>IFERROR(INDEX(tblParts[Part],1)&amp;"","")</f>
        <v>Pump housing PH-40</v>
      </c>
      <c r="C40" s="55">
        <f>IF(OR($B$40="",$C$39=""),"",IF((SUMIFS(tblShipments[Units],tblShipments[Part],$B$40,tblShipments[Origin],$C$39,tblShipments[View date],"&gt;0"))=0,"",(SUMIFS(tblShipments[Landed cost],tblShipments[Part],$B$40,tblShipments[Origin],$C$39,tblShipments[View date],"&gt;0"))/(SUMIFS(tblShipments[Units],tblShipments[Part],$B$40,tblShipments[Origin],$C$39,tblShipments[View date],"&gt;0"))))</f>
        <v>28.5278837837838</v>
      </c>
      <c r="D40" s="55">
        <f>IF(OR($B$40="",$D$39=""),"",IF((SUMIFS(tblShipments[Units],tblShipments[Part],$B$40,tblShipments[Origin],$D$39,tblShipments[View date],"&gt;0"))=0,"",(SUMIFS(tblShipments[Landed cost],tblShipments[Part],$B$40,tblShipments[Origin],$D$39,tblShipments[View date],"&gt;0"))/(SUMIFS(tblShipments[Units],tblShipments[Part],$B$40,tblShipments[Origin],$D$39,tblShipments[View date],"&gt;0"))))</f>
        <v/>
      </c>
      <c r="E40" s="55">
        <f>IF(OR($B$40="",$E$39=""),"",IF((SUMIFS(tblShipments[Units],tblShipments[Part],$B$40,tblShipments[Origin],$E$39,tblShipments[View date],"&gt;0"))=0,"",(SUMIFS(tblShipments[Landed cost],tblShipments[Part],$B$40,tblShipments[Origin],$E$39,tblShipments[View date],"&gt;0"))/(SUMIFS(tblShipments[Units],tblShipments[Part],$B$40,tblShipments[Origin],$E$39,tblShipments[View date],"&gt;0"))))</f>
        <v/>
      </c>
      <c r="F40" s="55">
        <f>IF(OR($B$40="",$F$39=""),"",IF((SUMIFS(tblShipments[Units],tblShipments[Part],$B$40,tblShipments[Origin],$F$39,tblShipments[View date],"&gt;0"))=0,"",(SUMIFS(tblShipments[Landed cost],tblShipments[Part],$B$40,tblShipments[Origin],$F$39,tblShipments[View date],"&gt;0"))/(SUMIFS(tblShipments[Units],tblShipments[Part],$B$40,tblShipments[Origin],$F$39,tblShipments[View date],"&gt;0"))))</f>
        <v>27.6775647058824</v>
      </c>
      <c r="G40" s="55">
        <f>IF(OR($B$40="",$G$39=""),"",IF((SUMIFS(tblShipments[Units],tblShipments[Part],$B$40,tblShipments[Origin],$G$39,tblShipments[View date],"&gt;0"))=0,"",(SUMIFS(tblShipments[Landed cost],tblShipments[Part],$B$40,tblShipments[Origin],$G$39,tblShipments[View date],"&gt;0"))/(SUMIFS(tblShipments[Units],tblShipments[Part],$B$40,tblShipments[Origin],$G$39,tblShipments[View date],"&gt;0"))))</f>
        <v/>
      </c>
    </row>
    <row r="41" spans="2:12">
      <c r="B41" s="54" t="str">
        <f>IFERROR(INDEX(tblParts[Part],2)&amp;"","")</f>
        <v>Impeller IM-12</v>
      </c>
      <c r="C41" s="55">
        <f>IF(OR($B$41="",$C$39=""),"",IF((SUMIFS(tblShipments[Units],tblShipments[Part],$B$41,tblShipments[Origin],$C$39,tblShipments[View date],"&gt;0"))=0,"",(SUMIFS(tblShipments[Landed cost],tblShipments[Part],$B$41,tblShipments[Origin],$C$39,tblShipments[View date],"&gt;0"))/(SUMIFS(tblShipments[Units],tblShipments[Part],$B$41,tblShipments[Origin],$C$39,tblShipments[View date],"&gt;0"))))</f>
        <v/>
      </c>
      <c r="D41" s="55">
        <f>IF(OR($B$41="",$D$39=""),"",IF((SUMIFS(tblShipments[Units],tblShipments[Part],$B$41,tblShipments[Origin],$D$39,tblShipments[View date],"&gt;0"))=0,"",(SUMIFS(tblShipments[Landed cost],tblShipments[Part],$B$41,tblShipments[Origin],$D$39,tblShipments[View date],"&gt;0"))/(SUMIFS(tblShipments[Units],tblShipments[Part],$B$41,tblShipments[Origin],$D$39,tblShipments[View date],"&gt;0"))))</f>
        <v>9.53395362318841</v>
      </c>
      <c r="E41" s="55">
        <f>IF(OR($B$41="",$E$39=""),"",IF((SUMIFS(tblShipments[Units],tblShipments[Part],$B$41,tblShipments[Origin],$E$39,tblShipments[View date],"&gt;0"))=0,"",(SUMIFS(tblShipments[Landed cost],tblShipments[Part],$B$41,tblShipments[Origin],$E$39,tblShipments[View date],"&gt;0"))/(SUMIFS(tblShipments[Units],tblShipments[Part],$B$41,tblShipments[Origin],$E$39,tblShipments[View date],"&gt;0"))))</f>
        <v/>
      </c>
      <c r="F41" s="55">
        <f>IF(OR($B$41="",$F$39=""),"",IF((SUMIFS(tblShipments[Units],tblShipments[Part],$B$41,tblShipments[Origin],$F$39,tblShipments[View date],"&gt;0"))=0,"",(SUMIFS(tblShipments[Landed cost],tblShipments[Part],$B$41,tblShipments[Origin],$F$39,tblShipments[View date],"&gt;0"))/(SUMIFS(tblShipments[Units],tblShipments[Part],$B$41,tblShipments[Origin],$F$39,tblShipments[View date],"&gt;0"))))</f>
        <v/>
      </c>
      <c r="G41" s="55">
        <f>IF(OR($B$41="",$G$39=""),"",IF((SUMIFS(tblShipments[Units],tblShipments[Part],$B$41,tblShipments[Origin],$G$39,tblShipments[View date],"&gt;0"))=0,"",(SUMIFS(tblShipments[Landed cost],tblShipments[Part],$B$41,tblShipments[Origin],$G$39,tblShipments[View date],"&gt;0"))/(SUMIFS(tblShipments[Units],tblShipments[Part],$B$41,tblShipments[Origin],$G$39,tblShipments[View date],"&gt;0"))))</f>
        <v/>
      </c>
    </row>
    <row r="42" spans="2:12">
      <c r="B42" s="54" t="str">
        <f>IFERROR(INDEX(tblParts[Part],3)&amp;"","")</f>
        <v>Motor 0.75 kW M-75</v>
      </c>
      <c r="C42" s="55">
        <f>IF(OR($B$42="",$C$39=""),"",IF((SUMIFS(tblShipments[Units],tblShipments[Part],$B$42,tblShipments[Origin],$C$39,tblShipments[View date],"&gt;0"))=0,"",(SUMIFS(tblShipments[Landed cost],tblShipments[Part],$B$42,tblShipments[Origin],$C$39,tblShipments[View date],"&gt;0"))/(SUMIFS(tblShipments[Units],tblShipments[Part],$B$42,tblShipments[Origin],$C$39,tblShipments[View date],"&gt;0"))))</f>
        <v>62.2411267605634</v>
      </c>
      <c r="D42" s="55">
        <f>IF(OR($B$42="",$D$39=""),"",IF((SUMIFS(tblShipments[Units],tblShipments[Part],$B$42,tblShipments[Origin],$D$39,tblShipments[View date],"&gt;0"))=0,"",(SUMIFS(tblShipments[Landed cost],tblShipments[Part],$B$42,tblShipments[Origin],$D$39,tblShipments[View date],"&gt;0"))/(SUMIFS(tblShipments[Units],tblShipments[Part],$B$42,tblShipments[Origin],$D$39,tblShipments[View date],"&gt;0"))))</f>
        <v/>
      </c>
      <c r="E42" s="55">
        <f>IF(OR($B$42="",$E$39=""),"",IF((SUMIFS(tblShipments[Units],tblShipments[Part],$B$42,tblShipments[Origin],$E$39,tblShipments[View date],"&gt;0"))=0,"",(SUMIFS(tblShipments[Landed cost],tblShipments[Part],$B$42,tblShipments[Origin],$E$39,tblShipments[View date],"&gt;0"))/(SUMIFS(tblShipments[Units],tblShipments[Part],$B$42,tblShipments[Origin],$E$39,tblShipments[View date],"&gt;0"))))</f>
        <v/>
      </c>
      <c r="F42" s="55">
        <f>IF(OR($B$42="",$F$39=""),"",IF((SUMIFS(tblShipments[Units],tblShipments[Part],$B$42,tblShipments[Origin],$F$39,tblShipments[View date],"&gt;0"))=0,"",(SUMIFS(tblShipments[Landed cost],tblShipments[Part],$B$42,tblShipments[Origin],$F$39,tblShipments[View date],"&gt;0"))/(SUMIFS(tblShipments[Units],tblShipments[Part],$B$42,tblShipments[Origin],$F$39,tblShipments[View date],"&gt;0"))))</f>
        <v/>
      </c>
      <c r="G42" s="55">
        <f>IF(OR($B$42="",$G$39=""),"",IF((SUMIFS(tblShipments[Units],tblShipments[Part],$B$42,tblShipments[Origin],$G$39,tblShipments[View date],"&gt;0"))=0,"",(SUMIFS(tblShipments[Landed cost],tblShipments[Part],$B$42,tblShipments[Origin],$G$39,tblShipments[View date],"&gt;0"))/(SUMIFS(tblShipments[Units],tblShipments[Part],$B$42,tblShipments[Origin],$G$39,tblShipments[View date],"&gt;0"))))</f>
        <v/>
      </c>
    </row>
    <row r="43" spans="2:12">
      <c r="B43" s="54" t="str">
        <f>IFERROR(INDEX(tblParts[Part],4)&amp;"","")</f>
        <v>Shaft seal SS-20</v>
      </c>
      <c r="C43" s="55">
        <f>IF(OR($B$43="",$C$39=""),"",IF((SUMIFS(tblShipments[Units],tblShipments[Part],$B$43,tblShipments[Origin],$C$39,tblShipments[View date],"&gt;0"))=0,"",(SUMIFS(tblShipments[Landed cost],tblShipments[Part],$B$43,tblShipments[Origin],$C$39,tblShipments[View date],"&gt;0"))/(SUMIFS(tblShipments[Units],tblShipments[Part],$B$43,tblShipments[Origin],$C$39,tblShipments[View date],"&gt;0"))))</f>
        <v/>
      </c>
      <c r="D43" s="55">
        <f>IF(OR($B$43="",$D$39=""),"",IF((SUMIFS(tblShipments[Units],tblShipments[Part],$B$43,tblShipments[Origin],$D$39,tblShipments[View date],"&gt;0"))=0,"",(SUMIFS(tblShipments[Landed cost],tblShipments[Part],$B$43,tblShipments[Origin],$D$39,tblShipments[View date],"&gt;0"))/(SUMIFS(tblShipments[Units],tblShipments[Part],$B$43,tblShipments[Origin],$D$39,tblShipments[View date],"&gt;0"))))</f>
        <v/>
      </c>
      <c r="E43" s="55">
        <f>IF(OR($B$43="",$E$39=""),"",IF((SUMIFS(tblShipments[Units],tblShipments[Part],$B$43,tblShipments[Origin],$E$39,tblShipments[View date],"&gt;0"))=0,"",(SUMIFS(tblShipments[Landed cost],tblShipments[Part],$B$43,tblShipments[Origin],$E$39,tblShipments[View date],"&gt;0"))/(SUMIFS(tblShipments[Units],tblShipments[Part],$B$43,tblShipments[Origin],$E$39,tblShipments[View date],"&gt;0"))))</f>
        <v/>
      </c>
      <c r="F43" s="55">
        <f>IF(OR($B$43="",$F$39=""),"",IF((SUMIFS(tblShipments[Units],tblShipments[Part],$B$43,tblShipments[Origin],$F$39,tblShipments[View date],"&gt;0"))=0,"",(SUMIFS(tblShipments[Landed cost],tblShipments[Part],$B$43,tblShipments[Origin],$F$39,tblShipments[View date],"&gt;0"))/(SUMIFS(tblShipments[Units],tblShipments[Part],$B$43,tblShipments[Origin],$F$39,tblShipments[View date],"&gt;0"))))</f>
        <v/>
      </c>
      <c r="G43" s="55">
        <f>IF(OR($B$43="",$G$39=""),"",IF((SUMIFS(tblShipments[Units],tblShipments[Part],$B$43,tblShipments[Origin],$G$39,tblShipments[View date],"&gt;0"))=0,"",(SUMIFS(tblShipments[Landed cost],tblShipments[Part],$B$43,tblShipments[Origin],$G$39,tblShipments[View date],"&gt;0"))/(SUMIFS(tblShipments[Units],tblShipments[Part],$B$43,tblShipments[Origin],$G$39,tblShipments[View date],"&gt;0"))))</f>
        <v>13.5952642857143</v>
      </c>
    </row>
    <row r="44" spans="2:12">
      <c r="B44" s="54" t="str">
        <f>IFERROR(INDEX(tblParts[Part],5)&amp;"","")</f>
        <v>Control board CB-3</v>
      </c>
      <c r="C44" s="55">
        <f>IF(OR($B$44="",$C$39=""),"",IF((SUMIFS(tblShipments[Units],tblShipments[Part],$B$44,tblShipments[Origin],$C$39,tblShipments[View date],"&gt;0"))=0,"",(SUMIFS(tblShipments[Landed cost],tblShipments[Part],$B$44,tblShipments[Origin],$C$39,tblShipments[View date],"&gt;0"))/(SUMIFS(tblShipments[Units],tblShipments[Part],$B$44,tblShipments[Origin],$C$39,tblShipments[View date],"&gt;0"))))</f>
        <v/>
      </c>
      <c r="D44" s="55">
        <f>IF(OR($B$44="",$D$39=""),"",IF((SUMIFS(tblShipments[Units],tblShipments[Part],$B$44,tblShipments[Origin],$D$39,tblShipments[View date],"&gt;0"))=0,"",(SUMIFS(tblShipments[Landed cost],tblShipments[Part],$B$44,tblShipments[Origin],$D$39,tblShipments[View date],"&gt;0"))/(SUMIFS(tblShipments[Units],tblShipments[Part],$B$44,tblShipments[Origin],$D$39,tblShipments[View date],"&gt;0"))))</f>
        <v/>
      </c>
      <c r="E44" s="55">
        <f>IF(OR($B$44="",$E$39=""),"",IF((SUMIFS(tblShipments[Units],tblShipments[Part],$B$44,tblShipments[Origin],$E$39,tblShipments[View date],"&gt;0"))=0,"",(SUMIFS(tblShipments[Landed cost],tblShipments[Part],$B$44,tblShipments[Origin],$E$39,tblShipments[View date],"&gt;0"))/(SUMIFS(tblShipments[Units],tblShipments[Part],$B$44,tblShipments[Origin],$E$39,tblShipments[View date],"&gt;0"))))</f>
        <v/>
      </c>
      <c r="F44" s="55">
        <f>IF(OR($B$44="",$F$39=""),"",IF((SUMIFS(tblShipments[Units],tblShipments[Part],$B$44,tblShipments[Origin],$F$39,tblShipments[View date],"&gt;0"))=0,"",(SUMIFS(tblShipments[Landed cost],tblShipments[Part],$B$44,tblShipments[Origin],$F$39,tblShipments[View date],"&gt;0"))/(SUMIFS(tblShipments[Units],tblShipments[Part],$B$44,tblShipments[Origin],$F$39,tblShipments[View date],"&gt;0"))))</f>
        <v>33.2272097560976</v>
      </c>
      <c r="G44" s="55">
        <f>IF(OR($B$44="",$G$39=""),"",IF((SUMIFS(tblShipments[Units],tblShipments[Part],$B$44,tblShipments[Origin],$G$39,tblShipments[View date],"&gt;0"))=0,"",(SUMIFS(tblShipments[Landed cost],tblShipments[Part],$B$44,tblShipments[Origin],$G$39,tblShipments[View date],"&gt;0"))/(SUMIFS(tblShipments[Units],tblShipments[Part],$B$44,tblShipments[Origin],$G$39,tblShipments[View date],"&gt;0"))))</f>
        <v/>
      </c>
    </row>
    <row r="45" spans="2:12">
      <c r="B45" s="54" t="str">
        <f>IFERROR(INDEX(tblParts[Part],6)&amp;"","")</f>
        <v>Fastener kit FK-8</v>
      </c>
      <c r="C45" s="55">
        <f>IF(OR($B$45="",$C$39=""),"",IF((SUMIFS(tblShipments[Units],tblShipments[Part],$B$45,tblShipments[Origin],$C$39,tblShipments[View date],"&gt;0"))=0,"",(SUMIFS(tblShipments[Landed cost],tblShipments[Part],$B$45,tblShipments[Origin],$C$39,tblShipments[View date],"&gt;0"))/(SUMIFS(tblShipments[Units],tblShipments[Part],$B$45,tblShipments[Origin],$C$39,tblShipments[View date],"&gt;0"))))</f>
        <v/>
      </c>
      <c r="D45" s="55">
        <f>IF(OR($B$45="",$D$39=""),"",IF((SUMIFS(tblShipments[Units],tblShipments[Part],$B$45,tblShipments[Origin],$D$39,tblShipments[View date],"&gt;0"))=0,"",(SUMIFS(tblShipments[Landed cost],tblShipments[Part],$B$45,tblShipments[Origin],$D$39,tblShipments[View date],"&gt;0"))/(SUMIFS(tblShipments[Units],tblShipments[Part],$B$45,tblShipments[Origin],$D$39,tblShipments[View date],"&gt;0"))))</f>
        <v/>
      </c>
      <c r="E45" s="55">
        <f>IF(OR($B$45="",$E$39=""),"",IF((SUMIFS(tblShipments[Units],tblShipments[Part],$B$45,tblShipments[Origin],$E$39,tblShipments[View date],"&gt;0"))=0,"",(SUMIFS(tblShipments[Landed cost],tblShipments[Part],$B$45,tblShipments[Origin],$E$39,tblShipments[View date],"&gt;0"))/(SUMIFS(tblShipments[Units],tblShipments[Part],$B$45,tblShipments[Origin],$E$39,tblShipments[View date],"&gt;0"))))</f>
        <v>2.90476099585062</v>
      </c>
      <c r="F45" s="55">
        <f>IF(OR($B$45="",$F$39=""),"",IF((SUMIFS(tblShipments[Units],tblShipments[Part],$B$45,tblShipments[Origin],$F$39,tblShipments[View date],"&gt;0"))=0,"",(SUMIFS(tblShipments[Landed cost],tblShipments[Part],$B$45,tblShipments[Origin],$F$39,tblShipments[View date],"&gt;0"))/(SUMIFS(tblShipments[Units],tblShipments[Part],$B$45,tblShipments[Origin],$F$39,tblShipments[View date],"&gt;0"))))</f>
        <v/>
      </c>
      <c r="G45" s="55">
        <f>IF(OR($B$45="",$G$39=""),"",IF((SUMIFS(tblShipments[Units],tblShipments[Part],$B$45,tblShipments[Origin],$G$39,tblShipments[View date],"&gt;0"))=0,"",(SUMIFS(tblShipments[Landed cost],tblShipments[Part],$B$45,tblShipments[Origin],$G$39,tblShipments[View date],"&gt;0"))/(SUMIFS(tblShipments[Units],tblShipments[Part],$B$45,tblShipments[Origin],$G$39,tblShipments[View date],"&gt;0"))))</f>
        <v/>
      </c>
    </row>
    <row r="46" spans="2:12">
      <c r="B46" s="54" t="str">
        <f>IFERROR(INDEX(tblParts[Part],7)&amp;"","")</f>
        <v>Cable gland CG-16</v>
      </c>
      <c r="C46" s="55">
        <f>IF(OR($B$46="",$C$39=""),"",IF((SUMIFS(tblShipments[Units],tblShipments[Part],$B$46,tblShipments[Origin],$C$39,tblShipments[View date],"&gt;0"))=0,"",(SUMIFS(tblShipments[Landed cost],tblShipments[Part],$B$46,tblShipments[Origin],$C$39,tblShipments[View date],"&gt;0"))/(SUMIFS(tblShipments[Units],tblShipments[Part],$B$46,tblShipments[Origin],$C$39,tblShipments[View date],"&gt;0"))))</f>
        <v/>
      </c>
      <c r="D46" s="55">
        <f>IF(OR($B$46="",$D$39=""),"",IF((SUMIFS(tblShipments[Units],tblShipments[Part],$B$46,tblShipments[Origin],$D$39,tblShipments[View date],"&gt;0"))=0,"",(SUMIFS(tblShipments[Landed cost],tblShipments[Part],$B$46,tblShipments[Origin],$D$39,tblShipments[View date],"&gt;0"))/(SUMIFS(tblShipments[Units],tblShipments[Part],$B$46,tblShipments[Origin],$D$39,tblShipments[View date],"&gt;0"))))</f>
        <v/>
      </c>
      <c r="E46" s="55">
        <f>IF(OR($B$46="",$E$39=""),"",IF((SUMIFS(tblShipments[Units],tblShipments[Part],$B$46,tblShipments[Origin],$E$39,tblShipments[View date],"&gt;0"))=0,"",(SUMIFS(tblShipments[Landed cost],tblShipments[Part],$B$46,tblShipments[Origin],$E$39,tblShipments[View date],"&gt;0"))/(SUMIFS(tblShipments[Units],tblShipments[Part],$B$46,tblShipments[Origin],$E$39,tblShipments[View date],"&gt;0"))))</f>
        <v>1.18333858585859</v>
      </c>
      <c r="F46" s="55">
        <f>IF(OR($B$46="",$F$39=""),"",IF((SUMIFS(tblShipments[Units],tblShipments[Part],$B$46,tblShipments[Origin],$F$39,tblShipments[View date],"&gt;0"))=0,"",(SUMIFS(tblShipments[Landed cost],tblShipments[Part],$B$46,tblShipments[Origin],$F$39,tblShipments[View date],"&gt;0"))/(SUMIFS(tblShipments[Units],tblShipments[Part],$B$46,tblShipments[Origin],$F$39,tblShipments[View date],"&gt;0"))))</f>
        <v/>
      </c>
      <c r="G46" s="55">
        <f>IF(OR($B$46="",$G$39=""),"",IF((SUMIFS(tblShipments[Units],tblShipments[Part],$B$46,tblShipments[Origin],$G$39,tblShipments[View date],"&gt;0"))=0,"",(SUMIFS(tblShipments[Landed cost],tblShipments[Part],$B$46,tblShipments[Origin],$G$39,tblShipments[View date],"&gt;0"))/(SUMIFS(tblShipments[Units],tblShipments[Part],$B$46,tblShipments[Origin],$G$39,tblShipments[View date],"&gt;0"))))</f>
        <v/>
      </c>
    </row>
    <row r="47" spans="2:12">
      <c r="B47" s="54" t="str">
        <f>IFERROR(INDEX(tblParts[Part],8)&amp;"","")</f>
        <v>Pressure switch PS-6</v>
      </c>
      <c r="C47" s="55">
        <f>IF(OR($B$47="",$C$39=""),"",IF((SUMIFS(tblShipments[Units],tblShipments[Part],$B$47,tblShipments[Origin],$C$39,tblShipments[View date],"&gt;0"))=0,"",(SUMIFS(tblShipments[Landed cost],tblShipments[Part],$B$47,tblShipments[Origin],$C$39,tblShipments[View date],"&gt;0"))/(SUMIFS(tblShipments[Units],tblShipments[Part],$B$47,tblShipments[Origin],$C$39,tblShipments[View date],"&gt;0"))))</f>
        <v/>
      </c>
      <c r="D47" s="55">
        <f>IF(OR($B$47="",$D$39=""),"",IF((SUMIFS(tblShipments[Units],tblShipments[Part],$B$47,tblShipments[Origin],$D$39,tblShipments[View date],"&gt;0"))=0,"",(SUMIFS(tblShipments[Landed cost],tblShipments[Part],$B$47,tblShipments[Origin],$D$39,tblShipments[View date],"&gt;0"))/(SUMIFS(tblShipments[Units],tblShipments[Part],$B$47,tblShipments[Origin],$D$39,tblShipments[View date],"&gt;0"))))</f>
        <v/>
      </c>
      <c r="E47" s="55">
        <f>IF(OR($B$47="",$E$39=""),"",IF((SUMIFS(tblShipments[Units],tblShipments[Part],$B$47,tblShipments[Origin],$E$39,tblShipments[View date],"&gt;0"))=0,"",(SUMIFS(tblShipments[Landed cost],tblShipments[Part],$B$47,tblShipments[Origin],$E$39,tblShipments[View date],"&gt;0"))/(SUMIFS(tblShipments[Units],tblShipments[Part],$B$47,tblShipments[Origin],$E$39,tblShipments[View date],"&gt;0"))))</f>
        <v/>
      </c>
      <c r="F47" s="55">
        <f>IF(OR($B$47="",$F$39=""),"",IF((SUMIFS(tblShipments[Units],tblShipments[Part],$B$47,tblShipments[Origin],$F$39,tblShipments[View date],"&gt;0"))=0,"",(SUMIFS(tblShipments[Landed cost],tblShipments[Part],$B$47,tblShipments[Origin],$F$39,tblShipments[View date],"&gt;0"))/(SUMIFS(tblShipments[Units],tblShipments[Part],$B$47,tblShipments[Origin],$F$39,tblShipments[View date],"&gt;0"))))</f>
        <v/>
      </c>
      <c r="G47" s="55">
        <f>IF(OR($B$47="",$G$39=""),"",IF((SUMIFS(tblShipments[Units],tblShipments[Part],$B$47,tblShipments[Origin],$G$39,tblShipments[View date],"&gt;0"))=0,"",(SUMIFS(tblShipments[Landed cost],tblShipments[Part],$B$47,tblShipments[Origin],$G$39,tblShipments[View date],"&gt;0"))/(SUMIFS(tblShipments[Units],tblShipments[Part],$B$47,tblShipments[Origin],$G$39,tblShipments[View date],"&gt;0"))))</f>
        <v>20.2288451612903</v>
      </c>
    </row>
    <row r="49" spans="2:12">
      <c r="B49" s="30" t="s">
        <v>214</v>
      </c>
      <c r="C49" s="30"/>
      <c r="D49" s="30"/>
      <c r="E49" s="30"/>
      <c r="F49" s="30"/>
      <c r="G49" s="30"/>
      <c r="H49" s="30"/>
      <c r="I49" s="30"/>
      <c r="J49" s="30"/>
      <c r="K49" s="30"/>
      <c r="L49" s="30"/>
    </row>
    <row r="50" spans="2:12" ht="32" customHeight="1">
      <c r="B50" s="53" t="s">
        <v>60</v>
      </c>
      <c r="C50" s="31" t="s">
        <v>139</v>
      </c>
      <c r="D50" s="31" t="s">
        <v>215</v>
      </c>
      <c r="E50" s="31" t="s">
        <v>141</v>
      </c>
      <c r="F50" s="31" t="s">
        <v>216</v>
      </c>
      <c r="G50" s="31" t="s">
        <v>217</v>
      </c>
      <c r="H50" s="31" t="s">
        <v>143</v>
      </c>
      <c r="I50" s="31" t="s">
        <v>145</v>
      </c>
      <c r="J50" s="31" t="s">
        <v>218</v>
      </c>
      <c r="K50" s="31" t="s">
        <v>219</v>
      </c>
      <c r="L50" s="31"/>
    </row>
    <row r="51" spans="2:12" ht="14" customHeight="1">
      <c r="B51" s="33"/>
      <c r="C51" s="33" t="str">
        <f>Currency</f>
        <v>USD</v>
      </c>
      <c r="D51" s="33" t="str">
        <f>Currency</f>
        <v>USD</v>
      </c>
      <c r="E51" s="33" t="str">
        <f>Currency</f>
        <v>USD</v>
      </c>
      <c r="F51" s="33" t="str">
        <f>Currency</f>
        <v>USD</v>
      </c>
      <c r="G51" s="33" t="str">
        <f>Currency</f>
        <v>USD</v>
      </c>
      <c r="H51" s="33" t="str">
        <f>Currency</f>
        <v>USD</v>
      </c>
      <c r="I51" s="33" t="s">
        <v>150</v>
      </c>
      <c r="J51" s="33" t="s">
        <v>220</v>
      </c>
      <c r="K51" s="33"/>
      <c r="L51" s="33"/>
    </row>
    <row r="52" spans="2:12">
      <c r="B52" s="54" t="str">
        <f>IFERROR(INDEX(tblOrigins[Origin],1)&amp;"","")</f>
        <v>China</v>
      </c>
      <c r="C52" s="56">
        <f>IF($B$52="","",SUMIFS(tblShipments[Goods value],tblShipments[Origin],$B$52,tblShipments[View date],"&gt;0"))</f>
        <v>282834.5</v>
      </c>
      <c r="D52" s="56">
        <f>IF($B$52="","",SUMIFS(tblShipments[Freight intl],tblShipments[Origin],$B$52,tblShipments[View date],"&gt;0")+SUMIFS(tblShipments[Insurance],tblShipments[Origin],$B$52,tblShipments[View date],"&gt;0"))</f>
        <v>15958.51</v>
      </c>
      <c r="E52" s="56">
        <f>IF($B$52="","",SUMIFS(tblShipments[Duty],tblShipments[Origin],$B$52,tblShipments[View date],"&gt;0"))</f>
        <v>4614.12</v>
      </c>
      <c r="F52" s="56">
        <f>IF($B$52="","",SUMIFS(tblShipments[Tariff],tblShipments[Origin],$B$52,tblShipments[View date],"&gt;0"))</f>
        <v>70708.625</v>
      </c>
      <c r="G52" s="56">
        <f>IF($B$52="","",SUMIFS(tblShipments[Brokerage and fees],tblShipments[Origin],$B$52,tblShipments[View date],"&gt;0")+SUMIFS(tblShipments[Inland freight],tblShipments[Origin],$B$52,tblShipments[View date],"&gt;0"))</f>
        <v>5170</v>
      </c>
      <c r="H52" s="57">
        <f>IF($B$52="","",SUMIFS(tblShipments[Landed cost],tblShipments[Origin],$B$52,tblShipments[View date],"&gt;0"))</f>
        <v>379285.755</v>
      </c>
      <c r="I52" s="40">
        <f>IF($B$52="","",IF(SUMIFS(tblShipments[Goods value],tblShipments[Origin],$B$52,tblShipments[View date],"&gt;0")=0,"",SUMIFS(tblShipments[Landed cost],tblShipments[Origin],$B$52,tblShipments[View date],"&gt;0")/SUMIFS(tblShipments[Goods value],tblShipments[Origin],$B$52,tblShipments[View date],"&gt;0")-1))</f>
        <v>0.341016583903307</v>
      </c>
      <c r="J52" s="58">
        <f>UpliftLimit</f>
        <v>0.25</v>
      </c>
      <c r="K52" s="41" t="str">
        <f>IF($B$52="","",IF($I$52="","",IF($I$52&lt;=UpliftLimit,"On target",IF($I$52&lt;=UpliftLimit*1.05,"Near target","Above target"))))</f>
        <v>Above target</v>
      </c>
      <c r="L52" s="41"/>
    </row>
    <row r="53" spans="2:12">
      <c r="B53" s="54" t="str">
        <f>IFERROR(INDEX(tblOrigins[Origin],2)&amp;"","")</f>
        <v>Vietnam</v>
      </c>
      <c r="C53" s="56">
        <f>IF($B$53="","",SUMIFS(tblShipments[Goods value],tblShipments[Origin],$B$53,tblShipments[View date],"&gt;0"))</f>
        <v>60258.5</v>
      </c>
      <c r="D53" s="56">
        <f>IF($B$53="","",SUMIFS(tblShipments[Freight intl],tblShipments[Origin],$B$53,tblShipments[View date],"&gt;0")+SUMIFS(tblShipments[Insurance],tblShipments[Origin],$B$53,tblShipments[View date],"&gt;0"))</f>
        <v>3250.78</v>
      </c>
      <c r="E53" s="56">
        <f>IF($B$53="","",SUMIFS(tblShipments[Duty],tblShipments[Origin],$B$53,tblShipments[View date],"&gt;0"))</f>
        <v>0</v>
      </c>
      <c r="F53" s="56">
        <f>IF($B$53="","",SUMIFS(tblShipments[Tariff],tblShipments[Origin],$B$53,tblShipments[View date],"&gt;0"))</f>
        <v>0</v>
      </c>
      <c r="G53" s="56">
        <f>IF($B$53="","",SUMIFS(tblShipments[Brokerage and fees],tblShipments[Origin],$B$53,tblShipments[View date],"&gt;0")+SUMIFS(tblShipments[Inland freight],tblShipments[Origin],$B$53,tblShipments[View date],"&gt;0"))</f>
        <v>2275</v>
      </c>
      <c r="H53" s="57">
        <f>IF($B$53="","",SUMIFS(tblShipments[Landed cost],tblShipments[Origin],$B$53,tblShipments[View date],"&gt;0"))</f>
        <v>65784.28</v>
      </c>
      <c r="I53" s="40">
        <f>IF($B$53="","",IF(SUMIFS(tblShipments[Goods value],tblShipments[Origin],$B$53,tblShipments[View date],"&gt;0")=0,"",SUMIFS(tblShipments[Landed cost],tblShipments[Origin],$B$53,tblShipments[View date],"&gt;0")/SUMIFS(tblShipments[Goods value],tblShipments[Origin],$B$53,tblShipments[View date],"&gt;0")-1))</f>
        <v>0.091701253765029</v>
      </c>
      <c r="J53" s="58">
        <f>UpliftLimit</f>
        <v>0.25</v>
      </c>
      <c r="K53" s="41" t="str">
        <f>IF($B$53="","",IF($I$53="","",IF($I$53&lt;=UpliftLimit,"On target",IF($I$53&lt;=UpliftLimit*1.05,"Near target","Above target"))))</f>
        <v>On target</v>
      </c>
      <c r="L53" s="41"/>
    </row>
    <row r="54" spans="2:12">
      <c r="B54" s="54" t="str">
        <f>IFERROR(INDEX(tblOrigins[Origin],3)&amp;"","")</f>
        <v>India</v>
      </c>
      <c r="C54" s="56">
        <f>IF($B$54="","",SUMIFS(tblShipments[Goods value],tblShipments[Origin],$B$54,tblShipments[View date],"&gt;0"))</f>
        <v>47174</v>
      </c>
      <c r="D54" s="56">
        <f>IF($B$54="","",SUMIFS(tblShipments[Freight intl],tblShipments[Origin],$B$54,tblShipments[View date],"&gt;0")+SUMIFS(tblShipments[Insurance],tblShipments[Origin],$B$54,tblShipments[View date],"&gt;0"))</f>
        <v>3501.52</v>
      </c>
      <c r="E54" s="56">
        <f>IF($B$54="","",SUMIFS(tblShipments[Duty],tblShipments[Origin],$B$54,tblShipments[View date],"&gt;0"))</f>
        <v>2301.954</v>
      </c>
      <c r="F54" s="56">
        <f>IF($B$54="","",SUMIFS(tblShipments[Tariff],tblShipments[Origin],$B$54,tblShipments[View date],"&gt;0"))</f>
        <v>0</v>
      </c>
      <c r="G54" s="56">
        <f>IF($B$54="","",SUMIFS(tblShipments[Brokerage and fees],tblShipments[Origin],$B$54,tblShipments[View date],"&gt;0")+SUMIFS(tblShipments[Inland freight],tblShipments[Origin],$B$54,tblShipments[View date],"&gt;0"))</f>
        <v>5455</v>
      </c>
      <c r="H54" s="57">
        <f>IF($B$54="","",SUMIFS(tblShipments[Landed cost],tblShipments[Origin],$B$54,tblShipments[View date],"&gt;0"))</f>
        <v>58432.474</v>
      </c>
      <c r="I54" s="40">
        <f>IF($B$54="","",IF(SUMIFS(tblShipments[Goods value],tblShipments[Origin],$B$54,tblShipments[View date],"&gt;0")=0,"",SUMIFS(tblShipments[Landed cost],tblShipments[Origin],$B$54,tblShipments[View date],"&gt;0")/SUMIFS(tblShipments[Goods value],tblShipments[Origin],$B$54,tblShipments[View date],"&gt;0")-1))</f>
        <v>0.238658455929114</v>
      </c>
      <c r="J54" s="58">
        <f>UpliftLimit</f>
        <v>0.25</v>
      </c>
      <c r="K54" s="41" t="str">
        <f>IF($B$54="","",IF($I$54="","",IF($I$54&lt;=UpliftLimit,"On target",IF($I$54&lt;=UpliftLimit*1.05,"Near target","Above target"))))</f>
        <v>On target</v>
      </c>
      <c r="L54" s="41"/>
    </row>
    <row r="55" spans="2:12">
      <c r="B55" s="54" t="str">
        <f>IFERROR(INDEX(tblOrigins[Origin],4)&amp;"","")</f>
        <v>Mexico</v>
      </c>
      <c r="C55" s="56">
        <f>IF($B$55="","",SUMIFS(tblShipments[Goods value],tblShipments[Origin],$B$55,tblShipments[View date],"&gt;0"))</f>
        <v>151996.5</v>
      </c>
      <c r="D55" s="56">
        <f>IF($B$55="","",SUMIFS(tblShipments[Freight intl],tblShipments[Origin],$B$55,tblShipments[View date],"&gt;0")+SUMIFS(tblShipments[Insurance],tblShipments[Origin],$B$55,tblShipments[View date],"&gt;0"))</f>
        <v>3735.99</v>
      </c>
      <c r="E55" s="56">
        <f>IF($B$55="","",SUMIFS(tblShipments[Duty],tblShipments[Origin],$B$55,tblShipments[View date],"&gt;0"))</f>
        <v>0</v>
      </c>
      <c r="F55" s="56">
        <f>IF($B$55="","",SUMIFS(tblShipments[Tariff],tblShipments[Origin],$B$55,tblShipments[View date],"&gt;0"))</f>
        <v>0</v>
      </c>
      <c r="G55" s="56">
        <f>IF($B$55="","",SUMIFS(tblShipments[Brokerage and fees],tblShipments[Origin],$B$55,tblShipments[View date],"&gt;0")+SUMIFS(tblShipments[Inland freight],tblShipments[Origin],$B$55,tblShipments[View date],"&gt;0"))</f>
        <v>4025</v>
      </c>
      <c r="H55" s="57">
        <f>IF($B$55="","",SUMIFS(tblShipments[Landed cost],tblShipments[Origin],$B$55,tblShipments[View date],"&gt;0"))</f>
        <v>159757.49</v>
      </c>
      <c r="I55" s="40">
        <f>IF($B$55="","",IF(SUMIFS(tblShipments[Goods value],tblShipments[Origin],$B$55,tblShipments[View date],"&gt;0")=0,"",SUMIFS(tblShipments[Landed cost],tblShipments[Origin],$B$55,tblShipments[View date],"&gt;0")/SUMIFS(tblShipments[Goods value],tblShipments[Origin],$B$55,tblShipments[View date],"&gt;0")-1))</f>
        <v>0.0510603204679054</v>
      </c>
      <c r="J55" s="58">
        <f>UpliftLimit</f>
        <v>0.25</v>
      </c>
      <c r="K55" s="41" t="str">
        <f>IF($B$55="","",IF($I$55="","",IF($I$55&lt;=UpliftLimit,"On target",IF($I$55&lt;=UpliftLimit*1.05,"Near target","Above target"))))</f>
        <v>On target</v>
      </c>
      <c r="L55" s="41"/>
    </row>
    <row r="56" spans="2:12">
      <c r="B56" s="54" t="str">
        <f>IFERROR(INDEX(tblOrigins[Origin],5)&amp;"","")</f>
        <v>Germany</v>
      </c>
      <c r="C56" s="56">
        <f>IF($B$56="","",SUMIFS(tblShipments[Goods value],tblShipments[Origin],$B$56,tblShipments[View date],"&gt;0"))</f>
        <v>97063</v>
      </c>
      <c r="D56" s="56">
        <f>IF($B$56="","",SUMIFS(tblShipments[Freight intl],tblShipments[Origin],$B$56,tblShipments[View date],"&gt;0")+SUMIFS(tblShipments[Insurance],tblShipments[Origin],$B$56,tblShipments[View date],"&gt;0"))</f>
        <v>4691.19</v>
      </c>
      <c r="E56" s="56">
        <f>IF($B$56="","",SUMIFS(tblShipments[Duty],tblShipments[Origin],$B$56,tblShipments[View date],"&gt;0"))</f>
        <v>1704</v>
      </c>
      <c r="F56" s="56">
        <f>IF($B$56="","",SUMIFS(tblShipments[Tariff],tblShipments[Origin],$B$56,tblShipments[View date],"&gt;0"))</f>
        <v>0</v>
      </c>
      <c r="G56" s="56">
        <f>IF($B$56="","",SUMIFS(tblShipments[Brokerage and fees],tblShipments[Origin],$B$56,tblShipments[View date],"&gt;0")+SUMIFS(tblShipments[Inland freight],tblShipments[Origin],$B$56,tblShipments[View date],"&gt;0"))</f>
        <v>4030</v>
      </c>
      <c r="H56" s="57">
        <f>IF($B$56="","",SUMIFS(tblShipments[Landed cost],tblShipments[Origin],$B$56,tblShipments[View date],"&gt;0"))</f>
        <v>107488.19</v>
      </c>
      <c r="I56" s="40">
        <f>IF($B$56="","",IF(SUMIFS(tblShipments[Goods value],tblShipments[Origin],$B$56,tblShipments[View date],"&gt;0")=0,"",SUMIFS(tblShipments[Landed cost],tblShipments[Origin],$B$56,tblShipments[View date],"&gt;0")/SUMIFS(tblShipments[Goods value],tblShipments[Origin],$B$56,tblShipments[View date],"&gt;0")-1))</f>
        <v>0.107406426753758</v>
      </c>
      <c r="J56" s="58">
        <f>UpliftLimit</f>
        <v>0.25</v>
      </c>
      <c r="K56" s="41" t="str">
        <f>IF($B$56="","",IF($I$56="","",IF($I$56&lt;=UpliftLimit,"On target",IF($I$56&lt;=UpliftLimit*1.05,"Near target","Above target"))))</f>
        <v>On target</v>
      </c>
      <c r="L56" s="41"/>
    </row>
    <row r="58" spans="2:12">
      <c r="B58" s="30" t="s">
        <v>221</v>
      </c>
      <c r="C58" s="30"/>
      <c r="D58" s="30"/>
      <c r="E58" s="30"/>
      <c r="F58" s="30"/>
      <c r="G58" s="30"/>
      <c r="H58" s="30"/>
      <c r="I58" s="30"/>
      <c r="J58" s="30"/>
    </row>
    <row r="59" spans="2:12" ht="45.5" customHeight="1">
      <c r="B59" s="53" t="s">
        <v>64</v>
      </c>
      <c r="C59" s="31" t="s">
        <v>131</v>
      </c>
      <c r="D59" s="31" t="s">
        <v>222</v>
      </c>
      <c r="E59" s="31" t="s">
        <v>223</v>
      </c>
      <c r="F59" s="31" t="s">
        <v>144</v>
      </c>
      <c r="G59" s="31" t="s">
        <v>143</v>
      </c>
      <c r="H59" s="31" t="s">
        <v>145</v>
      </c>
      <c r="I59" s="31" t="s">
        <v>224</v>
      </c>
      <c r="J59" s="31"/>
    </row>
    <row r="60" spans="2:12" ht="14" customHeight="1">
      <c r="B60" s="33"/>
      <c r="C60" s="33" t="s">
        <v>225</v>
      </c>
      <c r="D60" s="33" t="str">
        <f>Currency&amp;"/unit"</f>
        <v>USD/unit</v>
      </c>
      <c r="E60" s="33" t="str">
        <f>Currency&amp;"/unit"</f>
        <v>USD/unit</v>
      </c>
      <c r="F60" s="33" t="str">
        <f>Currency&amp;"/unit"</f>
        <v>USD/unit</v>
      </c>
      <c r="G60" s="33" t="str">
        <f>Currency</f>
        <v>USD</v>
      </c>
      <c r="H60" s="33" t="s">
        <v>150</v>
      </c>
      <c r="I60" s="33" t="s">
        <v>226</v>
      </c>
      <c r="J60" s="33"/>
    </row>
    <row r="61" spans="2:12">
      <c r="B61" s="54" t="str">
        <f>IFERROR(INDEX(tblParts[Part],1)&amp;"","")</f>
        <v>Pump housing PH-40</v>
      </c>
      <c r="C61" s="56">
        <f>IF($B$61="","",SUMIFS(tblShipments[Units],tblShipments[Part],$B$61,tblShipments[View date],"&gt;0"))</f>
        <v>6400</v>
      </c>
      <c r="D61" s="38">
        <f>IF($B$61="","",IF((SUMIFS(tblShipments[Units],tblShipments[Part],$B$61,tblShipments[View date],"&gt;0"))=0,"",(SUMIFS(tblShipments[Goods value],tblShipments[Part],$B$61,tblShipments[View date],"&gt;0"))/(SUMIFS(tblShipments[Units],tblShipments[Part],$B$61,tblShipments[View date],"&gt;0"))))</f>
        <v>21.85234375</v>
      </c>
      <c r="E61" s="38">
        <f>IF($B$61="","",IF((SUMIFS(tblShipments[Units],tblShipments[Part],$B$61,tblShipments[View date],"&gt;0"))=0,"",(SUMIFS(tblShipments[Duty],tblShipments[Part],$B$61,tblShipments[View date],"&gt;0")+SUMIFS(tblShipments[Tariff],tblShipments[Part],$B$61,tblShipments[View date],"&gt;0"))/(SUMIFS(tblShipments[Units],tblShipments[Part],$B$61,tblShipments[View date],"&gt;0"))))</f>
        <v>4.61111328125</v>
      </c>
      <c r="F61" s="59">
        <f>IF($B$61="","",IF((SUMIFS(tblShipments[Units],tblShipments[Part],$B$61,tblShipments[View date],"&gt;0"))=0,"",(SUMIFS(tblShipments[Landed cost],tblShipments[Part],$B$61,tblShipments[View date],"&gt;0"))/(SUMIFS(tblShipments[Units],tblShipments[Part],$B$61,tblShipments[View date],"&gt;0"))))</f>
        <v>28.41495078125</v>
      </c>
      <c r="G61" s="56">
        <f>IF($B$61="","",SUMIFS(tblShipments[Landed cost],tblShipments[Part],$B$61,tblShipments[View date],"&gt;0"))</f>
        <v>181855.685</v>
      </c>
      <c r="H61" s="40">
        <f>IF($B$61="","",IF(SUMIFS(tblShipments[Goods value],tblShipments[Part],$B$61,tblShipments[View date],"&gt;0")=0,"",SUMIFS(tblShipments[Landed cost],tblShipments[Part],$B$61,tblShipments[View date],"&gt;0")/SUMIFS(tblShipments[Goods value],tblShipments[Part],$B$61,tblShipments[View date],"&gt;0")-1))</f>
        <v>0.300315934360588</v>
      </c>
      <c r="I61" s="56">
        <f>IF($B$61="","",COUNTIFS(tblShipments[Part],$B$61,tblShipments[View date],"&gt;0"))</f>
        <v>8</v>
      </c>
      <c r="J61" s="56"/>
    </row>
    <row r="62" spans="2:12">
      <c r="B62" s="54" t="str">
        <f>IFERROR(INDEX(tblParts[Part],2)&amp;"","")</f>
        <v>Impeller IM-12</v>
      </c>
      <c r="C62" s="56">
        <f>IF($B$62="","",SUMIFS(tblShipments[Units],tblShipments[Part],$B$62,tblShipments[View date],"&gt;0"))</f>
        <v>6900</v>
      </c>
      <c r="D62" s="38">
        <f>IF($B$62="","",IF((SUMIFS(tblShipments[Units],tblShipments[Part],$B$62,tblShipments[View date],"&gt;0"))=0,"",(SUMIFS(tblShipments[Goods value],tblShipments[Part],$B$62,tblShipments[View date],"&gt;0"))/(SUMIFS(tblShipments[Units],tblShipments[Part],$B$62,tblShipments[View date],"&gt;0"))))</f>
        <v>8.73311594202899</v>
      </c>
      <c r="E62" s="38">
        <f>IF($B$62="","",IF((SUMIFS(tblShipments[Units],tblShipments[Part],$B$62,tblShipments[View date],"&gt;0"))=0,"",(SUMIFS(tblShipments[Duty],tblShipments[Part],$B$62,tblShipments[View date],"&gt;0")+SUMIFS(tblShipments[Tariff],tblShipments[Part],$B$62,tblShipments[View date],"&gt;0"))/(SUMIFS(tblShipments[Units],tblShipments[Part],$B$62,tblShipments[View date],"&gt;0"))))</f>
        <v>0</v>
      </c>
      <c r="F62" s="59">
        <f>IF($B$62="","",IF((SUMIFS(tblShipments[Units],tblShipments[Part],$B$62,tblShipments[View date],"&gt;0"))=0,"",(SUMIFS(tblShipments[Landed cost],tblShipments[Part],$B$62,tblShipments[View date],"&gt;0"))/(SUMIFS(tblShipments[Units],tblShipments[Part],$B$62,tblShipments[View date],"&gt;0"))))</f>
        <v>9.53395362318841</v>
      </c>
      <c r="G62" s="56">
        <f>IF($B$62="","",SUMIFS(tblShipments[Landed cost],tblShipments[Part],$B$62,tblShipments[View date],"&gt;0"))</f>
        <v>65784.28</v>
      </c>
      <c r="H62" s="40">
        <f>IF($B$62="","",IF(SUMIFS(tblShipments[Goods value],tblShipments[Part],$B$62,tblShipments[View date],"&gt;0")=0,"",SUMIFS(tblShipments[Landed cost],tblShipments[Part],$B$62,tblShipments[View date],"&gt;0")/SUMIFS(tblShipments[Goods value],tblShipments[Part],$B$62,tblShipments[View date],"&gt;0")-1))</f>
        <v>0.091701253765029</v>
      </c>
      <c r="I62" s="56">
        <f>IF($B$62="","",COUNTIFS(tblShipments[Part],$B$62,tblShipments[View date],"&gt;0"))</f>
        <v>6</v>
      </c>
      <c r="J62" s="56"/>
    </row>
    <row r="63" spans="2:12">
      <c r="B63" s="54" t="str">
        <f>IFERROR(INDEX(tblParts[Part],3)&amp;"","")</f>
        <v>Motor 0.75 kW M-75</v>
      </c>
      <c r="C63" s="56">
        <f>IF($B$63="","",SUMIFS(tblShipments[Units],tblShipments[Part],$B$63,tblShipments[View date],"&gt;0"))</f>
        <v>3550</v>
      </c>
      <c r="D63" s="38">
        <f>IF($B$63="","",IF((SUMIFS(tblShipments[Units],tblShipments[Part],$B$63,tblShipments[View date],"&gt;0"))=0,"",(SUMIFS(tblShipments[Goods value],tblShipments[Part],$B$63,tblShipments[View date],"&gt;0"))/(SUMIFS(tblShipments[Units],tblShipments[Part],$B$63,tblShipments[View date],"&gt;0"))))</f>
        <v>46.4197183098592</v>
      </c>
      <c r="E63" s="38">
        <f>IF($B$63="","",IF((SUMIFS(tblShipments[Units],tblShipments[Part],$B$63,tblShipments[View date],"&gt;0"))=0,"",(SUMIFS(tblShipments[Duty],tblShipments[Part],$B$63,tblShipments[View date],"&gt;0")+SUMIFS(tblShipments[Tariff],tblShipments[Part],$B$63,tblShipments[View date],"&gt;0"))/(SUMIFS(tblShipments[Units],tblShipments[Part],$B$63,tblShipments[View date],"&gt;0"))))</f>
        <v>12.9046816901408</v>
      </c>
      <c r="F63" s="59">
        <f>IF($B$63="","",IF((SUMIFS(tblShipments[Units],tblShipments[Part],$B$63,tblShipments[View date],"&gt;0"))=0,"",(SUMIFS(tblShipments[Landed cost],tblShipments[Part],$B$63,tblShipments[View date],"&gt;0"))/(SUMIFS(tblShipments[Units],tblShipments[Part],$B$63,tblShipments[View date],"&gt;0"))))</f>
        <v>62.2411267605634</v>
      </c>
      <c r="G63" s="56">
        <f>IF($B$63="","",SUMIFS(tblShipments[Landed cost],tblShipments[Part],$B$63,tblShipments[View date],"&gt;0"))</f>
        <v>220956</v>
      </c>
      <c r="H63" s="40">
        <f>IF($B$63="","",IF(SUMIFS(tblShipments[Goods value],tblShipments[Part],$B$63,tblShipments[View date],"&gt;0")=0,"",SUMIFS(tblShipments[Landed cost],tblShipments[Part],$B$63,tblShipments[View date],"&gt;0")/SUMIFS(tblShipments[Goods value],tblShipments[Part],$B$63,tblShipments[View date],"&gt;0")-1))</f>
        <v>0.340833788458037</v>
      </c>
      <c r="I63" s="56">
        <f>IF($B$63="","",COUNTIFS(tblShipments[Part],$B$63,tblShipments[View date],"&gt;0"))</f>
        <v>6</v>
      </c>
      <c r="J63" s="56"/>
    </row>
    <row r="64" spans="2:12">
      <c r="B64" s="54" t="str">
        <f>IFERROR(INDEX(tblParts[Part],4)&amp;"","")</f>
        <v>Shaft seal SS-20</v>
      </c>
      <c r="C64" s="56">
        <f>IF($B$64="","",SUMIFS(tblShipments[Units],tblShipments[Part],$B$64,tblShipments[View date],"&gt;0"))</f>
        <v>5600</v>
      </c>
      <c r="D64" s="38">
        <f>IF($B$64="","",IF((SUMIFS(tblShipments[Units],tblShipments[Part],$B$64,tblShipments[View date],"&gt;0"))=0,"",(SUMIFS(tblShipments[Goods value],tblShipments[Part],$B$64,tblShipments[View date],"&gt;0"))/(SUMIFS(tblShipments[Units],tblShipments[Part],$B$64,tblShipments[View date],"&gt;0"))))</f>
        <v>12.1714285714286</v>
      </c>
      <c r="E64" s="38">
        <f>IF($B$64="","",IF((SUMIFS(tblShipments[Units],tblShipments[Part],$B$64,tblShipments[View date],"&gt;0"))=0,"",(SUMIFS(tblShipments[Duty],tblShipments[Part],$B$64,tblShipments[View date],"&gt;0")+SUMIFS(tblShipments[Tariff],tblShipments[Part],$B$64,tblShipments[View date],"&gt;0"))/(SUMIFS(tblShipments[Units],tblShipments[Part],$B$64,tblShipments[View date],"&gt;0"))))</f>
        <v>0.304285714285714</v>
      </c>
      <c r="F64" s="59">
        <f>IF($B$64="","",IF((SUMIFS(tblShipments[Units],tblShipments[Part],$B$64,tblShipments[View date],"&gt;0"))=0,"",(SUMIFS(tblShipments[Landed cost],tblShipments[Part],$B$64,tblShipments[View date],"&gt;0"))/(SUMIFS(tblShipments[Units],tblShipments[Part],$B$64,tblShipments[View date],"&gt;0"))))</f>
        <v>13.5952642857143</v>
      </c>
      <c r="G64" s="56">
        <f>IF($B$64="","",SUMIFS(tblShipments[Landed cost],tblShipments[Part],$B$64,tblShipments[View date],"&gt;0"))</f>
        <v>76133.48</v>
      </c>
      <c r="H64" s="40">
        <f>IF($B$64="","",IF(SUMIFS(tblShipments[Goods value],tblShipments[Part],$B$64,tblShipments[View date],"&gt;0")=0,"",SUMIFS(tblShipments[Landed cost],tblShipments[Part],$B$64,tblShipments[View date],"&gt;0")/SUMIFS(tblShipments[Goods value],tblShipments[Part],$B$64,tblShipments[View date],"&gt;0")-1))</f>
        <v>0.116981807511737</v>
      </c>
      <c r="I64" s="56">
        <f>IF($B$64="","",COUNTIFS(tblShipments[Part],$B$64,tblShipments[View date],"&gt;0"))</f>
        <v>6</v>
      </c>
      <c r="J64" s="56"/>
    </row>
    <row r="65" spans="2:12">
      <c r="B65" s="54" t="str">
        <f>IFERROR(INDEX(tblParts[Part],5)&amp;"","")</f>
        <v>Control board CB-3</v>
      </c>
      <c r="C65" s="56">
        <f>IF($B$65="","",SUMIFS(tblShipments[Units],tblShipments[Part],$B$65,tblShipments[View date],"&gt;0"))</f>
        <v>4100</v>
      </c>
      <c r="D65" s="38">
        <f>IF($B$65="","",IF((SUMIFS(tblShipments[Units],tblShipments[Part],$B$65,tblShipments[View date],"&gt;0"))=0,"",(SUMIFS(tblShipments[Goods value],tblShipments[Part],$B$65,tblShipments[View date],"&gt;0"))/(SUMIFS(tblShipments[Units],tblShipments[Part],$B$65,tblShipments[View date],"&gt;0"))))</f>
        <v>31.7526829268293</v>
      </c>
      <c r="E65" s="38">
        <f>IF($B$65="","",IF((SUMIFS(tblShipments[Units],tblShipments[Part],$B$65,tblShipments[View date],"&gt;0"))=0,"",(SUMIFS(tblShipments[Duty],tblShipments[Part],$B$65,tblShipments[View date],"&gt;0")+SUMIFS(tblShipments[Tariff],tblShipments[Part],$B$65,tblShipments[View date],"&gt;0"))/(SUMIFS(tblShipments[Units],tblShipments[Part],$B$65,tblShipments[View date],"&gt;0"))))</f>
        <v>0</v>
      </c>
      <c r="F65" s="59">
        <f>IF($B$65="","",IF((SUMIFS(tblShipments[Units],tblShipments[Part],$B$65,tblShipments[View date],"&gt;0"))=0,"",(SUMIFS(tblShipments[Landed cost],tblShipments[Part],$B$65,tblShipments[View date],"&gt;0"))/(SUMIFS(tblShipments[Units],tblShipments[Part],$B$65,tblShipments[View date],"&gt;0"))))</f>
        <v>33.2272097560976</v>
      </c>
      <c r="G65" s="56">
        <f>IF($B$65="","",SUMIFS(tblShipments[Landed cost],tblShipments[Part],$B$65,tblShipments[View date],"&gt;0"))</f>
        <v>136231.56</v>
      </c>
      <c r="H65" s="40">
        <f>IF($B$65="","",IF(SUMIFS(tblShipments[Goods value],tblShipments[Part],$B$65,tblShipments[View date],"&gt;0")=0,"",SUMIFS(tblShipments[Landed cost],tblShipments[Part],$B$65,tblShipments[View date],"&gt;0")/SUMIFS(tblShipments[Goods value],tblShipments[Part],$B$65,tblShipments[View date],"&gt;0")-1))</f>
        <v>0.046437865822746</v>
      </c>
      <c r="I65" s="56">
        <f>IF($B$65="","",COUNTIFS(tblShipments[Part],$B$65,tblShipments[View date],"&gt;0"))</f>
        <v>6</v>
      </c>
      <c r="J65" s="56"/>
    </row>
    <row r="66" spans="2:12">
      <c r="B66" s="54" t="str">
        <f>IFERROR(INDEX(tblParts[Part],6)&amp;"","")</f>
        <v>Fastener kit FK-8</v>
      </c>
      <c r="C66" s="56">
        <f>IF($B$66="","",SUMIFS(tblShipments[Units],tblShipments[Part],$B$66,tblShipments[View date],"&gt;0"))</f>
        <v>12050</v>
      </c>
      <c r="D66" s="38">
        <f>IF($B$66="","",IF((SUMIFS(tblShipments[Units],tblShipments[Part],$B$66,tblShipments[View date],"&gt;0"))=0,"",(SUMIFS(tblShipments[Goods value],tblShipments[Part],$B$66,tblShipments[View date],"&gt;0"))/(SUMIFS(tblShipments[Units],tblShipments[Part],$B$66,tblShipments[View date],"&gt;0"))))</f>
        <v>2.34850622406639</v>
      </c>
      <c r="E66" s="38">
        <f>IF($B$66="","",IF((SUMIFS(tblShipments[Units],tblShipments[Part],$B$66,tblShipments[View date],"&gt;0"))=0,"",(SUMIFS(tblShipments[Duty],tblShipments[Part],$B$66,tblShipments[View date],"&gt;0")+SUMIFS(tblShipments[Tariff],tblShipments[Part],$B$66,tblShipments[View date],"&gt;0"))/(SUMIFS(tblShipments[Units],tblShipments[Part],$B$66,tblShipments[View date],"&gt;0"))))</f>
        <v>0.140910373443983</v>
      </c>
      <c r="F66" s="59">
        <f>IF($B$66="","",IF((SUMIFS(tblShipments[Units],tblShipments[Part],$B$66,tblShipments[View date],"&gt;0"))=0,"",(SUMIFS(tblShipments[Landed cost],tblShipments[Part],$B$66,tblShipments[View date],"&gt;0"))/(SUMIFS(tblShipments[Units],tblShipments[Part],$B$66,tblShipments[View date],"&gt;0"))))</f>
        <v>2.90476099585062</v>
      </c>
      <c r="G66" s="56">
        <f>IF($B$66="","",SUMIFS(tblShipments[Landed cost],tblShipments[Part],$B$66,tblShipments[View date],"&gt;0"))</f>
        <v>35002.37</v>
      </c>
      <c r="H66" s="40">
        <f>IF($B$66="","",IF(SUMIFS(tblShipments[Goods value],tblShipments[Part],$B$66,tblShipments[View date],"&gt;0")=0,"",SUMIFS(tblShipments[Landed cost],tblShipments[Part],$B$66,tblShipments[View date],"&gt;0")/SUMIFS(tblShipments[Goods value],tblShipments[Part],$B$66,tblShipments[View date],"&gt;0")-1))</f>
        <v>0.236854714747611</v>
      </c>
      <c r="I66" s="56">
        <f>IF($B$66="","",COUNTIFS(tblShipments[Part],$B$66,tblShipments[View date],"&gt;0"))</f>
        <v>6</v>
      </c>
      <c r="J66" s="56"/>
    </row>
    <row r="67" spans="2:12">
      <c r="B67" s="54" t="str">
        <f>IFERROR(INDEX(tblParts[Part],7)&amp;"","")</f>
        <v>Cable gland CG-16</v>
      </c>
      <c r="C67" s="56">
        <f>IF($B$67="","",SUMIFS(tblShipments[Units],tblShipments[Part],$B$67,tblShipments[View date],"&gt;0"))</f>
        <v>19800</v>
      </c>
      <c r="D67" s="38">
        <f>IF($B$67="","",IF((SUMIFS(tblShipments[Units],tblShipments[Part],$B$67,tblShipments[View date],"&gt;0"))=0,"",(SUMIFS(tblShipments[Goods value],tblShipments[Part],$B$67,tblShipments[View date],"&gt;0"))/(SUMIFS(tblShipments[Units],tblShipments[Part],$B$67,tblShipments[View date],"&gt;0"))))</f>
        <v>0.953257575757576</v>
      </c>
      <c r="E67" s="38">
        <f>IF($B$67="","",IF((SUMIFS(tblShipments[Units],tblShipments[Part],$B$67,tblShipments[View date],"&gt;0"))=0,"",(SUMIFS(tblShipments[Duty],tblShipments[Part],$B$67,tblShipments[View date],"&gt;0")+SUMIFS(tblShipments[Tariff],tblShipments[Part],$B$67,tblShipments[View date],"&gt;0"))/(SUMIFS(tblShipments[Units],tblShipments[Part],$B$67,tblShipments[View date],"&gt;0"))))</f>
        <v>0.0305042424242424</v>
      </c>
      <c r="F67" s="59">
        <f>IF($B$67="","",IF((SUMIFS(tblShipments[Units],tblShipments[Part],$B$67,tblShipments[View date],"&gt;0"))=0,"",(SUMIFS(tblShipments[Landed cost],tblShipments[Part],$B$67,tblShipments[View date],"&gt;0"))/(SUMIFS(tblShipments[Units],tblShipments[Part],$B$67,tblShipments[View date],"&gt;0"))))</f>
        <v>1.18333858585859</v>
      </c>
      <c r="G67" s="56">
        <f>IF($B$67="","",SUMIFS(tblShipments[Landed cost],tblShipments[Part],$B$67,tblShipments[View date],"&gt;0"))</f>
        <v>23430.104</v>
      </c>
      <c r="H67" s="40">
        <f>IF($B$67="","",IF(SUMIFS(tblShipments[Goods value],tblShipments[Part],$B$67,tblShipments[View date],"&gt;0")=0,"",SUMIFS(tblShipments[Landed cost],tblShipments[Part],$B$67,tblShipments[View date],"&gt;0")/SUMIFS(tblShipments[Goods value],tblShipments[Part],$B$67,tblShipments[View date],"&gt;0")-1))</f>
        <v>0.241362897030385</v>
      </c>
      <c r="I67" s="56">
        <f>IF($B$67="","",COUNTIFS(tblShipments[Part],$B$67,tblShipments[View date],"&gt;0"))</f>
        <v>6</v>
      </c>
      <c r="J67" s="56"/>
    </row>
    <row r="68" spans="2:12">
      <c r="B68" s="54" t="str">
        <f>IFERROR(INDEX(tblParts[Part],8)&amp;"","")</f>
        <v>Pressure switch PS-6</v>
      </c>
      <c r="C68" s="56">
        <f>IF($B$68="","",SUMIFS(tblShipments[Units],tblShipments[Part],$B$68,tblShipments[View date],"&gt;0"))</f>
        <v>1550</v>
      </c>
      <c r="D68" s="38">
        <f>IF($B$68="","",IF((SUMIFS(tblShipments[Units],tblShipments[Part],$B$68,tblShipments[View date],"&gt;0"))=0,"",(SUMIFS(tblShipments[Goods value],tblShipments[Part],$B$68,tblShipments[View date],"&gt;0"))/(SUMIFS(tblShipments[Units],tblShipments[Part],$B$68,tblShipments[View date],"&gt;0"))))</f>
        <v>18.6470967741936</v>
      </c>
      <c r="E68" s="38">
        <f>IF($B$68="","",IF((SUMIFS(tblShipments[Units],tblShipments[Part],$B$68,tblShipments[View date],"&gt;0"))=0,"",(SUMIFS(tblShipments[Duty],tblShipments[Part],$B$68,tblShipments[View date],"&gt;0")+SUMIFS(tblShipments[Tariff],tblShipments[Part],$B$68,tblShipments[View date],"&gt;0"))/(SUMIFS(tblShipments[Units],tblShipments[Part],$B$68,tblShipments[View date],"&gt;0"))))</f>
        <v>0</v>
      </c>
      <c r="F68" s="59">
        <f>IF($B$68="","",IF((SUMIFS(tblShipments[Units],tblShipments[Part],$B$68,tblShipments[View date],"&gt;0"))=0,"",(SUMIFS(tblShipments[Landed cost],tblShipments[Part],$B$68,tblShipments[View date],"&gt;0"))/(SUMIFS(tblShipments[Units],tblShipments[Part],$B$68,tblShipments[View date],"&gt;0"))))</f>
        <v>20.2288451612903</v>
      </c>
      <c r="G68" s="56">
        <f>IF($B$68="","",SUMIFS(tblShipments[Landed cost],tblShipments[Part],$B$68,tblShipments[View date],"&gt;0"))</f>
        <v>31354.71</v>
      </c>
      <c r="H68" s="40">
        <f>IF($B$68="","",IF(SUMIFS(tblShipments[Goods value],tblShipments[Part],$B$68,tblShipments[View date],"&gt;0")=0,"",SUMIFS(tblShipments[Landed cost],tblShipments[Part],$B$68,tblShipments[View date],"&gt;0")/SUMIFS(tblShipments[Goods value],tblShipments[Part],$B$68,tblShipments[View date],"&gt;0")-1))</f>
        <v>0.0848254506452617</v>
      </c>
      <c r="I68" s="56">
        <f>IF($B$68="","",COUNTIFS(tblShipments[Part],$B$68,tblShipments[View date],"&gt;0"))</f>
        <v>3</v>
      </c>
      <c r="J68" s="56"/>
    </row>
    <row r="69" spans="2:12" ht="8" customHeight="1"/>
    <row r="70" spans="2:12" ht="26.76" customHeight="1">
      <c r="B70" s="21" t="s">
        <v>227</v>
      </c>
      <c r="C70" s="21"/>
      <c r="D70" s="21"/>
      <c r="E70" s="21"/>
      <c r="F70" s="21"/>
      <c r="G70" s="21"/>
      <c r="H70" s="21"/>
      <c r="I70" s="21"/>
      <c r="J70" s="21"/>
      <c r="K70" s="21"/>
      <c r="L70" s="21"/>
    </row>
    <row r="71" spans="2:12">
      <c r="B71" s="60">
        <f>IF(OR(COUNTA(tblOrigins[Origin])&gt;5,COUNTA(tblParts[Part])&gt;8),"Setup lists are longer than the Dashboard blocks: some origins or parts are not shown.","")</f>
        <v/>
      </c>
      <c r="C71" s="60"/>
      <c r="D71" s="60"/>
      <c r="E71" s="60"/>
      <c r="F71" s="60"/>
      <c r="G71" s="60"/>
      <c r="H71" s="60"/>
      <c r="I71" s="60"/>
      <c r="J71" s="60"/>
      <c r="K71" s="60"/>
      <c r="L71" s="60"/>
    </row>
  </sheetData>
  <sheetProtection sheet="1" formatColumns="0" formatRows="0"/>
  <mergeCells count="63">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L29"/>
    <mergeCell ref="C31:D31"/>
    <mergeCell ref="B32:C32"/>
    <mergeCell ref="B33:C34"/>
    <mergeCell ref="B35:C35"/>
    <mergeCell ref="B36:C36"/>
    <mergeCell ref="D32:F32"/>
    <mergeCell ref="D33:F34"/>
    <mergeCell ref="D35:F35"/>
    <mergeCell ref="D36:F36"/>
    <mergeCell ref="G32:I32"/>
    <mergeCell ref="G33:I34"/>
    <mergeCell ref="G35:I35"/>
    <mergeCell ref="G36:I36"/>
    <mergeCell ref="J32:L32"/>
    <mergeCell ref="J33:L34"/>
    <mergeCell ref="J35:L35"/>
    <mergeCell ref="J36:L36"/>
    <mergeCell ref="B38:G38"/>
    <mergeCell ref="B49:L49"/>
    <mergeCell ref="K50:L50"/>
    <mergeCell ref="K51:L51"/>
    <mergeCell ref="K52:L52"/>
    <mergeCell ref="K53:L53"/>
    <mergeCell ref="K54:L54"/>
    <mergeCell ref="K55:L55"/>
    <mergeCell ref="K56:L56"/>
    <mergeCell ref="B58:J58"/>
    <mergeCell ref="I59:J59"/>
    <mergeCell ref="I60:J60"/>
    <mergeCell ref="I61:J61"/>
    <mergeCell ref="I62:J62"/>
    <mergeCell ref="I63:J63"/>
    <mergeCell ref="I64:J64"/>
    <mergeCell ref="I65:J65"/>
    <mergeCell ref="I66:J66"/>
    <mergeCell ref="I67:J67"/>
    <mergeCell ref="I68:J68"/>
    <mergeCell ref="B70:L70"/>
    <mergeCell ref="B71:L71"/>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6">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61:H68">
    <cfRule type="expression" dxfId="3" priority="64" stopIfTrue="1">
      <formula>AND(ISNUMBER(H61),H61&lt;=(UpliftLimit))</formula>
    </cfRule>
    <cfRule type="expression" dxfId="4" priority="65" stopIfTrue="1">
      <formula>AND(ISNUMBER(H61),H61&lt;=(UpliftLimit)*(1+0.05))</formula>
    </cfRule>
    <cfRule type="expression" dxfId="5" priority="66">
      <formula>ISNUMBER(H61)</formula>
    </cfRule>
  </conditionalFormatting>
  <conditionalFormatting sqref="I52:I56">
    <cfRule type="expression" dxfId="3" priority="41" stopIfTrue="1">
      <formula>AND(ISNUMBER(I52),I52&lt;=(UpliftLimit))</formula>
    </cfRule>
    <cfRule type="expression" dxfId="4" priority="42" stopIfTrue="1">
      <formula>AND(ISNUMBER(I52),I52&lt;=(UpliftLimit)*(1+0.05))</formula>
    </cfRule>
    <cfRule type="expression" dxfId="5" priority="43">
      <formula>ISNUMBER(I52)</formula>
    </cfRule>
  </conditionalFormatting>
  <conditionalFormatting sqref="K52:K56">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dataValidations count="4">
    <dataValidation type="list" allowBlank="1" showInputMessage="1" showErrorMessage="1" errorTitle="Check this entry" error="Pick from the list (edit the list on Setup: Origins)." promptTitle="Origin" prompt="Leave blank for every origin. Pick from the list (edit the list on Setup: Origins)." sqref="C4">
      <formula1>Origins</formula1>
    </dataValidation>
    <dataValidation type="date" allowBlank="1" showInputMessage="1" showErrorMessage="1" errorTitle="Check this entry" error="Enter a date between 01 Jan 2000 and 31 Dec 2100." promptTitle="From" prompt="First entry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entry date to include. Leave blank to end at the latest record. Enter a date between 01 Jan 2000 and 31 Dec 2100." sqref="K4">
      <formula1>36526</formula1>
      <formula2>73415</formula2>
    </dataValidation>
    <dataValidation type="decimal" allowBlank="1" showInputMessage="1" showErrorMessage="1" errorTitle="Check this entry" error="Enter a percentage from -100% to 1000% (type 85% or 0.85)." promptTitle="Extra tariff to test" prompt="Percentage points of extra tariff to add on the customs value of the entries in view. Pick an origin above to test one country. Enter a percentage from -100% to 1000% (type 85% or 0.85)." sqref="C31">
      <formula1>-1</formula1>
      <formula2>10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Landed Cost and Tariff Tracker&amp;R&amp;8&amp;A</oddHeader>
    <oddFooter>&amp;L&amp;8mfgcalcs.com - free manufacturing templates&amp;R&amp;8Page &amp;P of &amp;N</oddFooter>
  </headerFooter>
  <rowBreaks count="2" manualBreakCount="2">
    <brk id="28" max="16383" man="1"/>
    <brk id="57"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228</v>
      </c>
      <c r="C4" s="8"/>
      <c r="D4" s="8"/>
    </row>
    <row r="5" spans="1:4" ht="5" customHeight="1"/>
    <row r="6" spans="1:4" ht="55.8" customHeight="1">
      <c r="B6" s="10" t="s">
        <v>229</v>
      </c>
      <c r="C6" s="10"/>
      <c r="D6" s="10"/>
    </row>
    <row r="8" spans="1:4" ht="21" customHeight="1">
      <c r="B8" s="8" t="s">
        <v>230</v>
      </c>
      <c r="C8" s="8"/>
      <c r="D8" s="8"/>
    </row>
    <row r="9" spans="1:4" ht="5" customHeight="1"/>
    <row r="10" spans="1:4" ht="20" customHeight="1">
      <c r="B10" s="53" t="s">
        <v>231</v>
      </c>
      <c r="C10" s="53" t="s">
        <v>232</v>
      </c>
      <c r="D10" s="31" t="s">
        <v>131</v>
      </c>
    </row>
    <row r="11" spans="1:4" ht="30.4" customHeight="1">
      <c r="B11" s="61" t="s">
        <v>139</v>
      </c>
      <c r="C11" s="62" t="s">
        <v>233</v>
      </c>
      <c r="D11" s="63" t="s">
        <v>234</v>
      </c>
    </row>
    <row r="12" spans="1:4" ht="30.4" customHeight="1">
      <c r="B12" s="61" t="s">
        <v>140</v>
      </c>
      <c r="C12" s="62" t="s">
        <v>235</v>
      </c>
      <c r="D12" s="63" t="s">
        <v>234</v>
      </c>
    </row>
    <row r="13" spans="1:4" ht="30.4" customHeight="1">
      <c r="B13" s="61" t="s">
        <v>141</v>
      </c>
      <c r="C13" s="62" t="s">
        <v>236</v>
      </c>
      <c r="D13" s="63" t="s">
        <v>234</v>
      </c>
    </row>
    <row r="14" spans="1:4" ht="30.4" customHeight="1">
      <c r="B14" s="61" t="s">
        <v>136</v>
      </c>
      <c r="C14" s="62" t="s">
        <v>237</v>
      </c>
      <c r="D14" s="63" t="s">
        <v>234</v>
      </c>
    </row>
    <row r="15" spans="1:4" ht="30.4" customHeight="1">
      <c r="B15" s="61" t="s">
        <v>143</v>
      </c>
      <c r="C15" s="62" t="s">
        <v>238</v>
      </c>
      <c r="D15" s="63" t="s">
        <v>234</v>
      </c>
    </row>
    <row r="16" spans="1:4" ht="30.4" customHeight="1">
      <c r="B16" s="61" t="s">
        <v>144</v>
      </c>
      <c r="C16" s="62" t="s">
        <v>239</v>
      </c>
      <c r="D16" s="63" t="s">
        <v>240</v>
      </c>
    </row>
    <row r="17" spans="2:4" ht="30.4" customHeight="1">
      <c r="B17" s="61" t="s">
        <v>145</v>
      </c>
      <c r="C17" s="62" t="s">
        <v>241</v>
      </c>
      <c r="D17" s="63" t="s">
        <v>220</v>
      </c>
    </row>
    <row r="18" spans="2:4" ht="30.4" customHeight="1">
      <c r="B18" s="61" t="s">
        <v>146</v>
      </c>
      <c r="C18" s="62" t="s">
        <v>242</v>
      </c>
      <c r="D18" s="63" t="s">
        <v>243</v>
      </c>
    </row>
    <row r="19" spans="2:4" ht="30.4" customHeight="1">
      <c r="B19" s="61" t="s">
        <v>244</v>
      </c>
      <c r="C19" s="62" t="s">
        <v>245</v>
      </c>
      <c r="D19" s="63" t="s">
        <v>246</v>
      </c>
    </row>
    <row r="20" spans="2:4" ht="30.4" customHeight="1">
      <c r="B20" s="61" t="s">
        <v>247</v>
      </c>
      <c r="C20" s="62" t="s">
        <v>248</v>
      </c>
      <c r="D20" s="63" t="s">
        <v>240</v>
      </c>
    </row>
    <row r="21" spans="2:4" ht="30.4" customHeight="1">
      <c r="B21" s="61" t="s">
        <v>249</v>
      </c>
      <c r="C21" s="62" t="s">
        <v>250</v>
      </c>
      <c r="D21" s="63" t="s">
        <v>243</v>
      </c>
    </row>
    <row r="23" spans="2:4" ht="21" customHeight="1">
      <c r="B23" s="8" t="s">
        <v>251</v>
      </c>
      <c r="C23" s="8"/>
      <c r="D23" s="8"/>
    </row>
    <row r="24" spans="2:4" ht="5" customHeight="1"/>
    <row r="25" spans="2:4" ht="29.4" customHeight="1">
      <c r="B25" s="26" t="s">
        <v>53</v>
      </c>
      <c r="C25" s="10" t="s">
        <v>252</v>
      </c>
      <c r="D25" s="10"/>
    </row>
    <row r="26" spans="2:4" ht="29.4" customHeight="1">
      <c r="B26" s="26" t="s">
        <v>53</v>
      </c>
      <c r="C26" s="10" t="s">
        <v>253</v>
      </c>
      <c r="D26" s="10"/>
    </row>
    <row r="27" spans="2:4" ht="29.4" customHeight="1">
      <c r="B27" s="26" t="s">
        <v>53</v>
      </c>
      <c r="C27" s="10" t="s">
        <v>254</v>
      </c>
      <c r="D27" s="10"/>
    </row>
    <row r="28" spans="2:4" ht="16.2" customHeight="1">
      <c r="B28" s="26" t="s">
        <v>53</v>
      </c>
      <c r="C28" s="10" t="s">
        <v>255</v>
      </c>
      <c r="D28" s="10"/>
    </row>
    <row r="30" spans="2:4" ht="21" customHeight="1">
      <c r="B30" s="8" t="s">
        <v>256</v>
      </c>
      <c r="C30" s="8"/>
      <c r="D30" s="8"/>
    </row>
    <row r="31" spans="2:4" ht="5" customHeight="1"/>
    <row r="32" spans="2:4" ht="29.4" customHeight="1">
      <c r="B32" s="26" t="s">
        <v>53</v>
      </c>
      <c r="C32" s="10" t="s">
        <v>257</v>
      </c>
      <c r="D32" s="10"/>
    </row>
    <row r="33" spans="2:4" ht="29.4" customHeight="1">
      <c r="B33" s="26" t="s">
        <v>53</v>
      </c>
      <c r="C33" s="10" t="s">
        <v>258</v>
      </c>
      <c r="D33" s="10"/>
    </row>
    <row r="34" spans="2:4" ht="29.4" customHeight="1">
      <c r="B34" s="26" t="s">
        <v>53</v>
      </c>
      <c r="C34" s="10" t="s">
        <v>259</v>
      </c>
      <c r="D34" s="10"/>
    </row>
    <row r="35" spans="2:4" ht="29.4" customHeight="1">
      <c r="B35" s="26" t="s">
        <v>53</v>
      </c>
      <c r="C35" s="10" t="s">
        <v>260</v>
      </c>
      <c r="D35" s="10"/>
    </row>
    <row r="37" spans="2:4" ht="21" customHeight="1">
      <c r="B37" s="8" t="s">
        <v>261</v>
      </c>
      <c r="C37" s="8"/>
      <c r="D37" s="8"/>
    </row>
    <row r="38" spans="2:4" ht="5" customHeight="1"/>
    <row r="39" spans="2:4" ht="82.2" customHeight="1">
      <c r="B39" s="10" t="s">
        <v>262</v>
      </c>
      <c r="C39" s="10"/>
      <c r="D39" s="10"/>
    </row>
    <row r="40" spans="2:4">
      <c r="B40" s="24" t="s">
        <v>263</v>
      </c>
      <c r="C40" s="24"/>
      <c r="D40" s="24"/>
    </row>
    <row r="42" spans="2:4" ht="21" customHeight="1">
      <c r="B42" s="8" t="s">
        <v>40</v>
      </c>
      <c r="C42" s="8"/>
      <c r="D42" s="8"/>
    </row>
    <row r="43" spans="2:4" ht="5" customHeight="1"/>
    <row r="44" spans="2:4" ht="42.6" customHeight="1">
      <c r="B44" s="10" t="s">
        <v>264</v>
      </c>
      <c r="C44" s="10"/>
      <c r="D44" s="10"/>
    </row>
    <row r="46" spans="2:4" ht="21" customHeight="1">
      <c r="B46" s="8" t="s">
        <v>265</v>
      </c>
      <c r="C46" s="8"/>
      <c r="D46" s="8"/>
    </row>
    <row r="47" spans="2:4" ht="5" customHeight="1"/>
    <row r="48" spans="2:4" ht="29.4" customHeight="1">
      <c r="B48" s="26" t="s">
        <v>53</v>
      </c>
      <c r="C48" s="10" t="s">
        <v>266</v>
      </c>
      <c r="D48" s="10"/>
    </row>
    <row r="49" spans="2:4" ht="29.4" customHeight="1">
      <c r="B49" s="26" t="s">
        <v>53</v>
      </c>
      <c r="C49" s="10" t="s">
        <v>267</v>
      </c>
      <c r="D49" s="10"/>
    </row>
    <row r="50" spans="2:4" ht="29.4" customHeight="1">
      <c r="B50" s="26" t="s">
        <v>53</v>
      </c>
      <c r="C50" s="10" t="s">
        <v>268</v>
      </c>
      <c r="D50" s="10"/>
    </row>
    <row r="51" spans="2:4">
      <c r="B51" s="21" t="s">
        <v>269</v>
      </c>
      <c r="C51" s="21"/>
      <c r="D51" s="21"/>
    </row>
    <row r="53" spans="2:4" ht="21" customHeight="1">
      <c r="B53" s="8" t="s">
        <v>270</v>
      </c>
      <c r="C53" s="8"/>
      <c r="D53" s="8"/>
    </row>
    <row r="54" spans="2:4" ht="5" customHeight="1"/>
    <row r="55" spans="2:4">
      <c r="B55" s="53" t="s">
        <v>48</v>
      </c>
      <c r="C55" s="53" t="s">
        <v>271</v>
      </c>
      <c r="D55" s="31" t="s">
        <v>129</v>
      </c>
    </row>
    <row r="56" spans="2:4" ht="16.2" customHeight="1">
      <c r="B56" s="64" t="s">
        <v>272</v>
      </c>
      <c r="C56" s="65" t="s">
        <v>273</v>
      </c>
      <c r="D56" s="66" t="s">
        <v>274</v>
      </c>
    </row>
    <row r="58" spans="2:4">
      <c r="B58" s="21" t="s">
        <v>59</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Landed Cost and Tariff Tracker&amp;R&amp;8&amp;A</oddHeader>
    <oddFooter>&amp;L&amp;8mfgcalcs.com - free manufacturing templates&amp;R&amp;8Page &amp;P of &amp;N</oddFooter>
  </headerFooter>
  <rowBreaks count="2" manualBreakCount="2">
    <brk id="22" max="16383" man="1"/>
    <brk id="51"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Z63"/>
  <sheetViews>
    <sheetView showGridLines="0" workbookViewId="0"/>
  </sheetViews>
  <sheetFormatPr defaultRowHeight="15"/>
  <cols>
    <col min="1" max="1" width="2.7109375" customWidth="1"/>
    <col min="2" max="19" width="12.7109375" customWidth="1"/>
    <col min="20" max="20" width="12.28515625" customWidth="1"/>
    <col min="21" max="21" width="10.7109375" customWidth="1"/>
    <col min="22" max="22" width="8.7109375" customWidth="1"/>
    <col min="23" max="24" width="12.28515625" customWidth="1"/>
    <col min="25" max="25" width="24.7109375" customWidth="1"/>
    <col min="26" max="26" width="28.7109375" customWidth="1"/>
  </cols>
  <sheetData>
    <row r="1" spans="1:26" ht="30"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 customHeight="1">
      <c r="B2" s="2" t="s">
        <v>26</v>
      </c>
      <c r="C2" s="2"/>
      <c r="D2" s="2"/>
      <c r="E2" s="2"/>
      <c r="F2" s="2"/>
      <c r="G2" s="2"/>
      <c r="H2" s="2"/>
      <c r="I2" s="2"/>
      <c r="J2" s="2"/>
      <c r="K2" s="2"/>
      <c r="L2" s="2"/>
      <c r="M2" s="2"/>
      <c r="N2" s="2"/>
      <c r="O2" s="2"/>
      <c r="P2" s="2"/>
      <c r="Q2" s="2"/>
      <c r="R2" s="2"/>
      <c r="S2" s="2"/>
      <c r="T2" s="2"/>
      <c r="U2" s="2"/>
      <c r="V2" s="2"/>
      <c r="W2" s="2"/>
      <c r="X2" s="2"/>
      <c r="Y2" s="2"/>
      <c r="Z2" s="3" t="s">
        <v>2</v>
      </c>
    </row>
    <row r="3" spans="1:26" ht="6" customHeight="1"/>
    <row r="4" spans="1:26" ht="30" customHeight="1">
      <c r="B4" s="67" t="s">
        <v>275</v>
      </c>
      <c r="C4" s="67"/>
      <c r="D4" s="22" t="str">
        <f>IF(COUNTIF($K$11:$K$34,"PASS")=24,"PASS","FAIL")</f>
        <v>PASS</v>
      </c>
      <c r="E4" s="22"/>
      <c r="F4" s="23" t="str">
        <f>COUNTIF($K$11:$K$34,"PASS")&amp;" of 24 checks pass"</f>
        <v>24 of 24 checks pass</v>
      </c>
      <c r="G4" s="23"/>
      <c r="H4" s="23"/>
      <c r="I4" s="23"/>
      <c r="J4" s="23"/>
    </row>
    <row r="6" spans="1:26" ht="29.4" customHeight="1">
      <c r="B6" s="10" t="s">
        <v>276</v>
      </c>
      <c r="C6" s="10"/>
      <c r="D6" s="10"/>
      <c r="E6" s="10"/>
      <c r="F6" s="10"/>
      <c r="G6" s="10"/>
      <c r="H6" s="10"/>
      <c r="I6" s="10"/>
      <c r="J6" s="10"/>
      <c r="K6" s="10"/>
      <c r="L6" s="10"/>
    </row>
    <row r="8" spans="1:26" ht="21" customHeight="1">
      <c r="B8" s="8" t="s">
        <v>277</v>
      </c>
      <c r="C8" s="8"/>
      <c r="D8" s="8"/>
      <c r="E8" s="8"/>
      <c r="F8" s="8"/>
      <c r="G8" s="8"/>
      <c r="H8" s="8"/>
      <c r="I8" s="8"/>
      <c r="J8" s="8"/>
      <c r="K8" s="8"/>
      <c r="L8" s="8"/>
    </row>
    <row r="9" spans="1:26" ht="5" customHeight="1"/>
    <row r="10" spans="1:26" ht="30" customHeight="1">
      <c r="B10" s="31" t="s">
        <v>278</v>
      </c>
      <c r="C10" s="53" t="s">
        <v>148</v>
      </c>
      <c r="D10" s="53"/>
      <c r="E10" s="53"/>
      <c r="F10" s="53"/>
      <c r="G10" s="31" t="s">
        <v>279</v>
      </c>
      <c r="H10" s="31" t="s">
        <v>280</v>
      </c>
      <c r="I10" s="31" t="s">
        <v>281</v>
      </c>
      <c r="J10" s="31" t="s">
        <v>282</v>
      </c>
      <c r="K10" s="31" t="s">
        <v>283</v>
      </c>
    </row>
    <row r="11" spans="1:26" ht="16.2" customHeight="1">
      <c r="B11" s="68">
        <v>1</v>
      </c>
      <c r="C11" s="65" t="s">
        <v>284</v>
      </c>
      <c r="D11" s="65"/>
      <c r="E11" s="65"/>
      <c r="F11" s="65"/>
      <c r="G11" s="69">
        <v>600</v>
      </c>
      <c r="H11" s="38">
        <f>$R$60</f>
        <v>600</v>
      </c>
      <c r="I11" s="70">
        <f>IF(AND(ISNUMBER($G$11),ISNUMBER($H$11)),ABS($H$11-$G$11),"")</f>
        <v>0</v>
      </c>
      <c r="J11" s="71">
        <v>1E-06</v>
      </c>
      <c r="K11" s="41" t="str">
        <f>IF(AND(ISNUMBER($G$11),ISNUMBER($H$11)),IF(ABS($H$11-$G$11)&lt;=$J$11,"PASS","FAIL"),"FAIL")</f>
        <v>PASS</v>
      </c>
    </row>
    <row r="12" spans="1:26" ht="16.2" customHeight="1">
      <c r="B12" s="68">
        <v>2</v>
      </c>
      <c r="C12" s="65" t="s">
        <v>285</v>
      </c>
      <c r="D12" s="65"/>
      <c r="E12" s="65"/>
      <c r="F12" s="65"/>
      <c r="G12" s="69">
        <v>0</v>
      </c>
      <c r="H12" s="38">
        <f>$S$60</f>
        <v>0</v>
      </c>
      <c r="I12" s="70">
        <f>IF(AND(ISNUMBER($G$12),ISNUMBER($H$12)),ABS($H$12-$G$12),"")</f>
        <v>0</v>
      </c>
      <c r="J12" s="71">
        <v>1E-06</v>
      </c>
      <c r="K12" s="41" t="str">
        <f>IF(AND(ISNUMBER($G$12),ISNUMBER($H$12)),IF(ABS($H$12-$G$12)&lt;=$J$12,"PASS","FAIL"),"FAIL")</f>
        <v>PASS</v>
      </c>
    </row>
    <row r="13" spans="1:26" ht="16.2" customHeight="1">
      <c r="B13" s="68">
        <v>3</v>
      </c>
      <c r="C13" s="65" t="s">
        <v>286</v>
      </c>
      <c r="D13" s="65"/>
      <c r="E13" s="65"/>
      <c r="F13" s="65"/>
      <c r="G13" s="69">
        <v>14400</v>
      </c>
      <c r="H13" s="38">
        <f>$T$60</f>
        <v>14400</v>
      </c>
      <c r="I13" s="70">
        <f>IF(AND(ISNUMBER($G$13),ISNUMBER($H$13)),ABS($H$13-$G$13),"")</f>
        <v>0</v>
      </c>
      <c r="J13" s="71">
        <v>1E-06</v>
      </c>
      <c r="K13" s="41" t="str">
        <f>IF(AND(ISNUMBER($G$13),ISNUMBER($H$13)),IF(ABS($H$13-$G$13)&lt;=$J$13,"PASS","FAIL"),"FAIL")</f>
        <v>PASS</v>
      </c>
    </row>
    <row r="14" spans="1:26" ht="16.2" customHeight="1">
      <c r="B14" s="68">
        <v>4</v>
      </c>
      <c r="C14" s="65" t="s">
        <v>287</v>
      </c>
      <c r="D14" s="65"/>
      <c r="E14" s="65"/>
      <c r="F14" s="65"/>
      <c r="G14" s="72">
        <v>14.4</v>
      </c>
      <c r="H14" s="39">
        <f>$U$60</f>
        <v>14.4</v>
      </c>
      <c r="I14" s="70">
        <f>IF(AND(ISNUMBER($G$14),ISNUMBER($H$14)),ABS($H$14-$G$14),"")</f>
        <v>0</v>
      </c>
      <c r="J14" s="71">
        <v>1E-09</v>
      </c>
      <c r="K14" s="41" t="str">
        <f>IF(AND(ISNUMBER($G$14),ISNUMBER($H$14)),IF(ABS($H$14-$G$14)&lt;=$J$14,"PASS","FAIL"),"FAIL")</f>
        <v>PASS</v>
      </c>
    </row>
    <row r="15" spans="1:26" ht="16.2" customHeight="1">
      <c r="B15" s="68">
        <v>5</v>
      </c>
      <c r="C15" s="65" t="s">
        <v>288</v>
      </c>
      <c r="D15" s="65"/>
      <c r="E15" s="65"/>
      <c r="F15" s="65"/>
      <c r="G15" s="58">
        <v>0.2</v>
      </c>
      <c r="H15" s="40">
        <f>$V$60</f>
        <v>0.2</v>
      </c>
      <c r="I15" s="70">
        <f>IF(AND(ISNUMBER($G$15),ISNUMBER($H$15)),ABS($H$15-$G$15),"")</f>
        <v>0</v>
      </c>
      <c r="J15" s="71">
        <v>1E-09</v>
      </c>
      <c r="K15" s="41" t="str">
        <f>IF(AND(ISNUMBER($G$15),ISNUMBER($H$15)),IF(ABS($H$15-$G$15)&lt;=$J$15,"PASS","FAIL"),"FAIL")</f>
        <v>PASS</v>
      </c>
    </row>
    <row r="16" spans="1:26" ht="16.2" customHeight="1">
      <c r="B16" s="68">
        <v>6</v>
      </c>
      <c r="C16" s="65" t="s">
        <v>289</v>
      </c>
      <c r="D16" s="65"/>
      <c r="E16" s="65"/>
      <c r="F16" s="65"/>
      <c r="G16" s="69">
        <v>781.2</v>
      </c>
      <c r="H16" s="38">
        <f>$R$61</f>
        <v>781.2</v>
      </c>
      <c r="I16" s="70">
        <f>IF(AND(ISNUMBER($G$16),ISNUMBER($H$16)),ABS($H$16-$G$16),"")</f>
        <v>0</v>
      </c>
      <c r="J16" s="71">
        <v>1E-06</v>
      </c>
      <c r="K16" s="41" t="str">
        <f>IF(AND(ISNUMBER($G$16),ISNUMBER($H$16)),IF(ABS($H$16-$G$16)&lt;=$J$16,"PASS","FAIL"),"FAIL")</f>
        <v>PASS</v>
      </c>
    </row>
    <row r="17" spans="2:11" ht="16.2" customHeight="1">
      <c r="B17" s="68">
        <v>7</v>
      </c>
      <c r="C17" s="65" t="s">
        <v>290</v>
      </c>
      <c r="D17" s="65"/>
      <c r="E17" s="65"/>
      <c r="F17" s="65"/>
      <c r="G17" s="69">
        <v>6975</v>
      </c>
      <c r="H17" s="38">
        <f>$S$61</f>
        <v>6975</v>
      </c>
      <c r="I17" s="70">
        <f>IF(AND(ISNUMBER($G$17),ISNUMBER($H$17)),ABS($H$17-$G$17),"")</f>
        <v>0</v>
      </c>
      <c r="J17" s="71">
        <v>1E-06</v>
      </c>
      <c r="K17" s="41" t="str">
        <f>IF(AND(ISNUMBER($G$17),ISNUMBER($H$17)),IF(ABS($H$17-$G$17)&lt;=$J$17,"PASS","FAIL"),"FAIL")</f>
        <v>PASS</v>
      </c>
    </row>
    <row r="18" spans="2:11" ht="16.2" customHeight="1">
      <c r="B18" s="68">
        <v>8</v>
      </c>
      <c r="C18" s="65" t="s">
        <v>291</v>
      </c>
      <c r="D18" s="65"/>
      <c r="E18" s="65"/>
      <c r="F18" s="65"/>
      <c r="G18" s="69">
        <v>37654.9</v>
      </c>
      <c r="H18" s="38">
        <f>$T$61</f>
        <v>37654.9</v>
      </c>
      <c r="I18" s="70">
        <f>IF(AND(ISNUMBER($G$18),ISNUMBER($H$18)),ABS($H$18-$G$18),"")</f>
        <v>0</v>
      </c>
      <c r="J18" s="71">
        <v>1E-06</v>
      </c>
      <c r="K18" s="41" t="str">
        <f>IF(AND(ISNUMBER($G$18),ISNUMBER($H$18)),IF(ABS($H$18-$G$18)&lt;=$J$18,"PASS","FAIL"),"FAIL")</f>
        <v>PASS</v>
      </c>
    </row>
    <row r="19" spans="2:11" ht="16.2" customHeight="1">
      <c r="B19" s="68">
        <v>9</v>
      </c>
      <c r="C19" s="65" t="s">
        <v>292</v>
      </c>
      <c r="D19" s="65"/>
      <c r="E19" s="65"/>
      <c r="F19" s="65"/>
      <c r="G19" s="72">
        <v>62.75816666666667</v>
      </c>
      <c r="H19" s="39">
        <f>$U$61</f>
        <v>62.7581666666667</v>
      </c>
      <c r="I19" s="70">
        <f>IF(AND(ISNUMBER($G$19),ISNUMBER($H$19)),ABS($H$19-$G$19),"")</f>
        <v>0</v>
      </c>
      <c r="J19" s="71">
        <v>1E-09</v>
      </c>
      <c r="K19" s="41" t="str">
        <f>IF(AND(ISNUMBER($G$19),ISNUMBER($H$19)),IF(ABS($H$19-$G$19)&lt;=$J$19,"PASS","FAIL"),"FAIL")</f>
        <v>PASS</v>
      </c>
    </row>
    <row r="20" spans="2:11" ht="16.2" customHeight="1">
      <c r="B20" s="68">
        <v>10</v>
      </c>
      <c r="C20" s="65" t="s">
        <v>293</v>
      </c>
      <c r="D20" s="65"/>
      <c r="E20" s="65"/>
      <c r="F20" s="65"/>
      <c r="G20" s="58">
        <v>0.3496379928315412</v>
      </c>
      <c r="H20" s="40">
        <f>$V$61</f>
        <v>0.349637992831541</v>
      </c>
      <c r="I20" s="70">
        <f>IF(AND(ISNUMBER($G$20),ISNUMBER($H$20)),ABS($H$20-$G$20),"")</f>
        <v>0</v>
      </c>
      <c r="J20" s="71">
        <v>1E-09</v>
      </c>
      <c r="K20" s="41" t="str">
        <f>IF(AND(ISNUMBER($G$20),ISNUMBER($H$20)),IF(ABS($H$20-$G$20)&lt;=$J$20,"PASS","FAIL"),"FAIL")</f>
        <v>PASS</v>
      </c>
    </row>
    <row r="21" spans="2:11" ht="16.2" customHeight="1">
      <c r="B21" s="68">
        <v>11</v>
      </c>
      <c r="C21" s="65" t="s">
        <v>294</v>
      </c>
      <c r="D21" s="65"/>
      <c r="E21" s="65"/>
      <c r="F21" s="65"/>
      <c r="G21" s="69">
        <v>0</v>
      </c>
      <c r="H21" s="38">
        <f>$R$62</f>
        <v>0</v>
      </c>
      <c r="I21" s="70">
        <f>IF(AND(ISNUMBER($G$21),ISNUMBER($H$21)),ABS($H$21-$G$21),"")</f>
        <v>0</v>
      </c>
      <c r="J21" s="71">
        <v>1E-06</v>
      </c>
      <c r="K21" s="41" t="str">
        <f>IF(AND(ISNUMBER($G$21),ISNUMBER($H$21)),IF(ABS($H$21-$G$21)&lt;=$J$21,"PASS","FAIL"),"FAIL")</f>
        <v>PASS</v>
      </c>
    </row>
    <row r="22" spans="2:11" ht="16.2" customHeight="1">
      <c r="B22" s="68">
        <v>12</v>
      </c>
      <c r="C22" s="65" t="s">
        <v>295</v>
      </c>
      <c r="D22" s="65"/>
      <c r="E22" s="65"/>
      <c r="F22" s="65"/>
      <c r="G22" s="69">
        <v>0</v>
      </c>
      <c r="H22" s="38">
        <f>$S$62</f>
        <v>0</v>
      </c>
      <c r="I22" s="70">
        <f>IF(AND(ISNUMBER($G$22),ISNUMBER($H$22)),ABS($H$22-$G$22),"")</f>
        <v>0</v>
      </c>
      <c r="J22" s="71">
        <v>1E-06</v>
      </c>
      <c r="K22" s="41" t="str">
        <f>IF(AND(ISNUMBER($G$22),ISNUMBER($H$22)),IF(ABS($H$22-$G$22)&lt;=$J$22,"PASS","FAIL"),"FAIL")</f>
        <v>PASS</v>
      </c>
    </row>
    <row r="23" spans="2:11" ht="16.2" customHeight="1">
      <c r="B23" s="68">
        <v>13</v>
      </c>
      <c r="C23" s="65" t="s">
        <v>296</v>
      </c>
      <c r="D23" s="65"/>
      <c r="E23" s="65"/>
      <c r="F23" s="65"/>
      <c r="G23" s="69">
        <v>16712.7</v>
      </c>
      <c r="H23" s="38">
        <f>$T$62</f>
        <v>16712.7</v>
      </c>
      <c r="I23" s="70">
        <f>IF(AND(ISNUMBER($G$23),ISNUMBER($H$23)),ABS($H$23-$G$23),"")</f>
        <v>0</v>
      </c>
      <c r="J23" s="71">
        <v>1E-06</v>
      </c>
      <c r="K23" s="41" t="str">
        <f>IF(AND(ISNUMBER($G$23),ISNUMBER($H$23)),IF(ABS($H$23-$G$23)&lt;=$J$23,"PASS","FAIL"),"FAIL")</f>
        <v>PASS</v>
      </c>
    </row>
    <row r="24" spans="2:11" ht="16.2" customHeight="1">
      <c r="B24" s="68">
        <v>14</v>
      </c>
      <c r="C24" s="65" t="s">
        <v>297</v>
      </c>
      <c r="D24" s="65"/>
      <c r="E24" s="65"/>
      <c r="F24" s="65"/>
      <c r="G24" s="72">
        <v>33.4254</v>
      </c>
      <c r="H24" s="39">
        <f>$U$62</f>
        <v>33.4254</v>
      </c>
      <c r="I24" s="70">
        <f>IF(AND(ISNUMBER($G$24),ISNUMBER($H$24)),ABS($H$24-$G$24),"")</f>
        <v>0</v>
      </c>
      <c r="J24" s="71">
        <v>1E-09</v>
      </c>
      <c r="K24" s="41" t="str">
        <f>IF(AND(ISNUMBER($G$24),ISNUMBER($H$24)),IF(ABS($H$24-$G$24)&lt;=$J$24,"PASS","FAIL"),"FAIL")</f>
        <v>PASS</v>
      </c>
    </row>
    <row r="25" spans="2:11" ht="16.2" customHeight="1">
      <c r="B25" s="68">
        <v>15</v>
      </c>
      <c r="C25" s="65" t="s">
        <v>298</v>
      </c>
      <c r="D25" s="65"/>
      <c r="E25" s="65"/>
      <c r="F25" s="65"/>
      <c r="G25" s="58">
        <v>0.05111320754716986</v>
      </c>
      <c r="H25" s="40">
        <f>$V$62</f>
        <v>0.0511132075471699</v>
      </c>
      <c r="I25" s="70">
        <f>IF(AND(ISNUMBER($G$25),ISNUMBER($H$25)),ABS($H$25-$G$25),"")</f>
        <v>0</v>
      </c>
      <c r="J25" s="71">
        <v>1E-09</v>
      </c>
      <c r="K25" s="41" t="str">
        <f>IF(AND(ISNUMBER($G$25),ISNUMBER($H$25)),IF(ABS($H$25-$G$25)&lt;=$J$25,"PASS","FAIL"),"FAIL")</f>
        <v>PASS</v>
      </c>
    </row>
    <row r="26" spans="2:11" ht="16.2" customHeight="1">
      <c r="B26" s="68">
        <v>16</v>
      </c>
      <c r="C26" s="65" t="s">
        <v>299</v>
      </c>
      <c r="D26" s="65"/>
      <c r="E26" s="65"/>
      <c r="F26" s="65"/>
      <c r="G26" s="64" t="s">
        <v>300</v>
      </c>
      <c r="H26" s="35" t="str">
        <f>$W$60</f>
        <v>On target</v>
      </c>
      <c r="I26" s="35"/>
      <c r="J26" s="66" t="s">
        <v>301</v>
      </c>
      <c r="K26" s="41" t="str">
        <f>IF($H$26&amp;""=$G$26&amp;"","PASS","FAIL")</f>
        <v>PASS</v>
      </c>
    </row>
    <row r="27" spans="2:11" ht="16.2" customHeight="1">
      <c r="B27" s="68">
        <v>17</v>
      </c>
      <c r="C27" s="65" t="s">
        <v>302</v>
      </c>
      <c r="D27" s="65"/>
      <c r="E27" s="65"/>
      <c r="F27" s="65"/>
      <c r="G27" s="64" t="s">
        <v>303</v>
      </c>
      <c r="H27" s="35" t="str">
        <f>$W$61</f>
        <v>Above target</v>
      </c>
      <c r="I27" s="35"/>
      <c r="J27" s="66" t="s">
        <v>301</v>
      </c>
      <c r="K27" s="41" t="str">
        <f>IF($H$27&amp;""=$G$27&amp;"","PASS","FAIL")</f>
        <v>PASS</v>
      </c>
    </row>
    <row r="28" spans="2:11" ht="16.2" customHeight="1">
      <c r="B28" s="68">
        <v>18</v>
      </c>
      <c r="C28" s="65" t="s">
        <v>304</v>
      </c>
      <c r="D28" s="65"/>
      <c r="E28" s="65"/>
      <c r="F28" s="65"/>
      <c r="G28" s="64" t="s">
        <v>305</v>
      </c>
      <c r="H28" s="35" t="str">
        <f>$Y$63</f>
        <v>Part not on Setup list</v>
      </c>
      <c r="I28" s="35"/>
      <c r="J28" s="66" t="s">
        <v>301</v>
      </c>
      <c r="K28" s="41" t="str">
        <f>IF($H$28&amp;""=$G$28&amp;"","PASS","FAIL")</f>
        <v>PASS</v>
      </c>
    </row>
    <row r="29" spans="2:11" ht="16.2" customHeight="1">
      <c r="B29" s="68">
        <v>19</v>
      </c>
      <c r="C29" s="65" t="s">
        <v>306</v>
      </c>
      <c r="D29" s="65"/>
      <c r="E29" s="65"/>
      <c r="F29" s="65"/>
      <c r="G29" s="64" t="s">
        <v>307</v>
      </c>
      <c r="H29" s="35" t="str">
        <f>$Y$60</f>
        <v>OK</v>
      </c>
      <c r="I29" s="35"/>
      <c r="J29" s="66" t="s">
        <v>301</v>
      </c>
      <c r="K29" s="41" t="str">
        <f>IF($H$29&amp;""=$G$29&amp;"","PASS","FAIL")</f>
        <v>PASS</v>
      </c>
    </row>
    <row r="30" spans="2:11" ht="16.2" customHeight="1">
      <c r="B30" s="68">
        <v>20</v>
      </c>
      <c r="C30" s="65" t="s">
        <v>308</v>
      </c>
      <c r="D30" s="65"/>
      <c r="E30" s="65"/>
      <c r="F30" s="65"/>
      <c r="G30" s="69">
        <v>69474.10000000001</v>
      </c>
      <c r="H30" s="38">
        <f>SUMIFS(tblVerifyShipments[Landed cost],tblVerifyShipments[View date],"&gt;0")</f>
        <v>69474.1</v>
      </c>
      <c r="I30" s="70">
        <f>IF(AND(ISNUMBER($G$30),ISNUMBER($H$30)),ABS($H$30-$G$30),"")</f>
        <v>0</v>
      </c>
      <c r="J30" s="71">
        <v>1E-06</v>
      </c>
      <c r="K30" s="41" t="str">
        <f>IF(AND(ISNUMBER($G$30),ISNUMBER($H$30)),IF(ABS($H$30-$G$30)&lt;=$J$30,"PASS","FAIL"),"FAIL")</f>
        <v>PASS</v>
      </c>
    </row>
    <row r="31" spans="2:11" ht="16.2" customHeight="1">
      <c r="B31" s="68">
        <v>21</v>
      </c>
      <c r="C31" s="65" t="s">
        <v>309</v>
      </c>
      <c r="D31" s="65"/>
      <c r="E31" s="65"/>
      <c r="F31" s="65"/>
      <c r="G31" s="58">
        <v>0.2339982238010658</v>
      </c>
      <c r="H31" s="40">
        <f>IF(SUMIFS(tblVerifyShipments[Goods value],tblVerifyShipments[View date],"&gt;0")=0,"",SUMIFS(tblVerifyShipments[Landed cost],tblVerifyShipments[View date],"&gt;0")/SUMIFS(tblVerifyShipments[Goods value],tblVerifyShipments[View date],"&gt;0")-1)</f>
        <v>0.233998223801066</v>
      </c>
      <c r="I31" s="70">
        <f>IF(AND(ISNUMBER($G$31),ISNUMBER($H$31)),ABS($H$31-$G$31),"")</f>
        <v>0</v>
      </c>
      <c r="J31" s="71">
        <v>1E-09</v>
      </c>
      <c r="K31" s="41" t="str">
        <f>IF(AND(ISNUMBER($G$31),ISNUMBER($H$31)),IF(ABS($H$31-$G$31)&lt;=$J$31,"PASS","FAIL"),"FAIL")</f>
        <v>PASS</v>
      </c>
    </row>
    <row r="32" spans="2:11" ht="16.2" customHeight="1">
      <c r="B32" s="68">
        <v>22</v>
      </c>
      <c r="C32" s="65" t="s">
        <v>310</v>
      </c>
      <c r="D32" s="65"/>
      <c r="E32" s="65"/>
      <c r="F32" s="65"/>
      <c r="G32" s="69">
        <v>8371.200000000001</v>
      </c>
      <c r="H32" s="38">
        <f>SUMIFS(tblVerifyShipments[Duty],tblVerifyShipments[View date],"&gt;0")+SUMIFS(tblVerifyShipments[Tariff],tblVerifyShipments[View date],"&gt;0")</f>
        <v>8371.2</v>
      </c>
      <c r="I32" s="70">
        <f>IF(AND(ISNUMBER($G$32),ISNUMBER($H$32)),ABS($H$32-$G$32),"")</f>
        <v>0</v>
      </c>
      <c r="J32" s="71">
        <v>1E-06</v>
      </c>
      <c r="K32" s="41" t="str">
        <f>IF(AND(ISNUMBER($G$32),ISNUMBER($H$32)),IF(ABS($H$32-$G$32)&lt;=$J$32,"PASS","FAIL"),"FAIL")</f>
        <v>PASS</v>
      </c>
    </row>
    <row r="33" spans="2:12" ht="29.4" customHeight="1">
      <c r="B33" s="68">
        <v>23</v>
      </c>
      <c r="C33" s="65" t="s">
        <v>311</v>
      </c>
      <c r="D33" s="65"/>
      <c r="E33" s="65"/>
      <c r="F33" s="65"/>
      <c r="G33" s="69">
        <v>5630</v>
      </c>
      <c r="H33" s="38">
        <f>SUMIFS(tblVerifyShipments[Customs value],tblVerifyShipments[View date],"&gt;0")*$E$45</f>
        <v>5630</v>
      </c>
      <c r="I33" s="70">
        <f>IF(AND(ISNUMBER($G$33),ISNUMBER($H$33)),ABS($H$33-$G$33),"")</f>
        <v>0</v>
      </c>
      <c r="J33" s="71">
        <v>1E-06</v>
      </c>
      <c r="K33" s="41" t="str">
        <f>IF(AND(ISNUMBER($G$33),ISNUMBER($H$33)),IF(ABS($H$33-$G$33)&lt;=$J$33,"PASS","FAIL"),"FAIL")</f>
        <v>PASS</v>
      </c>
    </row>
    <row r="34" spans="2:12" ht="29.4" customHeight="1">
      <c r="B34" s="68">
        <v>24</v>
      </c>
      <c r="C34" s="65" t="s">
        <v>312</v>
      </c>
      <c r="D34" s="65"/>
      <c r="E34" s="65"/>
      <c r="F34" s="65"/>
      <c r="G34" s="69">
        <v>1500.5886</v>
      </c>
      <c r="H34" s="38">
        <f>SUMPRODUCT((tblVerifyShipments[Goods value]+tblVerifyShipments[Freight intl]+tblVerifyShipments[Insurance])*tblVerifyShipments[Duty rate])</f>
        <v>1500.5886</v>
      </c>
      <c r="I34" s="70">
        <f>IF(AND(ISNUMBER($G$34),ISNUMBER($H$34)),ABS($H$34-$G$34),"")</f>
        <v>0</v>
      </c>
      <c r="J34" s="71">
        <v>1E-06</v>
      </c>
      <c r="K34" s="41" t="str">
        <f>IF(AND(ISNUMBER($G$34),ISNUMBER($H$34)),IF(ABS($H$34-$G$34)&lt;=$J$34,"PASS","FAIL"),"FAIL")</f>
        <v>PASS</v>
      </c>
    </row>
    <row r="36" spans="2:12" ht="21" customHeight="1">
      <c r="B36" s="8" t="s">
        <v>313</v>
      </c>
      <c r="C36" s="8"/>
      <c r="D36" s="8"/>
      <c r="E36" s="8"/>
      <c r="F36" s="8"/>
      <c r="G36" s="8"/>
      <c r="H36" s="8"/>
      <c r="I36" s="8"/>
      <c r="J36" s="8"/>
      <c r="K36" s="8"/>
      <c r="L36" s="8"/>
    </row>
    <row r="37" spans="2:12" ht="5" customHeight="1"/>
    <row r="38" spans="2:12">
      <c r="B38" s="21" t="s">
        <v>314</v>
      </c>
      <c r="C38" s="21"/>
      <c r="D38" s="21"/>
      <c r="E38" s="21"/>
      <c r="F38" s="21"/>
      <c r="G38" s="21"/>
      <c r="H38" s="21"/>
      <c r="I38" s="21"/>
      <c r="J38" s="21"/>
      <c r="K38" s="21"/>
      <c r="L38" s="21"/>
    </row>
    <row r="39" spans="2:12">
      <c r="B39" s="30" t="s">
        <v>315</v>
      </c>
      <c r="C39" s="30"/>
      <c r="D39" s="30"/>
      <c r="E39" s="30"/>
      <c r="F39" s="30"/>
    </row>
    <row r="40" spans="2:12">
      <c r="B40" s="27" t="s">
        <v>316</v>
      </c>
      <c r="C40" s="27"/>
      <c r="D40" s="27"/>
      <c r="E40" s="73">
        <v>0</v>
      </c>
      <c r="F40" s="7"/>
    </row>
    <row r="41" spans="2:12">
      <c r="B41" s="27" t="s">
        <v>317</v>
      </c>
      <c r="C41" s="27"/>
      <c r="D41" s="27"/>
      <c r="E41" s="73">
        <v>2958465</v>
      </c>
      <c r="F41" s="7"/>
    </row>
    <row r="42" spans="2:12">
      <c r="B42" s="27" t="s">
        <v>318</v>
      </c>
      <c r="C42" s="27"/>
      <c r="D42" s="27"/>
      <c r="E42" s="64" t="s">
        <v>83</v>
      </c>
      <c r="F42" s="64"/>
    </row>
    <row r="43" spans="2:12">
      <c r="B43" s="27" t="s">
        <v>319</v>
      </c>
      <c r="C43" s="27"/>
      <c r="D43" s="27"/>
      <c r="E43" s="64" t="s">
        <v>73</v>
      </c>
      <c r="F43" s="64"/>
    </row>
    <row r="44" spans="2:12">
      <c r="B44" s="27" t="s">
        <v>218</v>
      </c>
      <c r="C44" s="27"/>
      <c r="D44" s="27"/>
      <c r="E44" s="58">
        <v>0.25</v>
      </c>
      <c r="F44" s="7"/>
    </row>
    <row r="45" spans="2:12">
      <c r="B45" s="27" t="s">
        <v>320</v>
      </c>
      <c r="C45" s="27"/>
      <c r="D45" s="27"/>
      <c r="E45" s="58">
        <v>0.1</v>
      </c>
      <c r="F45" s="7"/>
    </row>
    <row r="47" spans="2:12">
      <c r="B47" s="30" t="s">
        <v>321</v>
      </c>
      <c r="C47" s="30"/>
      <c r="D47" s="30"/>
      <c r="E47" s="30"/>
      <c r="F47" s="30"/>
      <c r="G47" s="30"/>
      <c r="H47" s="30"/>
      <c r="I47" s="30"/>
      <c r="J47" s="30"/>
      <c r="K47" s="30"/>
      <c r="L47" s="30"/>
    </row>
    <row r="48" spans="2:12" ht="20" customHeight="1">
      <c r="B48" s="31" t="s">
        <v>64</v>
      </c>
      <c r="C48" s="31" t="s">
        <v>65</v>
      </c>
      <c r="D48" s="31" t="s">
        <v>62</v>
      </c>
      <c r="E48" s="31" t="s">
        <v>66</v>
      </c>
    </row>
    <row r="49" spans="2:26">
      <c r="B49" s="64" t="s">
        <v>322</v>
      </c>
      <c r="C49" s="64" t="s">
        <v>323</v>
      </c>
      <c r="D49" s="64" t="s">
        <v>83</v>
      </c>
      <c r="E49" s="64" t="s">
        <v>109</v>
      </c>
    </row>
    <row r="50" spans="2:26">
      <c r="B50" s="64" t="s">
        <v>324</v>
      </c>
      <c r="C50" s="64" t="s">
        <v>323</v>
      </c>
      <c r="D50" s="64" t="s">
        <v>83</v>
      </c>
      <c r="E50" s="64" t="s">
        <v>109</v>
      </c>
    </row>
    <row r="52" spans="2:26">
      <c r="B52" s="30" t="s">
        <v>325</v>
      </c>
      <c r="C52" s="30"/>
      <c r="D52" s="30"/>
      <c r="E52" s="30"/>
      <c r="F52" s="30"/>
      <c r="G52" s="30"/>
      <c r="H52" s="30"/>
      <c r="I52" s="30"/>
      <c r="J52" s="30"/>
      <c r="K52" s="30"/>
      <c r="L52" s="30"/>
    </row>
    <row r="53" spans="2:26" ht="20" customHeight="1">
      <c r="B53" s="31" t="s">
        <v>63</v>
      </c>
      <c r="C53" s="31" t="s">
        <v>60</v>
      </c>
      <c r="D53" s="31" t="s">
        <v>62</v>
      </c>
    </row>
    <row r="54" spans="2:26">
      <c r="B54" s="64" t="s">
        <v>326</v>
      </c>
      <c r="C54" s="64" t="s">
        <v>327</v>
      </c>
      <c r="D54" s="64" t="s">
        <v>83</v>
      </c>
    </row>
    <row r="55" spans="2:26">
      <c r="B55" s="64" t="s">
        <v>328</v>
      </c>
      <c r="C55" s="64" t="s">
        <v>329</v>
      </c>
      <c r="D55" s="64" t="s">
        <v>83</v>
      </c>
    </row>
    <row r="57" spans="2:26">
      <c r="B57" s="30" t="s">
        <v>330</v>
      </c>
      <c r="C57" s="30"/>
      <c r="D57" s="30"/>
      <c r="E57" s="30"/>
      <c r="F57" s="30"/>
      <c r="G57" s="30"/>
      <c r="H57" s="30"/>
      <c r="I57" s="30"/>
      <c r="J57" s="30"/>
      <c r="K57" s="30"/>
      <c r="L57" s="30"/>
    </row>
    <row r="58" spans="2:26" ht="14" customHeight="1">
      <c r="B58" s="33"/>
      <c r="C58" s="33"/>
      <c r="D58" s="33"/>
      <c r="E58" s="33"/>
      <c r="F58" s="33"/>
      <c r="G58" s="33"/>
      <c r="H58" s="33"/>
      <c r="I58" s="33" t="str">
        <f>Currency&amp;"/unit"</f>
        <v>USD/unit</v>
      </c>
      <c r="J58" s="33" t="str">
        <f>Currency</f>
        <v>USD</v>
      </c>
      <c r="K58" s="33" t="str">
        <f>Currency</f>
        <v>USD</v>
      </c>
      <c r="L58" s="33"/>
      <c r="M58" s="33"/>
      <c r="N58" s="33" t="str">
        <f>Currency</f>
        <v>USD</v>
      </c>
      <c r="O58" s="33" t="str">
        <f>Currency</f>
        <v>USD</v>
      </c>
      <c r="P58" s="33" t="str">
        <f>Currency</f>
        <v>USD</v>
      </c>
      <c r="Q58" s="33" t="str">
        <f>Currency</f>
        <v>USD</v>
      </c>
      <c r="R58" s="33" t="str">
        <f>Currency</f>
        <v>USD</v>
      </c>
      <c r="S58" s="33" t="str">
        <f>Currency</f>
        <v>USD</v>
      </c>
      <c r="T58" s="33" t="str">
        <f>Currency</f>
        <v>USD</v>
      </c>
      <c r="U58" s="33" t="str">
        <f>Currency&amp;"/unit"</f>
        <v>USD/unit</v>
      </c>
      <c r="V58" s="33" t="s">
        <v>150</v>
      </c>
      <c r="W58" s="33"/>
      <c r="X58" s="33"/>
      <c r="Y58" s="33"/>
      <c r="Z58" s="33"/>
    </row>
    <row r="59" spans="2:26" ht="32" customHeight="1">
      <c r="B59" s="31" t="s">
        <v>129</v>
      </c>
      <c r="C59" s="31" t="s">
        <v>130</v>
      </c>
      <c r="D59" s="31" t="s">
        <v>63</v>
      </c>
      <c r="E59" s="31" t="s">
        <v>60</v>
      </c>
      <c r="F59" s="31" t="s">
        <v>64</v>
      </c>
      <c r="G59" s="31" t="s">
        <v>65</v>
      </c>
      <c r="H59" s="31" t="s">
        <v>131</v>
      </c>
      <c r="I59" s="31" t="s">
        <v>132</v>
      </c>
      <c r="J59" s="31" t="s">
        <v>133</v>
      </c>
      <c r="K59" s="31" t="s">
        <v>134</v>
      </c>
      <c r="L59" s="31" t="s">
        <v>135</v>
      </c>
      <c r="M59" s="31" t="s">
        <v>136</v>
      </c>
      <c r="N59" s="31" t="s">
        <v>137</v>
      </c>
      <c r="O59" s="31" t="s">
        <v>138</v>
      </c>
      <c r="P59" s="31" t="s">
        <v>139</v>
      </c>
      <c r="Q59" s="31" t="s">
        <v>140</v>
      </c>
      <c r="R59" s="31" t="s">
        <v>141</v>
      </c>
      <c r="S59" s="31" t="s">
        <v>142</v>
      </c>
      <c r="T59" s="31" t="s">
        <v>143</v>
      </c>
      <c r="U59" s="31" t="s">
        <v>144</v>
      </c>
      <c r="V59" s="31" t="s">
        <v>145</v>
      </c>
      <c r="W59" s="31" t="s">
        <v>146</v>
      </c>
      <c r="X59" s="31" t="s">
        <v>147</v>
      </c>
      <c r="Y59" s="31" t="s">
        <v>148</v>
      </c>
      <c r="Z59" s="31" t="s">
        <v>62</v>
      </c>
    </row>
    <row r="60" spans="2:26">
      <c r="B60" s="74">
        <v>46083</v>
      </c>
      <c r="C60" s="64" t="s">
        <v>331</v>
      </c>
      <c r="D60" s="64" t="s">
        <v>326</v>
      </c>
      <c r="E60" s="64" t="s">
        <v>327</v>
      </c>
      <c r="F60" s="64" t="s">
        <v>322</v>
      </c>
      <c r="G60" s="64" t="s">
        <v>323</v>
      </c>
      <c r="H60" s="73">
        <v>1000</v>
      </c>
      <c r="I60" s="69">
        <v>12</v>
      </c>
      <c r="J60" s="69">
        <v>1200</v>
      </c>
      <c r="K60" s="69">
        <v>60</v>
      </c>
      <c r="L60" s="58">
        <v>0.05</v>
      </c>
      <c r="M60" s="58">
        <v>0</v>
      </c>
      <c r="N60" s="69">
        <v>240</v>
      </c>
      <c r="O60" s="69">
        <v>300</v>
      </c>
      <c r="P60" s="38">
        <f>IF(tblVerifyShipments[[#This Row],[Date]]="","",tblVerifyShipments[[#This Row],[Units]]*tblVerifyShipments[[#This Row],[Unit price]])</f>
        <v>12000</v>
      </c>
      <c r="Q60" s="38">
        <f>IF(tblVerifyShipments[[#This Row],[Date]]="","",tblVerifyShipments[[#This Row],[Goods value]]+IF($E$43="CIF value",tblVerifyShipments[[#This Row],[Freight intl]]+tblVerifyShipments[[#This Row],[Insurance]],0))</f>
        <v>12000</v>
      </c>
      <c r="R60" s="38">
        <f>IF(tblVerifyShipments[[#This Row],[Date]]="","",tblVerifyShipments[[#This Row],[Customs value]]*tblVerifyShipments[[#This Row],[Duty rate]])</f>
        <v>600</v>
      </c>
      <c r="S60" s="38">
        <f>IF(tblVerifyShipments[[#This Row],[Date]]="","",tblVerifyShipments[[#This Row],[Customs value]]*tblVerifyShipments[[#This Row],[Extra tariff]])</f>
        <v>0</v>
      </c>
      <c r="T60" s="38">
        <f>IF(tblVerifyShipments[[#This Row],[Date]]="","",tblVerifyShipments[[#This Row],[Goods value]]+tblVerifyShipments[[#This Row],[Freight intl]]+tblVerifyShipments[[#This Row],[Insurance]]+tblVerifyShipments[[#This Row],[Duty]]+tblVerifyShipments[[#This Row],[Tariff]]+tblVerifyShipments[[#This Row],[Brokerage and fees]]+tblVerifyShipments[[#This Row],[Inland freight]])</f>
        <v>14400</v>
      </c>
      <c r="U60" s="39">
        <f>IF(tblVerifyShipments[[#This Row],[Date]]="","",IF(tblVerifyShipments[[#This Row],[Units]]&gt;0,tblVerifyShipments[[#This Row],[Landed cost]]/tblVerifyShipments[[#This Row],[Units]],""))</f>
        <v>14.4</v>
      </c>
      <c r="V60" s="40">
        <f>IF(tblVerifyShipments[[#This Row],[Date]]="","",IF(tblVerifyShipments[[#This Row],[Goods value]]&gt;0,tblVerifyShipments[[#This Row],[Landed cost]]/tblVerifyShipments[[#This Row],[Goods value]]-1,""))</f>
        <v>0.2</v>
      </c>
      <c r="W60" s="41" t="str">
        <f>IF(NOT(ISNUMBER(tblVerifyShipments[[#This Row],[Uplift]])),"",IF(tblVerifyShipments[[#This Row],[Uplift]]&lt;=$E$44,"On target",IF(tblVerifyShipments[[#This Row],[Uplift]]&lt;=$E$44*(1+0.05),"Near target","Above target")))</f>
        <v>On target</v>
      </c>
      <c r="X60" s="42">
        <f>IF(tblVerifyShipments[[#This Row],[Date]]="","",IF(AND(tblVerifyShipments[[#This Row],[Date]]&gt;=$E$40,tblVerifyShipments[[#This Row],[Date]]&lt;=$E$41,OR($E$42="",tblVerifyShipments[[#This Row],[Origin]]=$E$42)),tblVerifyShipments[[#This Row],[Date]],""))</f>
        <v>46083</v>
      </c>
      <c r="Y60" s="43" t="str">
        <f>IF(tblVerifyShipments[[#This Row],[Date]]="","",IF(tblVerifyShipments[[#This Row],[Entry ref]]="","Missing entry ref",IF(tblVerifyShipments[[#This Row],[Origin]]="","Missing origin",IF(tblVerifyShipments[[#This Row],[Part]]="","Missing part",IF(tblVerifyShipments[[#This Row],[Units]]="","Missing units",IF(tblVerifyShipments[[#This Row],[Unit price]]="","Missing unit price",IF(COUNTIF(tblVerifyParts[Part],tblVerifyShipments[[#This Row],[Part]])=0,"Part not on Setup list",IF(COUNTIF(tblVerifySuppliers[Supplier],tblVerifyShipments[[#This Row],[Supplier]])=0,"Supplier not on Setup list",IF(tblVerifyShipments[[#This Row],[Units]]&lt;=0,"Units must be above zero",IF(tblVerifyShipments[[#This Row],[Freight intl]]&gt;tblVerifyShipments[[#This Row],[Goods value]],"Freight above goods value: check",IF(COUNTIFS(tblVerifyShipments[Entry ref],tblVerifyShipments[[#This Row],[Entry ref]],tblVerifyShipments[Part],tblVerifyShipments[[#This Row],[Part]])&gt;1,"Duplicate entry line","OK")))))))))))</f>
        <v>OK</v>
      </c>
      <c r="Z60" s="64" t="s">
        <v>83</v>
      </c>
    </row>
    <row r="61" spans="2:26">
      <c r="B61" s="74">
        <v>46090</v>
      </c>
      <c r="C61" s="64" t="s">
        <v>332</v>
      </c>
      <c r="D61" s="64" t="s">
        <v>326</v>
      </c>
      <c r="E61" s="64" t="s">
        <v>327</v>
      </c>
      <c r="F61" s="64" t="s">
        <v>324</v>
      </c>
      <c r="G61" s="64" t="s">
        <v>323</v>
      </c>
      <c r="H61" s="73">
        <v>600</v>
      </c>
      <c r="I61" s="69">
        <v>46.5</v>
      </c>
      <c r="J61" s="69">
        <v>1350</v>
      </c>
      <c r="K61" s="69">
        <v>83.7</v>
      </c>
      <c r="L61" s="58">
        <v>0.028</v>
      </c>
      <c r="M61" s="58">
        <v>0.25</v>
      </c>
      <c r="N61" s="69">
        <v>145</v>
      </c>
      <c r="O61" s="69">
        <v>420</v>
      </c>
      <c r="P61" s="38">
        <f>IF(tblVerifyShipments[[#This Row],[Date]]="","",tblVerifyShipments[[#This Row],[Units]]*tblVerifyShipments[[#This Row],[Unit price]])</f>
        <v>27900</v>
      </c>
      <c r="Q61" s="38">
        <f>IF(tblVerifyShipments[[#This Row],[Date]]="","",tblVerifyShipments[[#This Row],[Goods value]]+IF($E$43="CIF value",tblVerifyShipments[[#This Row],[Freight intl]]+tblVerifyShipments[[#This Row],[Insurance]],0))</f>
        <v>27900</v>
      </c>
      <c r="R61" s="38">
        <f>IF(tblVerifyShipments[[#This Row],[Date]]="","",tblVerifyShipments[[#This Row],[Customs value]]*tblVerifyShipments[[#This Row],[Duty rate]])</f>
        <v>781.2</v>
      </c>
      <c r="S61" s="38">
        <f>IF(tblVerifyShipments[[#This Row],[Date]]="","",tblVerifyShipments[[#This Row],[Customs value]]*tblVerifyShipments[[#This Row],[Extra tariff]])</f>
        <v>6975</v>
      </c>
      <c r="T61" s="38">
        <f>IF(tblVerifyShipments[[#This Row],[Date]]="","",tblVerifyShipments[[#This Row],[Goods value]]+tblVerifyShipments[[#This Row],[Freight intl]]+tblVerifyShipments[[#This Row],[Insurance]]+tblVerifyShipments[[#This Row],[Duty]]+tblVerifyShipments[[#This Row],[Tariff]]+tblVerifyShipments[[#This Row],[Brokerage and fees]]+tblVerifyShipments[[#This Row],[Inland freight]])</f>
        <v>37654.9</v>
      </c>
      <c r="U61" s="39">
        <f>IF(tblVerifyShipments[[#This Row],[Date]]="","",IF(tblVerifyShipments[[#This Row],[Units]]&gt;0,tblVerifyShipments[[#This Row],[Landed cost]]/tblVerifyShipments[[#This Row],[Units]],""))</f>
        <v>62.7581666666667</v>
      </c>
      <c r="V61" s="40">
        <f>IF(tblVerifyShipments[[#This Row],[Date]]="","",IF(tblVerifyShipments[[#This Row],[Goods value]]&gt;0,tblVerifyShipments[[#This Row],[Landed cost]]/tblVerifyShipments[[#This Row],[Goods value]]-1,""))</f>
        <v>0.349637992831541</v>
      </c>
      <c r="W61" s="41" t="str">
        <f>IF(NOT(ISNUMBER(tblVerifyShipments[[#This Row],[Uplift]])),"",IF(tblVerifyShipments[[#This Row],[Uplift]]&lt;=$E$44,"On target",IF(tblVerifyShipments[[#This Row],[Uplift]]&lt;=$E$44*(1+0.05),"Near target","Above target")))</f>
        <v>Above target</v>
      </c>
      <c r="X61" s="42">
        <f>IF(tblVerifyShipments[[#This Row],[Date]]="","",IF(AND(tblVerifyShipments[[#This Row],[Date]]&gt;=$E$40,tblVerifyShipments[[#This Row],[Date]]&lt;=$E$41,OR($E$42="",tblVerifyShipments[[#This Row],[Origin]]=$E$42)),tblVerifyShipments[[#This Row],[Date]],""))</f>
        <v>46090</v>
      </c>
      <c r="Y61" s="43" t="str">
        <f>IF(tblVerifyShipments[[#This Row],[Date]]="","",IF(tblVerifyShipments[[#This Row],[Entry ref]]="","Missing entry ref",IF(tblVerifyShipments[[#This Row],[Origin]]="","Missing origin",IF(tblVerifyShipments[[#This Row],[Part]]="","Missing part",IF(tblVerifyShipments[[#This Row],[Units]]="","Missing units",IF(tblVerifyShipments[[#This Row],[Unit price]]="","Missing unit price",IF(COUNTIF(tblVerifyParts[Part],tblVerifyShipments[[#This Row],[Part]])=0,"Part not on Setup list",IF(COUNTIF(tblVerifySuppliers[Supplier],tblVerifyShipments[[#This Row],[Supplier]])=0,"Supplier not on Setup list",IF(tblVerifyShipments[[#This Row],[Units]]&lt;=0,"Units must be above zero",IF(tblVerifyShipments[[#This Row],[Freight intl]]&gt;tblVerifyShipments[[#This Row],[Goods value]],"Freight above goods value: check",IF(COUNTIFS(tblVerifyShipments[Entry ref],tblVerifyShipments[[#This Row],[Entry ref]],tblVerifyShipments[Part],tblVerifyShipments[[#This Row],[Part]])&gt;1,"Duplicate entry line","OK")))))))))))</f>
        <v>OK</v>
      </c>
      <c r="Z61" s="64" t="s">
        <v>83</v>
      </c>
    </row>
    <row r="62" spans="2:26">
      <c r="B62" s="74">
        <v>46097</v>
      </c>
      <c r="C62" s="64" t="s">
        <v>333</v>
      </c>
      <c r="D62" s="64" t="s">
        <v>328</v>
      </c>
      <c r="E62" s="64" t="s">
        <v>329</v>
      </c>
      <c r="F62" s="64" t="s">
        <v>322</v>
      </c>
      <c r="G62" s="64" t="s">
        <v>323</v>
      </c>
      <c r="H62" s="73">
        <v>500</v>
      </c>
      <c r="I62" s="69">
        <v>31.8</v>
      </c>
      <c r="J62" s="69">
        <v>290</v>
      </c>
      <c r="K62" s="69">
        <v>47.7</v>
      </c>
      <c r="L62" s="58">
        <v>0</v>
      </c>
      <c r="M62" s="58">
        <v>0</v>
      </c>
      <c r="N62" s="69">
        <v>95</v>
      </c>
      <c r="O62" s="69">
        <v>380</v>
      </c>
      <c r="P62" s="38">
        <f>IF(tblVerifyShipments[[#This Row],[Date]]="","",tblVerifyShipments[[#This Row],[Units]]*tblVerifyShipments[[#This Row],[Unit price]])</f>
        <v>15900</v>
      </c>
      <c r="Q62" s="38">
        <f>IF(tblVerifyShipments[[#This Row],[Date]]="","",tblVerifyShipments[[#This Row],[Goods value]]+IF($E$43="CIF value",tblVerifyShipments[[#This Row],[Freight intl]]+tblVerifyShipments[[#This Row],[Insurance]],0))</f>
        <v>15900</v>
      </c>
      <c r="R62" s="38">
        <f>IF(tblVerifyShipments[[#This Row],[Date]]="","",tblVerifyShipments[[#This Row],[Customs value]]*tblVerifyShipments[[#This Row],[Duty rate]])</f>
        <v>0</v>
      </c>
      <c r="S62" s="38">
        <f>IF(tblVerifyShipments[[#This Row],[Date]]="","",tblVerifyShipments[[#This Row],[Customs value]]*tblVerifyShipments[[#This Row],[Extra tariff]])</f>
        <v>0</v>
      </c>
      <c r="T62" s="38">
        <f>IF(tblVerifyShipments[[#This Row],[Date]]="","",tblVerifyShipments[[#This Row],[Goods value]]+tblVerifyShipments[[#This Row],[Freight intl]]+tblVerifyShipments[[#This Row],[Insurance]]+tblVerifyShipments[[#This Row],[Duty]]+tblVerifyShipments[[#This Row],[Tariff]]+tblVerifyShipments[[#This Row],[Brokerage and fees]]+tblVerifyShipments[[#This Row],[Inland freight]])</f>
        <v>16712.7</v>
      </c>
      <c r="U62" s="39">
        <f>IF(tblVerifyShipments[[#This Row],[Date]]="","",IF(tblVerifyShipments[[#This Row],[Units]]&gt;0,tblVerifyShipments[[#This Row],[Landed cost]]/tblVerifyShipments[[#This Row],[Units]],""))</f>
        <v>33.4254</v>
      </c>
      <c r="V62" s="40">
        <f>IF(tblVerifyShipments[[#This Row],[Date]]="","",IF(tblVerifyShipments[[#This Row],[Goods value]]&gt;0,tblVerifyShipments[[#This Row],[Landed cost]]/tblVerifyShipments[[#This Row],[Goods value]]-1,""))</f>
        <v>0.0511132075471699</v>
      </c>
      <c r="W62" s="41" t="str">
        <f>IF(NOT(ISNUMBER(tblVerifyShipments[[#This Row],[Uplift]])),"",IF(tblVerifyShipments[[#This Row],[Uplift]]&lt;=$E$44,"On target",IF(tblVerifyShipments[[#This Row],[Uplift]]&lt;=$E$44*(1+0.05),"Near target","Above target")))</f>
        <v>On target</v>
      </c>
      <c r="X62" s="42">
        <f>IF(tblVerifyShipments[[#This Row],[Date]]="","",IF(AND(tblVerifyShipments[[#This Row],[Date]]&gt;=$E$40,tblVerifyShipments[[#This Row],[Date]]&lt;=$E$41,OR($E$42="",tblVerifyShipments[[#This Row],[Origin]]=$E$42)),tblVerifyShipments[[#This Row],[Date]],""))</f>
        <v>46097</v>
      </c>
      <c r="Y62" s="43" t="str">
        <f>IF(tblVerifyShipments[[#This Row],[Date]]="","",IF(tblVerifyShipments[[#This Row],[Entry ref]]="","Missing entry ref",IF(tblVerifyShipments[[#This Row],[Origin]]="","Missing origin",IF(tblVerifyShipments[[#This Row],[Part]]="","Missing part",IF(tblVerifyShipments[[#This Row],[Units]]="","Missing units",IF(tblVerifyShipments[[#This Row],[Unit price]]="","Missing unit price",IF(COUNTIF(tblVerifyParts[Part],tblVerifyShipments[[#This Row],[Part]])=0,"Part not on Setup list",IF(COUNTIF(tblVerifySuppliers[Supplier],tblVerifyShipments[[#This Row],[Supplier]])=0,"Supplier not on Setup list",IF(tblVerifyShipments[[#This Row],[Units]]&lt;=0,"Units must be above zero",IF(tblVerifyShipments[[#This Row],[Freight intl]]&gt;tblVerifyShipments[[#This Row],[Goods value]],"Freight above goods value: check",IF(COUNTIFS(tblVerifyShipments[Entry ref],tblVerifyShipments[[#This Row],[Entry ref]],tblVerifyShipments[Part],tblVerifyShipments[[#This Row],[Part]])&gt;1,"Duplicate entry line","OK")))))))))))</f>
        <v>OK</v>
      </c>
      <c r="Z62" s="64" t="s">
        <v>83</v>
      </c>
    </row>
    <row r="63" spans="2:26">
      <c r="B63" s="74">
        <v>46104</v>
      </c>
      <c r="C63" s="64" t="s">
        <v>334</v>
      </c>
      <c r="D63" s="64" t="s">
        <v>326</v>
      </c>
      <c r="E63" s="64" t="s">
        <v>327</v>
      </c>
      <c r="F63" s="64" t="s">
        <v>335</v>
      </c>
      <c r="G63" s="64" t="s">
        <v>83</v>
      </c>
      <c r="H63" s="73">
        <v>100</v>
      </c>
      <c r="I63" s="69">
        <v>5</v>
      </c>
      <c r="J63" s="69">
        <v>40</v>
      </c>
      <c r="K63" s="69">
        <v>1.5</v>
      </c>
      <c r="L63" s="58">
        <v>0.03</v>
      </c>
      <c r="M63" s="58">
        <v>0</v>
      </c>
      <c r="N63" s="69">
        <v>60</v>
      </c>
      <c r="O63" s="69">
        <v>90</v>
      </c>
      <c r="P63" s="38">
        <f>IF(tblVerifyShipments[[#This Row],[Date]]="","",tblVerifyShipments[[#This Row],[Units]]*tblVerifyShipments[[#This Row],[Unit price]])</f>
        <v>500</v>
      </c>
      <c r="Q63" s="38">
        <f>IF(tblVerifyShipments[[#This Row],[Date]]="","",tblVerifyShipments[[#This Row],[Goods value]]+IF($E$43="CIF value",tblVerifyShipments[[#This Row],[Freight intl]]+tblVerifyShipments[[#This Row],[Insurance]],0))</f>
        <v>500</v>
      </c>
      <c r="R63" s="38">
        <f>IF(tblVerifyShipments[[#This Row],[Date]]="","",tblVerifyShipments[[#This Row],[Customs value]]*tblVerifyShipments[[#This Row],[Duty rate]])</f>
        <v>15</v>
      </c>
      <c r="S63" s="38">
        <f>IF(tblVerifyShipments[[#This Row],[Date]]="","",tblVerifyShipments[[#This Row],[Customs value]]*tblVerifyShipments[[#This Row],[Extra tariff]])</f>
        <v>0</v>
      </c>
      <c r="T63" s="38">
        <f>IF(tblVerifyShipments[[#This Row],[Date]]="","",tblVerifyShipments[[#This Row],[Goods value]]+tblVerifyShipments[[#This Row],[Freight intl]]+tblVerifyShipments[[#This Row],[Insurance]]+tblVerifyShipments[[#This Row],[Duty]]+tblVerifyShipments[[#This Row],[Tariff]]+tblVerifyShipments[[#This Row],[Brokerage and fees]]+tblVerifyShipments[[#This Row],[Inland freight]])</f>
        <v>706.5</v>
      </c>
      <c r="U63" s="39">
        <f>IF(tblVerifyShipments[[#This Row],[Date]]="","",IF(tblVerifyShipments[[#This Row],[Units]]&gt;0,tblVerifyShipments[[#This Row],[Landed cost]]/tblVerifyShipments[[#This Row],[Units]],""))</f>
        <v>7.065</v>
      </c>
      <c r="V63" s="40">
        <f>IF(tblVerifyShipments[[#This Row],[Date]]="","",IF(tblVerifyShipments[[#This Row],[Goods value]]&gt;0,tblVerifyShipments[[#This Row],[Landed cost]]/tblVerifyShipments[[#This Row],[Goods value]]-1,""))</f>
        <v>0.413</v>
      </c>
      <c r="W63" s="41" t="str">
        <f>IF(NOT(ISNUMBER(tblVerifyShipments[[#This Row],[Uplift]])),"",IF(tblVerifyShipments[[#This Row],[Uplift]]&lt;=$E$44,"On target",IF(tblVerifyShipments[[#This Row],[Uplift]]&lt;=$E$44*(1+0.05),"Near target","Above target")))</f>
        <v>Above target</v>
      </c>
      <c r="X63" s="42">
        <f>IF(tblVerifyShipments[[#This Row],[Date]]="","",IF(AND(tblVerifyShipments[[#This Row],[Date]]&gt;=$E$40,tblVerifyShipments[[#This Row],[Date]]&lt;=$E$41,OR($E$42="",tblVerifyShipments[[#This Row],[Origin]]=$E$42)),tblVerifyShipments[[#This Row],[Date]],""))</f>
        <v>46104</v>
      </c>
      <c r="Y63" s="43" t="str">
        <f>IF(tblVerifyShipments[[#This Row],[Date]]="","",IF(tblVerifyShipments[[#This Row],[Entry ref]]="","Missing entry ref",IF(tblVerifyShipments[[#This Row],[Origin]]="","Missing origin",IF(tblVerifyShipments[[#This Row],[Part]]="","Missing part",IF(tblVerifyShipments[[#This Row],[Units]]="","Missing units",IF(tblVerifyShipments[[#This Row],[Unit price]]="","Missing unit price",IF(COUNTIF(tblVerifyParts[Part],tblVerifyShipments[[#This Row],[Part]])=0,"Part not on Setup list",IF(COUNTIF(tblVerifySuppliers[Supplier],tblVerifyShipments[[#This Row],[Supplier]])=0,"Supplier not on Setup list",IF(tblVerifyShipments[[#This Row],[Units]]&lt;=0,"Units must be above zero",IF(tblVerifyShipments[[#This Row],[Freight intl]]&gt;tblVerifyShipments[[#This Row],[Goods value]],"Freight above goods value: check",IF(COUNTIFS(tblVerifyShipments[Entry ref],tblVerifyShipments[[#This Row],[Entry ref]],tblVerifyShipments[Part],tblVerifyShipments[[#This Row],[Part]])&gt;1,"Duplicate entry line","OK")))))))))))</f>
        <v>Part not on Setup list</v>
      </c>
      <c r="Z63" s="64" t="s">
        <v>83</v>
      </c>
    </row>
  </sheetData>
  <sheetProtection sheet="1" formatColumns="0" formatRows="0"/>
  <mergeCells count="46">
    <mergeCell ref="A1:Z1"/>
    <mergeCell ref="B2:Y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B36:L36"/>
    <mergeCell ref="B38:L38"/>
    <mergeCell ref="B39:F39"/>
    <mergeCell ref="B40:D40"/>
    <mergeCell ref="B41:D41"/>
    <mergeCell ref="B42:D42"/>
    <mergeCell ref="E42:F42"/>
    <mergeCell ref="B43:D43"/>
    <mergeCell ref="E43:F43"/>
    <mergeCell ref="B44:D44"/>
    <mergeCell ref="B45:D45"/>
    <mergeCell ref="B47:L47"/>
    <mergeCell ref="B52:L52"/>
    <mergeCell ref="B57:L5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Y60:Y63">
    <cfRule type="expression" dxfId="3" priority="41">
      <formula>$Y60="OK"</formula>
    </cfRule>
    <cfRule type="expression" dxfId="1" priority="42">
      <formula>AND($Y60&lt;&gt;"",$Y60&lt;&gt;"OK")</formula>
    </cfRule>
  </conditionalFormatting>
  <hyperlinks>
    <hyperlink ref="Z2" r:id="rId1" tooltip="Free manufacturing calculators and templates"/>
  </hyperlinks>
  <printOptions horizontalCentered="1"/>
  <pageMargins left="0.4" right="0.4" top="0.7" bottom="0.65" header="0.3" footer="0.3"/>
  <pageSetup fitToHeight="0" orientation="landscape"/>
  <headerFooter>
    <oddHeader>&amp;L&amp;8MFG Calcs - Landed Cost and Tariff Tracker&amp;R&amp;8&amp;A</oddHeader>
    <oddFooter>&amp;L&amp;8mfgcalcs.com - free manufacturing templates&amp;R&amp;8Page &amp;P of &amp;N</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Start Here</vt:lpstr>
      <vt:lpstr>Setup</vt:lpstr>
      <vt:lpstr>Landed Cost Log</vt:lpstr>
      <vt:lpstr>Dashboard</vt:lpstr>
      <vt:lpstr>Method</vt:lpstr>
      <vt:lpstr>Verify</vt:lpstr>
      <vt:lpstr>CoName</vt:lpstr>
      <vt:lpstr>Currency</vt:lpstr>
      <vt:lpstr>DashFrom</vt:lpstr>
      <vt:lpstr>DashOrigin</vt:lpstr>
      <vt:lpstr>DashTo</vt:lpstr>
      <vt:lpstr>DutyBase</vt:lpstr>
      <vt:lpstr>KpiCustoms</vt:lpstr>
      <vt:lpstr>KpiDuty</vt:lpstr>
      <vt:lpstr>KpiLanded</vt:lpstr>
      <vt:lpstr>KpiTariff</vt:lpstr>
      <vt:lpstr>KpiUplift</vt:lpstr>
      <vt:lpstr>KpiWhatIf</vt:lpstr>
      <vt:lpstr>KpiWhatIfUplift</vt:lpstr>
      <vt:lpstr>KpiWorst</vt:lpstr>
      <vt:lpstr>Dashboard!Print_Area</vt:lpstr>
      <vt:lpstr>'Landed Cost Log'!Print_Area</vt:lpstr>
      <vt:lpstr>Method!Print_Area</vt:lpstr>
      <vt:lpstr>Setup!Print_Area</vt:lpstr>
      <vt:lpstr>'Start Here'!Print_Area</vt:lpstr>
      <vt:lpstr>Verify!Print_Area</vt:lpstr>
      <vt:lpstr>'Landed Cost Log'!Print_Titles</vt:lpstr>
      <vt:lpstr>Method!Print_Titles</vt:lpstr>
      <vt:lpstr>SelfCheck</vt:lpstr>
      <vt:lpstr>SelfCheckSummary</vt:lpstr>
      <vt:lpstr>UpliftLimit</vt:lpstr>
      <vt:lpstr>WhatIfPts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Landed Cost and Tariff Tracker - free Excel template from MFG Calcs</dc:title>
  <dc:subject>Turn every import entry into landed cost per unit, see how much of it is duty and extra tariffs, and test a tariff change before it lands.</dc:subject>
  <dc:creator>MFG Calcs</dc:creator>
  <cp:keywords>landed cost, tariff, import duty, customs value, HS code, freight, total landed cost, sourcing</cp:keywords>
  <dc:description>https://www.mfgcalcs.com/templates/landed-cost-tariff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landed-cost-tariff</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https://www.mfgcalcs.com/templates/landed-cost-tariff</vt:lpwstr>
  </property>
  <property fmtid="{D5CDD505-2E9C-101B-9397-08002B2CF9AE}" pid="7" name="Template sheet roles">
    <vt:lpwstr>Start Here=start;Setup=setup;Landed Cost Log=work;Dashboard=dashboard;Method=method;Verify=verify</vt:lpwstr>
  </property>
</Properties>
</file>